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Questa_cartella_di_lavoro"/>
  <mc:AlternateContent xmlns:mc="http://schemas.openxmlformats.org/markup-compatibility/2006">
    <mc:Choice Requires="x15">
      <x15ac:absPath xmlns:x15ac="http://schemas.microsoft.com/office/spreadsheetml/2010/11/ac" url="https://utiliteamco.sharepoint.com/sites/SHR/OLOBOX/02-Commesse/04-Aperte/C12748_Agesp_TIUCMTR-3PEFA/Di lavoro/Elaborazioni/"/>
    </mc:Choice>
  </mc:AlternateContent>
  <xr:revisionPtr revIDLastSave="50" documentId="13_ncr:1_{35B895BC-C7C1-482B-BC1B-9E15E9AB3F3B}" xr6:coauthVersionLast="47" xr6:coauthVersionMax="47" xr10:uidLastSave="{A96D7F93-1FBB-433B-82F9-D5E522C52480}"/>
  <bookViews>
    <workbookView xWindow="-108" yWindow="-108" windowWidth="23256" windowHeight="13896" tabRatio="929" firstSheet="31" activeTab="39" xr2:uid="{00000000-000D-0000-FFFF-FFFF00000000}"/>
  </bookViews>
  <sheets>
    <sheet name="Export_Tool" sheetId="34" r:id="rId1"/>
    <sheet name="Parametri MTR-3" sheetId="20" r:id="rId2"/>
    <sheet name="Ambiti" sheetId="6" r:id="rId3"/>
    <sheet name="IN_Anagrafica" sheetId="7" r:id="rId4"/>
    <sheet name="Import_CO_Comuni" sheetId="40" r:id="rId5"/>
    <sheet name="Import CO_24" sheetId="39" r:id="rId6"/>
    <sheet name="Import CO_25" sheetId="59" r:id="rId7"/>
    <sheet name="IN_PAR" sheetId="13" r:id="rId8"/>
    <sheet name="R1-R2" sheetId="47" r:id="rId9"/>
    <sheet name="DB_IN_CTS_CTR_RC" sheetId="56" r:id="rId10"/>
    <sheet name="IN_CTS_CTR_RC" sheetId="54" r:id="rId11"/>
    <sheet name="IN_RC_ANT" sheetId="58" r:id="rId12"/>
    <sheet name="DB_IN_RC_CO_INC" sheetId="61" r:id="rId13"/>
    <sheet name="IN_RC_CO_INC" sheetId="60" r:id="rId14"/>
    <sheet name="RC_I25_GEST" sheetId="76" r:id="rId15"/>
    <sheet name="RC_I25_COM" sheetId="77" r:id="rId16"/>
    <sheet name="IN_RCwacc&amp;slic_GEST" sheetId="41" r:id="rId17"/>
    <sheet name="IN_RCwacc&amp;slic_COM" sheetId="62" r:id="rId18"/>
    <sheet name="IN_COexp" sheetId="15" r:id="rId19"/>
    <sheet name="IN_RC-T" sheetId="16" r:id="rId20"/>
    <sheet name="IN_Detr 4.5 del_397" sheetId="19" r:id="rId21"/>
    <sheet name="IN_Calcolo H" sheetId="48" r:id="rId22"/>
    <sheet name="CK_GEST" sheetId="21" r:id="rId23"/>
    <sheet name="CK_COM" sheetId="63" r:id="rId24"/>
    <sheet name="PEF_GEST_26" sheetId="26" r:id="rId25"/>
    <sheet name="PEF_GEST_27" sheetId="64" r:id="rId26"/>
    <sheet name="PEF_GEST_28" sheetId="65" r:id="rId27"/>
    <sheet name="PEF_GEST_29" sheetId="66" r:id="rId28"/>
    <sheet name="PEF_COM_26" sheetId="67" r:id="rId29"/>
    <sheet name="PEF_COM_27" sheetId="68" r:id="rId30"/>
    <sheet name="PEF_COM_28" sheetId="69" r:id="rId31"/>
    <sheet name="PEF_COM_29" sheetId="70" r:id="rId32"/>
    <sheet name="Rett_Ta-1" sheetId="75" r:id="rId33"/>
    <sheet name="T_ante_detr.4.5_GEST" sheetId="78" r:id="rId34"/>
    <sheet name="T_ante_detr.4.5_COM" sheetId="79" r:id="rId35"/>
    <sheet name="IN_Rimd" sheetId="71" r:id="rId36"/>
    <sheet name="IN_Altro" sheetId="72" r:id="rId37"/>
    <sheet name="Riepilogo GEST" sheetId="30" r:id="rId38"/>
    <sheet name="Riepilogo COM" sheetId="31" r:id="rId39"/>
    <sheet name="PEF" sheetId="12" r:id="rId40"/>
    <sheet name="PEF_TOTALE" sheetId="73" r:id="rId41"/>
    <sheet name="PEFUni_Dettagli" sheetId="74" r:id="rId42"/>
  </sheets>
  <externalReferences>
    <externalReference r:id="rId43"/>
    <externalReference r:id="rId44"/>
    <externalReference r:id="rId45"/>
    <externalReference r:id="rId46"/>
  </externalReferences>
  <definedNames>
    <definedName name="_Fill" localSheetId="23" hidden="1">#REF!</definedName>
    <definedName name="_Fill" localSheetId="22" hidden="1">#REF!</definedName>
    <definedName name="_Fill" localSheetId="17" hidden="1">#REF!</definedName>
    <definedName name="_Fill" localSheetId="16" hidden="1">#REF!</definedName>
    <definedName name="_Fill" hidden="1">#REF!</definedName>
    <definedName name="_xlnm._FilterDatabase" localSheetId="9" hidden="1">DB_IN_CTS_CTR_RC!$B$3:$Q$1000</definedName>
    <definedName name="_xlnm._FilterDatabase" localSheetId="12" hidden="1">DB_IN_RC_CO_INC!$B$4:$J$1001</definedName>
    <definedName name="_xlnm._FilterDatabase" localSheetId="0" hidden="1">Export_Tool!$A$1:$J$1153</definedName>
    <definedName name="_xlnm._FilterDatabase" localSheetId="4" hidden="1">Import_CO_Comuni!$A$4:$E$285</definedName>
    <definedName name="_xlnm._FilterDatabase" localSheetId="21" hidden="1">'IN_Calcolo H'!$A$3:$E$179</definedName>
    <definedName name="_xlnm._FilterDatabase" localSheetId="20" hidden="1">'IN_Detr 4.5 del_397'!$A$3:$E$1192</definedName>
    <definedName name="_Key1" localSheetId="23" hidden="1">#REF!</definedName>
    <definedName name="_Key1" localSheetId="22" hidden="1">#REF!</definedName>
    <definedName name="_Key1" localSheetId="17" hidden="1">#REF!</definedName>
    <definedName name="_Key1" localSheetId="16" hidden="1">#REF!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pippo" hidden="1">#REF!</definedName>
    <definedName name="_Sort" hidden="1">#REF!</definedName>
    <definedName name="_Table1_Out" hidden="1">#REF!</definedName>
    <definedName name="_Table2_Out" hidden="1">#REF!</definedName>
    <definedName name="aa" localSheetId="23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aa" localSheetId="22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aa" localSheetId="21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aa" localSheetId="17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aa" localSheetId="16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aa" localSheetId="8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aa" localSheetId="15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aa" localSheetId="14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aa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ACwvu.ce_storici." hidden="1">#REF!</definedName>
    <definedName name="ACwvu.dd." hidden="1">#REF!</definedName>
    <definedName name="anni_new">#REF!</definedName>
    <definedName name="anno_cespite" localSheetId="23">#REF!</definedName>
    <definedName name="anno_cespite" localSheetId="22">#REF!</definedName>
    <definedName name="anno_cespite" localSheetId="4">#REF!</definedName>
    <definedName name="anno_cespite" localSheetId="17">#REF!</definedName>
    <definedName name="anno_cespite" localSheetId="16">#REF!</definedName>
    <definedName name="anno_cespite">#REF!</definedName>
    <definedName name="anscount" hidden="1">1</definedName>
    <definedName name="AS2DocOpenMode" hidden="1">"AS2DocumentEdit"</definedName>
    <definedName name="asd" hidden="1">#REF!</definedName>
    <definedName name="attività_svolte_dal_Gestore" localSheetId="23">#REF!</definedName>
    <definedName name="attività_svolte_dal_Gestore" localSheetId="22">#REF!</definedName>
    <definedName name="attività_svolte_dal_Gestore" localSheetId="4">#REF!</definedName>
    <definedName name="attività_svolte_dal_Gestore" localSheetId="17">#REF!</definedName>
    <definedName name="attività_svolte_dal_Gestore" localSheetId="16">#REF!</definedName>
    <definedName name="attività_svolte_dal_Gestore">#REF!</definedName>
    <definedName name="bb" localSheetId="23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bb" localSheetId="22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bb" localSheetId="21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bb" localSheetId="17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bb" localSheetId="16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bb" localSheetId="8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bb" localSheetId="15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bb" localSheetId="14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bb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BLPH1" hidden="1">#REF!</definedName>
    <definedName name="BLPH10" hidden="1">#REF!</definedName>
    <definedName name="BLPH100" hidden="1">#REF!</definedName>
    <definedName name="BLPH101" hidden="1">#REF!</definedName>
    <definedName name="BLPH102" hidden="1">#REF!</definedName>
    <definedName name="BLPH103" hidden="1">#REF!</definedName>
    <definedName name="BLPH104" hidden="1">#REF!</definedName>
    <definedName name="BLPH105" hidden="1">#REF!</definedName>
    <definedName name="BLPH106" hidden="1">#REF!</definedName>
    <definedName name="BLPH107" hidden="1">#REF!</definedName>
    <definedName name="BLPH108" hidden="1">#REF!</definedName>
    <definedName name="BLPH109" hidden="1">#REF!</definedName>
    <definedName name="BLPH11" hidden="1">#REF!</definedName>
    <definedName name="BLPH110" hidden="1">#REF!</definedName>
    <definedName name="BLPH111" hidden="1">#REF!</definedName>
    <definedName name="BLPH112" hidden="1">#REF!</definedName>
    <definedName name="BLPH113" hidden="1">#REF!</definedName>
    <definedName name="BLPH114" hidden="1">#REF!</definedName>
    <definedName name="BLPH12" hidden="1">#REF!</definedName>
    <definedName name="BLPH13" hidden="1">#REF!</definedName>
    <definedName name="BLPH14" hidden="1">#REF!</definedName>
    <definedName name="BLPH15" hidden="1">#REF!</definedName>
    <definedName name="BLPH16" hidden="1">#REF!</definedName>
    <definedName name="BLPH17" hidden="1">#REF!</definedName>
    <definedName name="BLPH18" hidden="1">#REF!</definedName>
    <definedName name="BLPH19" hidden="1">#REF!</definedName>
    <definedName name="BLPH2" hidden="1">#REF!</definedName>
    <definedName name="BLPH20" hidden="1">#REF!</definedName>
    <definedName name="BLPH21" hidden="1">#REF!</definedName>
    <definedName name="BLPH22" hidden="1">#REF!</definedName>
    <definedName name="BLPH23" hidden="1">#REF!</definedName>
    <definedName name="BLPH24" hidden="1">#REF!</definedName>
    <definedName name="BLPH25" hidden="1">#REF!</definedName>
    <definedName name="BLPH26" hidden="1">#REF!</definedName>
    <definedName name="BLPH27" hidden="1">#REF!</definedName>
    <definedName name="BLPH28" hidden="1">#REF!</definedName>
    <definedName name="BLPH29" hidden="1">#REF!</definedName>
    <definedName name="BLPH3" hidden="1">#REF!</definedName>
    <definedName name="BLPH30" hidden="1">#REF!</definedName>
    <definedName name="BLPH31" hidden="1">#REF!</definedName>
    <definedName name="BLPH32" hidden="1">#REF!</definedName>
    <definedName name="BLPH33" hidden="1">#REF!</definedName>
    <definedName name="BLPH34" hidden="1">#REF!</definedName>
    <definedName name="BLPH35" hidden="1">#REF!</definedName>
    <definedName name="BLPH36" hidden="1">#REF!</definedName>
    <definedName name="BLPH37" hidden="1">#REF!</definedName>
    <definedName name="BLPH38" hidden="1">#REF!</definedName>
    <definedName name="BLPH39" hidden="1">#REF!</definedName>
    <definedName name="BLPH4" hidden="1">#REF!</definedName>
    <definedName name="BLPH40" hidden="1">#REF!</definedName>
    <definedName name="BLPH41" hidden="1">#REF!</definedName>
    <definedName name="BLPH42" hidden="1">#REF!</definedName>
    <definedName name="BLPH43" hidden="1">#REF!</definedName>
    <definedName name="BLPH44" hidden="1">#REF!</definedName>
    <definedName name="BLPH45" hidden="1">#REF!</definedName>
    <definedName name="BLPH46" hidden="1">#REF!</definedName>
    <definedName name="BLPH47" hidden="1">#REF!</definedName>
    <definedName name="BLPH48" hidden="1">#REF!</definedName>
    <definedName name="BLPH49" hidden="1">#REF!</definedName>
    <definedName name="BLPH5" hidden="1">#REF!</definedName>
    <definedName name="BLPH50" hidden="1">#REF!</definedName>
    <definedName name="BLPH51" hidden="1">#REF!</definedName>
    <definedName name="BLPH52" hidden="1">#REF!</definedName>
    <definedName name="BLPH53" hidden="1">#REF!</definedName>
    <definedName name="BLPH54" hidden="1">#REF!</definedName>
    <definedName name="BLPH55" hidden="1">#REF!</definedName>
    <definedName name="BLPH56" hidden="1">#REF!</definedName>
    <definedName name="BLPH57" hidden="1">#REF!</definedName>
    <definedName name="BLPH58" hidden="1">#REF!</definedName>
    <definedName name="BLPH59" hidden="1">#REF!</definedName>
    <definedName name="BLPH6" hidden="1">#REF!</definedName>
    <definedName name="BLPH60" hidden="1">#REF!</definedName>
    <definedName name="BLPH61" hidden="1">#REF!</definedName>
    <definedName name="BLPH62" hidden="1">#REF!</definedName>
    <definedName name="BLPH63" hidden="1">#REF!</definedName>
    <definedName name="BLPH64" hidden="1">#REF!</definedName>
    <definedName name="BLPH65" hidden="1">#REF!</definedName>
    <definedName name="BLPH66" hidden="1">#REF!</definedName>
    <definedName name="BLPH67" hidden="1">#REF!</definedName>
    <definedName name="BLPH68" hidden="1">#REF!</definedName>
    <definedName name="BLPH69" hidden="1">#REF!</definedName>
    <definedName name="BLPH7" hidden="1">#REF!</definedName>
    <definedName name="BLPH70" hidden="1">#REF!</definedName>
    <definedName name="BLPH71" hidden="1">#REF!</definedName>
    <definedName name="BLPH72" hidden="1">#REF!</definedName>
    <definedName name="BLPH73" hidden="1">#REF!</definedName>
    <definedName name="BLPH74" hidden="1">#REF!</definedName>
    <definedName name="BLPH75" hidden="1">#REF!</definedName>
    <definedName name="BLPH76" hidden="1">#REF!</definedName>
    <definedName name="BLPH77" hidden="1">#REF!</definedName>
    <definedName name="BLPH78" hidden="1">#REF!</definedName>
    <definedName name="BLPH79" hidden="1">#REF!</definedName>
    <definedName name="BLPH8" hidden="1">#REF!</definedName>
    <definedName name="BLPH80" hidden="1">#REF!</definedName>
    <definedName name="BLPH81" hidden="1">#REF!</definedName>
    <definedName name="BLPH82" hidden="1">#REF!</definedName>
    <definedName name="BLPH83" hidden="1">#REF!</definedName>
    <definedName name="BLPH84" hidden="1">#REF!</definedName>
    <definedName name="BLPH85" hidden="1">#REF!</definedName>
    <definedName name="BLPH86" hidden="1">#REF!</definedName>
    <definedName name="BLPH87" hidden="1">#REF!</definedName>
    <definedName name="BLPH88" hidden="1">#REF!</definedName>
    <definedName name="BLPH89" hidden="1">#REF!</definedName>
    <definedName name="BLPH9" hidden="1">#REF!</definedName>
    <definedName name="BLPH90" hidden="1">#REF!</definedName>
    <definedName name="BLPH91" hidden="1">#REF!</definedName>
    <definedName name="BLPH92" hidden="1">#REF!</definedName>
    <definedName name="BLPH93" hidden="1">#REF!</definedName>
    <definedName name="BLPH94" hidden="1">#REF!</definedName>
    <definedName name="BLPH95" hidden="1">#REF!</definedName>
    <definedName name="BLPH96" hidden="1">#REF!</definedName>
    <definedName name="BLPH97" hidden="1">#REF!</definedName>
    <definedName name="BLPH98" hidden="1">#REF!</definedName>
    <definedName name="BLPH99" hidden="1">#REF!</definedName>
    <definedName name="bnmbm" localSheetId="23" hidden="1">{#N/A,#N/A,TRUE,"Main Issues";#N/A,#N/A,TRUE,"Income statement ($)"}</definedName>
    <definedName name="bnmbm" localSheetId="22" hidden="1">{#N/A,#N/A,TRUE,"Main Issues";#N/A,#N/A,TRUE,"Income statement ($)"}</definedName>
    <definedName name="bnmbm" localSheetId="21" hidden="1">{#N/A,#N/A,TRUE,"Main Issues";#N/A,#N/A,TRUE,"Income statement ($)"}</definedName>
    <definedName name="bnmbm" localSheetId="17" hidden="1">{#N/A,#N/A,TRUE,"Main Issues";#N/A,#N/A,TRUE,"Income statement ($)"}</definedName>
    <definedName name="bnmbm" localSheetId="16" hidden="1">{#N/A,#N/A,TRUE,"Main Issues";#N/A,#N/A,TRUE,"Income statement ($)"}</definedName>
    <definedName name="bnmbm" localSheetId="8" hidden="1">{#N/A,#N/A,TRUE,"Main Issues";#N/A,#N/A,TRUE,"Income statement ($)"}</definedName>
    <definedName name="bnmbm" localSheetId="15" hidden="1">{#N/A,#N/A,TRUE,"Main Issues";#N/A,#N/A,TRUE,"Income statement ($)"}</definedName>
    <definedName name="bnmbm" localSheetId="14" hidden="1">{#N/A,#N/A,TRUE,"Main Issues";#N/A,#N/A,TRUE,"Income statement ($)"}</definedName>
    <definedName name="bnmbm" hidden="1">{#N/A,#N/A,TRUE,"Main Issues";#N/A,#N/A,TRUE,"Income statement ($)"}</definedName>
    <definedName name="categ_new">#REF!</definedName>
    <definedName name="Cespiti_Comuni">#REF!</definedName>
    <definedName name="Compostaggio__Digestione_Anaerobica_e_Misti">#REF!</definedName>
    <definedName name="Comune">#REF!</definedName>
    <definedName name="Comuni">#REF!</definedName>
    <definedName name="Comuni_Istat" localSheetId="23">#REF!</definedName>
    <definedName name="Comuni_Istat" localSheetId="22">#REF!</definedName>
    <definedName name="Comuni_Istat" localSheetId="5">#REF!</definedName>
    <definedName name="Comuni_Istat" localSheetId="6">#REF!</definedName>
    <definedName name="Comuni_Istat" localSheetId="4">#REF!</definedName>
    <definedName name="Comuni_Istat" localSheetId="17">#REF!</definedName>
    <definedName name="Comuni_Istat" localSheetId="16">#REF!</definedName>
    <definedName name="Comuni_Istat">#REF!</definedName>
    <definedName name="csDesignMode">1</definedName>
    <definedName name="dad" localSheetId="23" hidden="1">#REF!</definedName>
    <definedName name="dad" localSheetId="22" hidden="1">#REF!</definedName>
    <definedName name="dad" localSheetId="17" hidden="1">#REF!</definedName>
    <definedName name="dad" localSheetId="16" hidden="1">#REF!</definedName>
    <definedName name="dad" hidden="1">#REF!</definedName>
    <definedName name="dadasda" localSheetId="23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adasda" localSheetId="22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adasda" localSheetId="21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adasda" localSheetId="17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adasda" localSheetId="16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adasda" localSheetId="8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adasda" localSheetId="15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adasda" localSheetId="14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adasda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e" localSheetId="23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e" localSheetId="22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e" localSheetId="21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e" localSheetId="17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e" localSheetId="16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e" localSheetId="8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e" localSheetId="15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e" localSheetId="14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e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eflatoriCK">#REF!</definedName>
    <definedName name="dfdfd" localSheetId="23" hidden="1">{#N/A,#N/A,FALSE,"Colombo";#N/A,#N/A,FALSE,"Colata";#N/A,#N/A,FALSE,"Colombo + Colata"}</definedName>
    <definedName name="dfdfd" localSheetId="22" hidden="1">{#N/A,#N/A,FALSE,"Colombo";#N/A,#N/A,FALSE,"Colata";#N/A,#N/A,FALSE,"Colombo + Colata"}</definedName>
    <definedName name="dfdfd" localSheetId="21" hidden="1">{#N/A,#N/A,FALSE,"Colombo";#N/A,#N/A,FALSE,"Colata";#N/A,#N/A,FALSE,"Colombo + Colata"}</definedName>
    <definedName name="dfdfd" localSheetId="17" hidden="1">{#N/A,#N/A,FALSE,"Colombo";#N/A,#N/A,FALSE,"Colata";#N/A,#N/A,FALSE,"Colombo + Colata"}</definedName>
    <definedName name="dfdfd" localSheetId="16" hidden="1">{#N/A,#N/A,FALSE,"Colombo";#N/A,#N/A,FALSE,"Colata";#N/A,#N/A,FALSE,"Colombo + Colata"}</definedName>
    <definedName name="dfdfd" localSheetId="8" hidden="1">{#N/A,#N/A,FALSE,"Colombo";#N/A,#N/A,FALSE,"Colata";#N/A,#N/A,FALSE,"Colombo + Colata"}</definedName>
    <definedName name="dfdfd" localSheetId="15" hidden="1">{#N/A,#N/A,FALSE,"Colombo";#N/A,#N/A,FALSE,"Colata";#N/A,#N/A,FALSE,"Colombo + Colata"}</definedName>
    <definedName name="dfdfd" localSheetId="14" hidden="1">{#N/A,#N/A,FALSE,"Colombo";#N/A,#N/A,FALSE,"Colata";#N/A,#N/A,FALSE,"Colombo + Colata"}</definedName>
    <definedName name="dfdfd" hidden="1">{#N/A,#N/A,FALSE,"Colombo";#N/A,#N/A,FALSE,"Colata";#N/A,#N/A,FALSE,"Colombo + Colata"}</definedName>
    <definedName name="Discariche">#REF!</definedName>
    <definedName name="dklnc" localSheetId="23" hidden="1">{#N/A,#N/A,TRUE,"Main Issues";#N/A,#N/A,TRUE,"Income statement ($)"}</definedName>
    <definedName name="dklnc" localSheetId="22" hidden="1">{#N/A,#N/A,TRUE,"Main Issues";#N/A,#N/A,TRUE,"Income statement ($)"}</definedName>
    <definedName name="dklnc" localSheetId="21" hidden="1">{#N/A,#N/A,TRUE,"Main Issues";#N/A,#N/A,TRUE,"Income statement ($)"}</definedName>
    <definedName name="dklnc" localSheetId="17" hidden="1">{#N/A,#N/A,TRUE,"Main Issues";#N/A,#N/A,TRUE,"Income statement ($)"}</definedName>
    <definedName name="dklnc" localSheetId="16" hidden="1">{#N/A,#N/A,TRUE,"Main Issues";#N/A,#N/A,TRUE,"Income statement ($)"}</definedName>
    <definedName name="dklnc" localSheetId="8" hidden="1">{#N/A,#N/A,TRUE,"Main Issues";#N/A,#N/A,TRUE,"Income statement ($)"}</definedName>
    <definedName name="dklnc" localSheetId="15" hidden="1">{#N/A,#N/A,TRUE,"Main Issues";#N/A,#N/A,TRUE,"Income statement ($)"}</definedName>
    <definedName name="dklnc" localSheetId="14" hidden="1">{#N/A,#N/A,TRUE,"Main Issues";#N/A,#N/A,TRUE,"Income statement ($)"}</definedName>
    <definedName name="dklnc" hidden="1">{#N/A,#N/A,TRUE,"Main Issues";#N/A,#N/A,TRUE,"Income statement ($)"}</definedName>
    <definedName name="dn" localSheetId="23" hidden="1">{#N/A,#N/A,TRUE,"Main Issues";#N/A,#N/A,TRUE,"Income statement ($)"}</definedName>
    <definedName name="dn" localSheetId="22" hidden="1">{#N/A,#N/A,TRUE,"Main Issues";#N/A,#N/A,TRUE,"Income statement ($)"}</definedName>
    <definedName name="dn" localSheetId="21" hidden="1">{#N/A,#N/A,TRUE,"Main Issues";#N/A,#N/A,TRUE,"Income statement ($)"}</definedName>
    <definedName name="dn" localSheetId="17" hidden="1">{#N/A,#N/A,TRUE,"Main Issues";#N/A,#N/A,TRUE,"Income statement ($)"}</definedName>
    <definedName name="dn" localSheetId="16" hidden="1">{#N/A,#N/A,TRUE,"Main Issues";#N/A,#N/A,TRUE,"Income statement ($)"}</definedName>
    <definedName name="dn" localSheetId="8" hidden="1">{#N/A,#N/A,TRUE,"Main Issues";#N/A,#N/A,TRUE,"Income statement ($)"}</definedName>
    <definedName name="dn" localSheetId="15" hidden="1">{#N/A,#N/A,TRUE,"Main Issues";#N/A,#N/A,TRUE,"Income statement ($)"}</definedName>
    <definedName name="dn" localSheetId="14" hidden="1">{#N/A,#N/A,TRUE,"Main Issues";#N/A,#N/A,TRUE,"Income statement ($)"}</definedName>
    <definedName name="dn" hidden="1">{#N/A,#N/A,TRUE,"Main Issues";#N/A,#N/A,TRUE,"Income statement ($)"}</definedName>
    <definedName name="dqd" localSheetId="23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qd" localSheetId="22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qd" localSheetId="21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qd" localSheetId="17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qd" localSheetId="16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qd" localSheetId="8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qd" localSheetId="15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qd" localSheetId="14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qd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ecs" localSheetId="2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cs" localSheetId="2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cs" localSheetId="2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cs" localSheetId="17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cs" localSheetId="16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cs" localSheetId="8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cs" localSheetId="15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cs" localSheetId="1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cs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lenco_Cespiti" localSheetId="1">INDEX(#REF!,,#REF!)</definedName>
    <definedName name="Elenco_Cespiti" localSheetId="28">INDEX(#REF!,,#REF!)</definedName>
    <definedName name="Elenco_Cespiti" localSheetId="29">INDEX(#REF!,,#REF!)</definedName>
    <definedName name="Elenco_Cespiti" localSheetId="30">INDEX(#REF!,,#REF!)</definedName>
    <definedName name="Elenco_Cespiti" localSheetId="31">INDEX(#REF!,,#REF!)</definedName>
    <definedName name="Elenco_Cespiti" localSheetId="24">INDEX(#REF!,,#REF!)</definedName>
    <definedName name="Elenco_Cespiti" localSheetId="25">INDEX(#REF!,,#REF!)</definedName>
    <definedName name="Elenco_Cespiti" localSheetId="26">INDEX(#REF!,,#REF!)</definedName>
    <definedName name="Elenco_Cespiti" localSheetId="27">INDEX(#REF!,,#REF!)</definedName>
    <definedName name="Elenco_Cespiti" localSheetId="15">INDEX(#REF!,,#REF!)</definedName>
    <definedName name="Elenco_Cespiti" localSheetId="14">INDEX(#REF!,,#REF!)</definedName>
    <definedName name="Elenco_Cespiti" localSheetId="38">INDEX(#REF!,,#REF!)</definedName>
    <definedName name="Elenco_Cespiti">INDEX(#REF!,,#REF!)</definedName>
    <definedName name="EV__EVCOM_OPTIONS__" hidden="1">8</definedName>
    <definedName name="EV__EXPOPTIONS__" hidden="1">0</definedName>
    <definedName name="EV__LASTREFTIME__" hidden="1">"20/04/2012 19.03.46"</definedName>
    <definedName name="EV__MAXEXPCOLS__" hidden="1">2000</definedName>
    <definedName name="EV__MAXEXPROWS__" hidden="1">100000</definedName>
    <definedName name="EV__MEMORYCVW__" hidden="1">0</definedName>
    <definedName name="EV__USERCHANGEOPTIONS__" hidden="1">1</definedName>
    <definedName name="EV__WBEVMODE__" hidden="1">1</definedName>
    <definedName name="EV__WBREFOPTIONS__" hidden="1">134217728</definedName>
    <definedName name="EV__WBVERSION__" hidden="1">0</definedName>
    <definedName name="ewrc" localSheetId="2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wrc" localSheetId="2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wrc" localSheetId="2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wrc" localSheetId="17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wrc" localSheetId="16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wrc" localSheetId="8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wrc" localSheetId="15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wrc" localSheetId="1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ewrc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fadsfaf" localSheetId="23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fadsfaf" localSheetId="22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fadsfaf" localSheetId="21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fadsfaf" localSheetId="17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fadsfaf" localSheetId="16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fadsfaf" localSheetId="8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fadsfaf" localSheetId="15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fadsfaf" localSheetId="14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fadsfaf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Fasanotti" localSheetId="23" hidden="1">{#N/A,#N/A,TRUE,"Main Issues";#N/A,#N/A,TRUE,"Income statement ($)"}</definedName>
    <definedName name="Fasanotti" localSheetId="22" hidden="1">{#N/A,#N/A,TRUE,"Main Issues";#N/A,#N/A,TRUE,"Income statement ($)"}</definedName>
    <definedName name="Fasanotti" localSheetId="21" hidden="1">{#N/A,#N/A,TRUE,"Main Issues";#N/A,#N/A,TRUE,"Income statement ($)"}</definedName>
    <definedName name="Fasanotti" localSheetId="17" hidden="1">{#N/A,#N/A,TRUE,"Main Issues";#N/A,#N/A,TRUE,"Income statement ($)"}</definedName>
    <definedName name="Fasanotti" localSheetId="16" hidden="1">{#N/A,#N/A,TRUE,"Main Issues";#N/A,#N/A,TRUE,"Income statement ($)"}</definedName>
    <definedName name="Fasanotti" localSheetId="8" hidden="1">{#N/A,#N/A,TRUE,"Main Issues";#N/A,#N/A,TRUE,"Income statement ($)"}</definedName>
    <definedName name="Fasanotti" localSheetId="15" hidden="1">{#N/A,#N/A,TRUE,"Main Issues";#N/A,#N/A,TRUE,"Income statement ($)"}</definedName>
    <definedName name="Fasanotti" localSheetId="14" hidden="1">{#N/A,#N/A,TRUE,"Main Issues";#N/A,#N/A,TRUE,"Income statement ($)"}</definedName>
    <definedName name="Fasanotti" hidden="1">{#N/A,#N/A,TRUE,"Main Issues";#N/A,#N/A,TRUE,"Income statement ($)"}</definedName>
    <definedName name="fdas" localSheetId="23" hidden="1">{"'Sheet1'!$A$1:$H$96"}</definedName>
    <definedName name="fdas" localSheetId="22" hidden="1">{"'Sheet1'!$A$1:$H$96"}</definedName>
    <definedName name="fdas" localSheetId="21" hidden="1">{"'Sheet1'!$A$1:$H$96"}</definedName>
    <definedName name="fdas" localSheetId="17" hidden="1">{"'Sheet1'!$A$1:$H$96"}</definedName>
    <definedName name="fdas" localSheetId="16" hidden="1">{"'Sheet1'!$A$1:$H$96"}</definedName>
    <definedName name="fdas" localSheetId="8" hidden="1">{"'Sheet1'!$A$1:$H$96"}</definedName>
    <definedName name="fdas" localSheetId="15" hidden="1">{"'Sheet1'!$A$1:$H$96"}</definedName>
    <definedName name="fdas" localSheetId="14" hidden="1">{"'Sheet1'!$A$1:$H$96"}</definedName>
    <definedName name="fdas" hidden="1">{"'Sheet1'!$A$1:$H$96"}</definedName>
    <definedName name="fr4rd" localSheetId="23" hidden="1">{#N/A,#N/A,TRUE,"Main Issues";#N/A,#N/A,TRUE,"Income statement ($)"}</definedName>
    <definedName name="fr4rd" localSheetId="22" hidden="1">{#N/A,#N/A,TRUE,"Main Issues";#N/A,#N/A,TRUE,"Income statement ($)"}</definedName>
    <definedName name="fr4rd" localSheetId="21" hidden="1">{#N/A,#N/A,TRUE,"Main Issues";#N/A,#N/A,TRUE,"Income statement ($)"}</definedName>
    <definedName name="fr4rd" localSheetId="17" hidden="1">{#N/A,#N/A,TRUE,"Main Issues";#N/A,#N/A,TRUE,"Income statement ($)"}</definedName>
    <definedName name="fr4rd" localSheetId="16" hidden="1">{#N/A,#N/A,TRUE,"Main Issues";#N/A,#N/A,TRUE,"Income statement ($)"}</definedName>
    <definedName name="fr4rd" localSheetId="8" hidden="1">{#N/A,#N/A,TRUE,"Main Issues";#N/A,#N/A,TRUE,"Income statement ($)"}</definedName>
    <definedName name="fr4rd" localSheetId="15" hidden="1">{#N/A,#N/A,TRUE,"Main Issues";#N/A,#N/A,TRUE,"Income statement ($)"}</definedName>
    <definedName name="fr4rd" localSheetId="14" hidden="1">{#N/A,#N/A,TRUE,"Main Issues";#N/A,#N/A,TRUE,"Income statement ($)"}</definedName>
    <definedName name="fr4rd" hidden="1">{#N/A,#N/A,TRUE,"Main Issues";#N/A,#N/A,TRUE,"Income statement ($)"}</definedName>
    <definedName name="gffd" localSheetId="23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gffd" localSheetId="22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gffd" localSheetId="21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gffd" localSheetId="17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gffd" localSheetId="16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gffd" localSheetId="8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gffd" localSheetId="15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gffd" localSheetId="14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gffd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graZ" localSheetId="2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graZ" localSheetId="2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graZ" localSheetId="2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graZ" localSheetId="17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graZ" localSheetId="16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graZ" localSheetId="8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graZ" localSheetId="15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graZ" localSheetId="1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graZ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hgf" localSheetId="2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hgf" localSheetId="2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hgf" localSheetId="2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hgf" localSheetId="17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hgf" localSheetId="16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hgf" localSheetId="8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hgf" localSheetId="15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hgf" localSheetId="1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hgf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hiulj" localSheetId="23" hidden="1">{"EVA",#N/A,FALSE,"EVA";"WACC",#N/A,FALSE,"WACC"}</definedName>
    <definedName name="hiulj" localSheetId="22" hidden="1">{"EVA",#N/A,FALSE,"EVA";"WACC",#N/A,FALSE,"WACC"}</definedName>
    <definedName name="hiulj" localSheetId="21" hidden="1">{"EVA",#N/A,FALSE,"EVA";"WACC",#N/A,FALSE,"WACC"}</definedName>
    <definedName name="hiulj" localSheetId="17" hidden="1">{"EVA",#N/A,FALSE,"EVA";"WACC",#N/A,FALSE,"WACC"}</definedName>
    <definedName name="hiulj" localSheetId="16" hidden="1">{"EVA",#N/A,FALSE,"EVA";"WACC",#N/A,FALSE,"WACC"}</definedName>
    <definedName name="hiulj" localSheetId="8" hidden="1">{"EVA",#N/A,FALSE,"EVA";"WACC",#N/A,FALSE,"WACC"}</definedName>
    <definedName name="hiulj" localSheetId="15" hidden="1">{"EVA",#N/A,FALSE,"EVA";"WACC",#N/A,FALSE,"WACC"}</definedName>
    <definedName name="hiulj" localSheetId="14" hidden="1">{"EVA",#N/A,FALSE,"EVA";"WACC",#N/A,FALSE,"WACC"}</definedName>
    <definedName name="hiulj" hidden="1">{"EVA",#N/A,FALSE,"EVA";"WACC",#N/A,FALSE,"WACC"}</definedName>
    <definedName name="HTML_CodePage" hidden="1">1252</definedName>
    <definedName name="HTML_Control" localSheetId="23" hidden="1">{"'Sheet1'!$A$1:$H$96"}</definedName>
    <definedName name="HTML_Control" localSheetId="22" hidden="1">{"'Sheet1'!$A$1:$H$96"}</definedName>
    <definedName name="HTML_Control" localSheetId="21" hidden="1">{"'Sheet1'!$A$1:$H$96"}</definedName>
    <definedName name="HTML_Control" localSheetId="17" hidden="1">{"'Sheet1'!$A$1:$H$96"}</definedName>
    <definedName name="HTML_Control" localSheetId="16" hidden="1">{"'Sheet1'!$A$1:$H$96"}</definedName>
    <definedName name="HTML_Control" localSheetId="8" hidden="1">{"'Sheet1'!$A$1:$H$96"}</definedName>
    <definedName name="HTML_Control" localSheetId="15" hidden="1">{"'Sheet1'!$A$1:$H$96"}</definedName>
    <definedName name="HTML_Control" localSheetId="14" hidden="1">{"'Sheet1'!$A$1:$H$96"}</definedName>
    <definedName name="HTML_Control" hidden="1">{"'Sheet1'!$A$1:$H$96"}</definedName>
    <definedName name="HTML_Description" hidden="1">""</definedName>
    <definedName name="HTML_Email" hidden="1">""</definedName>
    <definedName name="HTML_Header" hidden="1">"Sheet1"</definedName>
    <definedName name="HTML_LastUpdate" hidden="1">"9/11/00"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HD:Web Site “~adamodar”:pc:datasets:MyHTML.html"</definedName>
    <definedName name="HTML_Title" hidden="1">"betas"</definedName>
    <definedName name="ifl">#REF!</definedName>
    <definedName name="Immobilizzazione">#REF!</definedName>
    <definedName name="in" hidden="1">#REF!</definedName>
    <definedName name="Inceneritori">#REF!</definedName>
    <definedName name="jkjkj" hidden="1">#REF!</definedName>
    <definedName name="kj" localSheetId="23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kj" localSheetId="22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kj" localSheetId="21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kj" localSheetId="17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kj" localSheetId="16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kj" localSheetId="8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kj" localSheetId="15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kj" localSheetId="14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kj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mario10" hidden="1">#REF!</definedName>
    <definedName name="mario11" hidden="1">#REF!</definedName>
    <definedName name="mario12" localSheetId="23" hidden="1">#REF!</definedName>
    <definedName name="mario12" localSheetId="22" hidden="1">#REF!</definedName>
    <definedName name="mario12" localSheetId="17" hidden="1">#REF!</definedName>
    <definedName name="mario12" localSheetId="16" hidden="1">#REF!</definedName>
    <definedName name="mario12" hidden="1">#REF!</definedName>
    <definedName name="mario14" hidden="1">#REF!</definedName>
    <definedName name="mario143" hidden="1">#REF!</definedName>
    <definedName name="mario15" hidden="1">#REF!</definedName>
    <definedName name="mario2" hidden="1">#REF!</definedName>
    <definedName name="mario3" hidden="1">#REF!</definedName>
    <definedName name="mario4" hidden="1">#REF!</definedName>
    <definedName name="mario5" hidden="1">#REF!</definedName>
    <definedName name="mario6" hidden="1">#REF!</definedName>
    <definedName name="mario7" hidden="1">#REF!</definedName>
    <definedName name="mario8" hidden="1">#REF!</definedName>
    <definedName name="mario9" hidden="1">#REF!</definedName>
    <definedName name="MATT" localSheetId="23" hidden="1">{#N/A,#N/A,TRUE,"Main Issues";#N/A,#N/A,TRUE,"Income statement ($)"}</definedName>
    <definedName name="MATT" localSheetId="22" hidden="1">{#N/A,#N/A,TRUE,"Main Issues";#N/A,#N/A,TRUE,"Income statement ($)"}</definedName>
    <definedName name="MATT" localSheetId="21" hidden="1">{#N/A,#N/A,TRUE,"Main Issues";#N/A,#N/A,TRUE,"Income statement ($)"}</definedName>
    <definedName name="MATT" localSheetId="17" hidden="1">{#N/A,#N/A,TRUE,"Main Issues";#N/A,#N/A,TRUE,"Income statement ($)"}</definedName>
    <definedName name="MATT" localSheetId="16" hidden="1">{#N/A,#N/A,TRUE,"Main Issues";#N/A,#N/A,TRUE,"Income statement ($)"}</definedName>
    <definedName name="MATT" localSheetId="8" hidden="1">{#N/A,#N/A,TRUE,"Main Issues";#N/A,#N/A,TRUE,"Income statement ($)"}</definedName>
    <definedName name="MATT" localSheetId="15" hidden="1">{#N/A,#N/A,TRUE,"Main Issues";#N/A,#N/A,TRUE,"Income statement ($)"}</definedName>
    <definedName name="MATT" localSheetId="14" hidden="1">{#N/A,#N/A,TRUE,"Main Issues";#N/A,#N/A,TRUE,"Income statement ($)"}</definedName>
    <definedName name="MATT" hidden="1">{#N/A,#N/A,TRUE,"Main Issues";#N/A,#N/A,TRUE,"Income statement ($)"}</definedName>
    <definedName name="Multisettore">#REF!</definedName>
    <definedName name="nn" localSheetId="2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n" localSheetId="2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n" localSheetId="2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n" localSheetId="17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n" localSheetId="16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n" localSheetId="8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n" localSheetId="15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n" localSheetId="1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n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NNN" hidden="1">#REF!</definedName>
    <definedName name="nuovo" localSheetId="2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uovo" localSheetId="2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uovo" localSheetId="2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uovo" localSheetId="17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uovo" localSheetId="16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uovo" localSheetId="8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uovo" localSheetId="15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uovo" localSheetId="1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nuovo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ora" hidden="1">#REF!</definedName>
    <definedName name="paolo" localSheetId="23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paolo" localSheetId="22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paolo" localSheetId="21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paolo" localSheetId="17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paolo" localSheetId="16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paolo" localSheetId="8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paolo" localSheetId="15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paolo" localSheetId="14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paolo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pippo" localSheetId="2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ippo" localSheetId="2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ippo" localSheetId="2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ippo" localSheetId="17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ippo" localSheetId="16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ippo" localSheetId="8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ippo" localSheetId="15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ippo" localSheetId="1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ippo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woefù" localSheetId="2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woefù" localSheetId="2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woefù" localSheetId="2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woefù" localSheetId="17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woefù" localSheetId="16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woefù" localSheetId="8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woefù" localSheetId="15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woefù" localSheetId="1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pwoefù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Raccolta_e_trasporto__Spazzamento_e_lavaggio">#REF!</definedName>
    <definedName name="RAF" localSheetId="23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AF" localSheetId="22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AF" localSheetId="21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AF" localSheetId="17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AF" localSheetId="16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AF" localSheetId="8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AF" localSheetId="15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AF" localSheetId="14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AF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F_TUSCIA" hidden="1">#REF!</definedName>
    <definedName name="Rifiuti">#REF!</definedName>
    <definedName name="rrrr" localSheetId="23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rrr" localSheetId="22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rrr" localSheetId="21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rrr" localSheetId="17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rrr" localSheetId="16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rrr" localSheetId="8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rrr" localSheetId="15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rrr" localSheetId="14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rrr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rwwwwwwwwwww" localSheetId="23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rwwwwwwwwwww" localSheetId="22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rwwwwwwwwwww" localSheetId="21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rwwwwwwwwwww" localSheetId="17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rwwwwwwwwwww" localSheetId="16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rwwwwwwwwwww" localSheetId="8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rwwwwwwwwwww" localSheetId="15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rwwwwwwwwwww" localSheetId="14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rwwwwwwwwwww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SAPBEXhrIndnt" hidden="1">"Wide"</definedName>
    <definedName name="SAPBEXrevision" hidden="1">1</definedName>
    <definedName name="SAPBEXsysID" hidden="1">"BWP"</definedName>
    <definedName name="SAPBEXwbID" hidden="1">"3NFYM7AFAWPA5YDUYL4EM9FLB"</definedName>
    <definedName name="SAPsysID" hidden="1">"708C5W7SBKP804JT78WJ0JNKI"</definedName>
    <definedName name="SAPwbID" hidden="1">"ARS"</definedName>
    <definedName name="scwe" localSheetId="2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cwe" localSheetId="2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cwe" localSheetId="2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cwe" localSheetId="17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cwe" localSheetId="16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cwe" localSheetId="8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cwe" localSheetId="15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cwe" localSheetId="1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cwe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ettore">#REF!</definedName>
    <definedName name="SI_NO" localSheetId="23">#REF!</definedName>
    <definedName name="SI_NO" localSheetId="22">#REF!</definedName>
    <definedName name="SI_NO" localSheetId="4">#REF!</definedName>
    <definedName name="SI_NO" localSheetId="17">#REF!</definedName>
    <definedName name="SI_NO" localSheetId="16">#REF!</definedName>
    <definedName name="SI_NO">#REF!</definedName>
    <definedName name="SIG_AA_TITLECOL" localSheetId="23" hidden="1">#REF!</definedName>
    <definedName name="SIG_AA_TITLECOL" localSheetId="22" hidden="1">#REF!</definedName>
    <definedName name="SIG_AA_TITLECOL" localSheetId="17" hidden="1">#REF!</definedName>
    <definedName name="SIG_AA_TITLECOL" localSheetId="16" hidden="1">#REF!</definedName>
    <definedName name="SIG_AA_TITLECOL" hidden="1">#REF!</definedName>
    <definedName name="SIG_AA_TITLELINE" localSheetId="23" hidden="1">#REF!</definedName>
    <definedName name="SIG_AA_TITLELINE" localSheetId="22" hidden="1">#REF!</definedName>
    <definedName name="SIG_AA_TITLELINE" localSheetId="17" hidden="1">#REF!</definedName>
    <definedName name="SIG_AA_TITLELINE" localSheetId="16" hidden="1">#REF!</definedName>
    <definedName name="SIG_AA_TITLELINE" hidden="1">#REF!</definedName>
    <definedName name="solver_lin" hidden="1">0</definedName>
    <definedName name="solver_num" hidden="1">0</definedName>
    <definedName name="solver_typ" hidden="1">1</definedName>
    <definedName name="solver_val" hidden="1">0</definedName>
    <definedName name="Specifica">#REF!</definedName>
    <definedName name="SS" localSheetId="2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S" localSheetId="2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S" localSheetId="2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S" localSheetId="17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S" localSheetId="16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S" localSheetId="8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S" localSheetId="15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S" localSheetId="1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S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wvu.ce_storici." hidden="1">#REF!</definedName>
    <definedName name="Swvu.dd." hidden="1">#REF!</definedName>
    <definedName name="sxvf" localSheetId="2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xvf" localSheetId="2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xvf" localSheetId="2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xvf" localSheetId="17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xvf" localSheetId="16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xvf" localSheetId="8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xvf" localSheetId="15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xvf" localSheetId="1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sxvf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Tecnologia_di_combustione" localSheetId="23">#REF!</definedName>
    <definedName name="Tecnologia_di_combustione" localSheetId="22">#REF!</definedName>
    <definedName name="Tecnologia_di_combustione" localSheetId="5">#REF!</definedName>
    <definedName name="Tecnologia_di_combustione" localSheetId="6">#REF!</definedName>
    <definedName name="Tecnologia_di_combustione" localSheetId="4">#REF!</definedName>
    <definedName name="Tecnologia_di_combustione" localSheetId="17">#REF!</definedName>
    <definedName name="Tecnologia_di_combustione" localSheetId="16">#REF!</definedName>
    <definedName name="Tecnologia_di_combustione">#REF!</definedName>
    <definedName name="test" localSheetId="23" hidden="1">{"targetdcf",#N/A,FALSE,"Merger consequences";"TARGETASSU",#N/A,FALSE,"Merger consequences";"TERMINAL VALUE",#N/A,FALSE,"Merger consequences"}</definedName>
    <definedName name="test" localSheetId="22" hidden="1">{"targetdcf",#N/A,FALSE,"Merger consequences";"TARGETASSU",#N/A,FALSE,"Merger consequences";"TERMINAL VALUE",#N/A,FALSE,"Merger consequences"}</definedName>
    <definedName name="test" localSheetId="21" hidden="1">{"targetdcf",#N/A,FALSE,"Merger consequences";"TARGETASSU",#N/A,FALSE,"Merger consequences";"TERMINAL VALUE",#N/A,FALSE,"Merger consequences"}</definedName>
    <definedName name="test" localSheetId="17" hidden="1">{"targetdcf",#N/A,FALSE,"Merger consequences";"TARGETASSU",#N/A,FALSE,"Merger consequences";"TERMINAL VALUE",#N/A,FALSE,"Merger consequences"}</definedName>
    <definedName name="test" localSheetId="16" hidden="1">{"targetdcf",#N/A,FALSE,"Merger consequences";"TARGETASSU",#N/A,FALSE,"Merger consequences";"TERMINAL VALUE",#N/A,FALSE,"Merger consequences"}</definedName>
    <definedName name="test" localSheetId="8" hidden="1">{"targetdcf",#N/A,FALSE,"Merger consequences";"TARGETASSU",#N/A,FALSE,"Merger consequences";"TERMINAL VALUE",#N/A,FALSE,"Merger consequences"}</definedName>
    <definedName name="test" localSheetId="15" hidden="1">{"targetdcf",#N/A,FALSE,"Merger consequences";"TARGETASSU",#N/A,FALSE,"Merger consequences";"TERMINAL VALUE",#N/A,FALSE,"Merger consequences"}</definedName>
    <definedName name="test" localSheetId="14" hidden="1">{"targetdcf",#N/A,FALSE,"Merger consequences";"TARGETASSU",#N/A,FALSE,"Merger consequences";"TERMINAL VALUE",#N/A,FALSE,"Merger consequences"}</definedName>
    <definedName name="test" hidden="1">{"targetdcf",#N/A,FALSE,"Merger consequences";"TARGETASSU",#N/A,FALSE,"Merger consequences";"TERMINAL VALUE",#N/A,FALSE,"Merger consequences"}</definedName>
    <definedName name="Tipologia">#REF!</definedName>
    <definedName name="tipologia_conferente" localSheetId="23">#REF!</definedName>
    <definedName name="tipologia_conferente" localSheetId="22">#REF!</definedName>
    <definedName name="tipologia_conferente" localSheetId="4">#REF!</definedName>
    <definedName name="tipologia_conferente" localSheetId="17">#REF!</definedName>
    <definedName name="tipologia_conferente" localSheetId="16">#REF!</definedName>
    <definedName name="tipologia_conferente">#REF!</definedName>
    <definedName name="tipologia_di_IMPIANTO" localSheetId="23">#REF!</definedName>
    <definedName name="tipologia_di_IMPIANTO" localSheetId="22">#REF!</definedName>
    <definedName name="tipologia_di_IMPIANTO" localSheetId="4">#REF!</definedName>
    <definedName name="tipologia_di_IMPIANTO" localSheetId="17">#REF!</definedName>
    <definedName name="tipologia_di_IMPIANTO" localSheetId="16">#REF!</definedName>
    <definedName name="tipologia_di_IMPIANTO">#REF!</definedName>
    <definedName name="tipologia_di_proprietario" localSheetId="23">#REF!</definedName>
    <definedName name="tipologia_di_proprietario" localSheetId="22">#REF!</definedName>
    <definedName name="tipologia_di_proprietario" localSheetId="4">#REF!</definedName>
    <definedName name="tipologia_di_proprietario" localSheetId="17">#REF!</definedName>
    <definedName name="tipologia_di_proprietario" localSheetId="16">#REF!</definedName>
    <definedName name="tipologia_di_proprietario">#REF!</definedName>
    <definedName name="Trattamento_Meccanico_Biologico">#REF!</definedName>
    <definedName name="uhiuk" localSheetId="23" hidden="1">{"adj95mult",#N/A,FALSE,"COMPCO";"adj95est",#N/A,FALSE,"COMPCO"}</definedName>
    <definedName name="uhiuk" localSheetId="22" hidden="1">{"adj95mult",#N/A,FALSE,"COMPCO";"adj95est",#N/A,FALSE,"COMPCO"}</definedName>
    <definedName name="uhiuk" localSheetId="21" hidden="1">{"adj95mult",#N/A,FALSE,"COMPCO";"adj95est",#N/A,FALSE,"COMPCO"}</definedName>
    <definedName name="uhiuk" localSheetId="17" hidden="1">{"adj95mult",#N/A,FALSE,"COMPCO";"adj95est",#N/A,FALSE,"COMPCO"}</definedName>
    <definedName name="uhiuk" localSheetId="16" hidden="1">{"adj95mult",#N/A,FALSE,"COMPCO";"adj95est",#N/A,FALSE,"COMPCO"}</definedName>
    <definedName name="uhiuk" localSheetId="8" hidden="1">{"adj95mult",#N/A,FALSE,"COMPCO";"adj95est",#N/A,FALSE,"COMPCO"}</definedName>
    <definedName name="uhiuk" localSheetId="15" hidden="1">{"adj95mult",#N/A,FALSE,"COMPCO";"adj95est",#N/A,FALSE,"COMPCO"}</definedName>
    <definedName name="uhiuk" localSheetId="14" hidden="1">{"adj95mult",#N/A,FALSE,"COMPCO";"adj95est",#N/A,FALSE,"COMPCO"}</definedName>
    <definedName name="uhiuk" hidden="1">{"adj95mult",#N/A,FALSE,"COMPCO";"adj95est",#N/A,FALSE,"COMPCO"}</definedName>
    <definedName name="uipue4twputp" localSheetId="23" hidden="1">{"'Sheet1'!$A$1:$H$96"}</definedName>
    <definedName name="uipue4twputp" localSheetId="22" hidden="1">{"'Sheet1'!$A$1:$H$96"}</definedName>
    <definedName name="uipue4twputp" localSheetId="21" hidden="1">{"'Sheet1'!$A$1:$H$96"}</definedName>
    <definedName name="uipue4twputp" localSheetId="17" hidden="1">{"'Sheet1'!$A$1:$H$96"}</definedName>
    <definedName name="uipue4twputp" localSheetId="16" hidden="1">{"'Sheet1'!$A$1:$H$96"}</definedName>
    <definedName name="uipue4twputp" localSheetId="8" hidden="1">{"'Sheet1'!$A$1:$H$96"}</definedName>
    <definedName name="uipue4twputp" localSheetId="15" hidden="1">{"'Sheet1'!$A$1:$H$96"}</definedName>
    <definedName name="uipue4twputp" localSheetId="14" hidden="1">{"'Sheet1'!$A$1:$H$96"}</definedName>
    <definedName name="uipue4twputp" hidden="1">{"'Sheet1'!$A$1:$H$96"}</definedName>
    <definedName name="vdce" localSheetId="23" hidden="1">{#N/A,#N/A,TRUE,"Main Issues";#N/A,#N/A,TRUE,"Income statement ($)"}</definedName>
    <definedName name="vdce" localSheetId="22" hidden="1">{#N/A,#N/A,TRUE,"Main Issues";#N/A,#N/A,TRUE,"Income statement ($)"}</definedName>
    <definedName name="vdce" localSheetId="21" hidden="1">{#N/A,#N/A,TRUE,"Main Issues";#N/A,#N/A,TRUE,"Income statement ($)"}</definedName>
    <definedName name="vdce" localSheetId="17" hidden="1">{#N/A,#N/A,TRUE,"Main Issues";#N/A,#N/A,TRUE,"Income statement ($)"}</definedName>
    <definedName name="vdce" localSheetId="16" hidden="1">{#N/A,#N/A,TRUE,"Main Issues";#N/A,#N/A,TRUE,"Income statement ($)"}</definedName>
    <definedName name="vdce" localSheetId="8" hidden="1">{#N/A,#N/A,TRUE,"Main Issues";#N/A,#N/A,TRUE,"Income statement ($)"}</definedName>
    <definedName name="vdce" localSheetId="15" hidden="1">{#N/A,#N/A,TRUE,"Main Issues";#N/A,#N/A,TRUE,"Income statement ($)"}</definedName>
    <definedName name="vdce" localSheetId="14" hidden="1">{#N/A,#N/A,TRUE,"Main Issues";#N/A,#N/A,TRUE,"Income statement ($)"}</definedName>
    <definedName name="vdce" hidden="1">{#N/A,#N/A,TRUE,"Main Issues";#N/A,#N/A,TRUE,"Income statement ($)"}</definedName>
    <definedName name="vedvc" localSheetId="23" hidden="1">{#N/A,#N/A,TRUE,"Main Issues";#N/A,#N/A,TRUE,"Income statement ($)"}</definedName>
    <definedName name="vedvc" localSheetId="22" hidden="1">{#N/A,#N/A,TRUE,"Main Issues";#N/A,#N/A,TRUE,"Income statement ($)"}</definedName>
    <definedName name="vedvc" localSheetId="21" hidden="1">{#N/A,#N/A,TRUE,"Main Issues";#N/A,#N/A,TRUE,"Income statement ($)"}</definedName>
    <definedName name="vedvc" localSheetId="17" hidden="1">{#N/A,#N/A,TRUE,"Main Issues";#N/A,#N/A,TRUE,"Income statement ($)"}</definedName>
    <definedName name="vedvc" localSheetId="16" hidden="1">{#N/A,#N/A,TRUE,"Main Issues";#N/A,#N/A,TRUE,"Income statement ($)"}</definedName>
    <definedName name="vedvc" localSheetId="8" hidden="1">{#N/A,#N/A,TRUE,"Main Issues";#N/A,#N/A,TRUE,"Income statement ($)"}</definedName>
    <definedName name="vedvc" localSheetId="15" hidden="1">{#N/A,#N/A,TRUE,"Main Issues";#N/A,#N/A,TRUE,"Income statement ($)"}</definedName>
    <definedName name="vedvc" localSheetId="14" hidden="1">{#N/A,#N/A,TRUE,"Main Issues";#N/A,#N/A,TRUE,"Income statement ($)"}</definedName>
    <definedName name="vedvc" hidden="1">{#N/A,#N/A,TRUE,"Main Issues";#N/A,#N/A,TRUE,"Income statement ($)"}</definedName>
    <definedName name="vfdc" localSheetId="2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fdc" localSheetId="2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fdc" localSheetId="2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fdc" localSheetId="17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fdc" localSheetId="16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fdc" localSheetId="8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fdc" localSheetId="15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fdc" localSheetId="1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fdc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fdcvd" localSheetId="23" hidden="1">{#N/A,#N/A,TRUE,"Main Issues";#N/A,#N/A,TRUE,"Income statement ($)"}</definedName>
    <definedName name="vfdcvd" localSheetId="22" hidden="1">{#N/A,#N/A,TRUE,"Main Issues";#N/A,#N/A,TRUE,"Income statement ($)"}</definedName>
    <definedName name="vfdcvd" localSheetId="21" hidden="1">{#N/A,#N/A,TRUE,"Main Issues";#N/A,#N/A,TRUE,"Income statement ($)"}</definedName>
    <definedName name="vfdcvd" localSheetId="17" hidden="1">{#N/A,#N/A,TRUE,"Main Issues";#N/A,#N/A,TRUE,"Income statement ($)"}</definedName>
    <definedName name="vfdcvd" localSheetId="16" hidden="1">{#N/A,#N/A,TRUE,"Main Issues";#N/A,#N/A,TRUE,"Income statement ($)"}</definedName>
    <definedName name="vfdcvd" localSheetId="8" hidden="1">{#N/A,#N/A,TRUE,"Main Issues";#N/A,#N/A,TRUE,"Income statement ($)"}</definedName>
    <definedName name="vfdcvd" localSheetId="15" hidden="1">{#N/A,#N/A,TRUE,"Main Issues";#N/A,#N/A,TRUE,"Income statement ($)"}</definedName>
    <definedName name="vfdcvd" localSheetId="14" hidden="1">{#N/A,#N/A,TRUE,"Main Issues";#N/A,#N/A,TRUE,"Income statement ($)"}</definedName>
    <definedName name="vfdcvd" hidden="1">{#N/A,#N/A,TRUE,"Main Issues";#N/A,#N/A,TRUE,"Income statement ($)"}</definedName>
    <definedName name="vite_regolatorie">#REF!</definedName>
    <definedName name="ViteUtili">#REF!</definedName>
    <definedName name="vrcr" localSheetId="2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r" localSheetId="2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r" localSheetId="2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r" localSheetId="17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r" localSheetId="16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r" localSheetId="8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r" localSheetId="15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r" localSheetId="1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r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srvc" localSheetId="2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srvc" localSheetId="2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srvc" localSheetId="2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srvc" localSheetId="17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srvc" localSheetId="16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srvc" localSheetId="8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srvc" localSheetId="15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srvc" localSheetId="1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vrcsrvc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nd" localSheetId="2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nd" localSheetId="2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nd" localSheetId="2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nd" localSheetId="17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nd" localSheetId="16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nd" localSheetId="8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nd" localSheetId="15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nd" localSheetId="1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nd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qadink" localSheetId="23" hidden="1">{#N/A,#N/A,FALSE,"Colombo";#N/A,#N/A,FALSE,"Colata";#N/A,#N/A,FALSE,"Colombo + Colata"}</definedName>
    <definedName name="wqadink" localSheetId="22" hidden="1">{#N/A,#N/A,FALSE,"Colombo";#N/A,#N/A,FALSE,"Colata";#N/A,#N/A,FALSE,"Colombo + Colata"}</definedName>
    <definedName name="wqadink" localSheetId="21" hidden="1">{#N/A,#N/A,FALSE,"Colombo";#N/A,#N/A,FALSE,"Colata";#N/A,#N/A,FALSE,"Colombo + Colata"}</definedName>
    <definedName name="wqadink" localSheetId="17" hidden="1">{#N/A,#N/A,FALSE,"Colombo";#N/A,#N/A,FALSE,"Colata";#N/A,#N/A,FALSE,"Colombo + Colata"}</definedName>
    <definedName name="wqadink" localSheetId="16" hidden="1">{#N/A,#N/A,FALSE,"Colombo";#N/A,#N/A,FALSE,"Colata";#N/A,#N/A,FALSE,"Colombo + Colata"}</definedName>
    <definedName name="wqadink" localSheetId="8" hidden="1">{#N/A,#N/A,FALSE,"Colombo";#N/A,#N/A,FALSE,"Colata";#N/A,#N/A,FALSE,"Colombo + Colata"}</definedName>
    <definedName name="wqadink" localSheetId="15" hidden="1">{#N/A,#N/A,FALSE,"Colombo";#N/A,#N/A,FALSE,"Colata";#N/A,#N/A,FALSE,"Colombo + Colata"}</definedName>
    <definedName name="wqadink" localSheetId="14" hidden="1">{#N/A,#N/A,FALSE,"Colombo";#N/A,#N/A,FALSE,"Colata";#N/A,#N/A,FALSE,"Colombo + Colata"}</definedName>
    <definedName name="wqadink" hidden="1">{#N/A,#N/A,FALSE,"Colombo";#N/A,#N/A,FALSE,"Colata";#N/A,#N/A,FALSE,"Colombo + Colata"}</definedName>
    <definedName name="wrn.2._.pagers." localSheetId="23" hidden="1">{"Cover",#N/A,FALSE,"Cover";"Summary",#N/A,FALSE,"Summarpage"}</definedName>
    <definedName name="wrn.2._.pagers." localSheetId="22" hidden="1">{"Cover",#N/A,FALSE,"Cover";"Summary",#N/A,FALSE,"Summarpage"}</definedName>
    <definedName name="wrn.2._.pagers." localSheetId="21" hidden="1">{"Cover",#N/A,FALSE,"Cover";"Summary",#N/A,FALSE,"Summarpage"}</definedName>
    <definedName name="wrn.2._.pagers." localSheetId="17" hidden="1">{"Cover",#N/A,FALSE,"Cover";"Summary",#N/A,FALSE,"Summarpage"}</definedName>
    <definedName name="wrn.2._.pagers." localSheetId="16" hidden="1">{"Cover",#N/A,FALSE,"Cover";"Summary",#N/A,FALSE,"Summarpage"}</definedName>
    <definedName name="wrn.2._.pagers." localSheetId="8" hidden="1">{"Cover",#N/A,FALSE,"Cover";"Summary",#N/A,FALSE,"Summarpage"}</definedName>
    <definedName name="wrn.2._.pagers." localSheetId="15" hidden="1">{"Cover",#N/A,FALSE,"Cover";"Summary",#N/A,FALSE,"Summarpage"}</definedName>
    <definedName name="wrn.2._.pagers." localSheetId="14" hidden="1">{"Cover",#N/A,FALSE,"Cover";"Summary",#N/A,FALSE,"Summarpage"}</definedName>
    <definedName name="wrn.2._.pagers." hidden="1">{"Cover",#N/A,FALSE,"Cover";"Summary",#N/A,FALSE,"Summarpage"}</definedName>
    <definedName name="wrn.Acquisition_matrix." localSheetId="23" hidden="1">{"Acq_matrix",#N/A,FALSE,"Acquisition Matrix"}</definedName>
    <definedName name="wrn.Acquisition_matrix." localSheetId="22" hidden="1">{"Acq_matrix",#N/A,FALSE,"Acquisition Matrix"}</definedName>
    <definedName name="wrn.Acquisition_matrix." localSheetId="21" hidden="1">{"Acq_matrix",#N/A,FALSE,"Acquisition Matrix"}</definedName>
    <definedName name="wrn.Acquisition_matrix." localSheetId="17" hidden="1">{"Acq_matrix",#N/A,FALSE,"Acquisition Matrix"}</definedName>
    <definedName name="wrn.Acquisition_matrix." localSheetId="16" hidden="1">{"Acq_matrix",#N/A,FALSE,"Acquisition Matrix"}</definedName>
    <definedName name="wrn.Acquisition_matrix." localSheetId="8" hidden="1">{"Acq_matrix",#N/A,FALSE,"Acquisition Matrix"}</definedName>
    <definedName name="wrn.Acquisition_matrix." localSheetId="15" hidden="1">{"Acq_matrix",#N/A,FALSE,"Acquisition Matrix"}</definedName>
    <definedName name="wrn.Acquisition_matrix." localSheetId="14" hidden="1">{"Acq_matrix",#N/A,FALSE,"Acquisition Matrix"}</definedName>
    <definedName name="wrn.Acquisition_matrix." hidden="1">{"Acq_matrix",#N/A,FALSE,"Acquisition Matrix"}</definedName>
    <definedName name="wrn.adj95." localSheetId="23" hidden="1">{"adj95mult",#N/A,FALSE,"COMPCO";"adj95est",#N/A,FALSE,"COMPCO"}</definedName>
    <definedName name="wrn.adj95." localSheetId="22" hidden="1">{"adj95mult",#N/A,FALSE,"COMPCO";"adj95est",#N/A,FALSE,"COMPCO"}</definedName>
    <definedName name="wrn.adj95." localSheetId="21" hidden="1">{"adj95mult",#N/A,FALSE,"COMPCO";"adj95est",#N/A,FALSE,"COMPCO"}</definedName>
    <definedName name="wrn.adj95." localSheetId="17" hidden="1">{"adj95mult",#N/A,FALSE,"COMPCO";"adj95est",#N/A,FALSE,"COMPCO"}</definedName>
    <definedName name="wrn.adj95." localSheetId="16" hidden="1">{"adj95mult",#N/A,FALSE,"COMPCO";"adj95est",#N/A,FALSE,"COMPCO"}</definedName>
    <definedName name="wrn.adj95." localSheetId="8" hidden="1">{"adj95mult",#N/A,FALSE,"COMPCO";"adj95est",#N/A,FALSE,"COMPCO"}</definedName>
    <definedName name="wrn.adj95." localSheetId="15" hidden="1">{"adj95mult",#N/A,FALSE,"COMPCO";"adj95est",#N/A,FALSE,"COMPCO"}</definedName>
    <definedName name="wrn.adj95." localSheetId="14" hidden="1">{"adj95mult",#N/A,FALSE,"COMPCO";"adj95est",#N/A,FALSE,"COMPCO"}</definedName>
    <definedName name="wrn.adj95." hidden="1">{"adj95mult",#N/A,FALSE,"COMPCO";"adj95est",#N/A,FALSE,"COMPCO"}</definedName>
    <definedName name="wrn.Aging._.and._.Trend._.Analysis." localSheetId="23" hidden="1">{#N/A,#N/A,FALSE,"Aging Summary";#N/A,#N/A,FALSE,"Ratio Analysis";#N/A,#N/A,FALSE,"Test 120 Day Accts";#N/A,#N/A,FALSE,"Tickmarks"}</definedName>
    <definedName name="wrn.Aging._.and._.Trend._.Analysis." localSheetId="22" hidden="1">{#N/A,#N/A,FALSE,"Aging Summary";#N/A,#N/A,FALSE,"Ratio Analysis";#N/A,#N/A,FALSE,"Test 120 Day Accts";#N/A,#N/A,FALSE,"Tickmarks"}</definedName>
    <definedName name="wrn.Aging._.and._.Trend._.Analysis." localSheetId="21" hidden="1">{#N/A,#N/A,FALSE,"Aging Summary";#N/A,#N/A,FALSE,"Ratio Analysis";#N/A,#N/A,FALSE,"Test 120 Day Accts";#N/A,#N/A,FALSE,"Tickmarks"}</definedName>
    <definedName name="wrn.Aging._.and._.Trend._.Analysis." localSheetId="17" hidden="1">{#N/A,#N/A,FALSE,"Aging Summary";#N/A,#N/A,FALSE,"Ratio Analysis";#N/A,#N/A,FALSE,"Test 120 Day Accts";#N/A,#N/A,FALSE,"Tickmarks"}</definedName>
    <definedName name="wrn.Aging._.and._.Trend._.Analysis." localSheetId="16" hidden="1">{#N/A,#N/A,FALSE,"Aging Summary";#N/A,#N/A,FALSE,"Ratio Analysis";#N/A,#N/A,FALSE,"Test 120 Day Accts";#N/A,#N/A,FALSE,"Tickmarks"}</definedName>
    <definedName name="wrn.Aging._.and._.Trend._.Analysis." localSheetId="8" hidden="1">{#N/A,#N/A,FALSE,"Aging Summary";#N/A,#N/A,FALSE,"Ratio Analysis";#N/A,#N/A,FALSE,"Test 120 Day Accts";#N/A,#N/A,FALSE,"Tickmarks"}</definedName>
    <definedName name="wrn.Aging._.and._.Trend._.Analysis." localSheetId="15" hidden="1">{#N/A,#N/A,FALSE,"Aging Summary";#N/A,#N/A,FALSE,"Ratio Analysis";#N/A,#N/A,FALSE,"Test 120 Day Accts";#N/A,#N/A,FALSE,"Tickmarks"}</definedName>
    <definedName name="wrn.Aging._.and._.Trend._.Analysis." localSheetId="14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nalisi._.completa." localSheetId="23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Analisi._.completa." localSheetId="22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Analisi._.completa." localSheetId="21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Analisi._.completa." localSheetId="17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Analisi._.completa." localSheetId="16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Analisi._.completa." localSheetId="8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Analisi._.completa." localSheetId="15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Analisi._.completa." localSheetId="14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Analisi._.completa.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AQUIROR._.DCF." localSheetId="23" hidden="1">{"AQUIRORDCF",#N/A,FALSE,"Merger consequences";"Acquirorassns",#N/A,FALSE,"Merger consequences"}</definedName>
    <definedName name="wrn.AQUIROR._.DCF." localSheetId="22" hidden="1">{"AQUIRORDCF",#N/A,FALSE,"Merger consequences";"Acquirorassns",#N/A,FALSE,"Merger consequences"}</definedName>
    <definedName name="wrn.AQUIROR._.DCF." localSheetId="21" hidden="1">{"AQUIRORDCF",#N/A,FALSE,"Merger consequences";"Acquirorassns",#N/A,FALSE,"Merger consequences"}</definedName>
    <definedName name="wrn.AQUIROR._.DCF." localSheetId="17" hidden="1">{"AQUIRORDCF",#N/A,FALSE,"Merger consequences";"Acquirorassns",#N/A,FALSE,"Merger consequences"}</definedName>
    <definedName name="wrn.AQUIROR._.DCF." localSheetId="16" hidden="1">{"AQUIRORDCF",#N/A,FALSE,"Merger consequences";"Acquirorassns",#N/A,FALSE,"Merger consequences"}</definedName>
    <definedName name="wrn.AQUIROR._.DCF." localSheetId="8" hidden="1">{"AQUIRORDCF",#N/A,FALSE,"Merger consequences";"Acquirorassns",#N/A,FALSE,"Merger consequences"}</definedName>
    <definedName name="wrn.AQUIROR._.DCF." localSheetId="15" hidden="1">{"AQUIRORDCF",#N/A,FALSE,"Merger consequences";"Acquirorassns",#N/A,FALSE,"Merger consequences"}</definedName>
    <definedName name="wrn.AQUIROR._.DCF." localSheetId="14" hidden="1">{"AQUIRORDCF",#N/A,FALSE,"Merger consequences";"Acquirorassns",#N/A,FALSE,"Merger consequences"}</definedName>
    <definedName name="wrn.AQUIROR._.DCF." hidden="1">{"AQUIRORDCF",#N/A,FALSE,"Merger consequences";"Acquirorassns",#N/A,FALSE,"Merger consequences"}</definedName>
    <definedName name="wrn.compco." localSheetId="23" hidden="1">{"page1",#N/A,FALSE,"BHCOMPC5";"page2",#N/A,FALSE,"BHCOMPC5";"page3",#N/A,FALSE,"BHCOMPC5";"page4",#N/A,FALSE,"BHCOMPC5"}</definedName>
    <definedName name="wrn.compco." localSheetId="22" hidden="1">{"page1",#N/A,FALSE,"BHCOMPC5";"page2",#N/A,FALSE,"BHCOMPC5";"page3",#N/A,FALSE,"BHCOMPC5";"page4",#N/A,FALSE,"BHCOMPC5"}</definedName>
    <definedName name="wrn.compco." localSheetId="21" hidden="1">{"page1",#N/A,FALSE,"BHCOMPC5";"page2",#N/A,FALSE,"BHCOMPC5";"page3",#N/A,FALSE,"BHCOMPC5";"page4",#N/A,FALSE,"BHCOMPC5"}</definedName>
    <definedName name="wrn.compco." localSheetId="17" hidden="1">{"page1",#N/A,FALSE,"BHCOMPC5";"page2",#N/A,FALSE,"BHCOMPC5";"page3",#N/A,FALSE,"BHCOMPC5";"page4",#N/A,FALSE,"BHCOMPC5"}</definedName>
    <definedName name="wrn.compco." localSheetId="16" hidden="1">{"page1",#N/A,FALSE,"BHCOMPC5";"page2",#N/A,FALSE,"BHCOMPC5";"page3",#N/A,FALSE,"BHCOMPC5";"page4",#N/A,FALSE,"BHCOMPC5"}</definedName>
    <definedName name="wrn.compco." localSheetId="8" hidden="1">{"page1",#N/A,FALSE,"BHCOMPC5";"page2",#N/A,FALSE,"BHCOMPC5";"page3",#N/A,FALSE,"BHCOMPC5";"page4",#N/A,FALSE,"BHCOMPC5"}</definedName>
    <definedName name="wrn.compco." localSheetId="15" hidden="1">{"page1",#N/A,FALSE,"BHCOMPC5";"page2",#N/A,FALSE,"BHCOMPC5";"page3",#N/A,FALSE,"BHCOMPC5";"page4",#N/A,FALSE,"BHCOMPC5"}</definedName>
    <definedName name="wrn.compco." localSheetId="14" hidden="1">{"page1",#N/A,FALSE,"BHCOMPC5";"page2",#N/A,FALSE,"BHCOMPC5";"page3",#N/A,FALSE,"BHCOMPC5";"page4",#N/A,FALSE,"BHCOMPC5"}</definedName>
    <definedName name="wrn.compco." hidden="1">{"page1",#N/A,FALSE,"BHCOMPC5";"page2",#N/A,FALSE,"BHCOMPC5";"page3",#N/A,FALSE,"BHCOMPC5";"page4",#N/A,FALSE,"BHCOMPC5"}</definedName>
    <definedName name="wrn.Complete." localSheetId="23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" localSheetId="22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" localSheetId="21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" localSheetId="17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" localSheetId="16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" localSheetId="8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" localSheetId="15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" localSheetId="14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mplete." hidden="1">{"Cover",#N/A,FALSE,"Cover";"Summary",#N/A,FALSE,"Summarpage";"Assumptions",#N/A,FALSE,"Assumptions";"Earnings",#N/A,FALSE,"Earnings";"CF Oper.",#N/A,FALSE,"Earnings";"Balance Sheet",#N/A,FALSE,"balance";"Cash Flow",#N/A,FALSE,"cash flow";"Paper Production",#N/A,FALSE,"Paper";"Paper Earnings",#N/A,FALSE,"Paper";"Wood Production",#N/A,FALSE,"Wood Products";"Wood Earnings",#N/A,FALSE,"Wood Products";"Pulp Production",#N/A,FALSE,"Pulp";"Pulp Earnings",#N/A,FALSE,"Pulp"}</definedName>
    <definedName name="wrn.corso_forecast." localSheetId="23" hidden="1">{"ce_storici",#N/A,FALSE}</definedName>
    <definedName name="wrn.corso_forecast." localSheetId="22" hidden="1">{"ce_storici",#N/A,FALSE}</definedName>
    <definedName name="wrn.corso_forecast." localSheetId="21" hidden="1">{"ce_storici",#N/A,FALSE}</definedName>
    <definedName name="wrn.corso_forecast." localSheetId="17" hidden="1">{"ce_storici",#N/A,FALSE}</definedName>
    <definedName name="wrn.corso_forecast." localSheetId="16" hidden="1">{"ce_storici",#N/A,FALSE}</definedName>
    <definedName name="wrn.corso_forecast." localSheetId="8" hidden="1">{"ce_storici",#N/A,FALSE}</definedName>
    <definedName name="wrn.corso_forecast." localSheetId="15" hidden="1">{"ce_storici",#N/A,FALSE}</definedName>
    <definedName name="wrn.corso_forecast." localSheetId="14" hidden="1">{"ce_storici",#N/A,FALSE}</definedName>
    <definedName name="wrn.corso_forecast." hidden="1">{"ce_storici",#N/A,FALSE}</definedName>
    <definedName name="wrn.Danilo." localSheetId="23" hidden="1">{#N/A,#N/A,TRUE,"Main Issues";#N/A,#N/A,TRUE,"Income statement ($)"}</definedName>
    <definedName name="wrn.Danilo." localSheetId="22" hidden="1">{#N/A,#N/A,TRUE,"Main Issues";#N/A,#N/A,TRUE,"Income statement ($)"}</definedName>
    <definedName name="wrn.Danilo." localSheetId="21" hidden="1">{#N/A,#N/A,TRUE,"Main Issues";#N/A,#N/A,TRUE,"Income statement ($)"}</definedName>
    <definedName name="wrn.Danilo." localSheetId="17" hidden="1">{#N/A,#N/A,TRUE,"Main Issues";#N/A,#N/A,TRUE,"Income statement ($)"}</definedName>
    <definedName name="wrn.Danilo." localSheetId="16" hidden="1">{#N/A,#N/A,TRUE,"Main Issues";#N/A,#N/A,TRUE,"Income statement ($)"}</definedName>
    <definedName name="wrn.Danilo." localSheetId="8" hidden="1">{#N/A,#N/A,TRUE,"Main Issues";#N/A,#N/A,TRUE,"Income statement ($)"}</definedName>
    <definedName name="wrn.Danilo." localSheetId="15" hidden="1">{#N/A,#N/A,TRUE,"Main Issues";#N/A,#N/A,TRUE,"Income statement ($)"}</definedName>
    <definedName name="wrn.Danilo." localSheetId="14" hidden="1">{#N/A,#N/A,TRUE,"Main Issues";#N/A,#N/A,TRUE,"Income statement ($)"}</definedName>
    <definedName name="wrn.Danilo." hidden="1">{#N/A,#N/A,TRUE,"Main Issues";#N/A,#N/A,TRUE,"Income statement ($)"}</definedName>
    <definedName name="wrn.DCF." localSheetId="23" hidden="1">{"DCF1",#N/A,FALSE,"SIERRA DCF";"MATRIX1",#N/A,FALSE,"SIERRA DCF"}</definedName>
    <definedName name="wrn.DCF." localSheetId="22" hidden="1">{"DCF1",#N/A,FALSE,"SIERRA DCF";"MATRIX1",#N/A,FALSE,"SIERRA DCF"}</definedName>
    <definedName name="wrn.DCF." localSheetId="21" hidden="1">{"DCF1",#N/A,FALSE,"SIERRA DCF";"MATRIX1",#N/A,FALSE,"SIERRA DCF"}</definedName>
    <definedName name="wrn.DCF." localSheetId="17" hidden="1">{"DCF1",#N/A,FALSE,"SIERRA DCF";"MATRIX1",#N/A,FALSE,"SIERRA DCF"}</definedName>
    <definedName name="wrn.DCF." localSheetId="16" hidden="1">{"DCF1",#N/A,FALSE,"SIERRA DCF";"MATRIX1",#N/A,FALSE,"SIERRA DCF"}</definedName>
    <definedName name="wrn.DCF." localSheetId="8" hidden="1">{"DCF1",#N/A,FALSE,"SIERRA DCF";"MATRIX1",#N/A,FALSE,"SIERRA DCF"}</definedName>
    <definedName name="wrn.DCF." localSheetId="15" hidden="1">{"DCF1",#N/A,FALSE,"SIERRA DCF";"MATRIX1",#N/A,FALSE,"SIERRA DCF"}</definedName>
    <definedName name="wrn.DCF." localSheetId="14" hidden="1">{"DCF1",#N/A,FALSE,"SIERRA DCF";"MATRIX1",#N/A,FALSE,"SIERRA DCF"}</definedName>
    <definedName name="wrn.DCF." hidden="1">{"DCF1",#N/A,FALSE,"SIERRA DCF";"MATRIX1",#N/A,FALSE,"SIERRA DCF"}</definedName>
    <definedName name="wrn.DCF_Terminal_Value_qchm." localSheetId="23" hidden="1">{"qchm_dcf",#N/A,FALSE,"QCHMDCF2";"qchm_terminal",#N/A,FALSE,"QCHMDCF2"}</definedName>
    <definedName name="wrn.DCF_Terminal_Value_qchm." localSheetId="22" hidden="1">{"qchm_dcf",#N/A,FALSE,"QCHMDCF2";"qchm_terminal",#N/A,FALSE,"QCHMDCF2"}</definedName>
    <definedName name="wrn.DCF_Terminal_Value_qchm." localSheetId="21" hidden="1">{"qchm_dcf",#N/A,FALSE,"QCHMDCF2";"qchm_terminal",#N/A,FALSE,"QCHMDCF2"}</definedName>
    <definedName name="wrn.DCF_Terminal_Value_qchm." localSheetId="17" hidden="1">{"qchm_dcf",#N/A,FALSE,"QCHMDCF2";"qchm_terminal",#N/A,FALSE,"QCHMDCF2"}</definedName>
    <definedName name="wrn.DCF_Terminal_Value_qchm." localSheetId="16" hidden="1">{"qchm_dcf",#N/A,FALSE,"QCHMDCF2";"qchm_terminal",#N/A,FALSE,"QCHMDCF2"}</definedName>
    <definedName name="wrn.DCF_Terminal_Value_qchm." localSheetId="8" hidden="1">{"qchm_dcf",#N/A,FALSE,"QCHMDCF2";"qchm_terminal",#N/A,FALSE,"QCHMDCF2"}</definedName>
    <definedName name="wrn.DCF_Terminal_Value_qchm." localSheetId="15" hidden="1">{"qchm_dcf",#N/A,FALSE,"QCHMDCF2";"qchm_terminal",#N/A,FALSE,"QCHMDCF2"}</definedName>
    <definedName name="wrn.DCF_Terminal_Value_qchm." localSheetId="14" hidden="1">{"qchm_dcf",#N/A,FALSE,"QCHMDCF2";"qchm_terminal",#N/A,FALSE,"QCHMDCF2"}</definedName>
    <definedName name="wrn.DCF_Terminal_Value_qchm." hidden="1">{"qchm_dcf",#N/A,FALSE,"QCHMDCF2";"qchm_terminal",#N/A,FALSE,"QCHMDCF2"}</definedName>
    <definedName name="wrn.Economic._.Value._.Added._.Analysis." localSheetId="23" hidden="1">{"EVA",#N/A,FALSE,"EVA";"WACC",#N/A,FALSE,"WACC"}</definedName>
    <definedName name="wrn.Economic._.Value._.Added._.Analysis." localSheetId="22" hidden="1">{"EVA",#N/A,FALSE,"EVA";"WACC",#N/A,FALSE,"WACC"}</definedName>
    <definedName name="wrn.Economic._.Value._.Added._.Analysis." localSheetId="21" hidden="1">{"EVA",#N/A,FALSE,"EVA";"WACC",#N/A,FALSE,"WACC"}</definedName>
    <definedName name="wrn.Economic._.Value._.Added._.Analysis." localSheetId="17" hidden="1">{"EVA",#N/A,FALSE,"EVA";"WACC",#N/A,FALSE,"WACC"}</definedName>
    <definedName name="wrn.Economic._.Value._.Added._.Analysis." localSheetId="16" hidden="1">{"EVA",#N/A,FALSE,"EVA";"WACC",#N/A,FALSE,"WACC"}</definedName>
    <definedName name="wrn.Economic._.Value._.Added._.Analysis." localSheetId="8" hidden="1">{"EVA",#N/A,FALSE,"EVA";"WACC",#N/A,FALSE,"WACC"}</definedName>
    <definedName name="wrn.Economic._.Value._.Added._.Analysis." localSheetId="15" hidden="1">{"EVA",#N/A,FALSE,"EVA";"WACC",#N/A,FALSE,"WACC"}</definedName>
    <definedName name="wrn.Economic._.Value._.Added._.Analysis." localSheetId="14" hidden="1">{"EVA",#N/A,FALSE,"EVA";"WACC",#N/A,FALSE,"WACC"}</definedName>
    <definedName name="wrn.Economic._.Value._.Added._.Analysis." hidden="1">{"EVA",#N/A,FALSE,"EVA";"WACC",#N/A,FALSE,"WACC"}</definedName>
    <definedName name="wrn.Figaro._.Valuation._.Summary." localSheetId="23" hidden="1">{#N/A,#N/A,TRUE,"Cover";#N/A,#N/A,TRUE,"Graphs BD";#N/A,#N/A,TRUE,"Matrix-BD";#N/A,#N/A,TRUE,"Matrix-BD (2)";#N/A,#N/A,TRUE,"Margin Matrix BD";#N/A,#N/A,TRUE,"P&amp;L BD";#N/A,#N/A,TRUE,"Financials BD"}</definedName>
    <definedName name="wrn.Figaro._.Valuation._.Summary." localSheetId="22" hidden="1">{#N/A,#N/A,TRUE,"Cover";#N/A,#N/A,TRUE,"Graphs BD";#N/A,#N/A,TRUE,"Matrix-BD";#N/A,#N/A,TRUE,"Matrix-BD (2)";#N/A,#N/A,TRUE,"Margin Matrix BD";#N/A,#N/A,TRUE,"P&amp;L BD";#N/A,#N/A,TRUE,"Financials BD"}</definedName>
    <definedName name="wrn.Figaro._.Valuation._.Summary." localSheetId="21" hidden="1">{#N/A,#N/A,TRUE,"Cover";#N/A,#N/A,TRUE,"Graphs BD";#N/A,#N/A,TRUE,"Matrix-BD";#N/A,#N/A,TRUE,"Matrix-BD (2)";#N/A,#N/A,TRUE,"Margin Matrix BD";#N/A,#N/A,TRUE,"P&amp;L BD";#N/A,#N/A,TRUE,"Financials BD"}</definedName>
    <definedName name="wrn.Figaro._.Valuation._.Summary." localSheetId="17" hidden="1">{#N/A,#N/A,TRUE,"Cover";#N/A,#N/A,TRUE,"Graphs BD";#N/A,#N/A,TRUE,"Matrix-BD";#N/A,#N/A,TRUE,"Matrix-BD (2)";#N/A,#N/A,TRUE,"Margin Matrix BD";#N/A,#N/A,TRUE,"P&amp;L BD";#N/A,#N/A,TRUE,"Financials BD"}</definedName>
    <definedName name="wrn.Figaro._.Valuation._.Summary." localSheetId="16" hidden="1">{#N/A,#N/A,TRUE,"Cover";#N/A,#N/A,TRUE,"Graphs BD";#N/A,#N/A,TRUE,"Matrix-BD";#N/A,#N/A,TRUE,"Matrix-BD (2)";#N/A,#N/A,TRUE,"Margin Matrix BD";#N/A,#N/A,TRUE,"P&amp;L BD";#N/A,#N/A,TRUE,"Financials BD"}</definedName>
    <definedName name="wrn.Figaro._.Valuation._.Summary." localSheetId="8" hidden="1">{#N/A,#N/A,TRUE,"Cover";#N/A,#N/A,TRUE,"Graphs BD";#N/A,#N/A,TRUE,"Matrix-BD";#N/A,#N/A,TRUE,"Matrix-BD (2)";#N/A,#N/A,TRUE,"Margin Matrix BD";#N/A,#N/A,TRUE,"P&amp;L BD";#N/A,#N/A,TRUE,"Financials BD"}</definedName>
    <definedName name="wrn.Figaro._.Valuation._.Summary." localSheetId="15" hidden="1">{#N/A,#N/A,TRUE,"Cover";#N/A,#N/A,TRUE,"Graphs BD";#N/A,#N/A,TRUE,"Matrix-BD";#N/A,#N/A,TRUE,"Matrix-BD (2)";#N/A,#N/A,TRUE,"Margin Matrix BD";#N/A,#N/A,TRUE,"P&amp;L BD";#N/A,#N/A,TRUE,"Financials BD"}</definedName>
    <definedName name="wrn.Figaro._.Valuation._.Summary." localSheetId="14" hidden="1">{#N/A,#N/A,TRUE,"Cover";#N/A,#N/A,TRUE,"Graphs BD";#N/A,#N/A,TRUE,"Matrix-BD";#N/A,#N/A,TRUE,"Matrix-BD (2)";#N/A,#N/A,TRUE,"Margin Matrix BD";#N/A,#N/A,TRUE,"P&amp;L BD";#N/A,#N/A,TRUE,"Financials BD"}</definedName>
    <definedName name="wrn.Figaro._.Valuation._.Summary." hidden="1">{#N/A,#N/A,TRUE,"Cover";#N/A,#N/A,TRUE,"Graphs BD";#N/A,#N/A,TRUE,"Matrix-BD";#N/A,#N/A,TRUE,"Matrix-BD (2)";#N/A,#N/A,TRUE,"Margin Matrix BD";#N/A,#N/A,TRUE,"P&amp;L BD";#N/A,#N/A,TRUE,"Financials BD"}</definedName>
    <definedName name="wrn.HEW." localSheetId="23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wrn.HEW." localSheetId="22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wrn.HEW." localSheetId="21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wrn.HEW." localSheetId="17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wrn.HEW." localSheetId="16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wrn.HEW." localSheetId="8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wrn.HEW." localSheetId="15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wrn.HEW." localSheetId="14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wrn.HEW." hidden="1">{#N/A,#N/A,FALSE,"Cover";#N/A,#N/A,FALSE,"Sensit";#N/A,#N/A,FALSE,"HEW";#N/A,#N/A,FALSE,"Bilanz";#N/A,#N/A,FALSE,"Aufbringung";#N/A,#N/A,FALSE,"Absatz";#N/A,#N/A,FALSE,"Durchleitung";#N/A,#N/A,FALSE,"Konzession";#N/A,#N/A,FALSE,"Personal";#N/A,#N/A,FALSE,"WC ";#N/A,#N/A,FALSE,"Capex Deprec ";#N/A,#N/A,FALSE,"Steuern";#N/A,#N/A,FALSE," Rente";#N/A,#N/A,FALSE," EBITDA"}</definedName>
    <definedName name="wrn.HGW." localSheetId="23" hidden="1">{#N/A,#N/A,FALSE,"Cover";#N/A,#N/A,FALSE,"Gas";#N/A,#N/A,FALSE,"Umsatz";#N/A,#N/A,FALSE,"Kosten";#N/A,#N/A,FALSE,"Capex Deprec";#N/A,#N/A,FALSE,"WC";#N/A,#N/A,FALSE,"Rückstellungen";#N/A,#N/A,FALSE,"Rente";#N/A,#N/A,FALSE,"EBITDA"}</definedName>
    <definedName name="wrn.HGW." localSheetId="22" hidden="1">{#N/A,#N/A,FALSE,"Cover";#N/A,#N/A,FALSE,"Gas";#N/A,#N/A,FALSE,"Umsatz";#N/A,#N/A,FALSE,"Kosten";#N/A,#N/A,FALSE,"Capex Deprec";#N/A,#N/A,FALSE,"WC";#N/A,#N/A,FALSE,"Rückstellungen";#N/A,#N/A,FALSE,"Rente";#N/A,#N/A,FALSE,"EBITDA"}</definedName>
    <definedName name="wrn.HGW." localSheetId="21" hidden="1">{#N/A,#N/A,FALSE,"Cover";#N/A,#N/A,FALSE,"Gas";#N/A,#N/A,FALSE,"Umsatz";#N/A,#N/A,FALSE,"Kosten";#N/A,#N/A,FALSE,"Capex Deprec";#N/A,#N/A,FALSE,"WC";#N/A,#N/A,FALSE,"Rückstellungen";#N/A,#N/A,FALSE,"Rente";#N/A,#N/A,FALSE,"EBITDA"}</definedName>
    <definedName name="wrn.HGW." localSheetId="17" hidden="1">{#N/A,#N/A,FALSE,"Cover";#N/A,#N/A,FALSE,"Gas";#N/A,#N/A,FALSE,"Umsatz";#N/A,#N/A,FALSE,"Kosten";#N/A,#N/A,FALSE,"Capex Deprec";#N/A,#N/A,FALSE,"WC";#N/A,#N/A,FALSE,"Rückstellungen";#N/A,#N/A,FALSE,"Rente";#N/A,#N/A,FALSE,"EBITDA"}</definedName>
    <definedName name="wrn.HGW." localSheetId="16" hidden="1">{#N/A,#N/A,FALSE,"Cover";#N/A,#N/A,FALSE,"Gas";#N/A,#N/A,FALSE,"Umsatz";#N/A,#N/A,FALSE,"Kosten";#N/A,#N/A,FALSE,"Capex Deprec";#N/A,#N/A,FALSE,"WC";#N/A,#N/A,FALSE,"Rückstellungen";#N/A,#N/A,FALSE,"Rente";#N/A,#N/A,FALSE,"EBITDA"}</definedName>
    <definedName name="wrn.HGW." localSheetId="8" hidden="1">{#N/A,#N/A,FALSE,"Cover";#N/A,#N/A,FALSE,"Gas";#N/A,#N/A,FALSE,"Umsatz";#N/A,#N/A,FALSE,"Kosten";#N/A,#N/A,FALSE,"Capex Deprec";#N/A,#N/A,FALSE,"WC";#N/A,#N/A,FALSE,"Rückstellungen";#N/A,#N/A,FALSE,"Rente";#N/A,#N/A,FALSE,"EBITDA"}</definedName>
    <definedName name="wrn.HGW." localSheetId="15" hidden="1">{#N/A,#N/A,FALSE,"Cover";#N/A,#N/A,FALSE,"Gas";#N/A,#N/A,FALSE,"Umsatz";#N/A,#N/A,FALSE,"Kosten";#N/A,#N/A,FALSE,"Capex Deprec";#N/A,#N/A,FALSE,"WC";#N/A,#N/A,FALSE,"Rückstellungen";#N/A,#N/A,FALSE,"Rente";#N/A,#N/A,FALSE,"EBITDA"}</definedName>
    <definedName name="wrn.HGW." localSheetId="14" hidden="1">{#N/A,#N/A,FALSE,"Cover";#N/A,#N/A,FALSE,"Gas";#N/A,#N/A,FALSE,"Umsatz";#N/A,#N/A,FALSE,"Kosten";#N/A,#N/A,FALSE,"Capex Deprec";#N/A,#N/A,FALSE,"WC";#N/A,#N/A,FALSE,"Rückstellungen";#N/A,#N/A,FALSE,"Rente";#N/A,#N/A,FALSE,"EBITDA"}</definedName>
    <definedName name="wrn.HGW." hidden="1">{#N/A,#N/A,FALSE,"Cover";#N/A,#N/A,FALSE,"Gas";#N/A,#N/A,FALSE,"Umsatz";#N/A,#N/A,FALSE,"Kosten";#N/A,#N/A,FALSE,"Capex Deprec";#N/A,#N/A,FALSE,"WC";#N/A,#N/A,FALSE,"Rückstellungen";#N/A,#N/A,FALSE,"Rente";#N/A,#N/A,FALSE,"EBITDA"}</definedName>
    <definedName name="wrn.KKW." localSheetId="23" hidden="1">{#N/A,#N/A,FALSE,"Cover";#N/A,#N/A,FALSE,"KKW Sum";#N/A,#N/A,FALSE,"KKW Basisdaten";#N/A,#N/A,FALSE,"DEPRKKW";#N/A,#N/A,FALSE,"Krü";#N/A,#N/A,FALSE,"Bru";#N/A,#N/A,FALSE,"Bro";#N/A,#N/A,FALSE,"Sta"}</definedName>
    <definedName name="wrn.KKW." localSheetId="22" hidden="1">{#N/A,#N/A,FALSE,"Cover";#N/A,#N/A,FALSE,"KKW Sum";#N/A,#N/A,FALSE,"KKW Basisdaten";#N/A,#N/A,FALSE,"DEPRKKW";#N/A,#N/A,FALSE,"Krü";#N/A,#N/A,FALSE,"Bru";#N/A,#N/A,FALSE,"Bro";#N/A,#N/A,FALSE,"Sta"}</definedName>
    <definedName name="wrn.KKW." localSheetId="21" hidden="1">{#N/A,#N/A,FALSE,"Cover";#N/A,#N/A,FALSE,"KKW Sum";#N/A,#N/A,FALSE,"KKW Basisdaten";#N/A,#N/A,FALSE,"DEPRKKW";#N/A,#N/A,FALSE,"Krü";#N/A,#N/A,FALSE,"Bru";#N/A,#N/A,FALSE,"Bro";#N/A,#N/A,FALSE,"Sta"}</definedName>
    <definedName name="wrn.KKW." localSheetId="17" hidden="1">{#N/A,#N/A,FALSE,"Cover";#N/A,#N/A,FALSE,"KKW Sum";#N/A,#N/A,FALSE,"KKW Basisdaten";#N/A,#N/A,FALSE,"DEPRKKW";#N/A,#N/A,FALSE,"Krü";#N/A,#N/A,FALSE,"Bru";#N/A,#N/A,FALSE,"Bro";#N/A,#N/A,FALSE,"Sta"}</definedName>
    <definedName name="wrn.KKW." localSheetId="16" hidden="1">{#N/A,#N/A,FALSE,"Cover";#N/A,#N/A,FALSE,"KKW Sum";#N/A,#N/A,FALSE,"KKW Basisdaten";#N/A,#N/A,FALSE,"DEPRKKW";#N/A,#N/A,FALSE,"Krü";#N/A,#N/A,FALSE,"Bru";#N/A,#N/A,FALSE,"Bro";#N/A,#N/A,FALSE,"Sta"}</definedName>
    <definedName name="wrn.KKW." localSheetId="8" hidden="1">{#N/A,#N/A,FALSE,"Cover";#N/A,#N/A,FALSE,"KKW Sum";#N/A,#N/A,FALSE,"KKW Basisdaten";#N/A,#N/A,FALSE,"DEPRKKW";#N/A,#N/A,FALSE,"Krü";#N/A,#N/A,FALSE,"Bru";#N/A,#N/A,FALSE,"Bro";#N/A,#N/A,FALSE,"Sta"}</definedName>
    <definedName name="wrn.KKW." localSheetId="15" hidden="1">{#N/A,#N/A,FALSE,"Cover";#N/A,#N/A,FALSE,"KKW Sum";#N/A,#N/A,FALSE,"KKW Basisdaten";#N/A,#N/A,FALSE,"DEPRKKW";#N/A,#N/A,FALSE,"Krü";#N/A,#N/A,FALSE,"Bru";#N/A,#N/A,FALSE,"Bro";#N/A,#N/A,FALSE,"Sta"}</definedName>
    <definedName name="wrn.KKW." localSheetId="14" hidden="1">{#N/A,#N/A,FALSE,"Cover";#N/A,#N/A,FALSE,"KKW Sum";#N/A,#N/A,FALSE,"KKW Basisdaten";#N/A,#N/A,FALSE,"DEPRKKW";#N/A,#N/A,FALSE,"Krü";#N/A,#N/A,FALSE,"Bru";#N/A,#N/A,FALSE,"Bro";#N/A,#N/A,FALSE,"Sta"}</definedName>
    <definedName name="wrn.KKW." hidden="1">{#N/A,#N/A,FALSE,"Cover";#N/A,#N/A,FALSE,"KKW Sum";#N/A,#N/A,FALSE,"KKW Basisdaten";#N/A,#N/A,FALSE,"DEPRKKW";#N/A,#N/A,FALSE,"Krü";#N/A,#N/A,FALSE,"Bru";#N/A,#N/A,FALSE,"Bro";#N/A,#N/A,FALSE,"Sta"}</definedName>
    <definedName name="wrn.Modello." localSheetId="23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Modello." localSheetId="22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Modello." localSheetId="21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Modello." localSheetId="17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Modello." localSheetId="16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Modello." localSheetId="8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Modello." localSheetId="15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Modello." localSheetId="14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Modello.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OUTPUT." localSheetId="23" hidden="1">{"DCF","UPSIDE CASE",FALSE,"Sheet1";"DCF","BASE CASE",FALSE,"Sheet1";"DCF","DOWNSIDE CASE",FALSE,"Sheet1"}</definedName>
    <definedName name="wrn.OUTPUT." localSheetId="22" hidden="1">{"DCF","UPSIDE CASE",FALSE,"Sheet1";"DCF","BASE CASE",FALSE,"Sheet1";"DCF","DOWNSIDE CASE",FALSE,"Sheet1"}</definedName>
    <definedName name="wrn.OUTPUT." localSheetId="21" hidden="1">{"DCF","UPSIDE CASE",FALSE,"Sheet1";"DCF","BASE CASE",FALSE,"Sheet1";"DCF","DOWNSIDE CASE",FALSE,"Sheet1"}</definedName>
    <definedName name="wrn.OUTPUT." localSheetId="17" hidden="1">{"DCF","UPSIDE CASE",FALSE,"Sheet1";"DCF","BASE CASE",FALSE,"Sheet1";"DCF","DOWNSIDE CASE",FALSE,"Sheet1"}</definedName>
    <definedName name="wrn.OUTPUT." localSheetId="16" hidden="1">{"DCF","UPSIDE CASE",FALSE,"Sheet1";"DCF","BASE CASE",FALSE,"Sheet1";"DCF","DOWNSIDE CASE",FALSE,"Sheet1"}</definedName>
    <definedName name="wrn.OUTPUT." localSheetId="8" hidden="1">{"DCF","UPSIDE CASE",FALSE,"Sheet1";"DCF","BASE CASE",FALSE,"Sheet1";"DCF","DOWNSIDE CASE",FALSE,"Sheet1"}</definedName>
    <definedName name="wrn.OUTPUT." localSheetId="15" hidden="1">{"DCF","UPSIDE CASE",FALSE,"Sheet1";"DCF","BASE CASE",FALSE,"Sheet1";"DCF","DOWNSIDE CASE",FALSE,"Sheet1"}</definedName>
    <definedName name="wrn.OUTPUT." localSheetId="14" hidden="1">{"DCF","UPSIDE CASE",FALSE,"Sheet1";"DCF","BASE CASE",FALSE,"Sheet1";"DCF","DOWNSIDE CASE",FALSE,"Sheet1"}</definedName>
    <definedName name="wrn.OUTPUT." hidden="1">{"DCF","UPSIDE CASE",FALSE,"Sheet1";"DCF","BASE CASE",FALSE,"Sheet1";"DCF","DOWNSIDE CASE",FALSE,"Sheet1"}</definedName>
    <definedName name="wrn.Pulp." localSheetId="23" hidden="1">{"Pulp Production",#N/A,FALSE,"Pulp";"Pulp Earnings",#N/A,FALSE,"Pulp"}</definedName>
    <definedName name="wrn.Pulp." localSheetId="22" hidden="1">{"Pulp Production",#N/A,FALSE,"Pulp";"Pulp Earnings",#N/A,FALSE,"Pulp"}</definedName>
    <definedName name="wrn.Pulp." localSheetId="21" hidden="1">{"Pulp Production",#N/A,FALSE,"Pulp";"Pulp Earnings",#N/A,FALSE,"Pulp"}</definedName>
    <definedName name="wrn.Pulp." localSheetId="17" hidden="1">{"Pulp Production",#N/A,FALSE,"Pulp";"Pulp Earnings",#N/A,FALSE,"Pulp"}</definedName>
    <definedName name="wrn.Pulp." localSheetId="16" hidden="1">{"Pulp Production",#N/A,FALSE,"Pulp";"Pulp Earnings",#N/A,FALSE,"Pulp"}</definedName>
    <definedName name="wrn.Pulp." localSheetId="8" hidden="1">{"Pulp Production",#N/A,FALSE,"Pulp";"Pulp Earnings",#N/A,FALSE,"Pulp"}</definedName>
    <definedName name="wrn.Pulp." localSheetId="15" hidden="1">{"Pulp Production",#N/A,FALSE,"Pulp";"Pulp Earnings",#N/A,FALSE,"Pulp"}</definedName>
    <definedName name="wrn.Pulp." localSheetId="14" hidden="1">{"Pulp Production",#N/A,FALSE,"Pulp";"Pulp Earnings",#N/A,FALSE,"Pulp"}</definedName>
    <definedName name="wrn.Pulp." hidden="1">{"Pulp Production",#N/A,FALSE,"Pulp";"Pulp Earnings",#N/A,FALSE,"Pulp"}</definedName>
    <definedName name="wrn.Summaries." localSheetId="23" hidden="1">{"Assumptions",#N/A,TRUE,"IRR";"Balance Sheet",#N/A,TRUE,"IRR";"Profit and Loss",#N/A,TRUE,"IRR";"Cahsflow",#N/A,TRUE,"IRR";"Day 1",#N/A,TRUE,"IRR";"Day 1 Chart",#N/A,TRUE,"Day 1"}</definedName>
    <definedName name="wrn.Summaries." localSheetId="22" hidden="1">{"Assumptions",#N/A,TRUE,"IRR";"Balance Sheet",#N/A,TRUE,"IRR";"Profit and Loss",#N/A,TRUE,"IRR";"Cahsflow",#N/A,TRUE,"IRR";"Day 1",#N/A,TRUE,"IRR";"Day 1 Chart",#N/A,TRUE,"Day 1"}</definedName>
    <definedName name="wrn.Summaries." localSheetId="21" hidden="1">{"Assumptions",#N/A,TRUE,"IRR";"Balance Sheet",#N/A,TRUE,"IRR";"Profit and Loss",#N/A,TRUE,"IRR";"Cahsflow",#N/A,TRUE,"IRR";"Day 1",#N/A,TRUE,"IRR";"Day 1 Chart",#N/A,TRUE,"Day 1"}</definedName>
    <definedName name="wrn.Summaries." localSheetId="17" hidden="1">{"Assumptions",#N/A,TRUE,"IRR";"Balance Sheet",#N/A,TRUE,"IRR";"Profit and Loss",#N/A,TRUE,"IRR";"Cahsflow",#N/A,TRUE,"IRR";"Day 1",#N/A,TRUE,"IRR";"Day 1 Chart",#N/A,TRUE,"Day 1"}</definedName>
    <definedName name="wrn.Summaries." localSheetId="16" hidden="1">{"Assumptions",#N/A,TRUE,"IRR";"Balance Sheet",#N/A,TRUE,"IRR";"Profit and Loss",#N/A,TRUE,"IRR";"Cahsflow",#N/A,TRUE,"IRR";"Day 1",#N/A,TRUE,"IRR";"Day 1 Chart",#N/A,TRUE,"Day 1"}</definedName>
    <definedName name="wrn.Summaries." localSheetId="8" hidden="1">{"Assumptions",#N/A,TRUE,"IRR";"Balance Sheet",#N/A,TRUE,"IRR";"Profit and Loss",#N/A,TRUE,"IRR";"Cahsflow",#N/A,TRUE,"IRR";"Day 1",#N/A,TRUE,"IRR";"Day 1 Chart",#N/A,TRUE,"Day 1"}</definedName>
    <definedName name="wrn.Summaries." localSheetId="15" hidden="1">{"Assumptions",#N/A,TRUE,"IRR";"Balance Sheet",#N/A,TRUE,"IRR";"Profit and Loss",#N/A,TRUE,"IRR";"Cahsflow",#N/A,TRUE,"IRR";"Day 1",#N/A,TRUE,"IRR";"Day 1 Chart",#N/A,TRUE,"Day 1"}</definedName>
    <definedName name="wrn.Summaries." localSheetId="14" hidden="1">{"Assumptions",#N/A,TRUE,"IRR";"Balance Sheet",#N/A,TRUE,"IRR";"Profit and Loss",#N/A,TRUE,"IRR";"Cahsflow",#N/A,TRUE,"IRR";"Day 1",#N/A,TRUE,"IRR";"Day 1 Chart",#N/A,TRUE,"Day 1"}</definedName>
    <definedName name="wrn.Summaries." hidden="1">{"Assumptions",#N/A,TRUE,"IRR";"Balance Sheet",#N/A,TRUE,"IRR";"Profit and Loss",#N/A,TRUE,"IRR";"Cahsflow",#N/A,TRUE,"IRR";"Day 1",#N/A,TRUE,"IRR";"Day 1 Chart",#N/A,TRUE,"Day 1"}</definedName>
    <definedName name="wrn.TARGET._.DCF." localSheetId="23" hidden="1">{"targetdcf",#N/A,FALSE,"Merger consequences";"TARGETASSU",#N/A,FALSE,"Merger consequences";"TERMINAL VALUE",#N/A,FALSE,"Merger consequences"}</definedName>
    <definedName name="wrn.TARGET._.DCF." localSheetId="22" hidden="1">{"targetdcf",#N/A,FALSE,"Merger consequences";"TARGETASSU",#N/A,FALSE,"Merger consequences";"TERMINAL VALUE",#N/A,FALSE,"Merger consequences"}</definedName>
    <definedName name="wrn.TARGET._.DCF." localSheetId="21" hidden="1">{"targetdcf",#N/A,FALSE,"Merger consequences";"TARGETASSU",#N/A,FALSE,"Merger consequences";"TERMINAL VALUE",#N/A,FALSE,"Merger consequences"}</definedName>
    <definedName name="wrn.TARGET._.DCF." localSheetId="17" hidden="1">{"targetdcf",#N/A,FALSE,"Merger consequences";"TARGETASSU",#N/A,FALSE,"Merger consequences";"TERMINAL VALUE",#N/A,FALSE,"Merger consequences"}</definedName>
    <definedName name="wrn.TARGET._.DCF." localSheetId="16" hidden="1">{"targetdcf",#N/A,FALSE,"Merger consequences";"TARGETASSU",#N/A,FALSE,"Merger consequences";"TERMINAL VALUE",#N/A,FALSE,"Merger consequences"}</definedName>
    <definedName name="wrn.TARGET._.DCF." localSheetId="8" hidden="1">{"targetdcf",#N/A,FALSE,"Merger consequences";"TARGETASSU",#N/A,FALSE,"Merger consequences";"TERMINAL VALUE",#N/A,FALSE,"Merger consequences"}</definedName>
    <definedName name="wrn.TARGET._.DCF." localSheetId="15" hidden="1">{"targetdcf",#N/A,FALSE,"Merger consequences";"TARGETASSU",#N/A,FALSE,"Merger consequences";"TERMINAL VALUE",#N/A,FALSE,"Merger consequences"}</definedName>
    <definedName name="wrn.TARGET._.DCF." localSheetId="14" hidden="1">{"targetdcf",#N/A,FALSE,"Merger consequences";"TARGETASSU",#N/A,FALSE,"Merger consequences";"TERMINAL VALUE",#N/A,FALSE,"Merger consequences"}</definedName>
    <definedName name="wrn.TARGET._.DCF." hidden="1">{"targetdcf",#N/A,FALSE,"Merger consequences";"TARGETASSU",#N/A,FALSE,"Merger consequences";"TERMINAL VALUE",#N/A,FALSE,"Merger consequences"}</definedName>
    <definedName name="wrn.test." localSheetId="23" hidden="1">{#N/A,#N/A,TRUE,"Matrix-BD"}</definedName>
    <definedName name="wrn.test." localSheetId="22" hidden="1">{#N/A,#N/A,TRUE,"Matrix-BD"}</definedName>
    <definedName name="wrn.test." localSheetId="21" hidden="1">{#N/A,#N/A,TRUE,"Matrix-BD"}</definedName>
    <definedName name="wrn.test." localSheetId="17" hidden="1">{#N/A,#N/A,TRUE,"Matrix-BD"}</definedName>
    <definedName name="wrn.test." localSheetId="16" hidden="1">{#N/A,#N/A,TRUE,"Matrix-BD"}</definedName>
    <definedName name="wrn.test." localSheetId="8" hidden="1">{#N/A,#N/A,TRUE,"Matrix-BD"}</definedName>
    <definedName name="wrn.test." localSheetId="15" hidden="1">{#N/A,#N/A,TRUE,"Matrix-BD"}</definedName>
    <definedName name="wrn.test." localSheetId="14" hidden="1">{#N/A,#N/A,TRUE,"Matrix-BD"}</definedName>
    <definedName name="wrn.test." hidden="1">{#N/A,#N/A,TRUE,"Matrix-BD"}</definedName>
    <definedName name="wrn.Valuation." localSheetId="23" hidden="1">{#N/A,#N/A,FALSE,"Colombo";#N/A,#N/A,FALSE,"Colata";#N/A,#N/A,FALSE,"Colombo + Colata"}</definedName>
    <definedName name="wrn.Valuation." localSheetId="22" hidden="1">{#N/A,#N/A,FALSE,"Colombo";#N/A,#N/A,FALSE,"Colata";#N/A,#N/A,FALSE,"Colombo + Colata"}</definedName>
    <definedName name="wrn.Valuation." localSheetId="21" hidden="1">{#N/A,#N/A,FALSE,"Colombo";#N/A,#N/A,FALSE,"Colata";#N/A,#N/A,FALSE,"Colombo + Colata"}</definedName>
    <definedName name="wrn.Valuation." localSheetId="17" hidden="1">{#N/A,#N/A,FALSE,"Colombo";#N/A,#N/A,FALSE,"Colata";#N/A,#N/A,FALSE,"Colombo + Colata"}</definedName>
    <definedName name="wrn.Valuation." localSheetId="16" hidden="1">{#N/A,#N/A,FALSE,"Colombo";#N/A,#N/A,FALSE,"Colata";#N/A,#N/A,FALSE,"Colombo + Colata"}</definedName>
    <definedName name="wrn.Valuation." localSheetId="8" hidden="1">{#N/A,#N/A,FALSE,"Colombo";#N/A,#N/A,FALSE,"Colata";#N/A,#N/A,FALSE,"Colombo + Colata"}</definedName>
    <definedName name="wrn.Valuation." localSheetId="15" hidden="1">{#N/A,#N/A,FALSE,"Colombo";#N/A,#N/A,FALSE,"Colata";#N/A,#N/A,FALSE,"Colombo + Colata"}</definedName>
    <definedName name="wrn.Valuation." localSheetId="14" hidden="1">{#N/A,#N/A,FALSE,"Colombo";#N/A,#N/A,FALSE,"Colata";#N/A,#N/A,FALSE,"Colombo + Colata"}</definedName>
    <definedName name="wrn.Valuation." hidden="1">{#N/A,#N/A,FALSE,"Colombo";#N/A,#N/A,FALSE,"Colata";#N/A,#N/A,FALSE,"Colombo + Colata"}</definedName>
    <definedName name="wrn.Wacc." localSheetId="23" hidden="1">{"Area1",#N/A,FALSE,"OREWACC";"Area2",#N/A,FALSE,"OREWACC"}</definedName>
    <definedName name="wrn.Wacc." localSheetId="22" hidden="1">{"Area1",#N/A,FALSE,"OREWACC";"Area2",#N/A,FALSE,"OREWACC"}</definedName>
    <definedName name="wrn.Wacc." localSheetId="21" hidden="1">{"Area1",#N/A,FALSE,"OREWACC";"Area2",#N/A,FALSE,"OREWACC"}</definedName>
    <definedName name="wrn.Wacc." localSheetId="17" hidden="1">{"Area1",#N/A,FALSE,"OREWACC";"Area2",#N/A,FALSE,"OREWACC"}</definedName>
    <definedName name="wrn.Wacc." localSheetId="16" hidden="1">{"Area1",#N/A,FALSE,"OREWACC";"Area2",#N/A,FALSE,"OREWACC"}</definedName>
    <definedName name="wrn.Wacc." localSheetId="8" hidden="1">{"Area1",#N/A,FALSE,"OREWACC";"Area2",#N/A,FALSE,"OREWACC"}</definedName>
    <definedName name="wrn.Wacc." localSheetId="15" hidden="1">{"Area1",#N/A,FALSE,"OREWACC";"Area2",#N/A,FALSE,"OREWACC"}</definedName>
    <definedName name="wrn.Wacc." localSheetId="14" hidden="1">{"Area1",#N/A,FALSE,"OREWACC";"Area2",#N/A,FALSE,"OREWACC"}</definedName>
    <definedName name="wrn.Wacc." hidden="1">{"Area1",#N/A,FALSE,"OREWACC";"Area2",#N/A,FALSE,"OREWACC"}</definedName>
    <definedName name="wvu.ce_storici." localSheetId="23" hidden="1">{TRUE,TRUE,-1.25,-15.5,484.5,301.5,FALSE,FALSE,TRUE,TRUE,0,1,#N/A,13,#N/A,7.06382978723404,20.2352941176471,1,FALSE,FALSE,3,TRUE,1,FALSE,100,"Swvu.ce_storici.","ACwvu.ce_storici.",1,FALSE,FALSE,0.36,0.44,0.984251968503937,0.984251968503937,2,"&amp;C&amp;B&amp;UBangers Distribution Italia S.p.A.","",TRUE,TRUE,FALSE,FALSE,1,110,#N/A,#N/A,"=R12C1:R242C6,R12C8,R12C8,R12C8:R75C20,R12C22:R242C30",FALSE,#N/A,#N/A,FALSE,FALSE}</definedName>
    <definedName name="wvu.ce_storici." localSheetId="22" hidden="1">{TRUE,TRUE,-1.25,-15.5,484.5,301.5,FALSE,FALSE,TRUE,TRUE,0,1,#N/A,13,#N/A,7.06382978723404,20.2352941176471,1,FALSE,FALSE,3,TRUE,1,FALSE,100,"Swvu.ce_storici.","ACwvu.ce_storici.",1,FALSE,FALSE,0.36,0.44,0.984251968503937,0.984251968503937,2,"&amp;C&amp;B&amp;UBangers Distribution Italia S.p.A.","",TRUE,TRUE,FALSE,FALSE,1,110,#N/A,#N/A,"=R12C1:R242C6,R12C8,R12C8,R12C8:R75C20,R12C22:R242C30",FALSE,#N/A,#N/A,FALSE,FALSE}</definedName>
    <definedName name="wvu.ce_storici." localSheetId="21" hidden="1">{TRUE,TRUE,-1.25,-15.5,484.5,301.5,FALSE,FALSE,TRUE,TRUE,0,1,#N/A,13,#N/A,7.06382978723404,20.2352941176471,1,FALSE,FALSE,3,TRUE,1,FALSE,100,"Swvu.ce_storici.","ACwvu.ce_storici.",1,FALSE,FALSE,0.36,0.44,0.984251968503937,0.984251968503937,2,"&amp;C&amp;B&amp;UBangers Distribution Italia S.p.A.","",TRUE,TRUE,FALSE,FALSE,1,110,#N/A,#N/A,"=R12C1:R242C6,R12C8,R12C8,R12C8:R75C20,R12C22:R242C30",FALSE,#N/A,#N/A,FALSE,FALSE}</definedName>
    <definedName name="wvu.ce_storici." localSheetId="17" hidden="1">{TRUE,TRUE,-1.25,-15.5,484.5,301.5,FALSE,FALSE,TRUE,TRUE,0,1,#N/A,13,#N/A,7.06382978723404,20.2352941176471,1,FALSE,FALSE,3,TRUE,1,FALSE,100,"Swvu.ce_storici.","ACwvu.ce_storici.",1,FALSE,FALSE,0.36,0.44,0.984251968503937,0.984251968503937,2,"&amp;C&amp;B&amp;UBangers Distribution Italia S.p.A.","",TRUE,TRUE,FALSE,FALSE,1,110,#N/A,#N/A,"=R12C1:R242C6,R12C8,R12C8,R12C8:R75C20,R12C22:R242C30",FALSE,#N/A,#N/A,FALSE,FALSE}</definedName>
    <definedName name="wvu.ce_storici." localSheetId="16" hidden="1">{TRUE,TRUE,-1.25,-15.5,484.5,301.5,FALSE,FALSE,TRUE,TRUE,0,1,#N/A,13,#N/A,7.06382978723404,20.2352941176471,1,FALSE,FALSE,3,TRUE,1,FALSE,100,"Swvu.ce_storici.","ACwvu.ce_storici.",1,FALSE,FALSE,0.36,0.44,0.984251968503937,0.984251968503937,2,"&amp;C&amp;B&amp;UBangers Distribution Italia S.p.A.","",TRUE,TRUE,FALSE,FALSE,1,110,#N/A,#N/A,"=R12C1:R242C6,R12C8,R12C8,R12C8:R75C20,R12C22:R242C30",FALSE,#N/A,#N/A,FALSE,FALSE}</definedName>
    <definedName name="wvu.ce_storici." localSheetId="8" hidden="1">{TRUE,TRUE,-1.25,-15.5,484.5,301.5,FALSE,FALSE,TRUE,TRUE,0,1,#N/A,13,#N/A,7.06382978723404,20.2352941176471,1,FALSE,FALSE,3,TRUE,1,FALSE,100,"Swvu.ce_storici.","ACwvu.ce_storici.",1,FALSE,FALSE,0.36,0.44,0.984251968503937,0.984251968503937,2,"&amp;C&amp;B&amp;UBangers Distribution Italia S.p.A.","",TRUE,TRUE,FALSE,FALSE,1,110,#N/A,#N/A,"=R12C1:R242C6,R12C8,R12C8,R12C8:R75C20,R12C22:R242C30",FALSE,#N/A,#N/A,FALSE,FALSE}</definedName>
    <definedName name="wvu.ce_storici." localSheetId="15" hidden="1">{TRUE,TRUE,-1.25,-15.5,484.5,301.5,FALSE,FALSE,TRUE,TRUE,0,1,#N/A,13,#N/A,7.06382978723404,20.2352941176471,1,FALSE,FALSE,3,TRUE,1,FALSE,100,"Swvu.ce_storici.","ACwvu.ce_storici.",1,FALSE,FALSE,0.36,0.44,0.984251968503937,0.984251968503937,2,"&amp;C&amp;B&amp;UBangers Distribution Italia S.p.A.","",TRUE,TRUE,FALSE,FALSE,1,110,#N/A,#N/A,"=R12C1:R242C6,R12C8,R12C8,R12C8:R75C20,R12C22:R242C30",FALSE,#N/A,#N/A,FALSE,FALSE}</definedName>
    <definedName name="wvu.ce_storici." localSheetId="14" hidden="1">{TRUE,TRUE,-1.25,-15.5,484.5,301.5,FALSE,FALSE,TRUE,TRUE,0,1,#N/A,13,#N/A,7.06382978723404,20.2352941176471,1,FALSE,FALSE,3,TRUE,1,FALSE,100,"Swvu.ce_storici.","ACwvu.ce_storici.",1,FALSE,FALSE,0.36,0.44,0.984251968503937,0.984251968503937,2,"&amp;C&amp;B&amp;UBangers Distribution Italia S.p.A.","",TRUE,TRUE,FALSE,FALSE,1,110,#N/A,#N/A,"=R12C1:R242C6,R12C8,R12C8,R12C8:R75C20,R12C22:R242C30",FALSE,#N/A,#N/A,FALSE,FALSE}</definedName>
    <definedName name="wvu.ce_storici." hidden="1">{TRUE,TRUE,-1.25,-15.5,484.5,301.5,FALSE,FALSE,TRUE,TRUE,0,1,#N/A,13,#N/A,7.06382978723404,20.2352941176471,1,FALSE,FALSE,3,TRUE,1,FALSE,100,"Swvu.ce_storici.","ACwvu.ce_storici.",1,FALSE,FALSE,0.36,0.44,0.984251968503937,0.984251968503937,2,"&amp;C&amp;B&amp;UBangers Distribution Italia S.p.A.","",TRUE,TRUE,FALSE,FALSE,1,110,#N/A,#N/A,"=R12C1:R242C6,R12C8,R12C8,R12C8:R75C20,R12C22:R242C30",FALSE,#N/A,#N/A,FALSE,FALSE}</definedName>
    <definedName name="wvu.dd." localSheetId="23" hidden="1">{TRUE,TRUE,-1.25,-15.5,484.5,301.5,FALSE,FALSE,TRUE,TRUE,0,1,#N/A,9,#N/A,7.578125,17.4117647058824,1,FALSE,FALSE,3,TRUE,1,FALSE,100,"Swvu.dd.","ACwvu.dd.",1,FALSE,FALSE,0.748031496062992,0.354330708661417,1.73228346456693,0.275590551181102,1,"&amp;L&amp;10PASFIN - Servizi Finanziari S.p.A.
&amp;I Mergers  and Acquisitions&amp;R&amp;10Data di stampa: &amp;D
 Ore:      &amp;T","&amp;R&amp;""Times New Roman""Pagina &amp;P",FALSE,FALSE,FALSE,FALSE,1,100,#N/A,#N/A,"=R59C1:R283C7",FALSE,#N/A,#N/A,FALSE,FALSE}</definedName>
    <definedName name="wvu.dd." localSheetId="22" hidden="1">{TRUE,TRUE,-1.25,-15.5,484.5,301.5,FALSE,FALSE,TRUE,TRUE,0,1,#N/A,9,#N/A,7.578125,17.4117647058824,1,FALSE,FALSE,3,TRUE,1,FALSE,100,"Swvu.dd.","ACwvu.dd.",1,FALSE,FALSE,0.748031496062992,0.354330708661417,1.73228346456693,0.275590551181102,1,"&amp;L&amp;10PASFIN - Servizi Finanziari S.p.A.
&amp;I Mergers  and Acquisitions&amp;R&amp;10Data di stampa: &amp;D
 Ore:      &amp;T","&amp;R&amp;""Times New Roman""Pagina &amp;P",FALSE,FALSE,FALSE,FALSE,1,100,#N/A,#N/A,"=R59C1:R283C7",FALSE,#N/A,#N/A,FALSE,FALSE}</definedName>
    <definedName name="wvu.dd." localSheetId="21" hidden="1">{TRUE,TRUE,-1.25,-15.5,484.5,301.5,FALSE,FALSE,TRUE,TRUE,0,1,#N/A,9,#N/A,7.578125,17.4117647058824,1,FALSE,FALSE,3,TRUE,1,FALSE,100,"Swvu.dd.","ACwvu.dd.",1,FALSE,FALSE,0.748031496062992,0.354330708661417,1.73228346456693,0.275590551181102,1,"&amp;L&amp;10PASFIN - Servizi Finanziari S.p.A.
&amp;I Mergers  and Acquisitions&amp;R&amp;10Data di stampa: &amp;D
 Ore:      &amp;T","&amp;R&amp;""Times New Roman""Pagina &amp;P",FALSE,FALSE,FALSE,FALSE,1,100,#N/A,#N/A,"=R59C1:R283C7",FALSE,#N/A,#N/A,FALSE,FALSE}</definedName>
    <definedName name="wvu.dd." localSheetId="17" hidden="1">{TRUE,TRUE,-1.25,-15.5,484.5,301.5,FALSE,FALSE,TRUE,TRUE,0,1,#N/A,9,#N/A,7.578125,17.4117647058824,1,FALSE,FALSE,3,TRUE,1,FALSE,100,"Swvu.dd.","ACwvu.dd.",1,FALSE,FALSE,0.748031496062992,0.354330708661417,1.73228346456693,0.275590551181102,1,"&amp;L&amp;10PASFIN - Servizi Finanziari S.p.A.
&amp;I Mergers  and Acquisitions&amp;R&amp;10Data di stampa: &amp;D
 Ore:      &amp;T","&amp;R&amp;""Times New Roman""Pagina &amp;P",FALSE,FALSE,FALSE,FALSE,1,100,#N/A,#N/A,"=R59C1:R283C7",FALSE,#N/A,#N/A,FALSE,FALSE}</definedName>
    <definedName name="wvu.dd." localSheetId="16" hidden="1">{TRUE,TRUE,-1.25,-15.5,484.5,301.5,FALSE,FALSE,TRUE,TRUE,0,1,#N/A,9,#N/A,7.578125,17.4117647058824,1,FALSE,FALSE,3,TRUE,1,FALSE,100,"Swvu.dd.","ACwvu.dd.",1,FALSE,FALSE,0.748031496062992,0.354330708661417,1.73228346456693,0.275590551181102,1,"&amp;L&amp;10PASFIN - Servizi Finanziari S.p.A.
&amp;I Mergers  and Acquisitions&amp;R&amp;10Data di stampa: &amp;D
 Ore:      &amp;T","&amp;R&amp;""Times New Roman""Pagina &amp;P",FALSE,FALSE,FALSE,FALSE,1,100,#N/A,#N/A,"=R59C1:R283C7",FALSE,#N/A,#N/A,FALSE,FALSE}</definedName>
    <definedName name="wvu.dd." localSheetId="8" hidden="1">{TRUE,TRUE,-1.25,-15.5,484.5,301.5,FALSE,FALSE,TRUE,TRUE,0,1,#N/A,9,#N/A,7.578125,17.4117647058824,1,FALSE,FALSE,3,TRUE,1,FALSE,100,"Swvu.dd.","ACwvu.dd.",1,FALSE,FALSE,0.748031496062992,0.354330708661417,1.73228346456693,0.275590551181102,1,"&amp;L&amp;10PASFIN - Servizi Finanziari S.p.A.
&amp;I Mergers  and Acquisitions&amp;R&amp;10Data di stampa: &amp;D
 Ore:      &amp;T","&amp;R&amp;""Times New Roman""Pagina &amp;P",FALSE,FALSE,FALSE,FALSE,1,100,#N/A,#N/A,"=R59C1:R283C7",FALSE,#N/A,#N/A,FALSE,FALSE}</definedName>
    <definedName name="wvu.dd." localSheetId="15" hidden="1">{TRUE,TRUE,-1.25,-15.5,484.5,301.5,FALSE,FALSE,TRUE,TRUE,0,1,#N/A,9,#N/A,7.578125,17.4117647058824,1,FALSE,FALSE,3,TRUE,1,FALSE,100,"Swvu.dd.","ACwvu.dd.",1,FALSE,FALSE,0.748031496062992,0.354330708661417,1.73228346456693,0.275590551181102,1,"&amp;L&amp;10PASFIN - Servizi Finanziari S.p.A.
&amp;I Mergers  and Acquisitions&amp;R&amp;10Data di stampa: &amp;D
 Ore:      &amp;T","&amp;R&amp;""Times New Roman""Pagina &amp;P",FALSE,FALSE,FALSE,FALSE,1,100,#N/A,#N/A,"=R59C1:R283C7",FALSE,#N/A,#N/A,FALSE,FALSE}</definedName>
    <definedName name="wvu.dd." localSheetId="14" hidden="1">{TRUE,TRUE,-1.25,-15.5,484.5,301.5,FALSE,FALSE,TRUE,TRUE,0,1,#N/A,9,#N/A,7.578125,17.4117647058824,1,FALSE,FALSE,3,TRUE,1,FALSE,100,"Swvu.dd.","ACwvu.dd.",1,FALSE,FALSE,0.748031496062992,0.354330708661417,1.73228346456693,0.275590551181102,1,"&amp;L&amp;10PASFIN - Servizi Finanziari S.p.A.
&amp;I Mergers  and Acquisitions&amp;R&amp;10Data di stampa: &amp;D
 Ore:      &amp;T","&amp;R&amp;""Times New Roman""Pagina &amp;P",FALSE,FALSE,FALSE,FALSE,1,100,#N/A,#N/A,"=R59C1:R283C7",FALSE,#N/A,#N/A,FALSE,FALSE}</definedName>
    <definedName name="wvu.dd." hidden="1">{TRUE,TRUE,-1.25,-15.5,484.5,301.5,FALSE,FALSE,TRUE,TRUE,0,1,#N/A,9,#N/A,7.578125,17.4117647058824,1,FALSE,FALSE,3,TRUE,1,FALSE,100,"Swvu.dd.","ACwvu.dd.",1,FALSE,FALSE,0.748031496062992,0.354330708661417,1.73228346456693,0.275590551181102,1,"&amp;L&amp;10PASFIN - Servizi Finanziari S.p.A.
&amp;I Mergers  and Acquisitions&amp;R&amp;10Data di stampa: &amp;D
 Ore:      &amp;T","&amp;R&amp;""Times New Roman""Pagina &amp;P",FALSE,FALSE,FALSE,FALSE,1,100,#N/A,#N/A,"=R59C1:R283C7",FALSE,#N/A,#N/A,FALSE,FALSE}</definedName>
    <definedName name="XX" localSheetId="23" hidden="1">{"adj95mult",#N/A,FALSE,"COMPCO";"adj95est",#N/A,FALSE,"COMPCO"}</definedName>
    <definedName name="XX" localSheetId="22" hidden="1">{"adj95mult",#N/A,FALSE,"COMPCO";"adj95est",#N/A,FALSE,"COMPCO"}</definedName>
    <definedName name="XX" localSheetId="21" hidden="1">{"adj95mult",#N/A,FALSE,"COMPCO";"adj95est",#N/A,FALSE,"COMPCO"}</definedName>
    <definedName name="XX" localSheetId="17" hidden="1">{"adj95mult",#N/A,FALSE,"COMPCO";"adj95est",#N/A,FALSE,"COMPCO"}</definedName>
    <definedName name="XX" localSheetId="16" hidden="1">{"adj95mult",#N/A,FALSE,"COMPCO";"adj95est",#N/A,FALSE,"COMPCO"}</definedName>
    <definedName name="XX" localSheetId="8" hidden="1">{"adj95mult",#N/A,FALSE,"COMPCO";"adj95est",#N/A,FALSE,"COMPCO"}</definedName>
    <definedName name="XX" localSheetId="15" hidden="1">{"adj95mult",#N/A,FALSE,"COMPCO";"adj95est",#N/A,FALSE,"COMPCO"}</definedName>
    <definedName name="XX" localSheetId="14" hidden="1">{"adj95mult",#N/A,FALSE,"COMPCO";"adj95est",#N/A,FALSE,"COMPCO"}</definedName>
    <definedName name="XX" hidden="1">{"adj95mult",#N/A,FALSE,"COMPCO";"adj95est",#N/A,FALSE,"COMPCO"}</definedName>
    <definedName name="yuiy" hidden="1">#REF!</definedName>
    <definedName name="zhguz" localSheetId="23" hidden="1">{"DCF","UPSIDE CASE",FALSE,"Sheet1";"DCF","BASE CASE",FALSE,"Sheet1";"DCF","DOWNSIDE CASE",FALSE,"Sheet1"}</definedName>
    <definedName name="zhguz" localSheetId="22" hidden="1">{"DCF","UPSIDE CASE",FALSE,"Sheet1";"DCF","BASE CASE",FALSE,"Sheet1";"DCF","DOWNSIDE CASE",FALSE,"Sheet1"}</definedName>
    <definedName name="zhguz" localSheetId="21" hidden="1">{"DCF","UPSIDE CASE",FALSE,"Sheet1";"DCF","BASE CASE",FALSE,"Sheet1";"DCF","DOWNSIDE CASE",FALSE,"Sheet1"}</definedName>
    <definedName name="zhguz" localSheetId="17" hidden="1">{"DCF","UPSIDE CASE",FALSE,"Sheet1";"DCF","BASE CASE",FALSE,"Sheet1";"DCF","DOWNSIDE CASE",FALSE,"Sheet1"}</definedName>
    <definedName name="zhguz" localSheetId="16" hidden="1">{"DCF","UPSIDE CASE",FALSE,"Sheet1";"DCF","BASE CASE",FALSE,"Sheet1";"DCF","DOWNSIDE CASE",FALSE,"Sheet1"}</definedName>
    <definedName name="zhguz" localSheetId="8" hidden="1">{"DCF","UPSIDE CASE",FALSE,"Sheet1";"DCF","BASE CASE",FALSE,"Sheet1";"DCF","DOWNSIDE CASE",FALSE,"Sheet1"}</definedName>
    <definedName name="zhguz" localSheetId="15" hidden="1">{"DCF","UPSIDE CASE",FALSE,"Sheet1";"DCF","BASE CASE",FALSE,"Sheet1";"DCF","DOWNSIDE CASE",FALSE,"Sheet1"}</definedName>
    <definedName name="zhguz" localSheetId="14" hidden="1">{"DCF","UPSIDE CASE",FALSE,"Sheet1";"DCF","BASE CASE",FALSE,"Sheet1";"DCF","DOWNSIDE CASE",FALSE,"Sheet1"}</definedName>
    <definedName name="zhguz" hidden="1">{"DCF","UPSIDE CASE",FALSE,"Sheet1";"DCF","BASE CASE",FALSE,"Sheet1";"DCF","DOWNSIDE CASE",FALSE,"Sheet1"}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9" i="16" l="1"/>
  <c r="C306" i="16"/>
  <c r="C282" i="13"/>
  <c r="C316" i="13" s="1"/>
  <c r="C350" i="13" s="1"/>
  <c r="C384" i="13" s="1"/>
  <c r="C219" i="13"/>
  <c r="C240" i="13" s="1"/>
  <c r="C261" i="13" s="1"/>
  <c r="E17" i="71"/>
  <c r="E25" i="71" s="1"/>
  <c r="E14" i="71"/>
  <c r="E22" i="71" s="1"/>
  <c r="G42" i="76"/>
  <c r="F42" i="76"/>
  <c r="E42" i="76"/>
  <c r="E18" i="71" l="1"/>
  <c r="E15" i="71"/>
  <c r="C25" i="48" l="1"/>
  <c r="C18" i="48"/>
  <c r="E75" i="76"/>
  <c r="C147" i="13"/>
  <c r="AM48" i="12"/>
  <c r="AM22" i="12"/>
  <c r="AL52" i="12"/>
  <c r="AL46" i="12"/>
  <c r="AL49" i="12" s="1"/>
  <c r="AL19" i="12"/>
  <c r="AL20" i="12"/>
  <c r="AL23" i="12" s="1"/>
  <c r="C12" i="48" l="1"/>
  <c r="C125" i="13"/>
  <c r="C121" i="13"/>
  <c r="C117" i="13"/>
  <c r="F143" i="63" l="1"/>
  <c r="G143" i="63"/>
  <c r="E143" i="63"/>
  <c r="F69" i="63"/>
  <c r="G69" i="63"/>
  <c r="E69" i="63"/>
  <c r="G30" i="63"/>
  <c r="F31" i="63"/>
  <c r="F30" i="63"/>
  <c r="G31" i="63"/>
  <c r="G105" i="63"/>
  <c r="F104" i="63"/>
  <c r="F105" i="63"/>
  <c r="G104" i="63"/>
  <c r="E104" i="63"/>
  <c r="E105" i="63"/>
  <c r="G106" i="63"/>
  <c r="F106" i="63"/>
  <c r="E106" i="63"/>
  <c r="F68" i="63"/>
  <c r="G67" i="63"/>
  <c r="G68" i="63"/>
  <c r="F67" i="63"/>
  <c r="E67" i="63"/>
  <c r="E68" i="63"/>
  <c r="G142" i="63"/>
  <c r="F142" i="63"/>
  <c r="F141" i="63"/>
  <c r="G141" i="63"/>
  <c r="E141" i="63"/>
  <c r="E142" i="63"/>
  <c r="E30" i="63"/>
  <c r="E31" i="63"/>
  <c r="G32" i="63" l="1"/>
  <c r="F32" i="63"/>
  <c r="G148" i="63"/>
  <c r="F113" i="63"/>
  <c r="G147" i="63"/>
  <c r="G113" i="63"/>
  <c r="F147" i="63"/>
  <c r="F110" i="63"/>
  <c r="G110" i="63"/>
  <c r="F149" i="63"/>
  <c r="G111" i="63"/>
  <c r="G150" i="63"/>
  <c r="G149" i="63"/>
  <c r="F111" i="63"/>
  <c r="F150" i="63"/>
  <c r="F148" i="63"/>
  <c r="F112" i="63"/>
  <c r="G112" i="63"/>
  <c r="E149" i="63"/>
  <c r="E147" i="63"/>
  <c r="E148" i="63"/>
  <c r="E113" i="63"/>
  <c r="E110" i="63"/>
  <c r="E112" i="63"/>
  <c r="E111" i="63"/>
  <c r="E150" i="63"/>
  <c r="E32" i="63"/>
  <c r="G107" i="63" l="1"/>
  <c r="F107" i="63"/>
  <c r="F144" i="63"/>
  <c r="G144" i="63"/>
  <c r="E107" i="63"/>
  <c r="E144" i="63"/>
  <c r="G75" i="63" l="1"/>
  <c r="F75" i="63"/>
  <c r="G76" i="63"/>
  <c r="F76" i="63"/>
  <c r="F36" i="63"/>
  <c r="G36" i="63"/>
  <c r="G37" i="63"/>
  <c r="F37" i="63"/>
  <c r="G39" i="63"/>
  <c r="F39" i="63"/>
  <c r="G38" i="63"/>
  <c r="F38" i="63"/>
  <c r="F73" i="63"/>
  <c r="G73" i="63"/>
  <c r="G74" i="63"/>
  <c r="F74" i="63"/>
  <c r="E38" i="63"/>
  <c r="E39" i="63"/>
  <c r="E73" i="63"/>
  <c r="E74" i="63"/>
  <c r="E75" i="63"/>
  <c r="E76" i="63"/>
  <c r="E36" i="63"/>
  <c r="E37" i="63"/>
  <c r="G33" i="63" l="1"/>
  <c r="F33" i="63"/>
  <c r="G70" i="63"/>
  <c r="F70" i="63"/>
  <c r="E33" i="63"/>
  <c r="E70" i="63"/>
  <c r="E285" i="40" l="1"/>
  <c r="D285" i="40"/>
  <c r="C285" i="40"/>
  <c r="E284" i="40"/>
  <c r="D284" i="40"/>
  <c r="C284" i="40"/>
  <c r="E283" i="40"/>
  <c r="D283" i="40"/>
  <c r="C283" i="40"/>
  <c r="E282" i="40"/>
  <c r="D282" i="40"/>
  <c r="C282" i="40"/>
  <c r="E281" i="40"/>
  <c r="D281" i="40"/>
  <c r="C281" i="40"/>
  <c r="E280" i="40"/>
  <c r="D280" i="40"/>
  <c r="C280" i="40"/>
  <c r="E279" i="40"/>
  <c r="D279" i="40"/>
  <c r="C279" i="40"/>
  <c r="E278" i="40"/>
  <c r="D278" i="40"/>
  <c r="C278" i="40"/>
  <c r="E277" i="40"/>
  <c r="D277" i="40"/>
  <c r="C277" i="40"/>
  <c r="E276" i="40"/>
  <c r="D276" i="40"/>
  <c r="C276" i="40"/>
  <c r="E275" i="40"/>
  <c r="D275" i="40"/>
  <c r="C275" i="40"/>
  <c r="E274" i="40"/>
  <c r="D274" i="40"/>
  <c r="C274" i="40"/>
  <c r="E273" i="40"/>
  <c r="D273" i="40"/>
  <c r="C273" i="40"/>
  <c r="E272" i="40"/>
  <c r="D272" i="40"/>
  <c r="C272" i="40"/>
  <c r="E271" i="40"/>
  <c r="D271" i="40"/>
  <c r="C271" i="40"/>
  <c r="E270" i="40"/>
  <c r="D270" i="40"/>
  <c r="C270" i="40"/>
  <c r="E269" i="40"/>
  <c r="D269" i="40"/>
  <c r="C269" i="40"/>
  <c r="E268" i="40"/>
  <c r="D268" i="40"/>
  <c r="C268" i="40"/>
  <c r="E267" i="40"/>
  <c r="D267" i="40"/>
  <c r="C267" i="40"/>
  <c r="E266" i="40"/>
  <c r="D266" i="40"/>
  <c r="C266" i="40"/>
  <c r="E265" i="40"/>
  <c r="D265" i="40"/>
  <c r="C265" i="40"/>
  <c r="E264" i="40"/>
  <c r="D264" i="40"/>
  <c r="C264" i="40"/>
  <c r="E263" i="40"/>
  <c r="D263" i="40"/>
  <c r="C263" i="40"/>
  <c r="E262" i="40"/>
  <c r="D262" i="40"/>
  <c r="C262" i="40"/>
  <c r="E261" i="40"/>
  <c r="D261" i="40"/>
  <c r="C261" i="40"/>
  <c r="E260" i="40"/>
  <c r="D260" i="40"/>
  <c r="C260" i="40"/>
  <c r="E259" i="40"/>
  <c r="D259" i="40"/>
  <c r="C259" i="40"/>
  <c r="E258" i="40"/>
  <c r="D258" i="40"/>
  <c r="C258" i="40"/>
  <c r="E257" i="40"/>
  <c r="D257" i="40"/>
  <c r="C257" i="40"/>
  <c r="E256" i="40"/>
  <c r="D256" i="40"/>
  <c r="C256" i="40"/>
  <c r="E255" i="40"/>
  <c r="D255" i="40"/>
  <c r="C255" i="40"/>
  <c r="E254" i="40"/>
  <c r="D254" i="40"/>
  <c r="C254" i="40"/>
  <c r="E253" i="40"/>
  <c r="D253" i="40"/>
  <c r="C253" i="40"/>
  <c r="E252" i="40"/>
  <c r="D252" i="40"/>
  <c r="C252" i="40"/>
  <c r="E251" i="40"/>
  <c r="D251" i="40"/>
  <c r="C251" i="40"/>
  <c r="E250" i="40"/>
  <c r="D250" i="40"/>
  <c r="C250" i="40"/>
  <c r="E249" i="40"/>
  <c r="D249" i="40"/>
  <c r="C249" i="40"/>
  <c r="E248" i="40"/>
  <c r="D248" i="40"/>
  <c r="C248" i="40"/>
  <c r="E247" i="40"/>
  <c r="D247" i="40"/>
  <c r="C247" i="40"/>
  <c r="E246" i="40"/>
  <c r="D246" i="40"/>
  <c r="C246" i="40"/>
  <c r="E245" i="40"/>
  <c r="D245" i="40"/>
  <c r="C245" i="40"/>
  <c r="E244" i="40"/>
  <c r="D244" i="40"/>
  <c r="C244" i="40"/>
  <c r="E243" i="40"/>
  <c r="D243" i="40"/>
  <c r="C243" i="40"/>
  <c r="E242" i="40"/>
  <c r="D242" i="40"/>
  <c r="C242" i="40"/>
  <c r="E241" i="40"/>
  <c r="D241" i="40"/>
  <c r="C241" i="40"/>
  <c r="E240" i="40"/>
  <c r="D240" i="40"/>
  <c r="C240" i="40"/>
  <c r="E239" i="40"/>
  <c r="D239" i="40"/>
  <c r="C239" i="40"/>
  <c r="E238" i="40"/>
  <c r="D238" i="40"/>
  <c r="C238" i="40"/>
  <c r="E237" i="40"/>
  <c r="D237" i="40"/>
  <c r="C237" i="40"/>
  <c r="E236" i="40"/>
  <c r="D236" i="40"/>
  <c r="C236" i="40"/>
  <c r="E235" i="40"/>
  <c r="D235" i="40"/>
  <c r="C235" i="40"/>
  <c r="E234" i="40"/>
  <c r="D234" i="40"/>
  <c r="C234" i="40"/>
  <c r="E233" i="40"/>
  <c r="D233" i="40"/>
  <c r="C233" i="40"/>
  <c r="E232" i="40"/>
  <c r="D232" i="40"/>
  <c r="C232" i="40"/>
  <c r="E231" i="40"/>
  <c r="D231" i="40"/>
  <c r="C231" i="40"/>
  <c r="E230" i="40"/>
  <c r="D230" i="40"/>
  <c r="C230" i="40"/>
  <c r="E229" i="40"/>
  <c r="D229" i="40"/>
  <c r="C229" i="40"/>
  <c r="E228" i="40"/>
  <c r="D228" i="40"/>
  <c r="C228" i="40"/>
  <c r="E227" i="40"/>
  <c r="D227" i="40"/>
  <c r="C227" i="40"/>
  <c r="E226" i="40"/>
  <c r="D226" i="40"/>
  <c r="C226" i="40"/>
  <c r="E225" i="40"/>
  <c r="D225" i="40"/>
  <c r="C225" i="40"/>
  <c r="E224" i="40"/>
  <c r="D224" i="40"/>
  <c r="C224" i="40"/>
  <c r="E223" i="40"/>
  <c r="D223" i="40"/>
  <c r="C223" i="40"/>
  <c r="E222" i="40"/>
  <c r="D222" i="40"/>
  <c r="C222" i="40"/>
  <c r="E221" i="40"/>
  <c r="D221" i="40"/>
  <c r="C221" i="40"/>
  <c r="E220" i="40"/>
  <c r="D220" i="40"/>
  <c r="C220" i="40"/>
  <c r="E219" i="40"/>
  <c r="D219" i="40"/>
  <c r="C219" i="40"/>
  <c r="E218" i="40"/>
  <c r="D218" i="40"/>
  <c r="C218" i="40"/>
  <c r="E217" i="40"/>
  <c r="D217" i="40"/>
  <c r="C217" i="40"/>
  <c r="E216" i="40"/>
  <c r="D216" i="40"/>
  <c r="C216" i="40"/>
  <c r="E215" i="40"/>
  <c r="D215" i="40"/>
  <c r="C215" i="40"/>
  <c r="E214" i="40"/>
  <c r="D214" i="40"/>
  <c r="C214" i="40"/>
  <c r="E213" i="40"/>
  <c r="D213" i="40"/>
  <c r="C213" i="40"/>
  <c r="E212" i="40"/>
  <c r="D212" i="40"/>
  <c r="C212" i="40"/>
  <c r="E211" i="40"/>
  <c r="D211" i="40"/>
  <c r="C211" i="40"/>
  <c r="E210" i="40"/>
  <c r="D210" i="40"/>
  <c r="C210" i="40"/>
  <c r="E209" i="40"/>
  <c r="D209" i="40"/>
  <c r="C209" i="40"/>
  <c r="E208" i="40"/>
  <c r="D208" i="40"/>
  <c r="C208" i="40"/>
  <c r="E207" i="40"/>
  <c r="D207" i="40"/>
  <c r="C207" i="40"/>
  <c r="E206" i="40"/>
  <c r="D206" i="40"/>
  <c r="C206" i="40"/>
  <c r="E205" i="40"/>
  <c r="D205" i="40"/>
  <c r="C205" i="40"/>
  <c r="E204" i="40"/>
  <c r="D204" i="40"/>
  <c r="C204" i="40"/>
  <c r="E203" i="40"/>
  <c r="D203" i="40"/>
  <c r="C203" i="40"/>
  <c r="E202" i="40"/>
  <c r="D202" i="40"/>
  <c r="C202" i="40"/>
  <c r="E201" i="40"/>
  <c r="D201" i="40"/>
  <c r="C201" i="40"/>
  <c r="E200" i="40"/>
  <c r="D200" i="40"/>
  <c r="C200" i="40"/>
  <c r="E199" i="40"/>
  <c r="D199" i="40"/>
  <c r="C199" i="40"/>
  <c r="E198" i="40"/>
  <c r="D198" i="40"/>
  <c r="C198" i="40"/>
  <c r="E197" i="40"/>
  <c r="D197" i="40"/>
  <c r="C197" i="40"/>
  <c r="E196" i="40"/>
  <c r="D196" i="40"/>
  <c r="C196" i="40"/>
  <c r="E195" i="40"/>
  <c r="D195" i="40"/>
  <c r="C195" i="40"/>
  <c r="E194" i="40"/>
  <c r="D194" i="40"/>
  <c r="C194" i="40"/>
  <c r="E193" i="40"/>
  <c r="D193" i="40"/>
  <c r="C193" i="40"/>
  <c r="E192" i="40"/>
  <c r="D192" i="40"/>
  <c r="C192" i="40"/>
  <c r="E191" i="40"/>
  <c r="D191" i="40"/>
  <c r="C191" i="40"/>
  <c r="E190" i="40"/>
  <c r="D190" i="40"/>
  <c r="C190" i="40"/>
  <c r="E189" i="40"/>
  <c r="D189" i="40"/>
  <c r="C189" i="40"/>
  <c r="E188" i="40"/>
  <c r="D188" i="40"/>
  <c r="C188" i="40"/>
  <c r="E187" i="40"/>
  <c r="D187" i="40"/>
  <c r="C187" i="40"/>
  <c r="E186" i="40"/>
  <c r="D186" i="40"/>
  <c r="C186" i="40"/>
  <c r="E185" i="40"/>
  <c r="D185" i="40"/>
  <c r="C185" i="40"/>
  <c r="E184" i="40"/>
  <c r="D184" i="40"/>
  <c r="C184" i="40"/>
  <c r="E183" i="40"/>
  <c r="D183" i="40"/>
  <c r="C183" i="40"/>
  <c r="E182" i="40"/>
  <c r="D182" i="40"/>
  <c r="C182" i="40"/>
  <c r="E181" i="40"/>
  <c r="D181" i="40"/>
  <c r="C181" i="40"/>
  <c r="E180" i="40"/>
  <c r="D180" i="40"/>
  <c r="C180" i="40"/>
  <c r="E179" i="40"/>
  <c r="D179" i="40"/>
  <c r="C179" i="40"/>
  <c r="E178" i="40"/>
  <c r="D178" i="40"/>
  <c r="C178" i="40"/>
  <c r="E177" i="40"/>
  <c r="D177" i="40"/>
  <c r="C177" i="40"/>
  <c r="E176" i="40"/>
  <c r="D176" i="40"/>
  <c r="C176" i="40"/>
  <c r="E175" i="40"/>
  <c r="D175" i="40"/>
  <c r="C175" i="40"/>
  <c r="E174" i="40"/>
  <c r="D174" i="40"/>
  <c r="C174" i="40"/>
  <c r="E173" i="40"/>
  <c r="D173" i="40"/>
  <c r="C173" i="40"/>
  <c r="E172" i="40"/>
  <c r="D172" i="40"/>
  <c r="C172" i="40"/>
  <c r="E171" i="40"/>
  <c r="D171" i="40"/>
  <c r="C171" i="40"/>
  <c r="E170" i="40"/>
  <c r="D170" i="40"/>
  <c r="C170" i="40"/>
  <c r="E169" i="40"/>
  <c r="D169" i="40"/>
  <c r="C169" i="40"/>
  <c r="E168" i="40"/>
  <c r="D168" i="40"/>
  <c r="C168" i="40"/>
  <c r="E167" i="40"/>
  <c r="D167" i="40"/>
  <c r="C167" i="40"/>
  <c r="E166" i="40"/>
  <c r="D166" i="40"/>
  <c r="C166" i="40"/>
  <c r="E165" i="40"/>
  <c r="D165" i="40"/>
  <c r="C165" i="40"/>
  <c r="E164" i="40"/>
  <c r="D164" i="40"/>
  <c r="C164" i="40"/>
  <c r="E163" i="40"/>
  <c r="D163" i="40"/>
  <c r="C163" i="40"/>
  <c r="E162" i="40"/>
  <c r="D162" i="40"/>
  <c r="C162" i="40"/>
  <c r="E161" i="40"/>
  <c r="D161" i="40"/>
  <c r="C161" i="40"/>
  <c r="E160" i="40"/>
  <c r="D160" i="40"/>
  <c r="C160" i="40"/>
  <c r="E159" i="40"/>
  <c r="D159" i="40"/>
  <c r="C159" i="40"/>
  <c r="E158" i="40"/>
  <c r="D158" i="40"/>
  <c r="C158" i="40"/>
  <c r="E157" i="40"/>
  <c r="D157" i="40"/>
  <c r="C157" i="40"/>
  <c r="E156" i="40"/>
  <c r="D156" i="40"/>
  <c r="C156" i="40"/>
  <c r="E155" i="40"/>
  <c r="D155" i="40"/>
  <c r="C155" i="40"/>
  <c r="E154" i="40"/>
  <c r="D154" i="40"/>
  <c r="C154" i="40"/>
  <c r="E153" i="40"/>
  <c r="D153" i="40"/>
  <c r="C153" i="40"/>
  <c r="E152" i="40"/>
  <c r="D152" i="40"/>
  <c r="C152" i="40"/>
  <c r="E151" i="40"/>
  <c r="D151" i="40"/>
  <c r="C151" i="40"/>
  <c r="E150" i="40"/>
  <c r="D150" i="40"/>
  <c r="C150" i="40"/>
  <c r="E149" i="40"/>
  <c r="D149" i="40"/>
  <c r="C149" i="40"/>
  <c r="E148" i="40"/>
  <c r="D148" i="40"/>
  <c r="C148" i="40"/>
  <c r="E147" i="40"/>
  <c r="D147" i="40"/>
  <c r="C147" i="40"/>
  <c r="E146" i="40"/>
  <c r="D146" i="40"/>
  <c r="C146" i="40"/>
  <c r="E145" i="40"/>
  <c r="D145" i="40"/>
  <c r="C145" i="40"/>
  <c r="E144" i="40"/>
  <c r="D144" i="40"/>
  <c r="C144" i="40"/>
  <c r="E143" i="40"/>
  <c r="D143" i="40"/>
  <c r="C143" i="40"/>
  <c r="E142" i="40"/>
  <c r="D142" i="40"/>
  <c r="C142" i="40"/>
  <c r="E141" i="40"/>
  <c r="D141" i="40"/>
  <c r="C141" i="40"/>
  <c r="E140" i="40"/>
  <c r="D140" i="40"/>
  <c r="C140" i="40"/>
  <c r="E139" i="40"/>
  <c r="D139" i="40"/>
  <c r="C139" i="40"/>
  <c r="E138" i="40"/>
  <c r="D138" i="40"/>
  <c r="C138" i="40"/>
  <c r="E137" i="40"/>
  <c r="D137" i="40"/>
  <c r="C137" i="40"/>
  <c r="E136" i="40"/>
  <c r="D136" i="40"/>
  <c r="C136" i="40"/>
  <c r="E134" i="40"/>
  <c r="D134" i="40"/>
  <c r="C134" i="40"/>
  <c r="E133" i="40"/>
  <c r="D133" i="40"/>
  <c r="C133" i="40"/>
  <c r="E132" i="40"/>
  <c r="D132" i="40"/>
  <c r="C132" i="40"/>
  <c r="E131" i="40"/>
  <c r="D131" i="40"/>
  <c r="C131" i="40"/>
  <c r="E130" i="40"/>
  <c r="D130" i="40"/>
  <c r="C130" i="40"/>
  <c r="E128" i="40"/>
  <c r="D128" i="40"/>
  <c r="C128" i="40"/>
  <c r="E127" i="40"/>
  <c r="D127" i="40"/>
  <c r="C127" i="40"/>
  <c r="E126" i="40"/>
  <c r="D126" i="40"/>
  <c r="C126" i="40"/>
  <c r="E125" i="40"/>
  <c r="D125" i="40"/>
  <c r="C125" i="40"/>
  <c r="E124" i="40"/>
  <c r="D124" i="40"/>
  <c r="C124" i="40"/>
  <c r="E123" i="40"/>
  <c r="D123" i="40"/>
  <c r="C123" i="40"/>
  <c r="E122" i="40"/>
  <c r="D122" i="40"/>
  <c r="C122" i="40"/>
  <c r="E121" i="40"/>
  <c r="D121" i="40"/>
  <c r="C121" i="40"/>
  <c r="E120" i="40"/>
  <c r="D120" i="40"/>
  <c r="C120" i="40"/>
  <c r="E119" i="40"/>
  <c r="D119" i="40"/>
  <c r="C119" i="40"/>
  <c r="E118" i="40"/>
  <c r="D118" i="40"/>
  <c r="C118" i="40"/>
  <c r="E117" i="40"/>
  <c r="D117" i="40"/>
  <c r="C117" i="40"/>
  <c r="E116" i="40"/>
  <c r="D116" i="40"/>
  <c r="C116" i="40"/>
  <c r="E115" i="40"/>
  <c r="D115" i="40"/>
  <c r="C115" i="40"/>
  <c r="E114" i="40"/>
  <c r="D114" i="40"/>
  <c r="C114" i="40"/>
  <c r="E113" i="40"/>
  <c r="D113" i="40"/>
  <c r="C113" i="40"/>
  <c r="E112" i="40"/>
  <c r="D112" i="40"/>
  <c r="C112" i="40"/>
  <c r="E111" i="40"/>
  <c r="D111" i="40"/>
  <c r="C111" i="40"/>
  <c r="E110" i="40"/>
  <c r="D110" i="40"/>
  <c r="C110" i="40"/>
  <c r="E109" i="40"/>
  <c r="D109" i="40"/>
  <c r="C109" i="40"/>
  <c r="E108" i="40"/>
  <c r="D108" i="40"/>
  <c r="C108" i="40"/>
  <c r="E107" i="40"/>
  <c r="D107" i="40"/>
  <c r="C107" i="40"/>
  <c r="E106" i="40"/>
  <c r="D106" i="40"/>
  <c r="C106" i="40"/>
  <c r="E105" i="40"/>
  <c r="D105" i="40"/>
  <c r="C105" i="40"/>
  <c r="E104" i="40"/>
  <c r="D104" i="40"/>
  <c r="C104" i="40"/>
  <c r="E103" i="40"/>
  <c r="D103" i="40"/>
  <c r="C103" i="40"/>
  <c r="E102" i="40"/>
  <c r="D102" i="40"/>
  <c r="C102" i="40"/>
  <c r="E101" i="40"/>
  <c r="D101" i="40"/>
  <c r="C101" i="40"/>
  <c r="E100" i="40"/>
  <c r="D100" i="40"/>
  <c r="C100" i="40"/>
  <c r="E99" i="40"/>
  <c r="D99" i="40"/>
  <c r="C99" i="40"/>
  <c r="E98" i="40"/>
  <c r="D98" i="40"/>
  <c r="C98" i="40"/>
  <c r="E97" i="40"/>
  <c r="D97" i="40"/>
  <c r="C97" i="40"/>
  <c r="E96" i="40"/>
  <c r="D96" i="40"/>
  <c r="C96" i="40"/>
  <c r="E95" i="40"/>
  <c r="D95" i="40"/>
  <c r="C95" i="40"/>
  <c r="E94" i="40"/>
  <c r="D94" i="40"/>
  <c r="C94" i="40"/>
  <c r="E93" i="40"/>
  <c r="D93" i="40"/>
  <c r="C93" i="40"/>
  <c r="E92" i="40"/>
  <c r="D92" i="40"/>
  <c r="C92" i="40"/>
  <c r="E91" i="40"/>
  <c r="D91" i="40"/>
  <c r="C91" i="40"/>
  <c r="E90" i="40"/>
  <c r="D90" i="40"/>
  <c r="C90" i="40"/>
  <c r="E89" i="40"/>
  <c r="D89" i="40"/>
  <c r="C89" i="40"/>
  <c r="E88" i="40"/>
  <c r="D88" i="40"/>
  <c r="C88" i="40"/>
  <c r="E87" i="40"/>
  <c r="D87" i="40"/>
  <c r="C87" i="40"/>
  <c r="E86" i="40"/>
  <c r="D86" i="40"/>
  <c r="C86" i="40"/>
  <c r="E85" i="40"/>
  <c r="D85" i="40"/>
  <c r="C85" i="40"/>
  <c r="E84" i="40"/>
  <c r="D84" i="40"/>
  <c r="C84" i="40"/>
  <c r="E83" i="40"/>
  <c r="D83" i="40"/>
  <c r="C83" i="40"/>
  <c r="E82" i="40"/>
  <c r="D82" i="40"/>
  <c r="C82" i="40"/>
  <c r="E81" i="40"/>
  <c r="D81" i="40"/>
  <c r="C81" i="40"/>
  <c r="E80" i="40"/>
  <c r="D80" i="40"/>
  <c r="C80" i="40"/>
  <c r="E79" i="40"/>
  <c r="D79" i="40"/>
  <c r="C79" i="40"/>
  <c r="E78" i="40"/>
  <c r="D78" i="40"/>
  <c r="C78" i="40"/>
  <c r="E77" i="40"/>
  <c r="D77" i="40"/>
  <c r="C77" i="40"/>
  <c r="E76" i="40"/>
  <c r="D76" i="40"/>
  <c r="C76" i="40"/>
  <c r="E75" i="40"/>
  <c r="D75" i="40"/>
  <c r="C75" i="40"/>
  <c r="E74" i="40"/>
  <c r="D74" i="40"/>
  <c r="C74" i="40"/>
  <c r="E73" i="40"/>
  <c r="D73" i="40"/>
  <c r="C73" i="40"/>
  <c r="E72" i="40"/>
  <c r="D72" i="40"/>
  <c r="C72" i="40"/>
  <c r="E71" i="40"/>
  <c r="D71" i="40"/>
  <c r="C71" i="40"/>
  <c r="E70" i="40"/>
  <c r="D70" i="40"/>
  <c r="C70" i="40"/>
  <c r="E69" i="40"/>
  <c r="D69" i="40"/>
  <c r="C69" i="40"/>
  <c r="E68" i="40"/>
  <c r="D68" i="40"/>
  <c r="C68" i="40"/>
  <c r="E67" i="40"/>
  <c r="D67" i="40"/>
  <c r="C67" i="40"/>
  <c r="E66" i="40"/>
  <c r="D66" i="40"/>
  <c r="C66" i="40"/>
  <c r="E65" i="40"/>
  <c r="D65" i="40"/>
  <c r="C65" i="40"/>
  <c r="E64" i="40"/>
  <c r="D64" i="40"/>
  <c r="C64" i="40"/>
  <c r="E63" i="40"/>
  <c r="D63" i="40"/>
  <c r="C63" i="40"/>
  <c r="E62" i="40"/>
  <c r="D62" i="40"/>
  <c r="C62" i="40"/>
  <c r="E61" i="40"/>
  <c r="D61" i="40"/>
  <c r="C61" i="40"/>
  <c r="E60" i="40"/>
  <c r="D60" i="40"/>
  <c r="C60" i="40"/>
  <c r="E59" i="40"/>
  <c r="D59" i="40"/>
  <c r="C59" i="40"/>
  <c r="E58" i="40"/>
  <c r="D58" i="40"/>
  <c r="C58" i="40"/>
  <c r="E57" i="40"/>
  <c r="D57" i="40"/>
  <c r="C57" i="40"/>
  <c r="E56" i="40"/>
  <c r="D56" i="40"/>
  <c r="C56" i="40"/>
  <c r="E55" i="40"/>
  <c r="D55" i="40"/>
  <c r="C55" i="40"/>
  <c r="E54" i="40"/>
  <c r="D54" i="40"/>
  <c r="C54" i="40"/>
  <c r="E53" i="40"/>
  <c r="D53" i="40"/>
  <c r="C53" i="40"/>
  <c r="E52" i="40"/>
  <c r="D52" i="40"/>
  <c r="C52" i="40"/>
  <c r="E51" i="40"/>
  <c r="D51" i="40"/>
  <c r="C51" i="40"/>
  <c r="E50" i="40"/>
  <c r="D50" i="40"/>
  <c r="C50" i="40"/>
  <c r="E49" i="40"/>
  <c r="D49" i="40"/>
  <c r="C49" i="40"/>
  <c r="E48" i="40"/>
  <c r="D48" i="40"/>
  <c r="C48" i="40"/>
  <c r="E47" i="40"/>
  <c r="D47" i="40"/>
  <c r="C47" i="40"/>
  <c r="E46" i="40"/>
  <c r="D46" i="40"/>
  <c r="C46" i="40"/>
  <c r="E45" i="40"/>
  <c r="D45" i="40"/>
  <c r="C45" i="40"/>
  <c r="E44" i="40"/>
  <c r="D44" i="40"/>
  <c r="C44" i="40"/>
  <c r="E43" i="40"/>
  <c r="D43" i="40"/>
  <c r="C43" i="40"/>
  <c r="E42" i="40"/>
  <c r="D42" i="40"/>
  <c r="C42" i="40"/>
  <c r="E40" i="40"/>
  <c r="D40" i="40"/>
  <c r="C40" i="40"/>
  <c r="E39" i="40"/>
  <c r="D39" i="40"/>
  <c r="C39" i="40"/>
  <c r="E38" i="40"/>
  <c r="D38" i="40"/>
  <c r="C38" i="40"/>
  <c r="E37" i="40"/>
  <c r="D37" i="40"/>
  <c r="C37" i="40"/>
  <c r="E36" i="40"/>
  <c r="D36" i="40"/>
  <c r="C36" i="40"/>
  <c r="E34" i="40"/>
  <c r="D34" i="40"/>
  <c r="C34" i="40"/>
  <c r="E33" i="40"/>
  <c r="D33" i="40"/>
  <c r="C33" i="40"/>
  <c r="E32" i="40"/>
  <c r="D32" i="40"/>
  <c r="C32" i="40"/>
  <c r="E31" i="40"/>
  <c r="D31" i="40"/>
  <c r="C31" i="40"/>
  <c r="E30" i="40"/>
  <c r="D30" i="40"/>
  <c r="C30" i="40"/>
  <c r="E29" i="40"/>
  <c r="D29" i="40"/>
  <c r="C29" i="40"/>
  <c r="E28" i="40"/>
  <c r="D28" i="40"/>
  <c r="C28" i="40"/>
  <c r="E27" i="40"/>
  <c r="D27" i="40"/>
  <c r="C27" i="40"/>
  <c r="E26" i="40"/>
  <c r="D26" i="40"/>
  <c r="C26" i="40"/>
  <c r="E25" i="40"/>
  <c r="D25" i="40"/>
  <c r="C25" i="40"/>
  <c r="E24" i="40"/>
  <c r="D24" i="40"/>
  <c r="C24" i="40"/>
  <c r="E23" i="40"/>
  <c r="D23" i="40"/>
  <c r="C23" i="40"/>
  <c r="E22" i="40"/>
  <c r="D22" i="40"/>
  <c r="C22" i="40"/>
  <c r="E21" i="40"/>
  <c r="D21" i="40"/>
  <c r="C21" i="40"/>
  <c r="E20" i="40"/>
  <c r="D20" i="40"/>
  <c r="C20" i="40"/>
  <c r="E19" i="40"/>
  <c r="D19" i="40"/>
  <c r="C19" i="40"/>
  <c r="E18" i="40"/>
  <c r="D18" i="40"/>
  <c r="C18" i="40"/>
  <c r="E17" i="40"/>
  <c r="D17" i="40"/>
  <c r="C17" i="40"/>
  <c r="E16" i="40"/>
  <c r="D16" i="40"/>
  <c r="C16" i="40"/>
  <c r="E15" i="40"/>
  <c r="D15" i="40"/>
  <c r="C15" i="40"/>
  <c r="E14" i="40"/>
  <c r="D14" i="40"/>
  <c r="C14" i="40"/>
  <c r="E13" i="40"/>
  <c r="D13" i="40"/>
  <c r="C13" i="40"/>
  <c r="E12" i="40"/>
  <c r="D12" i="40"/>
  <c r="C12" i="40"/>
  <c r="E11" i="40"/>
  <c r="D11" i="40"/>
  <c r="C11" i="40"/>
  <c r="E10" i="40"/>
  <c r="D10" i="40"/>
  <c r="C10" i="40"/>
  <c r="E9" i="40"/>
  <c r="D9" i="40"/>
  <c r="C9" i="40"/>
  <c r="E8" i="40"/>
  <c r="D8" i="40"/>
  <c r="C8" i="40"/>
  <c r="E7" i="40"/>
  <c r="D7" i="40"/>
  <c r="C7" i="40"/>
  <c r="E6" i="40"/>
  <c r="D6" i="40"/>
  <c r="C6" i="40"/>
  <c r="E5" i="40"/>
  <c r="D5" i="40"/>
  <c r="C5" i="40"/>
  <c r="E125" i="39" l="1"/>
  <c r="D125" i="39"/>
  <c r="D125" i="59" s="1"/>
  <c r="C125" i="39"/>
  <c r="E124" i="39"/>
  <c r="D124" i="39"/>
  <c r="D124" i="59" s="1"/>
  <c r="C124" i="39"/>
  <c r="E123" i="39"/>
  <c r="D123" i="39"/>
  <c r="D123" i="59" s="1"/>
  <c r="C123" i="39"/>
  <c r="E122" i="39"/>
  <c r="D122" i="39"/>
  <c r="D122" i="59" s="1"/>
  <c r="C122" i="39"/>
  <c r="E316" i="40" l="1"/>
  <c r="E315" i="40"/>
  <c r="E305" i="40"/>
  <c r="E304" i="40"/>
  <c r="E300" i="40"/>
  <c r="E297" i="40"/>
  <c r="E295" i="40"/>
  <c r="E291" i="40"/>
  <c r="E287" i="40"/>
  <c r="E323" i="40"/>
  <c r="E322" i="40"/>
  <c r="E321" i="40"/>
  <c r="E320" i="40"/>
  <c r="E303" i="40"/>
  <c r="E302" i="40"/>
  <c r="E301" i="40"/>
  <c r="E311" i="40"/>
  <c r="E318" i="40"/>
  <c r="E317" i="40"/>
  <c r="E294" i="40"/>
  <c r="E293" i="40"/>
  <c r="E292" i="40"/>
  <c r="E290" i="40"/>
  <c r="E307" i="40"/>
  <c r="E146" i="48"/>
  <c r="E147" i="48" s="1"/>
  <c r="D146" i="48"/>
  <c r="E126" i="48"/>
  <c r="E131" i="48" s="1"/>
  <c r="D126" i="48"/>
  <c r="D131" i="48" s="1"/>
  <c r="E106" i="48"/>
  <c r="E130" i="48" s="1"/>
  <c r="D106" i="48"/>
  <c r="D130" i="48" s="1"/>
  <c r="E86" i="48"/>
  <c r="E87" i="48" s="1"/>
  <c r="E129" i="48" s="1"/>
  <c r="D86" i="48"/>
  <c r="D87" i="48" s="1"/>
  <c r="D129" i="48" s="1"/>
  <c r="E70" i="48"/>
  <c r="D70" i="48"/>
  <c r="E58" i="48"/>
  <c r="E61" i="48" s="1"/>
  <c r="D58" i="48"/>
  <c r="D61" i="48" s="1"/>
  <c r="E47" i="48"/>
  <c r="E66" i="48" s="1"/>
  <c r="E67" i="48" s="1"/>
  <c r="D47" i="48"/>
  <c r="D66" i="48" s="1"/>
  <c r="D67" i="48" s="1"/>
  <c r="E44" i="48"/>
  <c r="D44" i="48"/>
  <c r="E34" i="48"/>
  <c r="D34" i="48"/>
  <c r="E28" i="48"/>
  <c r="E29" i="48" s="1"/>
  <c r="D28" i="48"/>
  <c r="D29" i="48" s="1"/>
  <c r="E21" i="48"/>
  <c r="E31" i="48" s="1"/>
  <c r="D21" i="48"/>
  <c r="D31" i="48" s="1"/>
  <c r="E84" i="74"/>
  <c r="E83" i="74"/>
  <c r="E82" i="74"/>
  <c r="E67" i="74"/>
  <c r="E66" i="74"/>
  <c r="E65" i="74"/>
  <c r="E64" i="74"/>
  <c r="E63" i="74"/>
  <c r="E62" i="74"/>
  <c r="E61" i="74"/>
  <c r="E60" i="74"/>
  <c r="E59" i="74"/>
  <c r="E58" i="74"/>
  <c r="E57" i="74"/>
  <c r="E56" i="74"/>
  <c r="E55" i="74"/>
  <c r="E54" i="74"/>
  <c r="E53" i="74"/>
  <c r="E52" i="74"/>
  <c r="E51" i="74"/>
  <c r="E50" i="74"/>
  <c r="E49" i="74"/>
  <c r="E48" i="74"/>
  <c r="E47" i="74"/>
  <c r="E46" i="74"/>
  <c r="E45" i="74"/>
  <c r="E44" i="74"/>
  <c r="E43" i="74"/>
  <c r="E42" i="74"/>
  <c r="E41" i="74"/>
  <c r="E40" i="74"/>
  <c r="E39" i="74"/>
  <c r="E38" i="74"/>
  <c r="E37" i="74"/>
  <c r="E36" i="74"/>
  <c r="E35" i="74"/>
  <c r="E34" i="74"/>
  <c r="E33" i="74"/>
  <c r="E32" i="74"/>
  <c r="E31" i="74"/>
  <c r="E30" i="74"/>
  <c r="E29" i="74"/>
  <c r="E28" i="74"/>
  <c r="E27" i="74"/>
  <c r="E26" i="74"/>
  <c r="E25" i="74"/>
  <c r="E24" i="74"/>
  <c r="E23" i="74"/>
  <c r="E22" i="74"/>
  <c r="E21" i="74"/>
  <c r="E20" i="74"/>
  <c r="E19" i="74"/>
  <c r="E18" i="74"/>
  <c r="E17" i="74"/>
  <c r="E16" i="74"/>
  <c r="E15" i="74"/>
  <c r="E14" i="74"/>
  <c r="E13" i="74"/>
  <c r="E12" i="74"/>
  <c r="E11" i="74"/>
  <c r="E10" i="74"/>
  <c r="E9" i="74"/>
  <c r="E8" i="74"/>
  <c r="E5" i="74"/>
  <c r="E93" i="74" s="1"/>
  <c r="D101" i="74"/>
  <c r="D100" i="74"/>
  <c r="D99" i="74"/>
  <c r="D98" i="74"/>
  <c r="D97" i="74"/>
  <c r="D94" i="74"/>
  <c r="D91" i="74"/>
  <c r="D90" i="74"/>
  <c r="D89" i="74"/>
  <c r="D88" i="74"/>
  <c r="D85" i="74"/>
  <c r="D84" i="74"/>
  <c r="D81" i="74"/>
  <c r="D80" i="74"/>
  <c r="D79" i="74"/>
  <c r="D76" i="74"/>
  <c r="D75" i="74"/>
  <c r="D74" i="74"/>
  <c r="D71" i="74"/>
  <c r="D70" i="74"/>
  <c r="D67" i="74"/>
  <c r="D66" i="74"/>
  <c r="D65" i="74"/>
  <c r="D64" i="74"/>
  <c r="D63" i="74"/>
  <c r="D62" i="74"/>
  <c r="D61" i="74"/>
  <c r="D60" i="74"/>
  <c r="D59" i="74"/>
  <c r="D58" i="74"/>
  <c r="D57" i="74"/>
  <c r="D56" i="74"/>
  <c r="D55" i="74"/>
  <c r="D54" i="74"/>
  <c r="D53" i="74"/>
  <c r="D52" i="74"/>
  <c r="D51" i="74"/>
  <c r="D50" i="74"/>
  <c r="D49" i="74"/>
  <c r="D48" i="74"/>
  <c r="D47" i="74"/>
  <c r="D46" i="74"/>
  <c r="D45" i="74"/>
  <c r="D44" i="74"/>
  <c r="D43" i="74"/>
  <c r="D42" i="74"/>
  <c r="D41" i="74"/>
  <c r="D40" i="74"/>
  <c r="D39" i="74"/>
  <c r="D38" i="74"/>
  <c r="D37" i="74"/>
  <c r="D36" i="74"/>
  <c r="D35" i="74"/>
  <c r="D34" i="74"/>
  <c r="D33" i="74"/>
  <c r="D32" i="74"/>
  <c r="D31" i="74"/>
  <c r="D30" i="74"/>
  <c r="D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8" i="74"/>
  <c r="D5" i="74"/>
  <c r="D103" i="74" s="1"/>
  <c r="E45" i="72"/>
  <c r="E40" i="72"/>
  <c r="E35" i="72"/>
  <c r="E30" i="72"/>
  <c r="E24" i="72"/>
  <c r="E19" i="72"/>
  <c r="E14" i="72"/>
  <c r="E9" i="72"/>
  <c r="D45" i="72"/>
  <c r="D40" i="72"/>
  <c r="D35" i="72"/>
  <c r="D30" i="72"/>
  <c r="D24" i="72"/>
  <c r="D19" i="72"/>
  <c r="D14" i="72"/>
  <c r="D9" i="72"/>
  <c r="G306" i="71"/>
  <c r="G308" i="71" s="1"/>
  <c r="G302" i="71"/>
  <c r="G304" i="71" s="1"/>
  <c r="G298" i="71"/>
  <c r="G300" i="71" s="1"/>
  <c r="G294" i="71"/>
  <c r="G296" i="71" s="1"/>
  <c r="G291" i="71"/>
  <c r="G288" i="71"/>
  <c r="G285" i="71"/>
  <c r="G245" i="71"/>
  <c r="G248" i="71" s="1"/>
  <c r="G240" i="71"/>
  <c r="G243" i="71" s="1"/>
  <c r="G235" i="71"/>
  <c r="G238" i="71" s="1"/>
  <c r="G230" i="71"/>
  <c r="G233" i="71" s="1"/>
  <c r="G227" i="71"/>
  <c r="G224" i="71"/>
  <c r="G221" i="71"/>
  <c r="G180" i="71"/>
  <c r="G184" i="71" s="1"/>
  <c r="G174" i="71"/>
  <c r="G178" i="71" s="1"/>
  <c r="G168" i="71"/>
  <c r="G172" i="71" s="1"/>
  <c r="G162" i="71"/>
  <c r="G166" i="71" s="1"/>
  <c r="G159" i="71"/>
  <c r="G156" i="71"/>
  <c r="G153" i="71"/>
  <c r="G111" i="71"/>
  <c r="G116" i="71" s="1"/>
  <c r="G104" i="71"/>
  <c r="G109" i="71" s="1"/>
  <c r="G97" i="71"/>
  <c r="G102" i="71" s="1"/>
  <c r="G90" i="71"/>
  <c r="G95" i="71" s="1"/>
  <c r="G87" i="71"/>
  <c r="G84" i="71"/>
  <c r="G81" i="71"/>
  <c r="G51" i="71"/>
  <c r="G48" i="71"/>
  <c r="G43" i="71"/>
  <c r="G40" i="71"/>
  <c r="G35" i="71"/>
  <c r="G32" i="71"/>
  <c r="G27" i="71"/>
  <c r="G24" i="71"/>
  <c r="G19" i="71"/>
  <c r="G16" i="71"/>
  <c r="G11" i="71"/>
  <c r="G8" i="71"/>
  <c r="F306" i="71"/>
  <c r="F308" i="71" s="1"/>
  <c r="F302" i="71"/>
  <c r="F304" i="71" s="1"/>
  <c r="F298" i="71"/>
  <c r="F300" i="71" s="1"/>
  <c r="F294" i="71"/>
  <c r="F296" i="71" s="1"/>
  <c r="F291" i="71"/>
  <c r="F288" i="71"/>
  <c r="F285" i="71"/>
  <c r="F245" i="71"/>
  <c r="F248" i="71" s="1"/>
  <c r="F240" i="71"/>
  <c r="F243" i="71" s="1"/>
  <c r="F235" i="71"/>
  <c r="F238" i="71" s="1"/>
  <c r="F230" i="71"/>
  <c r="F233" i="71" s="1"/>
  <c r="F227" i="71"/>
  <c r="F224" i="71"/>
  <c r="F221" i="71"/>
  <c r="F180" i="71"/>
  <c r="F184" i="71" s="1"/>
  <c r="F174" i="71"/>
  <c r="F178" i="71" s="1"/>
  <c r="F168" i="71"/>
  <c r="F172" i="71" s="1"/>
  <c r="F162" i="71"/>
  <c r="F166" i="71" s="1"/>
  <c r="F159" i="71"/>
  <c r="F156" i="71"/>
  <c r="F153" i="71"/>
  <c r="F111" i="71"/>
  <c r="F116" i="71" s="1"/>
  <c r="F104" i="71"/>
  <c r="F109" i="71" s="1"/>
  <c r="F97" i="71"/>
  <c r="F102" i="71" s="1"/>
  <c r="F90" i="71"/>
  <c r="F95" i="71" s="1"/>
  <c r="F87" i="71"/>
  <c r="F84" i="71"/>
  <c r="F81" i="71"/>
  <c r="F51" i="71"/>
  <c r="F48" i="71"/>
  <c r="F43" i="71"/>
  <c r="F40" i="71"/>
  <c r="F35" i="71"/>
  <c r="F32" i="71"/>
  <c r="F27" i="71"/>
  <c r="F24" i="71"/>
  <c r="F19" i="71"/>
  <c r="F16" i="71"/>
  <c r="F11" i="71"/>
  <c r="F8" i="71"/>
  <c r="E88" i="75"/>
  <c r="E85" i="75"/>
  <c r="E89" i="75" s="1"/>
  <c r="E57" i="75"/>
  <c r="E56" i="75"/>
  <c r="E53" i="75"/>
  <c r="E24" i="75"/>
  <c r="E21" i="75"/>
  <c r="E25" i="75" s="1"/>
  <c r="D89" i="75"/>
  <c r="D88" i="75"/>
  <c r="D85" i="75"/>
  <c r="D56" i="75"/>
  <c r="D53" i="75"/>
  <c r="D57" i="75" s="1"/>
  <c r="D24" i="75"/>
  <c r="D25" i="75" s="1"/>
  <c r="D21" i="75"/>
  <c r="E1146" i="19"/>
  <c r="E1112" i="19"/>
  <c r="E1057" i="19"/>
  <c r="E1154" i="19" s="1"/>
  <c r="E1041" i="19"/>
  <c r="E1153" i="19" s="1"/>
  <c r="E1155" i="19" s="1"/>
  <c r="E975" i="19"/>
  <c r="E983" i="19" s="1"/>
  <c r="E935" i="19"/>
  <c r="E982" i="19" s="1"/>
  <c r="E984" i="19" s="1"/>
  <c r="E858" i="19"/>
  <c r="E866" i="19" s="1"/>
  <c r="E824" i="19"/>
  <c r="E769" i="19"/>
  <c r="E753" i="19"/>
  <c r="E865" i="19" s="1"/>
  <c r="E867" i="19" s="1"/>
  <c r="E687" i="19"/>
  <c r="E695" i="19" s="1"/>
  <c r="E647" i="19"/>
  <c r="E694" i="19" s="1"/>
  <c r="E570" i="19"/>
  <c r="E578" i="19" s="1"/>
  <c r="E536" i="19"/>
  <c r="E481" i="19"/>
  <c r="E465" i="19"/>
  <c r="E577" i="19" s="1"/>
  <c r="E399" i="19"/>
  <c r="E407" i="19" s="1"/>
  <c r="E359" i="19"/>
  <c r="E406" i="19" s="1"/>
  <c r="E282" i="19"/>
  <c r="E290" i="19" s="1"/>
  <c r="E248" i="19"/>
  <c r="E193" i="19"/>
  <c r="E177" i="19"/>
  <c r="E289" i="19" s="1"/>
  <c r="E291" i="19" s="1"/>
  <c r="E111" i="19"/>
  <c r="E119" i="19" s="1"/>
  <c r="E71" i="19"/>
  <c r="E118" i="19" s="1"/>
  <c r="E120" i="19" s="1"/>
  <c r="D1146" i="19"/>
  <c r="D1112" i="19"/>
  <c r="D1057" i="19"/>
  <c r="D1154" i="19" s="1"/>
  <c r="D1041" i="19"/>
  <c r="D1153" i="19" s="1"/>
  <c r="D1155" i="19" s="1"/>
  <c r="D975" i="19"/>
  <c r="D983" i="19" s="1"/>
  <c r="D935" i="19"/>
  <c r="D982" i="19" s="1"/>
  <c r="D984" i="19" s="1"/>
  <c r="D867" i="19"/>
  <c r="D858" i="19"/>
  <c r="D824" i="19"/>
  <c r="D769" i="19"/>
  <c r="D866" i="19" s="1"/>
  <c r="D753" i="19"/>
  <c r="D865" i="19" s="1"/>
  <c r="D687" i="19"/>
  <c r="D695" i="19" s="1"/>
  <c r="D647" i="19"/>
  <c r="D694" i="19" s="1"/>
  <c r="D696" i="19" s="1"/>
  <c r="D570" i="19"/>
  <c r="D536" i="19"/>
  <c r="D481" i="19"/>
  <c r="D578" i="19" s="1"/>
  <c r="D465" i="19"/>
  <c r="D407" i="19"/>
  <c r="D408" i="19" s="1"/>
  <c r="D399" i="19"/>
  <c r="D359" i="19"/>
  <c r="D406" i="19" s="1"/>
  <c r="D282" i="19"/>
  <c r="D248" i="19"/>
  <c r="D193" i="19"/>
  <c r="D290" i="19" s="1"/>
  <c r="D177" i="19"/>
  <c r="D120" i="19"/>
  <c r="D118" i="19"/>
  <c r="D111" i="19"/>
  <c r="D119" i="19" s="1"/>
  <c r="D71" i="19"/>
  <c r="E540" i="16"/>
  <c r="E535" i="16"/>
  <c r="E458" i="16"/>
  <c r="E453" i="16"/>
  <c r="E448" i="16"/>
  <c r="E443" i="16"/>
  <c r="E436" i="16"/>
  <c r="E435" i="16"/>
  <c r="E437" i="16" s="1"/>
  <c r="E433" i="16"/>
  <c r="E430" i="16"/>
  <c r="E424" i="16"/>
  <c r="E423" i="16"/>
  <c r="E421" i="16"/>
  <c r="E418" i="16"/>
  <c r="E412" i="16"/>
  <c r="E411" i="16"/>
  <c r="E409" i="16"/>
  <c r="E406" i="16"/>
  <c r="E400" i="16"/>
  <c r="E399" i="16"/>
  <c r="E397" i="16"/>
  <c r="E394" i="16"/>
  <c r="E387" i="16"/>
  <c r="E386" i="16"/>
  <c r="E388" i="16" s="1"/>
  <c r="E384" i="16"/>
  <c r="E381" i="16"/>
  <c r="E375" i="16"/>
  <c r="E374" i="16"/>
  <c r="E372" i="16"/>
  <c r="E369" i="16"/>
  <c r="E338" i="16"/>
  <c r="E337" i="16"/>
  <c r="E335" i="16"/>
  <c r="E332" i="16"/>
  <c r="E326" i="16"/>
  <c r="E325" i="16"/>
  <c r="E323" i="16"/>
  <c r="E320" i="16"/>
  <c r="E314" i="16"/>
  <c r="E313" i="16"/>
  <c r="E311" i="16"/>
  <c r="E308" i="16"/>
  <c r="E302" i="16"/>
  <c r="E301" i="16"/>
  <c r="E299" i="16"/>
  <c r="E296" i="16"/>
  <c r="E290" i="16"/>
  <c r="E285" i="16"/>
  <c r="E268" i="16"/>
  <c r="E267" i="16"/>
  <c r="E269" i="16" s="1"/>
  <c r="E265" i="16"/>
  <c r="E262" i="16"/>
  <c r="E256" i="16"/>
  <c r="E255" i="16"/>
  <c r="E257" i="16" s="1"/>
  <c r="E253" i="16"/>
  <c r="E250" i="16"/>
  <c r="E219" i="16"/>
  <c r="E218" i="16"/>
  <c r="E220" i="16" s="1"/>
  <c r="E216" i="16"/>
  <c r="E213" i="16"/>
  <c r="E207" i="16"/>
  <c r="E206" i="16"/>
  <c r="E204" i="16"/>
  <c r="E201" i="16"/>
  <c r="E195" i="16"/>
  <c r="E194" i="16"/>
  <c r="E192" i="16"/>
  <c r="E189" i="16"/>
  <c r="E183" i="16"/>
  <c r="E182" i="16"/>
  <c r="E180" i="16"/>
  <c r="E177" i="16"/>
  <c r="E170" i="16"/>
  <c r="E169" i="16"/>
  <c r="E171" i="16" s="1"/>
  <c r="E167" i="16"/>
  <c r="E164" i="16"/>
  <c r="E158" i="16"/>
  <c r="E157" i="16"/>
  <c r="E155" i="16"/>
  <c r="E152" i="16"/>
  <c r="E121" i="16"/>
  <c r="E122" i="16" s="1"/>
  <c r="E120" i="16"/>
  <c r="E118" i="16"/>
  <c r="E115" i="16"/>
  <c r="E109" i="16"/>
  <c r="E108" i="16"/>
  <c r="E110" i="16" s="1"/>
  <c r="E106" i="16"/>
  <c r="E103" i="16"/>
  <c r="E73" i="16"/>
  <c r="E68" i="16"/>
  <c r="E63" i="16"/>
  <c r="E58" i="16"/>
  <c r="E51" i="16"/>
  <c r="E52" i="16" s="1"/>
  <c r="E50" i="16"/>
  <c r="E48" i="16"/>
  <c r="E45" i="16"/>
  <c r="E39" i="16"/>
  <c r="E38" i="16"/>
  <c r="E40" i="16" s="1"/>
  <c r="E36" i="16"/>
  <c r="E33" i="16"/>
  <c r="E27" i="16"/>
  <c r="E26" i="16"/>
  <c r="E24" i="16"/>
  <c r="E21" i="16"/>
  <c r="E15" i="16"/>
  <c r="E16" i="16" s="1"/>
  <c r="E14" i="16"/>
  <c r="E12" i="16"/>
  <c r="E9" i="16"/>
  <c r="D540" i="16"/>
  <c r="D535" i="16"/>
  <c r="D458" i="16"/>
  <c r="D453" i="16"/>
  <c r="D448" i="16"/>
  <c r="D443" i="16"/>
  <c r="D436" i="16"/>
  <c r="D435" i="16"/>
  <c r="D433" i="16"/>
  <c r="D430" i="16"/>
  <c r="D424" i="16"/>
  <c r="D423" i="16"/>
  <c r="D421" i="16"/>
  <c r="D418" i="16"/>
  <c r="D412" i="16"/>
  <c r="D411" i="16"/>
  <c r="D409" i="16"/>
  <c r="D406" i="16"/>
  <c r="D400" i="16"/>
  <c r="D399" i="16"/>
  <c r="D401" i="16" s="1"/>
  <c r="D397" i="16"/>
  <c r="D394" i="16"/>
  <c r="D387" i="16"/>
  <c r="D386" i="16"/>
  <c r="D384" i="16"/>
  <c r="D381" i="16"/>
  <c r="D375" i="16"/>
  <c r="D374" i="16"/>
  <c r="D376" i="16" s="1"/>
  <c r="D372" i="16"/>
  <c r="D369" i="16"/>
  <c r="D338" i="16"/>
  <c r="D337" i="16"/>
  <c r="D335" i="16"/>
  <c r="D332" i="16"/>
  <c r="D326" i="16"/>
  <c r="D325" i="16"/>
  <c r="D323" i="16"/>
  <c r="D320" i="16"/>
  <c r="D314" i="16"/>
  <c r="D313" i="16"/>
  <c r="D311" i="16"/>
  <c r="D308" i="16"/>
  <c r="D302" i="16"/>
  <c r="D301" i="16"/>
  <c r="D299" i="16"/>
  <c r="D296" i="16"/>
  <c r="D290" i="16"/>
  <c r="D285" i="16"/>
  <c r="D268" i="16"/>
  <c r="D267" i="16"/>
  <c r="D265" i="16"/>
  <c r="D262" i="16"/>
  <c r="D256" i="16"/>
  <c r="D255" i="16"/>
  <c r="D253" i="16"/>
  <c r="D250" i="16"/>
  <c r="D219" i="16"/>
  <c r="D218" i="16"/>
  <c r="D216" i="16"/>
  <c r="D213" i="16"/>
  <c r="D207" i="16"/>
  <c r="D206" i="16"/>
  <c r="D204" i="16"/>
  <c r="D201" i="16"/>
  <c r="D195" i="16"/>
  <c r="D194" i="16"/>
  <c r="D192" i="16"/>
  <c r="D189" i="16"/>
  <c r="D183" i="16"/>
  <c r="D184" i="16" s="1"/>
  <c r="D182" i="16"/>
  <c r="D180" i="16"/>
  <c r="D177" i="16"/>
  <c r="D170" i="16"/>
  <c r="D169" i="16"/>
  <c r="D167" i="16"/>
  <c r="D164" i="16"/>
  <c r="D158" i="16"/>
  <c r="D159" i="16" s="1"/>
  <c r="D157" i="16"/>
  <c r="D155" i="16"/>
  <c r="D152" i="16"/>
  <c r="D121" i="16"/>
  <c r="D120" i="16"/>
  <c r="D118" i="16"/>
  <c r="D115" i="16"/>
  <c r="D109" i="16"/>
  <c r="D108" i="16"/>
  <c r="D106" i="16"/>
  <c r="D103" i="16"/>
  <c r="D73" i="16"/>
  <c r="D68" i="16"/>
  <c r="D63" i="16"/>
  <c r="D58" i="16"/>
  <c r="D51" i="16"/>
  <c r="D50" i="16"/>
  <c r="D52" i="16" s="1"/>
  <c r="D48" i="16"/>
  <c r="D45" i="16"/>
  <c r="D39" i="16"/>
  <c r="D38" i="16"/>
  <c r="D36" i="16"/>
  <c r="D33" i="16"/>
  <c r="D27" i="16"/>
  <c r="D26" i="16"/>
  <c r="D24" i="16"/>
  <c r="D21" i="16"/>
  <c r="D15" i="16"/>
  <c r="D14" i="16"/>
  <c r="D12" i="16"/>
  <c r="D9" i="16"/>
  <c r="E268" i="15"/>
  <c r="E267" i="15"/>
  <c r="E269" i="15" s="1"/>
  <c r="E265" i="15"/>
  <c r="E262" i="15"/>
  <c r="E256" i="15"/>
  <c r="E255" i="15"/>
  <c r="E253" i="15"/>
  <c r="E250" i="15"/>
  <c r="E244" i="15"/>
  <c r="E243" i="15"/>
  <c r="E241" i="15"/>
  <c r="E238" i="15"/>
  <c r="E232" i="15"/>
  <c r="E231" i="15"/>
  <c r="E233" i="15" s="1"/>
  <c r="E229" i="15"/>
  <c r="E226" i="15"/>
  <c r="E219" i="15"/>
  <c r="E218" i="15"/>
  <c r="E220" i="15" s="1"/>
  <c r="E216" i="15"/>
  <c r="E213" i="15"/>
  <c r="E207" i="15"/>
  <c r="E206" i="15"/>
  <c r="E208" i="15" s="1"/>
  <c r="E204" i="15"/>
  <c r="E201" i="15"/>
  <c r="E195" i="15"/>
  <c r="E194" i="15"/>
  <c r="E196" i="15" s="1"/>
  <c r="E192" i="15"/>
  <c r="E189" i="15"/>
  <c r="E183" i="15"/>
  <c r="E182" i="15"/>
  <c r="E184" i="15" s="1"/>
  <c r="E180" i="15"/>
  <c r="E177" i="15"/>
  <c r="E170" i="15"/>
  <c r="E169" i="15"/>
  <c r="E167" i="15"/>
  <c r="E164" i="15"/>
  <c r="E158" i="15"/>
  <c r="E157" i="15"/>
  <c r="E155" i="15"/>
  <c r="E152" i="15"/>
  <c r="E146" i="15"/>
  <c r="E145" i="15"/>
  <c r="E143" i="15"/>
  <c r="E140" i="15"/>
  <c r="E134" i="15"/>
  <c r="E133" i="15"/>
  <c r="E135" i="15" s="1"/>
  <c r="E131" i="15"/>
  <c r="E128" i="15"/>
  <c r="E121" i="15"/>
  <c r="E120" i="15"/>
  <c r="E122" i="15" s="1"/>
  <c r="E118" i="15"/>
  <c r="E115" i="15"/>
  <c r="E109" i="15"/>
  <c r="E108" i="15"/>
  <c r="E106" i="15"/>
  <c r="E103" i="15"/>
  <c r="E97" i="15"/>
  <c r="E96" i="15"/>
  <c r="E98" i="15" s="1"/>
  <c r="E94" i="15"/>
  <c r="E91" i="15"/>
  <c r="E85" i="15"/>
  <c r="E84" i="15"/>
  <c r="E86" i="15" s="1"/>
  <c r="E82" i="15"/>
  <c r="E79" i="15"/>
  <c r="E72" i="15"/>
  <c r="E71" i="15"/>
  <c r="E73" i="15" s="1"/>
  <c r="E69" i="15"/>
  <c r="E66" i="15"/>
  <c r="E60" i="15"/>
  <c r="E59" i="15"/>
  <c r="E61" i="15" s="1"/>
  <c r="E57" i="15"/>
  <c r="E54" i="15"/>
  <c r="E48" i="15"/>
  <c r="E47" i="15"/>
  <c r="E49" i="15" s="1"/>
  <c r="E45" i="15"/>
  <c r="E42" i="15"/>
  <c r="E36" i="15"/>
  <c r="E35" i="15"/>
  <c r="E37" i="15" s="1"/>
  <c r="E33" i="15"/>
  <c r="E30" i="15"/>
  <c r="E24" i="15"/>
  <c r="E19" i="15"/>
  <c r="E14" i="15"/>
  <c r="E9" i="15"/>
  <c r="D268" i="15"/>
  <c r="D267" i="15"/>
  <c r="D265" i="15"/>
  <c r="D262" i="15"/>
  <c r="D256" i="15"/>
  <c r="D255" i="15"/>
  <c r="D253" i="15"/>
  <c r="D250" i="15"/>
  <c r="D244" i="15"/>
  <c r="D245" i="15" s="1"/>
  <c r="D243" i="15"/>
  <c r="D241" i="15"/>
  <c r="D238" i="15"/>
  <c r="D232" i="15"/>
  <c r="D231" i="15"/>
  <c r="D229" i="15"/>
  <c r="D226" i="15"/>
  <c r="D219" i="15"/>
  <c r="D218" i="15"/>
  <c r="D216" i="15"/>
  <c r="D213" i="15"/>
  <c r="D207" i="15"/>
  <c r="D206" i="15"/>
  <c r="D204" i="15"/>
  <c r="D201" i="15"/>
  <c r="D196" i="15"/>
  <c r="D195" i="15"/>
  <c r="D194" i="15"/>
  <c r="D192" i="15"/>
  <c r="D189" i="15"/>
  <c r="D183" i="15"/>
  <c r="D182" i="15"/>
  <c r="D180" i="15"/>
  <c r="D177" i="15"/>
  <c r="D170" i="15"/>
  <c r="D169" i="15"/>
  <c r="D171" i="15" s="1"/>
  <c r="D167" i="15"/>
  <c r="D164" i="15"/>
  <c r="D158" i="15"/>
  <c r="D157" i="15"/>
  <c r="D155" i="15"/>
  <c r="D152" i="15"/>
  <c r="D146" i="15"/>
  <c r="D145" i="15"/>
  <c r="D147" i="15" s="1"/>
  <c r="D143" i="15"/>
  <c r="D140" i="15"/>
  <c r="D134" i="15"/>
  <c r="D133" i="15"/>
  <c r="D131" i="15"/>
  <c r="D128" i="15"/>
  <c r="D121" i="15"/>
  <c r="D120" i="15"/>
  <c r="D122" i="15" s="1"/>
  <c r="D118" i="15"/>
  <c r="D115" i="15"/>
  <c r="D109" i="15"/>
  <c r="D108" i="15"/>
  <c r="D106" i="15"/>
  <c r="D103" i="15"/>
  <c r="D97" i="15"/>
  <c r="D96" i="15"/>
  <c r="D98" i="15" s="1"/>
  <c r="D94" i="15"/>
  <c r="D91" i="15"/>
  <c r="D85" i="15"/>
  <c r="D84" i="15"/>
  <c r="D86" i="15" s="1"/>
  <c r="D82" i="15"/>
  <c r="D79" i="15"/>
  <c r="D72" i="15"/>
  <c r="D71" i="15"/>
  <c r="D69" i="15"/>
  <c r="D66" i="15"/>
  <c r="D60" i="15"/>
  <c r="D59" i="15"/>
  <c r="D57" i="15"/>
  <c r="D54" i="15"/>
  <c r="D48" i="15"/>
  <c r="D47" i="15"/>
  <c r="D49" i="15" s="1"/>
  <c r="D45" i="15"/>
  <c r="D42" i="15"/>
  <c r="D36" i="15"/>
  <c r="D35" i="15"/>
  <c r="D37" i="15" s="1"/>
  <c r="D33" i="15"/>
  <c r="D30" i="15"/>
  <c r="D24" i="15"/>
  <c r="D19" i="15"/>
  <c r="D14" i="15"/>
  <c r="D9" i="15"/>
  <c r="G236" i="62"/>
  <c r="G228" i="62"/>
  <c r="G190" i="62"/>
  <c r="G189" i="62"/>
  <c r="G182" i="62"/>
  <c r="G181" i="62"/>
  <c r="G180" i="62"/>
  <c r="G179" i="62"/>
  <c r="G178" i="62"/>
  <c r="G176" i="62"/>
  <c r="G174" i="62"/>
  <c r="G164" i="62"/>
  <c r="G162" i="62"/>
  <c r="G150" i="62"/>
  <c r="G197" i="62" s="1"/>
  <c r="G149" i="62"/>
  <c r="G196" i="62" s="1"/>
  <c r="G144" i="62"/>
  <c r="G143" i="62"/>
  <c r="G142" i="62"/>
  <c r="G141" i="62"/>
  <c r="G138" i="62"/>
  <c r="G136" i="62"/>
  <c r="G126" i="62"/>
  <c r="G112" i="62"/>
  <c r="G111" i="62"/>
  <c r="G99" i="62"/>
  <c r="G92" i="62"/>
  <c r="G87" i="62"/>
  <c r="G173" i="62" s="1"/>
  <c r="G86" i="62"/>
  <c r="G172" i="62" s="1"/>
  <c r="G171" i="62" s="1"/>
  <c r="G157" i="62" s="1"/>
  <c r="G74" i="62"/>
  <c r="G160" i="62" s="1"/>
  <c r="G72" i="62"/>
  <c r="G158" i="62" s="1"/>
  <c r="G64" i="62"/>
  <c r="G63" i="62"/>
  <c r="G49" i="62"/>
  <c r="G42" i="62"/>
  <c r="G37" i="62"/>
  <c r="G135" i="62" s="1"/>
  <c r="G36" i="62"/>
  <c r="G134" i="62" s="1"/>
  <c r="G35" i="62"/>
  <c r="G21" i="62" s="1"/>
  <c r="G26" i="62"/>
  <c r="G124" i="62" s="1"/>
  <c r="G24" i="62"/>
  <c r="G122" i="62" s="1"/>
  <c r="G22" i="62"/>
  <c r="G120" i="62" s="1"/>
  <c r="G14" i="62"/>
  <c r="G13" i="62"/>
  <c r="F236" i="62"/>
  <c r="F228" i="62"/>
  <c r="F190" i="62"/>
  <c r="F189" i="62"/>
  <c r="F182" i="62"/>
  <c r="F181" i="62"/>
  <c r="F180" i="62"/>
  <c r="F179" i="62"/>
  <c r="F178" i="62"/>
  <c r="F176" i="62"/>
  <c r="F174" i="62"/>
  <c r="F172" i="62"/>
  <c r="F164" i="62"/>
  <c r="F162" i="62"/>
  <c r="F150" i="62"/>
  <c r="F197" i="62" s="1"/>
  <c r="F149" i="62"/>
  <c r="F196" i="62" s="1"/>
  <c r="F144" i="62"/>
  <c r="F143" i="62"/>
  <c r="F142" i="62"/>
  <c r="F141" i="62"/>
  <c r="F138" i="62"/>
  <c r="F136" i="62"/>
  <c r="F135" i="62"/>
  <c r="F126" i="62"/>
  <c r="F112" i="62"/>
  <c r="F111" i="62"/>
  <c r="F99" i="62"/>
  <c r="F92" i="62"/>
  <c r="F87" i="62"/>
  <c r="F173" i="62" s="1"/>
  <c r="F86" i="62"/>
  <c r="F74" i="62"/>
  <c r="F160" i="62" s="1"/>
  <c r="F72" i="62"/>
  <c r="F158" i="62" s="1"/>
  <c r="F64" i="62"/>
  <c r="F63" i="62"/>
  <c r="F49" i="62"/>
  <c r="F42" i="62"/>
  <c r="F37" i="62"/>
  <c r="F36" i="62"/>
  <c r="F134" i="62" s="1"/>
  <c r="F133" i="62" s="1"/>
  <c r="F119" i="62" s="1"/>
  <c r="F35" i="62"/>
  <c r="F21" i="62" s="1"/>
  <c r="F26" i="62"/>
  <c r="F124" i="62" s="1"/>
  <c r="F24" i="62"/>
  <c r="F122" i="62" s="1"/>
  <c r="F22" i="62"/>
  <c r="F120" i="62" s="1"/>
  <c r="F14" i="62"/>
  <c r="F13" i="62"/>
  <c r="G236" i="41"/>
  <c r="G228" i="41"/>
  <c r="G182" i="41"/>
  <c r="G178" i="41" s="1"/>
  <c r="G181" i="41"/>
  <c r="G180" i="41"/>
  <c r="G179" i="41"/>
  <c r="G176" i="41"/>
  <c r="G150" i="41" s="1"/>
  <c r="G174" i="41"/>
  <c r="G149" i="41" s="1"/>
  <c r="G164" i="41"/>
  <c r="G162" i="41"/>
  <c r="G144" i="41"/>
  <c r="G143" i="41"/>
  <c r="G142" i="41"/>
  <c r="G141" i="41"/>
  <c r="G138" i="41"/>
  <c r="G112" i="41" s="1"/>
  <c r="G190" i="41" s="1"/>
  <c r="G136" i="41"/>
  <c r="G111" i="41" s="1"/>
  <c r="G126" i="41"/>
  <c r="G124" i="41"/>
  <c r="G99" i="41"/>
  <c r="G92" i="41"/>
  <c r="G87" i="41"/>
  <c r="G173" i="41" s="1"/>
  <c r="G86" i="41"/>
  <c r="G172" i="41" s="1"/>
  <c r="G74" i="41"/>
  <c r="G160" i="41" s="1"/>
  <c r="G72" i="41"/>
  <c r="G158" i="41" s="1"/>
  <c r="G64" i="41"/>
  <c r="G63" i="41"/>
  <c r="G49" i="41"/>
  <c r="G42" i="41"/>
  <c r="G37" i="41"/>
  <c r="G36" i="41"/>
  <c r="G134" i="41" s="1"/>
  <c r="G24" i="41"/>
  <c r="G122" i="41" s="1"/>
  <c r="G22" i="41"/>
  <c r="G120" i="41" s="1"/>
  <c r="G14" i="41"/>
  <c r="G13" i="41"/>
  <c r="F236" i="41"/>
  <c r="F228" i="41"/>
  <c r="F182" i="41"/>
  <c r="F181" i="41"/>
  <c r="F180" i="41"/>
  <c r="F179" i="41"/>
  <c r="F178" i="41" s="1"/>
  <c r="F176" i="41"/>
  <c r="F150" i="41" s="1"/>
  <c r="F197" i="41" s="1"/>
  <c r="F174" i="41"/>
  <c r="F149" i="41" s="1"/>
  <c r="F164" i="41"/>
  <c r="F162" i="41"/>
  <c r="F144" i="41"/>
  <c r="F143" i="41"/>
  <c r="F142" i="41"/>
  <c r="F140" i="41" s="1"/>
  <c r="F141" i="41"/>
  <c r="F138" i="41"/>
  <c r="F112" i="41" s="1"/>
  <c r="F190" i="41" s="1"/>
  <c r="F136" i="41"/>
  <c r="F111" i="41" s="1"/>
  <c r="F126" i="41"/>
  <c r="F124" i="41"/>
  <c r="F99" i="41"/>
  <c r="F92" i="41"/>
  <c r="F87" i="41"/>
  <c r="F173" i="41" s="1"/>
  <c r="F86" i="41"/>
  <c r="F172" i="41" s="1"/>
  <c r="F74" i="41"/>
  <c r="F160" i="41" s="1"/>
  <c r="F72" i="41"/>
  <c r="F158" i="41" s="1"/>
  <c r="F64" i="41"/>
  <c r="F63" i="41"/>
  <c r="F49" i="41"/>
  <c r="F42" i="41"/>
  <c r="F37" i="41"/>
  <c r="F135" i="41" s="1"/>
  <c r="F36" i="41"/>
  <c r="F134" i="41" s="1"/>
  <c r="F24" i="41"/>
  <c r="F122" i="41" s="1"/>
  <c r="F22" i="41"/>
  <c r="F120" i="41" s="1"/>
  <c r="F14" i="41"/>
  <c r="F13" i="41"/>
  <c r="G57" i="77"/>
  <c r="G56" i="77"/>
  <c r="G55" i="77"/>
  <c r="G54" i="77"/>
  <c r="G53" i="77" s="1"/>
  <c r="G51" i="77"/>
  <c r="G50" i="77"/>
  <c r="G49" i="77"/>
  <c r="G48" i="77"/>
  <c r="G52" i="77" s="1"/>
  <c r="G47" i="77"/>
  <c r="G42" i="77"/>
  <c r="G41" i="77"/>
  <c r="G39" i="77"/>
  <c r="G43" i="77" s="1"/>
  <c r="G44" i="77" s="1"/>
  <c r="G38" i="77"/>
  <c r="G37" i="77"/>
  <c r="G36" i="77"/>
  <c r="G35" i="77"/>
  <c r="G34" i="77"/>
  <c r="G25" i="77"/>
  <c r="G24" i="77"/>
  <c r="G18" i="77" s="1"/>
  <c r="G70" i="77" s="1"/>
  <c r="G16" i="77"/>
  <c r="G15" i="77"/>
  <c r="G12" i="77"/>
  <c r="G5" i="77" s="1"/>
  <c r="F57" i="77"/>
  <c r="F56" i="77"/>
  <c r="F55" i="77"/>
  <c r="F53" i="77" s="1"/>
  <c r="F54" i="77"/>
  <c r="F51" i="77"/>
  <c r="F50" i="77"/>
  <c r="F49" i="77"/>
  <c r="F48" i="77"/>
  <c r="F52" i="77" s="1"/>
  <c r="F47" i="77"/>
  <c r="F42" i="77"/>
  <c r="F41" i="77"/>
  <c r="F40" i="77"/>
  <c r="F39" i="77"/>
  <c r="F43" i="77" s="1"/>
  <c r="F44" i="77" s="1"/>
  <c r="F38" i="77"/>
  <c r="F37" i="77"/>
  <c r="F36" i="77"/>
  <c r="F35" i="77"/>
  <c r="F34" i="77"/>
  <c r="F25" i="77"/>
  <c r="F24" i="77"/>
  <c r="F18" i="77" s="1"/>
  <c r="F70" i="77" s="1"/>
  <c r="F16" i="77"/>
  <c r="F15" i="77"/>
  <c r="F12" i="77"/>
  <c r="F5" i="77"/>
  <c r="F62" i="77" s="1"/>
  <c r="G62" i="76"/>
  <c r="G57" i="76"/>
  <c r="G56" i="76"/>
  <c r="G55" i="76"/>
  <c r="G54" i="76"/>
  <c r="G53" i="76"/>
  <c r="G51" i="76"/>
  <c r="G52" i="76" s="1"/>
  <c r="G50" i="76"/>
  <c r="G49" i="76"/>
  <c r="G48" i="76"/>
  <c r="G47" i="76"/>
  <c r="G46" i="76" s="1"/>
  <c r="G71" i="76" s="1"/>
  <c r="G72" i="76" s="1"/>
  <c r="G76" i="76" s="1"/>
  <c r="G43" i="76"/>
  <c r="G44" i="76" s="1"/>
  <c r="G41" i="76"/>
  <c r="G40" i="76"/>
  <c r="G39" i="76"/>
  <c r="G38" i="76"/>
  <c r="G37" i="76"/>
  <c r="G36" i="76"/>
  <c r="G35" i="76"/>
  <c r="G34" i="76"/>
  <c r="G25" i="76"/>
  <c r="G24" i="76"/>
  <c r="G18" i="76" s="1"/>
  <c r="G70" i="76" s="1"/>
  <c r="G15" i="76"/>
  <c r="G16" i="76" s="1"/>
  <c r="G12" i="76"/>
  <c r="G5" i="76" s="1"/>
  <c r="G31" i="76" s="1"/>
  <c r="F57" i="76"/>
  <c r="F56" i="76"/>
  <c r="F55" i="76"/>
  <c r="F54" i="76"/>
  <c r="F53" i="76"/>
  <c r="F46" i="76" s="1"/>
  <c r="F71" i="76" s="1"/>
  <c r="F52" i="76"/>
  <c r="F51" i="76"/>
  <c r="F50" i="76"/>
  <c r="F49" i="76"/>
  <c r="F48" i="76"/>
  <c r="F47" i="76"/>
  <c r="F43" i="76"/>
  <c r="F44" i="76" s="1"/>
  <c r="F41" i="76"/>
  <c r="F39" i="76"/>
  <c r="F38" i="76"/>
  <c r="F40" i="76" s="1"/>
  <c r="F37" i="76"/>
  <c r="F36" i="76"/>
  <c r="F35" i="76"/>
  <c r="F34" i="76"/>
  <c r="F25" i="76"/>
  <c r="F24" i="76"/>
  <c r="F18" i="76"/>
  <c r="F70" i="76" s="1"/>
  <c r="F16" i="76"/>
  <c r="F15" i="76"/>
  <c r="F12" i="76"/>
  <c r="F5" i="76" s="1"/>
  <c r="E145" i="58"/>
  <c r="E149" i="58" s="1"/>
  <c r="E142" i="58"/>
  <c r="E138" i="58"/>
  <c r="E126" i="58"/>
  <c r="E125" i="58"/>
  <c r="E127" i="58" s="1"/>
  <c r="E123" i="58"/>
  <c r="E120" i="58"/>
  <c r="E109" i="58"/>
  <c r="E106" i="58"/>
  <c r="E113" i="58" s="1"/>
  <c r="E102" i="58"/>
  <c r="E91" i="58"/>
  <c r="E90" i="58"/>
  <c r="E89" i="58"/>
  <c r="E87" i="58"/>
  <c r="E84" i="58"/>
  <c r="E72" i="58"/>
  <c r="E76" i="58" s="1"/>
  <c r="E69" i="58"/>
  <c r="E65" i="58"/>
  <c r="E53" i="58"/>
  <c r="E52" i="58"/>
  <c r="E54" i="58" s="1"/>
  <c r="E50" i="58"/>
  <c r="E47" i="58"/>
  <c r="E36" i="58"/>
  <c r="E33" i="58"/>
  <c r="E40" i="58" s="1"/>
  <c r="E29" i="58"/>
  <c r="E17" i="58"/>
  <c r="E16" i="58"/>
  <c r="E18" i="58" s="1"/>
  <c r="E14" i="58"/>
  <c r="E11" i="58"/>
  <c r="D145" i="58"/>
  <c r="D142" i="58"/>
  <c r="D149" i="58" s="1"/>
  <c r="D138" i="58"/>
  <c r="D126" i="58"/>
  <c r="D125" i="58"/>
  <c r="D127" i="58" s="1"/>
  <c r="D123" i="58"/>
  <c r="D120" i="58"/>
  <c r="D109" i="58"/>
  <c r="D106" i="58"/>
  <c r="D113" i="58" s="1"/>
  <c r="D102" i="58"/>
  <c r="D91" i="58"/>
  <c r="D90" i="58"/>
  <c r="D89" i="58"/>
  <c r="D87" i="58"/>
  <c r="D84" i="58"/>
  <c r="D76" i="58"/>
  <c r="D72" i="58"/>
  <c r="D69" i="58"/>
  <c r="D65" i="58"/>
  <c r="D53" i="58"/>
  <c r="D52" i="58"/>
  <c r="D54" i="58" s="1"/>
  <c r="D50" i="58"/>
  <c r="D47" i="58"/>
  <c r="D36" i="58"/>
  <c r="D40" i="58" s="1"/>
  <c r="D33" i="58"/>
  <c r="D29" i="58"/>
  <c r="D17" i="58"/>
  <c r="D16" i="58"/>
  <c r="D18" i="58" s="1"/>
  <c r="D14" i="58"/>
  <c r="D11" i="58"/>
  <c r="D317" i="40"/>
  <c r="D323" i="40"/>
  <c r="D322" i="40"/>
  <c r="D321" i="40"/>
  <c r="D320" i="40"/>
  <c r="D305" i="40"/>
  <c r="D304" i="40"/>
  <c r="D302" i="40"/>
  <c r="D301" i="40"/>
  <c r="D300" i="40"/>
  <c r="D297" i="40"/>
  <c r="D318" i="40"/>
  <c r="D316" i="40"/>
  <c r="D294" i="40"/>
  <c r="D293" i="40"/>
  <c r="D292" i="40"/>
  <c r="D290" i="40"/>
  <c r="D307" i="40"/>
  <c r="E459" i="13"/>
  <c r="E442" i="13"/>
  <c r="E441" i="13"/>
  <c r="E435" i="13"/>
  <c r="E434" i="13"/>
  <c r="E428" i="13"/>
  <c r="E427" i="13"/>
  <c r="E421" i="13"/>
  <c r="E420" i="13"/>
  <c r="E382" i="13"/>
  <c r="E348" i="13"/>
  <c r="E314" i="13"/>
  <c r="E304" i="13"/>
  <c r="E303" i="13"/>
  <c r="E305" i="13" s="1"/>
  <c r="E308" i="13" s="1"/>
  <c r="E298" i="13"/>
  <c r="E297" i="13"/>
  <c r="E306" i="13" s="1"/>
  <c r="E280" i="13"/>
  <c r="E270" i="13"/>
  <c r="E263" i="13"/>
  <c r="E258" i="13"/>
  <c r="E249" i="13"/>
  <c r="E242" i="13"/>
  <c r="E455" i="13" s="1"/>
  <c r="E237" i="13"/>
  <c r="E228" i="13"/>
  <c r="E221" i="13"/>
  <c r="E451" i="13" s="1"/>
  <c r="E216" i="13"/>
  <c r="E233" i="13" s="1"/>
  <c r="E207" i="13"/>
  <c r="E200" i="13"/>
  <c r="E447" i="13" s="1"/>
  <c r="E195" i="13"/>
  <c r="E212" i="13" s="1"/>
  <c r="E181" i="13"/>
  <c r="E180" i="13"/>
  <c r="E158" i="13"/>
  <c r="E169" i="13" s="1"/>
  <c r="E155" i="13"/>
  <c r="E166" i="13" s="1"/>
  <c r="E142" i="13"/>
  <c r="E146" i="13" s="1"/>
  <c r="E148" i="13" s="1"/>
  <c r="E218" i="13" s="1"/>
  <c r="E450" i="13" s="1"/>
  <c r="E452" i="13" s="1"/>
  <c r="E131" i="13"/>
  <c r="E135" i="13" s="1"/>
  <c r="E101" i="13"/>
  <c r="E102" i="13" s="1"/>
  <c r="E103" i="13" s="1"/>
  <c r="E76" i="13"/>
  <c r="E77" i="13" s="1"/>
  <c r="E75" i="13"/>
  <c r="E71" i="13"/>
  <c r="E60" i="13"/>
  <c r="E86" i="13" s="1"/>
  <c r="E97" i="13" s="1"/>
  <c r="E439" i="13" s="1"/>
  <c r="E443" i="13" s="1"/>
  <c r="E59" i="13"/>
  <c r="E85" i="13" s="1"/>
  <c r="E49" i="13"/>
  <c r="E50" i="13" s="1"/>
  <c r="E51" i="13" s="1"/>
  <c r="E45" i="13"/>
  <c r="E35" i="13"/>
  <c r="E61" i="13" s="1"/>
  <c r="E28" i="13" a="1"/>
  <c r="E27" i="13"/>
  <c r="E53" i="13" s="1"/>
  <c r="E23" i="13"/>
  <c r="E24" i="13" s="1"/>
  <c r="E25" i="13" s="1"/>
  <c r="E19" i="13"/>
  <c r="E10" i="13" a="1"/>
  <c r="D459" i="13"/>
  <c r="D442" i="13"/>
  <c r="D441" i="13"/>
  <c r="D435" i="13"/>
  <c r="D434" i="13"/>
  <c r="D428" i="13"/>
  <c r="D427" i="13"/>
  <c r="D421" i="13"/>
  <c r="D420" i="13"/>
  <c r="D418" i="13"/>
  <c r="D422" i="13" s="1"/>
  <c r="D382" i="13"/>
  <c r="D348" i="13"/>
  <c r="D314" i="13"/>
  <c r="D297" i="13"/>
  <c r="D304" i="13" s="1"/>
  <c r="D280" i="13"/>
  <c r="D270" i="13"/>
  <c r="D263" i="13"/>
  <c r="D258" i="13"/>
  <c r="D249" i="13"/>
  <c r="D242" i="13"/>
  <c r="D455" i="13" s="1"/>
  <c r="D237" i="13"/>
  <c r="D228" i="13"/>
  <c r="D221" i="13"/>
  <c r="D451" i="13" s="1"/>
  <c r="D216" i="13"/>
  <c r="D233" i="13" s="1"/>
  <c r="D207" i="13"/>
  <c r="D200" i="13"/>
  <c r="D447" i="13" s="1"/>
  <c r="D195" i="13"/>
  <c r="D212" i="13" s="1"/>
  <c r="D180" i="13"/>
  <c r="D181" i="13" s="1"/>
  <c r="D169" i="13"/>
  <c r="D158" i="13"/>
  <c r="D155" i="13"/>
  <c r="D166" i="13" s="1"/>
  <c r="D148" i="13"/>
  <c r="D146" i="13"/>
  <c r="D142" i="13"/>
  <c r="D131" i="13"/>
  <c r="D135" i="13" s="1"/>
  <c r="D103" i="13"/>
  <c r="D102" i="13"/>
  <c r="D101" i="13"/>
  <c r="D85" i="13"/>
  <c r="D76" i="13"/>
  <c r="D77" i="13" s="1"/>
  <c r="D75" i="13"/>
  <c r="D60" i="13"/>
  <c r="D86" i="13" s="1"/>
  <c r="D97" i="13" s="1"/>
  <c r="D59" i="13"/>
  <c r="D53" i="13"/>
  <c r="D79" i="13" s="1"/>
  <c r="D105" i="13" s="1"/>
  <c r="D106" i="13" s="1" a="1"/>
  <c r="D51" i="13"/>
  <c r="D50" i="13"/>
  <c r="D49" i="13"/>
  <c r="D45" i="13"/>
  <c r="D425" i="13" s="1"/>
  <c r="D429" i="13" s="1"/>
  <c r="D35" i="13"/>
  <c r="D36" i="13" s="1" a="1"/>
  <c r="D28" i="13" a="1"/>
  <c r="D27" i="13"/>
  <c r="D24" i="13"/>
  <c r="D25" i="13" s="1"/>
  <c r="D23" i="13"/>
  <c r="D19" i="13"/>
  <c r="D10" i="13" a="1"/>
  <c r="E15" i="47"/>
  <c r="E20" i="47" s="1"/>
  <c r="E9" i="47"/>
  <c r="E19" i="47" s="1"/>
  <c r="D15" i="47"/>
  <c r="D20" i="47" s="1"/>
  <c r="D9" i="47"/>
  <c r="D19" i="47" s="1"/>
  <c r="J609" i="34"/>
  <c r="J608" i="34"/>
  <c r="J607" i="34"/>
  <c r="J606" i="34"/>
  <c r="J605" i="34"/>
  <c r="J604" i="34"/>
  <c r="J386" i="34"/>
  <c r="J293" i="34"/>
  <c r="J200" i="34"/>
  <c r="J108" i="34"/>
  <c r="J7" i="34"/>
  <c r="J6" i="34"/>
  <c r="J5" i="34"/>
  <c r="I609" i="34"/>
  <c r="I608" i="34"/>
  <c r="I607" i="34"/>
  <c r="I606" i="34"/>
  <c r="I605" i="34"/>
  <c r="I604" i="34"/>
  <c r="I386" i="34"/>
  <c r="I293" i="34"/>
  <c r="I200" i="34"/>
  <c r="I108" i="34"/>
  <c r="I7" i="34"/>
  <c r="I6" i="34"/>
  <c r="I5" i="34"/>
  <c r="E3" i="48"/>
  <c r="D3" i="48"/>
  <c r="D327" i="16" l="1"/>
  <c r="E315" i="16"/>
  <c r="E339" i="16"/>
  <c r="D110" i="16"/>
  <c r="E327" i="16"/>
  <c r="E376" i="16"/>
  <c r="E425" i="16"/>
  <c r="D40" i="16"/>
  <c r="D122" i="16"/>
  <c r="D171" i="16"/>
  <c r="D220" i="16"/>
  <c r="D269" i="16"/>
  <c r="E28" i="16"/>
  <c r="D437" i="16"/>
  <c r="E159" i="16"/>
  <c r="E159" i="15"/>
  <c r="D233" i="15"/>
  <c r="E257" i="15"/>
  <c r="D159" i="15"/>
  <c r="D184" i="15"/>
  <c r="G196" i="41"/>
  <c r="G197" i="41"/>
  <c r="G35" i="41"/>
  <c r="G21" i="41" s="1"/>
  <c r="F196" i="41"/>
  <c r="F171" i="41"/>
  <c r="F157" i="41" s="1"/>
  <c r="G189" i="41"/>
  <c r="F189" i="41"/>
  <c r="G171" i="41"/>
  <c r="G157" i="41" s="1"/>
  <c r="G156" i="41" s="1"/>
  <c r="G152" i="41" s="1"/>
  <c r="G135" i="41"/>
  <c r="F35" i="41"/>
  <c r="F21" i="41" s="1"/>
  <c r="F20" i="41" s="1"/>
  <c r="F16" i="41" s="1"/>
  <c r="F133" i="41"/>
  <c r="F119" i="41" s="1"/>
  <c r="G133" i="41"/>
  <c r="G119" i="41" s="1"/>
  <c r="G118" i="41" s="1"/>
  <c r="G114" i="41" s="1"/>
  <c r="D28" i="16"/>
  <c r="D208" i="16"/>
  <c r="E208" i="16"/>
  <c r="D339" i="16"/>
  <c r="E401" i="16"/>
  <c r="D303" i="16"/>
  <c r="D413" i="16"/>
  <c r="E303" i="16"/>
  <c r="E413" i="16"/>
  <c r="D257" i="16"/>
  <c r="D315" i="16"/>
  <c r="D425" i="16"/>
  <c r="D388" i="16"/>
  <c r="E196" i="16"/>
  <c r="D21" i="47"/>
  <c r="D13" i="13" s="1"/>
  <c r="D218" i="13"/>
  <c r="D450" i="13" s="1"/>
  <c r="D452" i="13" s="1"/>
  <c r="D11" i="13"/>
  <c r="E36" i="13" a="1"/>
  <c r="E11" i="13" s="1"/>
  <c r="D73" i="15"/>
  <c r="E110" i="15"/>
  <c r="D257" i="15"/>
  <c r="D61" i="15"/>
  <c r="D220" i="15"/>
  <c r="D110" i="15"/>
  <c r="D135" i="15"/>
  <c r="D269" i="15"/>
  <c r="E171" i="15"/>
  <c r="E132" i="48"/>
  <c r="E136" i="48" s="1"/>
  <c r="E4" i="40"/>
  <c r="D132" i="48"/>
  <c r="D136" i="48" s="1"/>
  <c r="E149" i="48"/>
  <c r="E150" i="48" s="1"/>
  <c r="E148" i="48"/>
  <c r="D147" i="48"/>
  <c r="D148" i="48" s="1"/>
  <c r="D22" i="48"/>
  <c r="D32" i="48" s="1"/>
  <c r="D135" i="48" s="1"/>
  <c r="E22" i="48"/>
  <c r="E32" i="48" s="1"/>
  <c r="E135" i="48" s="1"/>
  <c r="D3" i="72"/>
  <c r="F3" i="30"/>
  <c r="D3" i="74"/>
  <c r="F3" i="71"/>
  <c r="F3" i="31"/>
  <c r="F3" i="79"/>
  <c r="F3" i="78"/>
  <c r="D3" i="75"/>
  <c r="F3" i="69"/>
  <c r="F3" i="70"/>
  <c r="F3" i="66"/>
  <c r="F3" i="68"/>
  <c r="F3" i="65"/>
  <c r="F3" i="64"/>
  <c r="F3" i="67"/>
  <c r="F3" i="21"/>
  <c r="F3" i="63"/>
  <c r="D3" i="19"/>
  <c r="F3" i="26"/>
  <c r="D3" i="16"/>
  <c r="F3" i="41"/>
  <c r="F3" i="76"/>
  <c r="D4" i="40"/>
  <c r="D4" i="39"/>
  <c r="D3" i="15"/>
  <c r="F3" i="62"/>
  <c r="D3" i="60"/>
  <c r="D3" i="54"/>
  <c r="D3" i="58"/>
  <c r="D3" i="13"/>
  <c r="F3" i="77"/>
  <c r="D4" i="59"/>
  <c r="D3" i="47"/>
  <c r="C3" i="6"/>
  <c r="I1" i="34"/>
  <c r="E3" i="74"/>
  <c r="G3" i="30"/>
  <c r="G3" i="79"/>
  <c r="E3" i="72"/>
  <c r="G3" i="31"/>
  <c r="E3" i="75"/>
  <c r="G3" i="71"/>
  <c r="G3" i="78"/>
  <c r="G3" i="67"/>
  <c r="G3" i="65"/>
  <c r="G3" i="70"/>
  <c r="G3" i="64"/>
  <c r="G3" i="68"/>
  <c r="G3" i="69"/>
  <c r="G3" i="66"/>
  <c r="G3" i="21"/>
  <c r="G3" i="26"/>
  <c r="G3" i="63"/>
  <c r="E3" i="19"/>
  <c r="E3" i="16"/>
  <c r="G3" i="76"/>
  <c r="E4" i="59"/>
  <c r="E3" i="15"/>
  <c r="G3" i="41"/>
  <c r="E3" i="60"/>
  <c r="E3" i="54"/>
  <c r="G3" i="62"/>
  <c r="G3" i="77"/>
  <c r="E4" i="39"/>
  <c r="E3" i="58"/>
  <c r="E3" i="47"/>
  <c r="E3" i="13"/>
  <c r="J1" i="34"/>
  <c r="D3" i="6"/>
  <c r="D12" i="13" a="1"/>
  <c r="D38" i="13" s="1"/>
  <c r="D37" i="13"/>
  <c r="D63" i="13" s="1"/>
  <c r="D80" i="13" a="1"/>
  <c r="D175" i="13"/>
  <c r="D176" i="13" s="1"/>
  <c r="D137" i="13"/>
  <c r="D197" i="13" s="1"/>
  <c r="D446" i="13" s="1"/>
  <c r="D448" i="13" s="1"/>
  <c r="E21" i="47"/>
  <c r="E13" i="13" s="1"/>
  <c r="D321" i="13"/>
  <c r="D227" i="13"/>
  <c r="D225" i="13"/>
  <c r="D223" i="13"/>
  <c r="D234" i="13"/>
  <c r="G33" i="76"/>
  <c r="F118" i="62"/>
  <c r="F114" i="62" s="1"/>
  <c r="D439" i="13"/>
  <c r="D443" i="13" s="1"/>
  <c r="D230" i="13"/>
  <c r="F62" i="76"/>
  <c r="F31" i="76"/>
  <c r="D14" i="13" a="1"/>
  <c r="D39" i="13"/>
  <c r="D17" i="13"/>
  <c r="D21" i="13" s="1"/>
  <c r="D419" i="13" s="1"/>
  <c r="D423" i="13" s="1"/>
  <c r="D306" i="13"/>
  <c r="G20" i="62"/>
  <c r="G16" i="62" s="1"/>
  <c r="D71" i="13"/>
  <c r="D298" i="13"/>
  <c r="E87" i="13"/>
  <c r="E88" i="13" s="1" a="1"/>
  <c r="E62" i="13" a="1"/>
  <c r="D291" i="40"/>
  <c r="D295" i="40"/>
  <c r="D315" i="40"/>
  <c r="D303" i="40"/>
  <c r="F33" i="76"/>
  <c r="F33" i="77"/>
  <c r="G133" i="62"/>
  <c r="G119" i="62" s="1"/>
  <c r="D254" i="13"/>
  <c r="D300" i="13"/>
  <c r="E432" i="13"/>
  <c r="E436" i="13" s="1"/>
  <c r="E230" i="13"/>
  <c r="E321" i="13"/>
  <c r="E227" i="13"/>
  <c r="E234" i="13" s="1"/>
  <c r="E225" i="13"/>
  <c r="E223" i="13"/>
  <c r="F31" i="77"/>
  <c r="G156" i="62"/>
  <c r="G152" i="62" s="1"/>
  <c r="E147" i="15"/>
  <c r="D16" i="16"/>
  <c r="D301" i="13"/>
  <c r="E418" i="13"/>
  <c r="E422" i="13" s="1"/>
  <c r="E175" i="13"/>
  <c r="E176" i="13" s="1"/>
  <c r="E137" i="13"/>
  <c r="E197" i="13" s="1"/>
  <c r="E446" i="13" s="1"/>
  <c r="E448" i="13" s="1"/>
  <c r="D287" i="40"/>
  <c r="G46" i="77"/>
  <c r="G71" i="77" s="1"/>
  <c r="G72" i="77" s="1"/>
  <c r="G76" i="77" s="1"/>
  <c r="F118" i="41"/>
  <c r="F114" i="41" s="1"/>
  <c r="G20" i="41"/>
  <c r="G16" i="41" s="1"/>
  <c r="G140" i="41"/>
  <c r="D61" i="13"/>
  <c r="D275" i="13"/>
  <c r="F46" i="77"/>
  <c r="F71" i="77" s="1"/>
  <c r="F72" i="77" s="1"/>
  <c r="F76" i="77" s="1"/>
  <c r="D54" i="13" a="1"/>
  <c r="D29" i="13" s="1"/>
  <c r="D303" i="13"/>
  <c r="D305" i="13" s="1"/>
  <c r="D308" i="13" s="1"/>
  <c r="F72" i="76"/>
  <c r="F76" i="76" s="1"/>
  <c r="F156" i="41"/>
  <c r="F152" i="41" s="1"/>
  <c r="F140" i="62"/>
  <c r="E79" i="13"/>
  <c r="E54" i="13" a="1"/>
  <c r="E29" i="13" s="1"/>
  <c r="G62" i="77"/>
  <c r="G31" i="77"/>
  <c r="F20" i="62"/>
  <c r="F16" i="62" s="1"/>
  <c r="F171" i="62"/>
  <c r="F157" i="62" s="1"/>
  <c r="G140" i="62"/>
  <c r="D208" i="15"/>
  <c r="E245" i="15"/>
  <c r="E254" i="13"/>
  <c r="E300" i="13"/>
  <c r="E301" i="13"/>
  <c r="G40" i="77"/>
  <c r="G33" i="77" s="1"/>
  <c r="E275" i="13"/>
  <c r="D311" i="40"/>
  <c r="G85" i="41"/>
  <c r="G71" i="41" s="1"/>
  <c r="F85" i="62"/>
  <c r="F71" i="62" s="1"/>
  <c r="G85" i="62"/>
  <c r="G71" i="62" s="1"/>
  <c r="E425" i="13"/>
  <c r="E429" i="13" s="1"/>
  <c r="F85" i="41"/>
  <c r="F71" i="41" s="1"/>
  <c r="D196" i="16"/>
  <c r="E184" i="16"/>
  <c r="D289" i="19"/>
  <c r="D291" i="19" s="1"/>
  <c r="D577" i="19"/>
  <c r="D579" i="19" s="1"/>
  <c r="E408" i="19"/>
  <c r="E579" i="19"/>
  <c r="E696" i="19"/>
  <c r="E85" i="74"/>
  <c r="E72" i="74"/>
  <c r="E92" i="74"/>
  <c r="E73" i="74"/>
  <c r="E103" i="74"/>
  <c r="E102" i="74"/>
  <c r="E101" i="74"/>
  <c r="E91" i="74"/>
  <c r="E81" i="74"/>
  <c r="E71" i="74"/>
  <c r="E100" i="74"/>
  <c r="E90" i="74"/>
  <c r="E80" i="74"/>
  <c r="E70" i="74"/>
  <c r="E99" i="74"/>
  <c r="E89" i="74"/>
  <c r="E79" i="74"/>
  <c r="E98" i="74"/>
  <c r="E88" i="74"/>
  <c r="E76" i="74"/>
  <c r="E74" i="74"/>
  <c r="E94" i="74"/>
  <c r="E6" i="74"/>
  <c r="E75" i="74"/>
  <c r="E97" i="74"/>
  <c r="D72" i="74"/>
  <c r="D82" i="74"/>
  <c r="D92" i="74"/>
  <c r="D102" i="74"/>
  <c r="D6" i="74"/>
  <c r="D73" i="74"/>
  <c r="D83" i="74"/>
  <c r="D93" i="74"/>
  <c r="E137" i="48" l="1"/>
  <c r="E156" i="48" s="1"/>
  <c r="E153" i="48" s="1"/>
  <c r="E12" i="13" a="1"/>
  <c r="E38" i="13" s="1"/>
  <c r="E37" i="13"/>
  <c r="E63" i="13" s="1"/>
  <c r="D137" i="48"/>
  <c r="D149" i="48"/>
  <c r="D150" i="48" s="1"/>
  <c r="D30" i="13" a="1"/>
  <c r="D55" i="13"/>
  <c r="F184" i="41"/>
  <c r="F106" i="41"/>
  <c r="F84" i="41"/>
  <c r="F34" i="41"/>
  <c r="F63" i="77"/>
  <c r="F64" i="77" s="1"/>
  <c r="F68" i="77" s="1"/>
  <c r="F59" i="77"/>
  <c r="G59" i="76"/>
  <c r="G63" i="76"/>
  <c r="G64" i="76" s="1"/>
  <c r="G68" i="76" s="1"/>
  <c r="E65" i="54"/>
  <c r="E12" i="54"/>
  <c r="E36" i="54"/>
  <c r="E22" i="54"/>
  <c r="E7" i="54"/>
  <c r="E46" i="54"/>
  <c r="E113" i="54"/>
  <c r="E73" i="54"/>
  <c r="E31" i="54"/>
  <c r="E17" i="54"/>
  <c r="E97" i="54"/>
  <c r="E57" i="54"/>
  <c r="E41" i="54"/>
  <c r="E81" i="54"/>
  <c r="E1157" i="19"/>
  <c r="G75" i="70"/>
  <c r="F75" i="67"/>
  <c r="G34" i="41"/>
  <c r="G184" i="41"/>
  <c r="G106" i="41"/>
  <c r="G84" i="41"/>
  <c r="F70" i="62"/>
  <c r="F66" i="62" s="1"/>
  <c r="G70" i="41"/>
  <c r="G66" i="41" s="1"/>
  <c r="G118" i="62"/>
  <c r="G114" i="62" s="1"/>
  <c r="D112" i="13"/>
  <c r="E17" i="13"/>
  <c r="E21" i="13" s="1"/>
  <c r="E39" i="13"/>
  <c r="E14" i="13" a="1"/>
  <c r="E45" i="60"/>
  <c r="E33" i="60"/>
  <c r="E11" i="60"/>
  <c r="E32" i="60"/>
  <c r="E21" i="60"/>
  <c r="E73" i="60"/>
  <c r="E20" i="60"/>
  <c r="E9" i="60"/>
  <c r="E72" i="60"/>
  <c r="E74" i="60" s="1"/>
  <c r="E61" i="60"/>
  <c r="E8" i="60"/>
  <c r="E60" i="60"/>
  <c r="E49" i="60"/>
  <c r="E70" i="60"/>
  <c r="E77" i="60" s="1"/>
  <c r="E48" i="60"/>
  <c r="E36" i="60"/>
  <c r="E69" i="60"/>
  <c r="E58" i="60"/>
  <c r="E35" i="60"/>
  <c r="E24" i="60"/>
  <c r="E57" i="60"/>
  <c r="E46" i="60"/>
  <c r="E23" i="60"/>
  <c r="E25" i="60" s="1"/>
  <c r="E12" i="60"/>
  <c r="G117" i="63"/>
  <c r="G80" i="63"/>
  <c r="G43" i="63"/>
  <c r="G6" i="63"/>
  <c r="G118" i="63"/>
  <c r="G81" i="63"/>
  <c r="G44" i="63"/>
  <c r="G7" i="63"/>
  <c r="G140" i="63"/>
  <c r="G126" i="63" s="1"/>
  <c r="G103" i="63"/>
  <c r="G89" i="63" s="1"/>
  <c r="G66" i="63"/>
  <c r="G52" i="63" s="1"/>
  <c r="G29" i="63"/>
  <c r="G15" i="63" s="1"/>
  <c r="G139" i="63"/>
  <c r="G102" i="63"/>
  <c r="G65" i="63"/>
  <c r="G28" i="63"/>
  <c r="G75" i="65"/>
  <c r="F75" i="64"/>
  <c r="G75" i="67"/>
  <c r="F75" i="65"/>
  <c r="G139" i="21"/>
  <c r="G102" i="21"/>
  <c r="G65" i="21"/>
  <c r="G28" i="21"/>
  <c r="D81" i="54"/>
  <c r="D41" i="54"/>
  <c r="D65" i="54"/>
  <c r="D12" i="54"/>
  <c r="D36" i="54"/>
  <c r="D22" i="54"/>
  <c r="D105" i="54"/>
  <c r="D7" i="54"/>
  <c r="D46" i="54"/>
  <c r="D113" i="54"/>
  <c r="D73" i="54"/>
  <c r="D31" i="54"/>
  <c r="D17" i="54"/>
  <c r="D97" i="54"/>
  <c r="D688" i="16"/>
  <c r="D834" i="16"/>
  <c r="D240" i="16"/>
  <c r="D227" i="16"/>
  <c r="D542" i="16"/>
  <c r="D228" i="16"/>
  <c r="D239" i="16"/>
  <c r="F75" i="68"/>
  <c r="F70" i="41"/>
  <c r="F66" i="41" s="1"/>
  <c r="E302" i="13"/>
  <c r="E55" i="13"/>
  <c r="E30" i="13" a="1"/>
  <c r="F63" i="76"/>
  <c r="F64" i="76" s="1"/>
  <c r="F68" i="76" s="1"/>
  <c r="F59" i="76"/>
  <c r="D432" i="13"/>
  <c r="D436" i="13" s="1"/>
  <c r="D43" i="13"/>
  <c r="D47" i="13" s="1"/>
  <c r="D65" i="13"/>
  <c r="D40" i="13" a="1"/>
  <c r="D15" i="13" s="1"/>
  <c r="G75" i="66"/>
  <c r="D57" i="60"/>
  <c r="D46" i="60"/>
  <c r="D23" i="60"/>
  <c r="D12" i="60"/>
  <c r="D45" i="60"/>
  <c r="D33" i="60"/>
  <c r="D11" i="60"/>
  <c r="D32" i="60"/>
  <c r="D21" i="60"/>
  <c r="D73" i="60"/>
  <c r="D20" i="60"/>
  <c r="D9" i="60"/>
  <c r="D72" i="60"/>
  <c r="D61" i="60"/>
  <c r="D8" i="60"/>
  <c r="D60" i="60"/>
  <c r="D49" i="60"/>
  <c r="D70" i="60"/>
  <c r="D77" i="60" s="1"/>
  <c r="D48" i="60"/>
  <c r="D36" i="60"/>
  <c r="D69" i="60"/>
  <c r="D58" i="60"/>
  <c r="D35" i="60"/>
  <c r="D24" i="60"/>
  <c r="F75" i="26"/>
  <c r="F75" i="66"/>
  <c r="F156" i="62"/>
  <c r="F152" i="62" s="1"/>
  <c r="D87" i="13"/>
  <c r="D88" i="13" s="1" a="1"/>
  <c r="D62" i="13" a="1"/>
  <c r="E105" i="13"/>
  <c r="E106" i="13" s="1" a="1"/>
  <c r="E80" i="13" a="1"/>
  <c r="D89" i="13"/>
  <c r="D90" i="13" s="1" a="1"/>
  <c r="D64" i="13" a="1"/>
  <c r="G75" i="69"/>
  <c r="F34" i="62"/>
  <c r="F184" i="62"/>
  <c r="F106" i="62"/>
  <c r="F84" i="62"/>
  <c r="D1157" i="19"/>
  <c r="F75" i="70"/>
  <c r="G75" i="26"/>
  <c r="G63" i="77"/>
  <c r="G64" i="77" s="1"/>
  <c r="G68" i="77" s="1"/>
  <c r="G59" i="77"/>
  <c r="E287" i="13"/>
  <c r="E209" i="13"/>
  <c r="E206" i="13"/>
  <c r="E213" i="13" s="1"/>
  <c r="E204" i="13"/>
  <c r="E202" i="13"/>
  <c r="G75" i="68"/>
  <c r="F117" i="63"/>
  <c r="F80" i="63"/>
  <c r="F43" i="63"/>
  <c r="F6" i="63"/>
  <c r="F118" i="63"/>
  <c r="F81" i="63"/>
  <c r="F44" i="63"/>
  <c r="F7" i="63"/>
  <c r="F102" i="63"/>
  <c r="F139" i="63"/>
  <c r="F65" i="63"/>
  <c r="F28" i="63"/>
  <c r="F75" i="69"/>
  <c r="G70" i="62"/>
  <c r="G66" i="62" s="1"/>
  <c r="D302" i="13"/>
  <c r="E64" i="13" a="1"/>
  <c r="E89" i="13"/>
  <c r="E90" i="13" s="1" a="1"/>
  <c r="D209" i="13"/>
  <c r="D206" i="13"/>
  <c r="D213" i="13" s="1"/>
  <c r="D204" i="13"/>
  <c r="D202" i="13"/>
  <c r="D287" i="13"/>
  <c r="G34" i="62"/>
  <c r="G184" i="62"/>
  <c r="G106" i="62"/>
  <c r="G84" i="62"/>
  <c r="E834" i="16"/>
  <c r="E240" i="16"/>
  <c r="E239" i="16"/>
  <c r="E241" i="16" s="1"/>
  <c r="E228" i="16"/>
  <c r="E227" i="16"/>
  <c r="E542" i="16"/>
  <c r="E688" i="16"/>
  <c r="G75" i="64"/>
  <c r="F139" i="21"/>
  <c r="F102" i="21"/>
  <c r="F65" i="21"/>
  <c r="F28" i="21"/>
  <c r="E138" i="48" l="1"/>
  <c r="E139" i="48" s="1"/>
  <c r="E155" i="48"/>
  <c r="E157" i="48" s="1"/>
  <c r="E158" i="48" s="1"/>
  <c r="D65" i="60"/>
  <c r="E65" i="60"/>
  <c r="F29" i="63"/>
  <c r="F15" i="63" s="1"/>
  <c r="D50" i="60"/>
  <c r="E229" i="16"/>
  <c r="D156" i="48"/>
  <c r="D153" i="48" s="1"/>
  <c r="D138" i="48"/>
  <c r="D139" i="48" s="1"/>
  <c r="D155" i="48"/>
  <c r="E28" i="60"/>
  <c r="E84" i="60" s="1"/>
  <c r="F103" i="63"/>
  <c r="F89" i="63" s="1"/>
  <c r="D53" i="60"/>
  <c r="E37" i="60"/>
  <c r="E13" i="60"/>
  <c r="F66" i="63"/>
  <c r="F52" i="63" s="1"/>
  <c r="F140" i="63"/>
  <c r="F126" i="63" s="1"/>
  <c r="E10" i="60"/>
  <c r="E15" i="60"/>
  <c r="D48" i="54"/>
  <c r="D49" i="54" s="1"/>
  <c r="D112" i="54"/>
  <c r="D117" i="54" s="1"/>
  <c r="D129" i="40" s="1"/>
  <c r="D104" i="54"/>
  <c r="D43" i="54"/>
  <c r="D44" i="54" s="1"/>
  <c r="D16" i="60"/>
  <c r="G170" i="62"/>
  <c r="G132" i="62"/>
  <c r="F170" i="62"/>
  <c r="F132" i="62"/>
  <c r="D62" i="60"/>
  <c r="D34" i="60"/>
  <c r="D39" i="60"/>
  <c r="D307" i="13"/>
  <c r="D310" i="13"/>
  <c r="D311" i="13" s="1"/>
  <c r="D40" i="60"/>
  <c r="D426" i="13"/>
  <c r="D430" i="13" s="1"/>
  <c r="D116" i="13"/>
  <c r="D22" i="60"/>
  <c r="D27" i="60"/>
  <c r="D25" i="60"/>
  <c r="D56" i="54"/>
  <c r="D9" i="54"/>
  <c r="D10" i="54" s="1"/>
  <c r="E76" i="60"/>
  <c r="E78" i="60" s="1"/>
  <c r="E71" i="60"/>
  <c r="E52" i="60"/>
  <c r="E47" i="60"/>
  <c r="D28" i="60"/>
  <c r="D84" i="60" s="1"/>
  <c r="D64" i="60"/>
  <c r="D66" i="60" s="1"/>
  <c r="D59" i="60"/>
  <c r="D19" i="54"/>
  <c r="D20" i="54" s="1"/>
  <c r="D72" i="54"/>
  <c r="D80" i="54"/>
  <c r="D85" i="54" s="1"/>
  <c r="D35" i="40" s="1"/>
  <c r="D24" i="54"/>
  <c r="D25" i="54" s="1"/>
  <c r="D37" i="60"/>
  <c r="D10" i="60"/>
  <c r="D15" i="60"/>
  <c r="D13" i="60"/>
  <c r="E56" i="13" a="1"/>
  <c r="E81" i="13"/>
  <c r="D16" i="13" a="1"/>
  <c r="D42" i="13" s="1"/>
  <c r="D41" i="13"/>
  <c r="D67" i="13" s="1"/>
  <c r="D76" i="60"/>
  <c r="D78" i="60" s="1"/>
  <c r="D71" i="60"/>
  <c r="D74" i="60"/>
  <c r="D52" i="60"/>
  <c r="D47" i="60"/>
  <c r="D241" i="16"/>
  <c r="D229" i="16"/>
  <c r="E16" i="60"/>
  <c r="E50" i="60"/>
  <c r="E22" i="60"/>
  <c r="E27" i="60"/>
  <c r="D33" i="54"/>
  <c r="D34" i="54" s="1"/>
  <c r="D88" i="54"/>
  <c r="D96" i="54"/>
  <c r="D101" i="54" s="1"/>
  <c r="D135" i="40" s="1"/>
  <c r="D299" i="40" s="1"/>
  <c r="D38" i="54"/>
  <c r="D39" i="54" s="1"/>
  <c r="E53" i="60"/>
  <c r="D14" i="54"/>
  <c r="D15" i="54" s="1"/>
  <c r="D64" i="54"/>
  <c r="D69" i="54" s="1"/>
  <c r="D41" i="40" s="1"/>
  <c r="D289" i="40" s="1"/>
  <c r="E64" i="60"/>
  <c r="E66" i="60" s="1"/>
  <c r="E59" i="60"/>
  <c r="E62" i="60"/>
  <c r="E39" i="60"/>
  <c r="E41" i="60" s="1"/>
  <c r="E34" i="60"/>
  <c r="E15" i="13"/>
  <c r="E19" i="54"/>
  <c r="E20" i="54" s="1"/>
  <c r="E72" i="54"/>
  <c r="D91" i="13"/>
  <c r="D66" i="13" a="1"/>
  <c r="D69" i="13"/>
  <c r="D73" i="13" s="1"/>
  <c r="E307" i="13"/>
  <c r="E310" i="13"/>
  <c r="E311" i="13" s="1"/>
  <c r="E40" i="60"/>
  <c r="E9" i="54"/>
  <c r="E10" i="54" s="1"/>
  <c r="E56" i="54"/>
  <c r="G170" i="41"/>
  <c r="G132" i="41"/>
  <c r="E80" i="54"/>
  <c r="E85" i="54" s="1"/>
  <c r="E35" i="40" s="1"/>
  <c r="E24" i="54"/>
  <c r="E25" i="54" s="1"/>
  <c r="F170" i="41"/>
  <c r="F132" i="41"/>
  <c r="E33" i="54"/>
  <c r="E34" i="54" s="1"/>
  <c r="E88" i="54"/>
  <c r="E38" i="54"/>
  <c r="E39" i="54" s="1"/>
  <c r="E96" i="54"/>
  <c r="E101" i="54" s="1"/>
  <c r="E135" i="40" s="1"/>
  <c r="E299" i="40" s="1"/>
  <c r="E43" i="13"/>
  <c r="E47" i="13" s="1"/>
  <c r="E65" i="13"/>
  <c r="E40" i="13" a="1"/>
  <c r="E64" i="54"/>
  <c r="E69" i="54" s="1"/>
  <c r="E41" i="40" s="1"/>
  <c r="E289" i="40" s="1"/>
  <c r="E14" i="54"/>
  <c r="E15" i="54" s="1"/>
  <c r="E419" i="13"/>
  <c r="E423" i="13" s="1"/>
  <c r="E112" i="13"/>
  <c r="D81" i="13"/>
  <c r="D56" i="13" a="1"/>
  <c r="E48" i="54"/>
  <c r="E49" i="54" s="1"/>
  <c r="E112" i="54"/>
  <c r="E117" i="54" s="1"/>
  <c r="E129" i="40" s="1"/>
  <c r="E298" i="40" s="1"/>
  <c r="E104" i="54"/>
  <c r="E43" i="54"/>
  <c r="E44" i="54" s="1"/>
  <c r="D52" i="54" l="1"/>
  <c r="E140" i="48"/>
  <c r="E141" i="48" s="1"/>
  <c r="E308" i="40"/>
  <c r="E288" i="40"/>
  <c r="D140" i="48"/>
  <c r="D141" i="48" s="1"/>
  <c r="E312" i="40"/>
  <c r="D54" i="60"/>
  <c r="D17" i="60"/>
  <c r="D41" i="60"/>
  <c r="D157" i="48"/>
  <c r="D158" i="48" s="1"/>
  <c r="E16" i="13" a="1"/>
  <c r="E42" i="13" s="1"/>
  <c r="E41" i="13"/>
  <c r="E67" i="13" s="1"/>
  <c r="D68" i="13" a="1"/>
  <c r="D93" i="13"/>
  <c r="D94" i="13" s="1" a="1"/>
  <c r="D298" i="40"/>
  <c r="D312" i="40"/>
  <c r="E426" i="13"/>
  <c r="E430" i="13" s="1"/>
  <c r="E116" i="13"/>
  <c r="E52" i="54"/>
  <c r="D433" i="13"/>
  <c r="D437" i="13" s="1"/>
  <c r="D120" i="13"/>
  <c r="D29" i="60"/>
  <c r="D83" i="60"/>
  <c r="D28" i="54"/>
  <c r="D51" i="54"/>
  <c r="E107" i="13"/>
  <c r="E108" i="13" s="1" a="1"/>
  <c r="E82" i="13" a="1"/>
  <c r="E17" i="60"/>
  <c r="E28" i="54"/>
  <c r="E51" i="54"/>
  <c r="E27" i="54"/>
  <c r="D92" i="13" a="1"/>
  <c r="D95" i="13"/>
  <c r="D99" i="13" s="1"/>
  <c r="E29" i="60"/>
  <c r="E83" i="60"/>
  <c r="E69" i="13"/>
  <c r="E73" i="13" s="1"/>
  <c r="E91" i="13"/>
  <c r="E66" i="13" a="1"/>
  <c r="D107" i="13"/>
  <c r="D108" i="13" s="1" a="1"/>
  <c r="D82" i="13" a="1"/>
  <c r="E54" i="60"/>
  <c r="D288" i="40"/>
  <c r="D308" i="40"/>
  <c r="D27" i="54"/>
  <c r="E309" i="40" l="1"/>
  <c r="D313" i="40"/>
  <c r="E313" i="40"/>
  <c r="D309" i="40"/>
  <c r="D440" i="13"/>
  <c r="D444" i="13" s="1"/>
  <c r="D124" i="13"/>
  <c r="E92" i="13" a="1"/>
  <c r="E95" i="13"/>
  <c r="E99" i="13" s="1"/>
  <c r="E433" i="13"/>
  <c r="E437" i="13" s="1"/>
  <c r="E120" i="13"/>
  <c r="E93" i="13"/>
  <c r="E94" i="13" s="1" a="1"/>
  <c r="E68" i="13" a="1"/>
  <c r="F150" i="21" l="1"/>
  <c r="F147" i="21"/>
  <c r="G147" i="21"/>
  <c r="F110" i="21"/>
  <c r="G111" i="21"/>
  <c r="F149" i="21"/>
  <c r="G112" i="21"/>
  <c r="F113" i="21"/>
  <c r="G113" i="21"/>
  <c r="G148" i="21"/>
  <c r="G150" i="21"/>
  <c r="G149" i="21"/>
  <c r="G110" i="21"/>
  <c r="F111" i="21"/>
  <c r="F148" i="21"/>
  <c r="F112" i="21"/>
  <c r="E148" i="21"/>
  <c r="E111" i="21"/>
  <c r="E110" i="21"/>
  <c r="E112" i="21"/>
  <c r="E149" i="21"/>
  <c r="E147" i="21"/>
  <c r="E150" i="21"/>
  <c r="E113" i="21"/>
  <c r="E440" i="13"/>
  <c r="E444" i="13" s="1"/>
  <c r="E124" i="13"/>
  <c r="G107" i="21" l="1"/>
  <c r="G80" i="21" s="1"/>
  <c r="G144" i="21"/>
  <c r="G117" i="21" s="1"/>
  <c r="F107" i="21"/>
  <c r="F80" i="21" s="1"/>
  <c r="F144" i="21"/>
  <c r="F117" i="21" s="1"/>
  <c r="E107" i="21"/>
  <c r="E144" i="21"/>
  <c r="AJ48" i="12"/>
  <c r="AJ48" i="73"/>
  <c r="AD16" i="73" l="1"/>
  <c r="AC16" i="73"/>
  <c r="H609" i="34" l="1"/>
  <c r="H608" i="34"/>
  <c r="H607" i="34"/>
  <c r="H606" i="34"/>
  <c r="H605" i="34"/>
  <c r="H604" i="34"/>
  <c r="H386" i="34"/>
  <c r="H293" i="34"/>
  <c r="H200" i="34"/>
  <c r="H108" i="34"/>
  <c r="H7" i="34"/>
  <c r="H6" i="34"/>
  <c r="H5" i="34"/>
  <c r="E57" i="77"/>
  <c r="C57" i="77"/>
  <c r="E56" i="77"/>
  <c r="C56" i="77"/>
  <c r="E55" i="77"/>
  <c r="C55" i="77" s="1"/>
  <c r="E54" i="77"/>
  <c r="C54" i="77" s="1"/>
  <c r="C29" i="77"/>
  <c r="C28" i="77"/>
  <c r="C27" i="77"/>
  <c r="C26" i="77"/>
  <c r="E25" i="77"/>
  <c r="C25" i="77" s="1"/>
  <c r="E57" i="76"/>
  <c r="C57" i="76" s="1"/>
  <c r="E56" i="76"/>
  <c r="E55" i="76"/>
  <c r="C55" i="76" s="1"/>
  <c r="E54" i="76"/>
  <c r="C54" i="76" s="1"/>
  <c r="C56" i="76"/>
  <c r="E25" i="76"/>
  <c r="C29" i="76"/>
  <c r="C28" i="76"/>
  <c r="C27" i="76"/>
  <c r="C26" i="76"/>
  <c r="E53" i="77" l="1"/>
  <c r="C53" i="77" s="1"/>
  <c r="E53" i="76"/>
  <c r="C53" i="76"/>
  <c r="C25" i="76"/>
  <c r="C400" i="34" l="1"/>
  <c r="C392" i="34"/>
  <c r="C336" i="34"/>
  <c r="C328" i="34"/>
  <c r="C85" i="34"/>
  <c r="C77" i="34"/>
  <c r="B1153" i="34"/>
  <c r="C1153" i="34" s="1"/>
  <c r="B1151" i="34"/>
  <c r="C1151" i="34" s="1"/>
  <c r="B1149" i="34"/>
  <c r="C1149" i="34" s="1"/>
  <c r="B1147" i="34"/>
  <c r="C1147" i="34" s="1"/>
  <c r="B1145" i="34"/>
  <c r="C1145" i="34" s="1"/>
  <c r="B1143" i="34"/>
  <c r="C1143" i="34" s="1"/>
  <c r="B1141" i="34"/>
  <c r="C1141" i="34" s="1"/>
  <c r="B1139" i="34"/>
  <c r="C1139" i="34" s="1"/>
  <c r="B1137" i="34"/>
  <c r="C1137" i="34" s="1"/>
  <c r="B1135" i="34"/>
  <c r="C1135" i="34" s="1"/>
  <c r="B1133" i="34"/>
  <c r="C1133" i="34" s="1"/>
  <c r="B1131" i="34"/>
  <c r="C1131" i="34" s="1"/>
  <c r="B1122" i="34"/>
  <c r="C1122" i="34" s="1"/>
  <c r="B1120" i="34"/>
  <c r="C1120" i="34" s="1"/>
  <c r="B1118" i="34"/>
  <c r="C1118" i="34" s="1"/>
  <c r="B1116" i="34"/>
  <c r="C1116" i="34" s="1"/>
  <c r="B1114" i="34"/>
  <c r="C1114" i="34" s="1"/>
  <c r="B1112" i="34"/>
  <c r="C1112" i="34" s="1"/>
  <c r="B1110" i="34"/>
  <c r="C1110" i="34" s="1"/>
  <c r="B1108" i="34"/>
  <c r="C1108" i="34" s="1"/>
  <c r="B1106" i="34"/>
  <c r="C1106" i="34" s="1"/>
  <c r="B1104" i="34"/>
  <c r="C1104" i="34" s="1"/>
  <c r="B1102" i="34"/>
  <c r="C1102" i="34" s="1"/>
  <c r="B1100" i="34"/>
  <c r="C1100" i="34" s="1"/>
  <c r="B1098" i="34"/>
  <c r="C1098" i="34" s="1"/>
  <c r="B1096" i="34"/>
  <c r="C1096" i="34" s="1"/>
  <c r="B1094" i="34"/>
  <c r="C1094" i="34" s="1"/>
  <c r="B1092" i="34"/>
  <c r="C1092" i="34" s="1"/>
  <c r="B1090" i="34"/>
  <c r="C1090" i="34" s="1"/>
  <c r="B1088" i="34"/>
  <c r="C1088" i="34" s="1"/>
  <c r="B1086" i="34"/>
  <c r="C1086" i="34" s="1"/>
  <c r="B1084" i="34"/>
  <c r="C1084" i="34" s="1"/>
  <c r="B1082" i="34"/>
  <c r="C1082" i="34" s="1"/>
  <c r="B1080" i="34"/>
  <c r="C1080" i="34" s="1"/>
  <c r="B1078" i="34"/>
  <c r="C1078" i="34" s="1"/>
  <c r="B1076" i="34"/>
  <c r="C1076" i="34" s="1"/>
  <c r="B1074" i="34"/>
  <c r="C1074" i="34" s="1"/>
  <c r="B1072" i="34"/>
  <c r="C1072" i="34" s="1"/>
  <c r="B1070" i="34"/>
  <c r="C1070" i="34" s="1"/>
  <c r="B1068" i="34"/>
  <c r="C1068" i="34" s="1"/>
  <c r="B1066" i="34"/>
  <c r="C1066" i="34" s="1"/>
  <c r="B1064" i="34"/>
  <c r="C1064" i="34" s="1"/>
  <c r="B1062" i="34"/>
  <c r="C1062" i="34" s="1"/>
  <c r="B1060" i="34"/>
  <c r="C1060" i="34" s="1"/>
  <c r="B1058" i="34"/>
  <c r="C1058" i="34" s="1"/>
  <c r="B1057" i="34"/>
  <c r="C1057" i="34" s="1"/>
  <c r="B1056" i="34"/>
  <c r="C1056" i="34" s="1"/>
  <c r="B1055" i="34"/>
  <c r="C1055" i="34" s="1"/>
  <c r="B1054" i="34"/>
  <c r="C1054" i="34" s="1"/>
  <c r="B1052" i="34"/>
  <c r="C1052" i="34" s="1"/>
  <c r="B1050" i="34"/>
  <c r="C1050" i="34" s="1"/>
  <c r="B1048" i="34"/>
  <c r="C1048" i="34" s="1"/>
  <c r="B1046" i="34"/>
  <c r="C1046" i="34" s="1"/>
  <c r="B1044" i="34"/>
  <c r="C1044" i="34" s="1"/>
  <c r="B1042" i="34"/>
  <c r="C1042" i="34" s="1"/>
  <c r="B1040" i="34"/>
  <c r="C1040" i="34" s="1"/>
  <c r="B1038" i="34"/>
  <c r="C1038" i="34" s="1"/>
  <c r="B1036" i="34"/>
  <c r="C1036" i="34" s="1"/>
  <c r="B1034" i="34"/>
  <c r="C1034" i="34" s="1"/>
  <c r="B1032" i="34"/>
  <c r="C1032" i="34" s="1"/>
  <c r="B1030" i="34"/>
  <c r="C1030" i="34" s="1"/>
  <c r="B1028" i="34"/>
  <c r="C1028" i="34" s="1"/>
  <c r="B1026" i="34"/>
  <c r="C1026" i="34" s="1"/>
  <c r="B1024" i="34"/>
  <c r="C1024" i="34" s="1"/>
  <c r="B1022" i="34"/>
  <c r="C1022" i="34" s="1"/>
  <c r="B1020" i="34"/>
  <c r="C1020" i="34" s="1"/>
  <c r="B1018" i="34"/>
  <c r="C1018" i="34" s="1"/>
  <c r="B1016" i="34"/>
  <c r="C1016" i="34" s="1"/>
  <c r="B1014" i="34"/>
  <c r="C1014" i="34" s="1"/>
  <c r="B1012" i="34"/>
  <c r="C1012" i="34" s="1"/>
  <c r="B1010" i="34"/>
  <c r="C1010" i="34" s="1"/>
  <c r="B1008" i="34"/>
  <c r="C1008" i="34" s="1"/>
  <c r="B1006" i="34"/>
  <c r="C1006" i="34" s="1"/>
  <c r="B1004" i="34"/>
  <c r="C1004" i="34" s="1"/>
  <c r="B1002" i="34"/>
  <c r="C1002" i="34" s="1"/>
  <c r="B1000" i="34"/>
  <c r="C1000" i="34" s="1"/>
  <c r="B998" i="34"/>
  <c r="C998" i="34" s="1"/>
  <c r="B996" i="34"/>
  <c r="C996" i="34" s="1"/>
  <c r="B994" i="34"/>
  <c r="C994" i="34" s="1"/>
  <c r="B992" i="34"/>
  <c r="C992" i="34" s="1"/>
  <c r="B990" i="34"/>
  <c r="C990" i="34" s="1"/>
  <c r="B988" i="34"/>
  <c r="C988" i="34" s="1"/>
  <c r="B986" i="34"/>
  <c r="C986" i="34" s="1"/>
  <c r="B984" i="34"/>
  <c r="C984" i="34" s="1"/>
  <c r="B982" i="34"/>
  <c r="C982" i="34" s="1"/>
  <c r="B980" i="34"/>
  <c r="C980" i="34" s="1"/>
  <c r="B978" i="34"/>
  <c r="C978" i="34" s="1"/>
  <c r="B976" i="34"/>
  <c r="C976" i="34" s="1"/>
  <c r="B974" i="34"/>
  <c r="C974" i="34" s="1"/>
  <c r="B972" i="34"/>
  <c r="C972" i="34" s="1"/>
  <c r="B970" i="34"/>
  <c r="C970" i="34" s="1"/>
  <c r="B968" i="34"/>
  <c r="C968" i="34" s="1"/>
  <c r="B966" i="34"/>
  <c r="C966" i="34" s="1"/>
  <c r="B964" i="34"/>
  <c r="C964" i="34" s="1"/>
  <c r="B962" i="34"/>
  <c r="C962" i="34" s="1"/>
  <c r="B960" i="34"/>
  <c r="C960" i="34" s="1"/>
  <c r="B958" i="34"/>
  <c r="C958" i="34" s="1"/>
  <c r="B956" i="34"/>
  <c r="C956" i="34" s="1"/>
  <c r="B954" i="34"/>
  <c r="C954" i="34" s="1"/>
  <c r="B952" i="34"/>
  <c r="C952" i="34" s="1"/>
  <c r="B950" i="34"/>
  <c r="C950" i="34" s="1"/>
  <c r="B948" i="34"/>
  <c r="C948" i="34" s="1"/>
  <c r="B946" i="34"/>
  <c r="C946" i="34" s="1"/>
  <c r="B944" i="34"/>
  <c r="C944" i="34" s="1"/>
  <c r="B942" i="34"/>
  <c r="C942" i="34" s="1"/>
  <c r="B940" i="34"/>
  <c r="C940" i="34" s="1"/>
  <c r="B938" i="34"/>
  <c r="C938" i="34" s="1"/>
  <c r="B936" i="34"/>
  <c r="C936" i="34" s="1"/>
  <c r="B934" i="34"/>
  <c r="C934" i="34" s="1"/>
  <c r="B932" i="34"/>
  <c r="C932" i="34" s="1"/>
  <c r="B930" i="34"/>
  <c r="C930" i="34" s="1"/>
  <c r="B928" i="34"/>
  <c r="C928" i="34" s="1"/>
  <c r="B926" i="34"/>
  <c r="C926" i="34" s="1"/>
  <c r="B924" i="34"/>
  <c r="C924" i="34" s="1"/>
  <c r="B922" i="34"/>
  <c r="C922" i="34" s="1"/>
  <c r="B920" i="34"/>
  <c r="C920" i="34" s="1"/>
  <c r="B918" i="34"/>
  <c r="C918" i="34" s="1"/>
  <c r="B916" i="34"/>
  <c r="C916" i="34" s="1"/>
  <c r="B914" i="34"/>
  <c r="C914" i="34" s="1"/>
  <c r="B912" i="34"/>
  <c r="C912" i="34" s="1"/>
  <c r="B910" i="34"/>
  <c r="C910" i="34" s="1"/>
  <c r="B908" i="34"/>
  <c r="C908" i="34" s="1"/>
  <c r="B906" i="34"/>
  <c r="C906" i="34" s="1"/>
  <c r="B905" i="34"/>
  <c r="C905" i="34" s="1"/>
  <c r="B904" i="34"/>
  <c r="C904" i="34" s="1"/>
  <c r="B903" i="34"/>
  <c r="C903" i="34" s="1"/>
  <c r="B902" i="34"/>
  <c r="C902" i="34" s="1"/>
  <c r="B900" i="34"/>
  <c r="C900" i="34" s="1"/>
  <c r="B898" i="34"/>
  <c r="C898" i="34" s="1"/>
  <c r="B896" i="34"/>
  <c r="C896" i="34" s="1"/>
  <c r="B894" i="34"/>
  <c r="C894" i="34" s="1"/>
  <c r="B892" i="34"/>
  <c r="C892" i="34" s="1"/>
  <c r="B890" i="34"/>
  <c r="C890" i="34" s="1"/>
  <c r="B888" i="34"/>
  <c r="C888" i="34" s="1"/>
  <c r="B886" i="34"/>
  <c r="C886" i="34" s="1"/>
  <c r="B884" i="34"/>
  <c r="C884" i="34" s="1"/>
  <c r="B882" i="34"/>
  <c r="C882" i="34" s="1"/>
  <c r="B880" i="34"/>
  <c r="C880" i="34" s="1"/>
  <c r="B878" i="34"/>
  <c r="C878" i="34" s="1"/>
  <c r="B876" i="34"/>
  <c r="C876" i="34" s="1"/>
  <c r="B874" i="34"/>
  <c r="C874" i="34" s="1"/>
  <c r="B872" i="34"/>
  <c r="C872" i="34" s="1"/>
  <c r="B870" i="34"/>
  <c r="C870" i="34" s="1"/>
  <c r="B868" i="34"/>
  <c r="C868" i="34" s="1"/>
  <c r="B866" i="34"/>
  <c r="C866" i="34" s="1"/>
  <c r="B864" i="34"/>
  <c r="C864" i="34" s="1"/>
  <c r="B862" i="34"/>
  <c r="C862" i="34" s="1"/>
  <c r="B860" i="34"/>
  <c r="C860" i="34" s="1"/>
  <c r="B858" i="34"/>
  <c r="C858" i="34" s="1"/>
  <c r="B856" i="34"/>
  <c r="C856" i="34" s="1"/>
  <c r="B854" i="34"/>
  <c r="C854" i="34" s="1"/>
  <c r="B852" i="34"/>
  <c r="C852" i="34" s="1"/>
  <c r="B850" i="34"/>
  <c r="C850" i="34" s="1"/>
  <c r="B848" i="34"/>
  <c r="C848" i="34" s="1"/>
  <c r="B846" i="34"/>
  <c r="C846" i="34" s="1"/>
  <c r="B844" i="34"/>
  <c r="C844" i="34" s="1"/>
  <c r="B842" i="34"/>
  <c r="C842" i="34" s="1"/>
  <c r="B840" i="34"/>
  <c r="C840" i="34" s="1"/>
  <c r="B838" i="34"/>
  <c r="C838" i="34" s="1"/>
  <c r="B836" i="34"/>
  <c r="C836" i="34" s="1"/>
  <c r="B834" i="34"/>
  <c r="C834" i="34" s="1"/>
  <c r="B832" i="34"/>
  <c r="C832" i="34" s="1"/>
  <c r="B830" i="34"/>
  <c r="C830" i="34" s="1"/>
  <c r="B828" i="34"/>
  <c r="C828" i="34" s="1"/>
  <c r="B826" i="34"/>
  <c r="C826" i="34" s="1"/>
  <c r="B824" i="34"/>
  <c r="C824" i="34" s="1"/>
  <c r="B822" i="34"/>
  <c r="C822" i="34" s="1"/>
  <c r="B820" i="34"/>
  <c r="C820" i="34" s="1"/>
  <c r="B818" i="34"/>
  <c r="C818" i="34" s="1"/>
  <c r="B816" i="34"/>
  <c r="C816" i="34" s="1"/>
  <c r="B814" i="34"/>
  <c r="C814" i="34" s="1"/>
  <c r="B812" i="34"/>
  <c r="C812" i="34" s="1"/>
  <c r="B810" i="34"/>
  <c r="C810" i="34" s="1"/>
  <c r="B808" i="34"/>
  <c r="C808" i="34" s="1"/>
  <c r="B806" i="34"/>
  <c r="C806" i="34" s="1"/>
  <c r="B804" i="34"/>
  <c r="C804" i="34" s="1"/>
  <c r="B802" i="34"/>
  <c r="C802" i="34" s="1"/>
  <c r="B800" i="34"/>
  <c r="C800" i="34" s="1"/>
  <c r="B798" i="34"/>
  <c r="C798" i="34" s="1"/>
  <c r="B796" i="34"/>
  <c r="C796" i="34" s="1"/>
  <c r="B794" i="34"/>
  <c r="C794" i="34" s="1"/>
  <c r="B792" i="34"/>
  <c r="C792" i="34" s="1"/>
  <c r="B791" i="34"/>
  <c r="C791" i="34" s="1"/>
  <c r="B790" i="34"/>
  <c r="C790" i="34" s="1"/>
  <c r="B789" i="34"/>
  <c r="C789" i="34" s="1"/>
  <c r="B788" i="34"/>
  <c r="C788" i="34" s="1"/>
  <c r="B787" i="34"/>
  <c r="C787" i="34" s="1"/>
  <c r="B786" i="34"/>
  <c r="C786" i="34" s="1"/>
  <c r="B785" i="34"/>
  <c r="C785" i="34" s="1"/>
  <c r="B784" i="34"/>
  <c r="C784" i="34" s="1"/>
  <c r="B783" i="34"/>
  <c r="C783" i="34" s="1"/>
  <c r="B782" i="34"/>
  <c r="C782" i="34" s="1"/>
  <c r="B781" i="34"/>
  <c r="C781" i="34" s="1"/>
  <c r="B780" i="34"/>
  <c r="C780" i="34" s="1"/>
  <c r="B779" i="34"/>
  <c r="C779" i="34" s="1"/>
  <c r="B778" i="34"/>
  <c r="C778" i="34" s="1"/>
  <c r="B777" i="34"/>
  <c r="C777" i="34" s="1"/>
  <c r="B776" i="34"/>
  <c r="C776" i="34" s="1"/>
  <c r="B774" i="34"/>
  <c r="C774" i="34" s="1"/>
  <c r="B772" i="34"/>
  <c r="C772" i="34" s="1"/>
  <c r="B770" i="34"/>
  <c r="C770" i="34" s="1"/>
  <c r="B768" i="34"/>
  <c r="C768" i="34" s="1"/>
  <c r="B766" i="34"/>
  <c r="C766" i="34" s="1"/>
  <c r="B764" i="34"/>
  <c r="C764" i="34" s="1"/>
  <c r="B762" i="34"/>
  <c r="C762" i="34" s="1"/>
  <c r="B760" i="34"/>
  <c r="C760" i="34" s="1"/>
  <c r="B758" i="34"/>
  <c r="C758" i="34" s="1"/>
  <c r="B756" i="34"/>
  <c r="C756" i="34" s="1"/>
  <c r="B754" i="34"/>
  <c r="C754" i="34" s="1"/>
  <c r="B752" i="34"/>
  <c r="C752" i="34" s="1"/>
  <c r="B750" i="34"/>
  <c r="C750" i="34" s="1"/>
  <c r="B748" i="34"/>
  <c r="C748" i="34" s="1"/>
  <c r="B746" i="34"/>
  <c r="C746" i="34" s="1"/>
  <c r="B744" i="34"/>
  <c r="C744" i="34" s="1"/>
  <c r="B742" i="34"/>
  <c r="C742" i="34" s="1"/>
  <c r="B740" i="34"/>
  <c r="C740" i="34" s="1"/>
  <c r="B738" i="34"/>
  <c r="C738" i="34" s="1"/>
  <c r="B736" i="34"/>
  <c r="C736" i="34" s="1"/>
  <c r="B734" i="34"/>
  <c r="C734" i="34" s="1"/>
  <c r="B732" i="34"/>
  <c r="C732" i="34" s="1"/>
  <c r="B730" i="34"/>
  <c r="C730" i="34" s="1"/>
  <c r="B728" i="34"/>
  <c r="C728" i="34" s="1"/>
  <c r="B726" i="34"/>
  <c r="C726" i="34" s="1"/>
  <c r="B724" i="34"/>
  <c r="C724" i="34" s="1"/>
  <c r="B722" i="34"/>
  <c r="C722" i="34" s="1"/>
  <c r="B720" i="34"/>
  <c r="C720" i="34" s="1"/>
  <c r="B718" i="34"/>
  <c r="C718" i="34" s="1"/>
  <c r="B716" i="34"/>
  <c r="C716" i="34" s="1"/>
  <c r="B714" i="34"/>
  <c r="C714" i="34" s="1"/>
  <c r="B712" i="34"/>
  <c r="C712" i="34" s="1"/>
  <c r="B710" i="34"/>
  <c r="C710" i="34" s="1"/>
  <c r="B708" i="34"/>
  <c r="C708" i="34" s="1"/>
  <c r="B706" i="34"/>
  <c r="C706" i="34" s="1"/>
  <c r="B704" i="34"/>
  <c r="C704" i="34" s="1"/>
  <c r="B702" i="34"/>
  <c r="C702" i="34" s="1"/>
  <c r="B700" i="34"/>
  <c r="C700" i="34" s="1"/>
  <c r="B698" i="34"/>
  <c r="C698" i="34" s="1"/>
  <c r="B696" i="34"/>
  <c r="C696" i="34" s="1"/>
  <c r="B694" i="34"/>
  <c r="C694" i="34" s="1"/>
  <c r="B692" i="34"/>
  <c r="C692" i="34" s="1"/>
  <c r="B690" i="34"/>
  <c r="C690" i="34" s="1"/>
  <c r="B688" i="34"/>
  <c r="C688" i="34" s="1"/>
  <c r="B686" i="34"/>
  <c r="C686" i="34" s="1"/>
  <c r="B684" i="34"/>
  <c r="C684" i="34" s="1"/>
  <c r="B682" i="34"/>
  <c r="C682" i="34" s="1"/>
  <c r="B680" i="34"/>
  <c r="C680" i="34" s="1"/>
  <c r="B678" i="34"/>
  <c r="C678" i="34" s="1"/>
  <c r="B676" i="34"/>
  <c r="C676" i="34" s="1"/>
  <c r="B674" i="34"/>
  <c r="C674" i="34" s="1"/>
  <c r="B672" i="34"/>
  <c r="C672" i="34" s="1"/>
  <c r="B670" i="34"/>
  <c r="C670" i="34" s="1"/>
  <c r="B668" i="34"/>
  <c r="C668" i="34" s="1"/>
  <c r="B665" i="34"/>
  <c r="C665" i="34" s="1"/>
  <c r="B663" i="34"/>
  <c r="C663" i="34" s="1"/>
  <c r="B661" i="34"/>
  <c r="C661" i="34" s="1"/>
  <c r="B659" i="34"/>
  <c r="C659" i="34" s="1"/>
  <c r="B657" i="34"/>
  <c r="C657" i="34" s="1"/>
  <c r="B655" i="34"/>
  <c r="C655" i="34" s="1"/>
  <c r="B653" i="34"/>
  <c r="C653" i="34" s="1"/>
  <c r="B651" i="34"/>
  <c r="C651" i="34" s="1"/>
  <c r="B649" i="34"/>
  <c r="C649" i="34" s="1"/>
  <c r="B647" i="34"/>
  <c r="C647" i="34" s="1"/>
  <c r="B645" i="34"/>
  <c r="C645" i="34" s="1"/>
  <c r="B643" i="34"/>
  <c r="C643" i="34" s="1"/>
  <c r="B641" i="34"/>
  <c r="C641" i="34" s="1"/>
  <c r="B639" i="34"/>
  <c r="C639" i="34" s="1"/>
  <c r="B637" i="34"/>
  <c r="C637" i="34" s="1"/>
  <c r="B635" i="34"/>
  <c r="C635" i="34" s="1"/>
  <c r="B633" i="34"/>
  <c r="C633" i="34" s="1"/>
  <c r="B631" i="34"/>
  <c r="C631" i="34" s="1"/>
  <c r="B629" i="34"/>
  <c r="C629" i="34" s="1"/>
  <c r="B627" i="34"/>
  <c r="C627" i="34" s="1"/>
  <c r="B625" i="34"/>
  <c r="C625" i="34" s="1"/>
  <c r="B623" i="34"/>
  <c r="C623" i="34" s="1"/>
  <c r="B621" i="34"/>
  <c r="C621" i="34" s="1"/>
  <c r="B619" i="34"/>
  <c r="C619" i="34" s="1"/>
  <c r="B617" i="34"/>
  <c r="C617" i="34" s="1"/>
  <c r="B615" i="34"/>
  <c r="C615" i="34" s="1"/>
  <c r="B613" i="34"/>
  <c r="C613" i="34" s="1"/>
  <c r="B611" i="34"/>
  <c r="C611" i="34" s="1"/>
  <c r="B603" i="34"/>
  <c r="C603" i="34" s="1"/>
  <c r="B602" i="34"/>
  <c r="C602" i="34" s="1"/>
  <c r="B601" i="34"/>
  <c r="C601" i="34" s="1"/>
  <c r="B600" i="34"/>
  <c r="C600" i="34" s="1"/>
  <c r="B599" i="34"/>
  <c r="C599" i="34" s="1"/>
  <c r="B598" i="34"/>
  <c r="C598" i="34" s="1"/>
  <c r="B597" i="34"/>
  <c r="C597" i="34" s="1"/>
  <c r="B596" i="34"/>
  <c r="C596" i="34" s="1"/>
  <c r="B595" i="34"/>
  <c r="C595" i="34" s="1"/>
  <c r="B594" i="34"/>
  <c r="C594" i="34" s="1"/>
  <c r="B593" i="34"/>
  <c r="C593" i="34" s="1"/>
  <c r="B592" i="34"/>
  <c r="C592" i="34" s="1"/>
  <c r="B591" i="34"/>
  <c r="C591" i="34" s="1"/>
  <c r="B590" i="34"/>
  <c r="C590" i="34" s="1"/>
  <c r="B589" i="34"/>
  <c r="C589" i="34" s="1"/>
  <c r="B588" i="34"/>
  <c r="C588" i="34" s="1"/>
  <c r="B571" i="34"/>
  <c r="C571" i="34" s="1"/>
  <c r="B570" i="34"/>
  <c r="C570" i="34" s="1"/>
  <c r="B569" i="34"/>
  <c r="C569" i="34" s="1"/>
  <c r="B568" i="34"/>
  <c r="C568" i="34" s="1"/>
  <c r="B567" i="34"/>
  <c r="C567" i="34" s="1"/>
  <c r="B566" i="34"/>
  <c r="C566" i="34" s="1"/>
  <c r="B565" i="34"/>
  <c r="C565" i="34" s="1"/>
  <c r="B564" i="34"/>
  <c r="C564" i="34" s="1"/>
  <c r="B563" i="34"/>
  <c r="C563" i="34" s="1"/>
  <c r="B562" i="34"/>
  <c r="C562" i="34" s="1"/>
  <c r="B561" i="34"/>
  <c r="C561" i="34" s="1"/>
  <c r="B560" i="34"/>
  <c r="C560" i="34" s="1"/>
  <c r="B559" i="34"/>
  <c r="C559" i="34" s="1"/>
  <c r="B558" i="34"/>
  <c r="C558" i="34" s="1"/>
  <c r="B557" i="34"/>
  <c r="C557" i="34" s="1"/>
  <c r="B556" i="34"/>
  <c r="C556" i="34" s="1"/>
  <c r="B555" i="34"/>
  <c r="C555" i="34" s="1"/>
  <c r="B554" i="34"/>
  <c r="C554" i="34" s="1"/>
  <c r="B553" i="34"/>
  <c r="C553" i="34" s="1"/>
  <c r="B552" i="34"/>
  <c r="C552" i="34" s="1"/>
  <c r="B551" i="34"/>
  <c r="C551" i="34" s="1"/>
  <c r="B550" i="34"/>
  <c r="C550" i="34" s="1"/>
  <c r="B549" i="34"/>
  <c r="C549" i="34" s="1"/>
  <c r="B548" i="34"/>
  <c r="C548" i="34" s="1"/>
  <c r="B523" i="34"/>
  <c r="C523" i="34" s="1"/>
  <c r="B521" i="34"/>
  <c r="C521" i="34" s="1"/>
  <c r="B519" i="34"/>
  <c r="C519" i="34" s="1"/>
  <c r="B517" i="34"/>
  <c r="C517" i="34" s="1"/>
  <c r="B515" i="34"/>
  <c r="C515" i="34" s="1"/>
  <c r="B513" i="34"/>
  <c r="C513" i="34" s="1"/>
  <c r="B511" i="34"/>
  <c r="C511" i="34" s="1"/>
  <c r="B509" i="34"/>
  <c r="C509" i="34" s="1"/>
  <c r="B507" i="34"/>
  <c r="C507" i="34" s="1"/>
  <c r="B505" i="34"/>
  <c r="C505" i="34" s="1"/>
  <c r="B503" i="34"/>
  <c r="C503" i="34" s="1"/>
  <c r="B501" i="34"/>
  <c r="C501" i="34" s="1"/>
  <c r="B499" i="34"/>
  <c r="C499" i="34" s="1"/>
  <c r="B497" i="34"/>
  <c r="C497" i="34" s="1"/>
  <c r="B495" i="34"/>
  <c r="C495" i="34" s="1"/>
  <c r="B493" i="34"/>
  <c r="C493" i="34" s="1"/>
  <c r="B491" i="34"/>
  <c r="C491" i="34" s="1"/>
  <c r="B489" i="34"/>
  <c r="C489" i="34" s="1"/>
  <c r="B487" i="34"/>
  <c r="C487" i="34" s="1"/>
  <c r="B485" i="34"/>
  <c r="C485" i="34" s="1"/>
  <c r="B483" i="34"/>
  <c r="C483" i="34" s="1"/>
  <c r="B481" i="34"/>
  <c r="C481" i="34" s="1"/>
  <c r="B479" i="34"/>
  <c r="C479" i="34" s="1"/>
  <c r="B477" i="34"/>
  <c r="C477" i="34" s="1"/>
  <c r="B475" i="34"/>
  <c r="C475" i="34" s="1"/>
  <c r="B473" i="34"/>
  <c r="C473" i="34" s="1"/>
  <c r="B471" i="34"/>
  <c r="C471" i="34" s="1"/>
  <c r="B469" i="34"/>
  <c r="C469" i="34" s="1"/>
  <c r="B468" i="34"/>
  <c r="C468" i="34" s="1"/>
  <c r="B467" i="34"/>
  <c r="C467" i="34" s="1"/>
  <c r="B466" i="34"/>
  <c r="C466" i="34" s="1"/>
  <c r="B465" i="34"/>
  <c r="C465" i="34" s="1"/>
  <c r="B464" i="34"/>
  <c r="C464" i="34" s="1"/>
  <c r="B463" i="34"/>
  <c r="C463" i="34" s="1"/>
  <c r="B462" i="34"/>
  <c r="C462" i="34" s="1"/>
  <c r="B461" i="34"/>
  <c r="C461" i="34" s="1"/>
  <c r="B460" i="34"/>
  <c r="C460" i="34" s="1"/>
  <c r="B459" i="34"/>
  <c r="C459" i="34" s="1"/>
  <c r="B458" i="34"/>
  <c r="C458" i="34" s="1"/>
  <c r="B457" i="34"/>
  <c r="C457" i="34" s="1"/>
  <c r="B456" i="34"/>
  <c r="C456" i="34" s="1"/>
  <c r="B455" i="34"/>
  <c r="C455" i="34" s="1"/>
  <c r="B454" i="34"/>
  <c r="C454" i="34" s="1"/>
  <c r="B453" i="34"/>
  <c r="C453" i="34" s="1"/>
  <c r="B452" i="34"/>
  <c r="C452" i="34" s="1"/>
  <c r="B451" i="34"/>
  <c r="B450" i="34"/>
  <c r="C450" i="34" s="1"/>
  <c r="B449" i="34"/>
  <c r="C449" i="34" s="1"/>
  <c r="B448" i="34"/>
  <c r="C448" i="34" s="1"/>
  <c r="B447" i="34"/>
  <c r="C447" i="34" s="1"/>
  <c r="B446" i="34"/>
  <c r="C446" i="34" s="1"/>
  <c r="B445" i="34"/>
  <c r="C445" i="34" s="1"/>
  <c r="B444" i="34"/>
  <c r="C444" i="34" s="1"/>
  <c r="B443" i="34"/>
  <c r="C443" i="34" s="1"/>
  <c r="B442" i="34"/>
  <c r="C442" i="34" s="1"/>
  <c r="B441" i="34"/>
  <c r="C441" i="34" s="1"/>
  <c r="B440" i="34"/>
  <c r="C440" i="34" s="1"/>
  <c r="B439" i="34"/>
  <c r="C439" i="34" s="1"/>
  <c r="B438" i="34"/>
  <c r="C438" i="34" s="1"/>
  <c r="B437" i="34"/>
  <c r="C437" i="34" s="1"/>
  <c r="B436" i="34"/>
  <c r="C436" i="34" s="1"/>
  <c r="B435" i="34"/>
  <c r="C435" i="34" s="1"/>
  <c r="B434" i="34"/>
  <c r="C434" i="34" s="1"/>
  <c r="B433" i="34"/>
  <c r="C433" i="34" s="1"/>
  <c r="B432" i="34"/>
  <c r="C432" i="34" s="1"/>
  <c r="B431" i="34"/>
  <c r="C431" i="34" s="1"/>
  <c r="B430" i="34"/>
  <c r="C430" i="34" s="1"/>
  <c r="B429" i="34"/>
  <c r="C429" i="34" s="1"/>
  <c r="B428" i="34"/>
  <c r="C428" i="34" s="1"/>
  <c r="B427" i="34"/>
  <c r="C427" i="34" s="1"/>
  <c r="B426" i="34"/>
  <c r="C426" i="34" s="1"/>
  <c r="B425" i="34"/>
  <c r="C425" i="34" s="1"/>
  <c r="B424" i="34"/>
  <c r="C424" i="34" s="1"/>
  <c r="B423" i="34"/>
  <c r="C423" i="34" s="1"/>
  <c r="B422" i="34"/>
  <c r="C422" i="34" s="1"/>
  <c r="B421" i="34"/>
  <c r="C421" i="34" s="1"/>
  <c r="B420" i="34"/>
  <c r="C420" i="34" s="1"/>
  <c r="B419" i="34"/>
  <c r="C419" i="34" s="1"/>
  <c r="B418" i="34"/>
  <c r="C418" i="34" s="1"/>
  <c r="B417" i="34"/>
  <c r="C417" i="34" s="1"/>
  <c r="B416" i="34"/>
  <c r="C416" i="34" s="1"/>
  <c r="B415" i="34"/>
  <c r="C415" i="34" s="1"/>
  <c r="B414" i="34"/>
  <c r="C414" i="34" s="1"/>
  <c r="B413" i="34"/>
  <c r="C413" i="34" s="1"/>
  <c r="B412" i="34"/>
  <c r="C412" i="34" s="1"/>
  <c r="B411" i="34"/>
  <c r="C411" i="34" s="1"/>
  <c r="B410" i="34"/>
  <c r="C410" i="34" s="1"/>
  <c r="B409" i="34"/>
  <c r="C409" i="34" s="1"/>
  <c r="B408" i="34"/>
  <c r="C408" i="34" s="1"/>
  <c r="B407" i="34"/>
  <c r="C407" i="34" s="1"/>
  <c r="B406" i="34"/>
  <c r="C406" i="34" s="1"/>
  <c r="B405" i="34"/>
  <c r="C405" i="34" s="1"/>
  <c r="B404" i="34"/>
  <c r="C404" i="34" s="1"/>
  <c r="B403" i="34"/>
  <c r="C403" i="34" s="1"/>
  <c r="B402" i="34"/>
  <c r="C402" i="34" s="1"/>
  <c r="B401" i="34"/>
  <c r="C401" i="34" s="1"/>
  <c r="B400" i="34"/>
  <c r="B399" i="34"/>
  <c r="C399" i="34" s="1"/>
  <c r="B398" i="34"/>
  <c r="C398" i="34" s="1"/>
  <c r="B397" i="34"/>
  <c r="C397" i="34" s="1"/>
  <c r="B396" i="34"/>
  <c r="C396" i="34" s="1"/>
  <c r="B395" i="34"/>
  <c r="C395" i="34" s="1"/>
  <c r="B394" i="34"/>
  <c r="C394" i="34" s="1"/>
  <c r="B393" i="34"/>
  <c r="C393" i="34" s="1"/>
  <c r="B392" i="34"/>
  <c r="B391" i="34"/>
  <c r="C391" i="34" s="1"/>
  <c r="B390" i="34"/>
  <c r="C390" i="34" s="1"/>
  <c r="B389" i="34"/>
  <c r="C389" i="34" s="1"/>
  <c r="B388" i="34"/>
  <c r="C388" i="34" s="1"/>
  <c r="B387" i="34"/>
  <c r="C387" i="34" s="1"/>
  <c r="B386" i="34"/>
  <c r="C386" i="34" s="1"/>
  <c r="B385" i="34"/>
  <c r="C385" i="34" s="1"/>
  <c r="B384" i="34"/>
  <c r="C384" i="34" s="1"/>
  <c r="B383" i="34"/>
  <c r="C383" i="34" s="1"/>
  <c r="B382" i="34"/>
  <c r="C382" i="34" s="1"/>
  <c r="B381" i="34"/>
  <c r="C381" i="34" s="1"/>
  <c r="B380" i="34"/>
  <c r="C380" i="34" s="1"/>
  <c r="B379" i="34"/>
  <c r="C379" i="34" s="1"/>
  <c r="B378" i="34"/>
  <c r="C378" i="34" s="1"/>
  <c r="B377" i="34"/>
  <c r="C377" i="34" s="1"/>
  <c r="B376" i="34"/>
  <c r="C376" i="34" s="1"/>
  <c r="B375" i="34"/>
  <c r="C375" i="34" s="1"/>
  <c r="B374" i="34"/>
  <c r="C374" i="34" s="1"/>
  <c r="B373" i="34"/>
  <c r="C373" i="34" s="1"/>
  <c r="B372" i="34"/>
  <c r="C372" i="34" s="1"/>
  <c r="B371" i="34"/>
  <c r="C371" i="34" s="1"/>
  <c r="B370" i="34"/>
  <c r="C370" i="34" s="1"/>
  <c r="B369" i="34"/>
  <c r="C369" i="34" s="1"/>
  <c r="B368" i="34"/>
  <c r="C368" i="34" s="1"/>
  <c r="B367" i="34"/>
  <c r="C367" i="34" s="1"/>
  <c r="B366" i="34"/>
  <c r="C366" i="34" s="1"/>
  <c r="B365" i="34"/>
  <c r="C365" i="34" s="1"/>
  <c r="B364" i="34"/>
  <c r="C364" i="34" s="1"/>
  <c r="B363" i="34"/>
  <c r="C363" i="34" s="1"/>
  <c r="B362" i="34"/>
  <c r="C362" i="34" s="1"/>
  <c r="B361" i="34"/>
  <c r="C361" i="34" s="1"/>
  <c r="B360" i="34"/>
  <c r="C360" i="34" s="1"/>
  <c r="B359" i="34"/>
  <c r="C359" i="34" s="1"/>
  <c r="B358" i="34"/>
  <c r="C358" i="34" s="1"/>
  <c r="B357" i="34"/>
  <c r="C357" i="34" s="1"/>
  <c r="B356" i="34"/>
  <c r="C356" i="34" s="1"/>
  <c r="B355" i="34"/>
  <c r="C355" i="34" s="1"/>
  <c r="B354" i="34"/>
  <c r="C354" i="34" s="1"/>
  <c r="B353" i="34"/>
  <c r="C353" i="34" s="1"/>
  <c r="B352" i="34"/>
  <c r="C352" i="34" s="1"/>
  <c r="B351" i="34"/>
  <c r="C351" i="34" s="1"/>
  <c r="B350" i="34"/>
  <c r="C350" i="34" s="1"/>
  <c r="B349" i="34"/>
  <c r="C349" i="34" s="1"/>
  <c r="B348" i="34"/>
  <c r="C348" i="34" s="1"/>
  <c r="B347" i="34"/>
  <c r="C347" i="34" s="1"/>
  <c r="B346" i="34"/>
  <c r="C346" i="34" s="1"/>
  <c r="B345" i="34"/>
  <c r="C345" i="34" s="1"/>
  <c r="B344" i="34"/>
  <c r="C344" i="34" s="1"/>
  <c r="B343" i="34"/>
  <c r="C343" i="34" s="1"/>
  <c r="B342" i="34"/>
  <c r="C342" i="34" s="1"/>
  <c r="B341" i="34"/>
  <c r="C341" i="34" s="1"/>
  <c r="B340" i="34"/>
  <c r="C340" i="34" s="1"/>
  <c r="B339" i="34"/>
  <c r="C339" i="34" s="1"/>
  <c r="B338" i="34"/>
  <c r="C338" i="34" s="1"/>
  <c r="B337" i="34"/>
  <c r="C337" i="34" s="1"/>
  <c r="B336" i="34"/>
  <c r="B335" i="34"/>
  <c r="C335" i="34" s="1"/>
  <c r="B334" i="34"/>
  <c r="C334" i="34" s="1"/>
  <c r="B333" i="34"/>
  <c r="C333" i="34" s="1"/>
  <c r="B332" i="34"/>
  <c r="C332" i="34" s="1"/>
  <c r="B331" i="34"/>
  <c r="C331" i="34" s="1"/>
  <c r="B330" i="34"/>
  <c r="C330" i="34" s="1"/>
  <c r="B329" i="34"/>
  <c r="C329" i="34" s="1"/>
  <c r="B328" i="34"/>
  <c r="B327" i="34"/>
  <c r="C327" i="34" s="1"/>
  <c r="B326" i="34"/>
  <c r="C326" i="34" s="1"/>
  <c r="B325" i="34"/>
  <c r="C325" i="34" s="1"/>
  <c r="B324" i="34"/>
  <c r="C324" i="34" s="1"/>
  <c r="B323" i="34"/>
  <c r="C323" i="34" s="1"/>
  <c r="B322" i="34"/>
  <c r="C322" i="34" s="1"/>
  <c r="B321" i="34"/>
  <c r="C321" i="34" s="1"/>
  <c r="B320" i="34"/>
  <c r="C320" i="34" s="1"/>
  <c r="B319" i="34"/>
  <c r="C319" i="34" s="1"/>
  <c r="B318" i="34"/>
  <c r="C318" i="34" s="1"/>
  <c r="B317" i="34"/>
  <c r="C317" i="34" s="1"/>
  <c r="B316" i="34"/>
  <c r="C316" i="34" s="1"/>
  <c r="B315" i="34"/>
  <c r="C315" i="34" s="1"/>
  <c r="B314" i="34"/>
  <c r="C314" i="34" s="1"/>
  <c r="B313" i="34"/>
  <c r="C313" i="34" s="1"/>
  <c r="B312" i="34"/>
  <c r="C312" i="34" s="1"/>
  <c r="B311" i="34"/>
  <c r="C311" i="34" s="1"/>
  <c r="B310" i="34"/>
  <c r="C310" i="34" s="1"/>
  <c r="B309" i="34"/>
  <c r="C309" i="34" s="1"/>
  <c r="B308" i="34"/>
  <c r="C308" i="34" s="1"/>
  <c r="B307" i="34"/>
  <c r="C307" i="34" s="1"/>
  <c r="B306" i="34"/>
  <c r="C306" i="34" s="1"/>
  <c r="B305" i="34"/>
  <c r="C305" i="34" s="1"/>
  <c r="B304" i="34"/>
  <c r="C304" i="34" s="1"/>
  <c r="B303" i="34"/>
  <c r="C303" i="34" s="1"/>
  <c r="B302" i="34"/>
  <c r="C302" i="34" s="1"/>
  <c r="B301" i="34"/>
  <c r="C301" i="34" s="1"/>
  <c r="B300" i="34"/>
  <c r="C300" i="34" s="1"/>
  <c r="B299" i="34"/>
  <c r="C299" i="34" s="1"/>
  <c r="B298" i="34"/>
  <c r="C298" i="34" s="1"/>
  <c r="B297" i="34"/>
  <c r="C297" i="34" s="1"/>
  <c r="B296" i="34"/>
  <c r="C296" i="34" s="1"/>
  <c r="B295" i="34"/>
  <c r="C295" i="34" s="1"/>
  <c r="B294" i="34"/>
  <c r="C294" i="34" s="1"/>
  <c r="B293" i="34"/>
  <c r="C293" i="34" s="1"/>
  <c r="B292" i="34"/>
  <c r="C292" i="34" s="1"/>
  <c r="B291" i="34"/>
  <c r="C291" i="34" s="1"/>
  <c r="B290" i="34"/>
  <c r="C290" i="34" s="1"/>
  <c r="B289" i="34"/>
  <c r="C289" i="34" s="1"/>
  <c r="B288" i="34"/>
  <c r="C288" i="34" s="1"/>
  <c r="B287" i="34"/>
  <c r="C287" i="34" s="1"/>
  <c r="B286" i="34"/>
  <c r="C286" i="34" s="1"/>
  <c r="B285" i="34"/>
  <c r="C285" i="34" s="1"/>
  <c r="B284" i="34"/>
  <c r="C284" i="34" s="1"/>
  <c r="B96" i="34"/>
  <c r="C96" i="34" s="1"/>
  <c r="B95" i="34"/>
  <c r="C95" i="34" s="1"/>
  <c r="B94" i="34"/>
  <c r="C94" i="34" s="1"/>
  <c r="B93" i="34"/>
  <c r="C93" i="34" s="1"/>
  <c r="B92" i="34"/>
  <c r="C92" i="34" s="1"/>
  <c r="B91" i="34"/>
  <c r="C91" i="34" s="1"/>
  <c r="B90" i="34"/>
  <c r="C90" i="34" s="1"/>
  <c r="B89" i="34"/>
  <c r="C89" i="34" s="1"/>
  <c r="B88" i="34"/>
  <c r="C88" i="34" s="1"/>
  <c r="B87" i="34"/>
  <c r="C87" i="34" s="1"/>
  <c r="B86" i="34"/>
  <c r="C86" i="34" s="1"/>
  <c r="B85" i="34"/>
  <c r="B84" i="34"/>
  <c r="C84" i="34" s="1"/>
  <c r="B83" i="34"/>
  <c r="C83" i="34" s="1"/>
  <c r="B82" i="34"/>
  <c r="C82" i="34" s="1"/>
  <c r="B81" i="34"/>
  <c r="C81" i="34" s="1"/>
  <c r="B80" i="34"/>
  <c r="C80" i="34" s="1"/>
  <c r="B79" i="34"/>
  <c r="C79" i="34" s="1"/>
  <c r="B78" i="34"/>
  <c r="C78" i="34" s="1"/>
  <c r="B77" i="34"/>
  <c r="B76" i="34"/>
  <c r="C76" i="34" s="1"/>
  <c r="B75" i="34"/>
  <c r="C75" i="34" s="1"/>
  <c r="B74" i="34"/>
  <c r="C74" i="34" s="1"/>
  <c r="B73" i="34"/>
  <c r="C73" i="34" s="1"/>
  <c r="B72" i="34"/>
  <c r="C72" i="34" s="1"/>
  <c r="B71" i="34"/>
  <c r="C71" i="34" s="1"/>
  <c r="B70" i="34"/>
  <c r="C70" i="34" s="1"/>
  <c r="B69" i="34"/>
  <c r="C69" i="34" s="1"/>
  <c r="B68" i="34"/>
  <c r="C68" i="34" s="1"/>
  <c r="B67" i="34"/>
  <c r="C67" i="34" s="1"/>
  <c r="B66" i="34"/>
  <c r="C66" i="34" s="1"/>
  <c r="B65" i="34"/>
  <c r="C65" i="34" s="1"/>
  <c r="B64" i="34"/>
  <c r="C64" i="34" s="1"/>
  <c r="B63" i="34"/>
  <c r="C63" i="34" s="1"/>
  <c r="B62" i="34"/>
  <c r="C62" i="34" s="1"/>
  <c r="B61" i="34"/>
  <c r="C61" i="34" s="1"/>
  <c r="B60" i="34"/>
  <c r="C60" i="34" s="1"/>
  <c r="B59" i="34"/>
  <c r="C59" i="34" s="1"/>
  <c r="B58" i="34"/>
  <c r="C58" i="34" s="1"/>
  <c r="B57" i="34"/>
  <c r="C57" i="34" s="1"/>
  <c r="B56" i="34"/>
  <c r="C56" i="34" s="1"/>
  <c r="B55" i="34"/>
  <c r="C55" i="34" s="1"/>
  <c r="B54" i="34"/>
  <c r="C54" i="34" s="1"/>
  <c r="B53" i="34"/>
  <c r="C53" i="34" s="1"/>
  <c r="B52" i="34"/>
  <c r="C52" i="34" s="1"/>
  <c r="B51" i="34"/>
  <c r="C51" i="34" s="1"/>
  <c r="B39" i="34"/>
  <c r="C39" i="34" s="1"/>
  <c r="B38" i="34"/>
  <c r="C38" i="34" s="1"/>
  <c r="B37" i="34"/>
  <c r="C37" i="34" s="1"/>
  <c r="B36" i="34"/>
  <c r="C36" i="34" s="1"/>
  <c r="B35" i="34"/>
  <c r="C35" i="34" s="1"/>
  <c r="B34" i="34"/>
  <c r="C34" i="34" s="1"/>
  <c r="B33" i="34"/>
  <c r="C33" i="34" s="1"/>
  <c r="B32" i="34"/>
  <c r="C32" i="34" s="1"/>
  <c r="B25" i="34"/>
  <c r="C25" i="34" s="1"/>
  <c r="B24" i="34"/>
  <c r="C24" i="34" s="1"/>
  <c r="B23" i="34"/>
  <c r="C23" i="34" s="1"/>
  <c r="B22" i="34"/>
  <c r="C22" i="34" s="1"/>
  <c r="B21" i="34"/>
  <c r="C21" i="34" s="1"/>
  <c r="B20" i="34"/>
  <c r="C20" i="34" s="1"/>
  <c r="B19" i="34"/>
  <c r="C19" i="34" s="1"/>
  <c r="B169" i="79"/>
  <c r="B168" i="79"/>
  <c r="B167" i="79"/>
  <c r="B166" i="79"/>
  <c r="B165" i="79"/>
  <c r="B164" i="79"/>
  <c r="B163" i="79"/>
  <c r="B125" i="79"/>
  <c r="B124" i="79"/>
  <c r="B123" i="79"/>
  <c r="B122" i="79"/>
  <c r="B121" i="79"/>
  <c r="B120" i="79"/>
  <c r="B119" i="79"/>
  <c r="B81" i="79"/>
  <c r="B80" i="79"/>
  <c r="B79" i="79"/>
  <c r="B78" i="79"/>
  <c r="B77" i="79"/>
  <c r="B76" i="79"/>
  <c r="B75" i="79"/>
  <c r="B37" i="79" l="1"/>
  <c r="B36" i="79"/>
  <c r="B35" i="79"/>
  <c r="B34" i="79"/>
  <c r="B33" i="79"/>
  <c r="B32" i="79"/>
  <c r="B31" i="79"/>
  <c r="C179" i="79"/>
  <c r="C178" i="79"/>
  <c r="C177" i="79"/>
  <c r="C162" i="79"/>
  <c r="C153" i="79"/>
  <c r="C135" i="79"/>
  <c r="C134" i="79"/>
  <c r="C133" i="79"/>
  <c r="C118" i="79"/>
  <c r="C109" i="79"/>
  <c r="C91" i="79"/>
  <c r="C90" i="79"/>
  <c r="C89" i="79"/>
  <c r="C74" i="79"/>
  <c r="C65" i="79"/>
  <c r="C47" i="79"/>
  <c r="C46" i="79"/>
  <c r="C45" i="79"/>
  <c r="C30" i="79"/>
  <c r="E30" i="79" s="1"/>
  <c r="C21" i="79"/>
  <c r="B169" i="78"/>
  <c r="B168" i="78"/>
  <c r="B167" i="78"/>
  <c r="B166" i="78"/>
  <c r="B165" i="78"/>
  <c r="B164" i="78"/>
  <c r="B163" i="78"/>
  <c r="C179" i="78"/>
  <c r="C178" i="78"/>
  <c r="C177" i="78"/>
  <c r="C162" i="78"/>
  <c r="C153" i="78"/>
  <c r="B125" i="78"/>
  <c r="B124" i="78"/>
  <c r="B123" i="78"/>
  <c r="B122" i="78"/>
  <c r="B121" i="78"/>
  <c r="B120" i="78"/>
  <c r="B119" i="78"/>
  <c r="C135" i="78"/>
  <c r="C134" i="78"/>
  <c r="C133" i="78"/>
  <c r="C118" i="78"/>
  <c r="C109" i="78"/>
  <c r="B81" i="78"/>
  <c r="B80" i="78"/>
  <c r="B79" i="78"/>
  <c r="B78" i="78"/>
  <c r="B77" i="78"/>
  <c r="B76" i="78"/>
  <c r="B75" i="78"/>
  <c r="E65" i="79" l="1"/>
  <c r="F109" i="79"/>
  <c r="G21" i="79"/>
  <c r="F65" i="79"/>
  <c r="G153" i="79"/>
  <c r="G65" i="79"/>
  <c r="F153" i="79"/>
  <c r="F21" i="79"/>
  <c r="G109" i="79"/>
  <c r="E153" i="79"/>
  <c r="G118" i="79"/>
  <c r="G162" i="79"/>
  <c r="G74" i="79"/>
  <c r="F30" i="79"/>
  <c r="F118" i="79"/>
  <c r="G30" i="79"/>
  <c r="F162" i="79"/>
  <c r="F74" i="79"/>
  <c r="E118" i="79"/>
  <c r="E162" i="79"/>
  <c r="E74" i="79"/>
  <c r="E109" i="79"/>
  <c r="E21" i="79"/>
  <c r="C91" i="78"/>
  <c r="C90" i="78"/>
  <c r="C89" i="78"/>
  <c r="C74" i="78"/>
  <c r="C65" i="78"/>
  <c r="C47" i="78" l="1"/>
  <c r="C46" i="78"/>
  <c r="C45" i="78"/>
  <c r="B36" i="78"/>
  <c r="B33" i="78"/>
  <c r="C30" i="78"/>
  <c r="B37" i="78"/>
  <c r="B35" i="78"/>
  <c r="B34" i="78"/>
  <c r="B32" i="78"/>
  <c r="B31" i="78"/>
  <c r="C21" i="78"/>
  <c r="G30" i="78" l="1"/>
  <c r="G118" i="78"/>
  <c r="F74" i="78"/>
  <c r="F162" i="78"/>
  <c r="G162" i="78"/>
  <c r="G74" i="78"/>
  <c r="F118" i="78"/>
  <c r="F30" i="78"/>
  <c r="E162" i="78"/>
  <c r="E118" i="78"/>
  <c r="E74" i="78"/>
  <c r="E21" i="78"/>
  <c r="G109" i="78"/>
  <c r="F65" i="78"/>
  <c r="F153" i="78"/>
  <c r="G65" i="78"/>
  <c r="F21" i="78"/>
  <c r="G153" i="78"/>
  <c r="G21" i="78"/>
  <c r="F109" i="78"/>
  <c r="E109" i="78"/>
  <c r="E153" i="78"/>
  <c r="E65" i="78"/>
  <c r="E30" i="78"/>
  <c r="E87" i="62" l="1"/>
  <c r="E86" i="62"/>
  <c r="E87" i="41"/>
  <c r="E86" i="41"/>
  <c r="E74" i="62"/>
  <c r="E160" i="62" s="1"/>
  <c r="E74" i="41"/>
  <c r="E160" i="41" s="1"/>
  <c r="E72" i="62"/>
  <c r="E72" i="41"/>
  <c r="E37" i="62"/>
  <c r="E36" i="62"/>
  <c r="E37" i="41"/>
  <c r="E36" i="41"/>
  <c r="E24" i="62"/>
  <c r="E122" i="62" s="1"/>
  <c r="E26" i="62"/>
  <c r="E24" i="41"/>
  <c r="E122" i="41" s="1"/>
  <c r="E22" i="62"/>
  <c r="E22" i="41"/>
  <c r="E236" i="62"/>
  <c r="C236" i="62" s="1"/>
  <c r="C235" i="62"/>
  <c r="C234" i="62"/>
  <c r="C233" i="62"/>
  <c r="C232" i="62"/>
  <c r="C231" i="62"/>
  <c r="E228" i="62"/>
  <c r="C228" i="62"/>
  <c r="C227" i="62"/>
  <c r="C226" i="62"/>
  <c r="C225" i="62"/>
  <c r="C224" i="62"/>
  <c r="C223" i="62"/>
  <c r="C59" i="62"/>
  <c r="C58" i="62"/>
  <c r="C57" i="62"/>
  <c r="C59" i="41"/>
  <c r="C58" i="41"/>
  <c r="C57" i="41"/>
  <c r="E39" i="77"/>
  <c r="E39" i="76"/>
  <c r="J8" i="34" l="1"/>
  <c r="J13" i="34"/>
  <c r="J12" i="34"/>
  <c r="J17" i="34"/>
  <c r="J9" i="34"/>
  <c r="J4" i="34"/>
  <c r="J15" i="34"/>
  <c r="J19" i="34"/>
  <c r="J11" i="34"/>
  <c r="J14" i="34"/>
  <c r="J3" i="34"/>
  <c r="J18" i="34"/>
  <c r="J10" i="34"/>
  <c r="J2" i="34"/>
  <c r="I19" i="34"/>
  <c r="I17" i="34"/>
  <c r="J16" i="34"/>
  <c r="I11" i="34"/>
  <c r="I9" i="34"/>
  <c r="I15" i="34"/>
  <c r="I20" i="34"/>
  <c r="I3" i="34"/>
  <c r="I12" i="34"/>
  <c r="I18" i="34"/>
  <c r="I13" i="34"/>
  <c r="I4" i="34"/>
  <c r="I10" i="34"/>
  <c r="I16" i="34"/>
  <c r="I8" i="34"/>
  <c r="I14" i="34"/>
  <c r="J20" i="34"/>
  <c r="I2" i="34"/>
  <c r="E3" i="78"/>
  <c r="E3" i="79"/>
  <c r="J1132" i="34" l="1"/>
  <c r="J1146" i="34"/>
  <c r="J1152" i="34"/>
  <c r="J1150" i="34"/>
  <c r="J1144" i="34"/>
  <c r="J1142" i="34"/>
  <c r="J1136" i="34"/>
  <c r="J1134" i="34"/>
  <c r="J1148" i="34"/>
  <c r="J1140" i="34"/>
  <c r="J1138" i="34"/>
  <c r="J1130" i="34"/>
  <c r="I1152" i="34"/>
  <c r="I1150" i="34"/>
  <c r="I1144" i="34"/>
  <c r="I1142" i="34"/>
  <c r="I1138" i="34"/>
  <c r="I1136" i="34"/>
  <c r="I1134" i="34"/>
  <c r="I1148" i="34"/>
  <c r="I1140" i="34"/>
  <c r="I1132" i="34"/>
  <c r="I1130" i="34"/>
  <c r="I1146" i="34"/>
  <c r="J1137" i="34"/>
  <c r="J1151" i="34"/>
  <c r="J1139" i="34"/>
  <c r="J1135" i="34"/>
  <c r="J1149" i="34"/>
  <c r="J1141" i="34"/>
  <c r="J1153" i="34"/>
  <c r="J1145" i="34"/>
  <c r="J1147" i="34"/>
  <c r="J1133" i="34"/>
  <c r="J1143" i="34"/>
  <c r="I1139" i="34"/>
  <c r="I1151" i="34"/>
  <c r="I1131" i="34"/>
  <c r="I1143" i="34"/>
  <c r="I1153" i="34"/>
  <c r="I1135" i="34"/>
  <c r="I1149" i="34"/>
  <c r="I1145" i="34"/>
  <c r="I1141" i="34"/>
  <c r="I1137" i="34"/>
  <c r="I1147" i="34"/>
  <c r="J1131" i="34"/>
  <c r="I1133" i="34"/>
  <c r="F39" i="21" l="1"/>
  <c r="G39" i="21"/>
  <c r="G73" i="21"/>
  <c r="F73" i="21"/>
  <c r="G74" i="21"/>
  <c r="F74" i="21"/>
  <c r="F36" i="21"/>
  <c r="G36" i="21"/>
  <c r="G76" i="21"/>
  <c r="F76" i="21"/>
  <c r="G75" i="21"/>
  <c r="F75" i="21"/>
  <c r="G37" i="21"/>
  <c r="F37" i="21"/>
  <c r="G38" i="21"/>
  <c r="F38" i="21"/>
  <c r="E76" i="21"/>
  <c r="E39" i="21"/>
  <c r="E74" i="21"/>
  <c r="E75" i="21"/>
  <c r="E11" i="71"/>
  <c r="C10" i="71"/>
  <c r="C9" i="71"/>
  <c r="E8" i="71"/>
  <c r="C7" i="71"/>
  <c r="C6" i="71"/>
  <c r="G33" i="21" l="1"/>
  <c r="G6" i="21" s="1"/>
  <c r="F33" i="21"/>
  <c r="F6" i="21" s="1"/>
  <c r="F70" i="21"/>
  <c r="F43" i="21" s="1"/>
  <c r="G70" i="21"/>
  <c r="G43" i="21" s="1"/>
  <c r="C8" i="71"/>
  <c r="C11" i="71"/>
  <c r="C75" i="77" l="1"/>
  <c r="C74" i="77"/>
  <c r="C67" i="77"/>
  <c r="C66" i="77"/>
  <c r="C75" i="76"/>
  <c r="C74" i="76"/>
  <c r="C66" i="76"/>
  <c r="C270" i="13"/>
  <c r="E51" i="77" l="1"/>
  <c r="E50" i="77"/>
  <c r="C50" i="77" s="1"/>
  <c r="E49" i="77"/>
  <c r="E48" i="77"/>
  <c r="E47" i="77"/>
  <c r="E42" i="77"/>
  <c r="E41" i="77"/>
  <c r="E38" i="77"/>
  <c r="E37" i="77"/>
  <c r="E36" i="77"/>
  <c r="C36" i="77" s="1"/>
  <c r="E35" i="77"/>
  <c r="E34" i="77"/>
  <c r="E24" i="77"/>
  <c r="E18" i="77" s="1"/>
  <c r="C23" i="77"/>
  <c r="C22" i="77"/>
  <c r="C21" i="77"/>
  <c r="C20" i="77"/>
  <c r="C19" i="77"/>
  <c r="E15" i="77"/>
  <c r="E16" i="77" s="1"/>
  <c r="C13" i="77"/>
  <c r="E12" i="77"/>
  <c r="C10" i="77"/>
  <c r="C9" i="77"/>
  <c r="C8" i="77"/>
  <c r="C7" i="77"/>
  <c r="C6" i="77"/>
  <c r="E3" i="77"/>
  <c r="E51" i="76"/>
  <c r="E50" i="76"/>
  <c r="E49" i="76"/>
  <c r="E48" i="76"/>
  <c r="E47" i="76"/>
  <c r="E41" i="76"/>
  <c r="E38" i="76"/>
  <c r="E37" i="76"/>
  <c r="E36" i="76"/>
  <c r="C36" i="76" s="1"/>
  <c r="E35" i="76"/>
  <c r="E34" i="76"/>
  <c r="C23" i="76"/>
  <c r="C22" i="76"/>
  <c r="C21" i="76"/>
  <c r="C20" i="76"/>
  <c r="C19" i="76"/>
  <c r="C13" i="76"/>
  <c r="C10" i="76"/>
  <c r="C9" i="76"/>
  <c r="C8" i="76"/>
  <c r="C7" i="76"/>
  <c r="C6" i="76"/>
  <c r="E3" i="76"/>
  <c r="D347" i="16" l="1"/>
  <c r="D356" i="16"/>
  <c r="D359" i="16"/>
  <c r="D344" i="16"/>
  <c r="E359" i="16"/>
  <c r="E344" i="16"/>
  <c r="E356" i="16"/>
  <c r="E347" i="16"/>
  <c r="D355" i="16"/>
  <c r="D343" i="16"/>
  <c r="D358" i="16"/>
  <c r="D346" i="16"/>
  <c r="E343" i="16"/>
  <c r="E346" i="16"/>
  <c r="E358" i="16"/>
  <c r="E355" i="16"/>
  <c r="C50" i="76"/>
  <c r="C37" i="77"/>
  <c r="E52" i="77"/>
  <c r="C47" i="77"/>
  <c r="C41" i="76"/>
  <c r="C38" i="77"/>
  <c r="C49" i="77"/>
  <c r="C24" i="77"/>
  <c r="C37" i="76"/>
  <c r="C47" i="76"/>
  <c r="C51" i="76"/>
  <c r="C41" i="77"/>
  <c r="C34" i="77"/>
  <c r="C18" i="77"/>
  <c r="C35" i="77"/>
  <c r="C51" i="77"/>
  <c r="C48" i="77"/>
  <c r="E43" i="77"/>
  <c r="E44" i="77" s="1"/>
  <c r="E40" i="77"/>
  <c r="E5" i="77"/>
  <c r="C16" i="77"/>
  <c r="C12" i="77"/>
  <c r="C38" i="76"/>
  <c r="C48" i="76"/>
  <c r="E52" i="76"/>
  <c r="C35" i="76"/>
  <c r="C49" i="76"/>
  <c r="C34" i="76"/>
  <c r="D360" i="16" l="1"/>
  <c r="E348" i="16"/>
  <c r="E351" i="16"/>
  <c r="D348" i="16"/>
  <c r="D351" i="16"/>
  <c r="E350" i="16"/>
  <c r="E352" i="16" s="1"/>
  <c r="E345" i="16"/>
  <c r="E71" i="77"/>
  <c r="D350" i="16"/>
  <c r="D345" i="16"/>
  <c r="D363" i="16"/>
  <c r="D362" i="16"/>
  <c r="D364" i="16" s="1"/>
  <c r="D357" i="16"/>
  <c r="E357" i="16"/>
  <c r="E362" i="16"/>
  <c r="E46" i="77"/>
  <c r="E360" i="16"/>
  <c r="E363" i="16"/>
  <c r="E46" i="76"/>
  <c r="C46" i="76" s="1"/>
  <c r="C46" i="77"/>
  <c r="C52" i="77"/>
  <c r="E70" i="77"/>
  <c r="C70" i="77" s="1"/>
  <c r="E62" i="77"/>
  <c r="C5" i="77"/>
  <c r="E31" i="77"/>
  <c r="C31" i="77" s="1"/>
  <c r="E33" i="77"/>
  <c r="C40" i="77"/>
  <c r="C44" i="77"/>
  <c r="C71" i="77"/>
  <c r="C52" i="76"/>
  <c r="E24" i="76"/>
  <c r="E15" i="76"/>
  <c r="E12" i="76"/>
  <c r="D352" i="16" l="1"/>
  <c r="E364" i="16"/>
  <c r="E71" i="76"/>
  <c r="C71" i="76" s="1"/>
  <c r="E18" i="76"/>
  <c r="E70" i="76" s="1"/>
  <c r="E72" i="76" s="1"/>
  <c r="E76" i="76" s="1"/>
  <c r="E72" i="77"/>
  <c r="C62" i="77"/>
  <c r="C33" i="77"/>
  <c r="E59" i="77"/>
  <c r="E63" i="77"/>
  <c r="C12" i="76"/>
  <c r="C24" i="76"/>
  <c r="E16" i="76"/>
  <c r="C16" i="76" s="1"/>
  <c r="C70" i="76" l="1"/>
  <c r="C76" i="76"/>
  <c r="C72" i="77"/>
  <c r="E76" i="77"/>
  <c r="C76" i="77" s="1"/>
  <c r="C72" i="76"/>
  <c r="E64" i="77"/>
  <c r="E68" i="77" s="1"/>
  <c r="C68" i="77" s="1"/>
  <c r="C63" i="77"/>
  <c r="C59" i="77"/>
  <c r="E5" i="76"/>
  <c r="E43" i="76"/>
  <c r="E44" i="76" s="1"/>
  <c r="E40" i="76"/>
  <c r="C18" i="76"/>
  <c r="C64" i="77" l="1"/>
  <c r="C5" i="76"/>
  <c r="E62" i="76"/>
  <c r="C62" i="76" s="1"/>
  <c r="E33" i="76"/>
  <c r="E63" i="76" s="1"/>
  <c r="C40" i="76"/>
  <c r="C44" i="76"/>
  <c r="E31" i="76"/>
  <c r="C31" i="76" s="1"/>
  <c r="E64" i="76" l="1"/>
  <c r="E59" i="76"/>
  <c r="C59" i="76" s="1"/>
  <c r="C33" i="76"/>
  <c r="E67" i="76" l="1"/>
  <c r="C67" i="76" s="1"/>
  <c r="C63" i="76"/>
  <c r="C64" i="76"/>
  <c r="C88" i="75"/>
  <c r="C85" i="75"/>
  <c r="C56" i="75"/>
  <c r="C53" i="75"/>
  <c r="C24" i="75"/>
  <c r="C21" i="75"/>
  <c r="C3" i="75"/>
  <c r="C67" i="74"/>
  <c r="B67" i="74"/>
  <c r="C66" i="74"/>
  <c r="B66" i="74"/>
  <c r="C65" i="74"/>
  <c r="B65" i="74"/>
  <c r="C64" i="74"/>
  <c r="B64" i="74"/>
  <c r="C63" i="74"/>
  <c r="B63" i="74"/>
  <c r="C62" i="74"/>
  <c r="B62" i="74"/>
  <c r="C61" i="74"/>
  <c r="B61" i="74"/>
  <c r="C60" i="74"/>
  <c r="B60" i="74"/>
  <c r="C59" i="74"/>
  <c r="B59" i="74"/>
  <c r="C58" i="74"/>
  <c r="B58" i="74"/>
  <c r="C57" i="74"/>
  <c r="B57" i="74"/>
  <c r="C56" i="74"/>
  <c r="B56" i="74"/>
  <c r="C55" i="74"/>
  <c r="B55" i="74"/>
  <c r="C54" i="74"/>
  <c r="B54" i="74"/>
  <c r="C53" i="74"/>
  <c r="B53" i="74"/>
  <c r="C52" i="74"/>
  <c r="B52" i="74"/>
  <c r="C51" i="74"/>
  <c r="B51" i="74"/>
  <c r="C50" i="74"/>
  <c r="B50" i="74"/>
  <c r="C49" i="74"/>
  <c r="B49" i="74"/>
  <c r="C48" i="74"/>
  <c r="B48" i="74"/>
  <c r="C47" i="74"/>
  <c r="B47" i="74"/>
  <c r="C46" i="74"/>
  <c r="B46" i="74"/>
  <c r="C45" i="74"/>
  <c r="B45" i="74"/>
  <c r="C44" i="74"/>
  <c r="B44" i="74"/>
  <c r="C43" i="74"/>
  <c r="B43" i="74"/>
  <c r="C42" i="74"/>
  <c r="B42" i="74"/>
  <c r="C41" i="74"/>
  <c r="B41" i="74"/>
  <c r="C40" i="74"/>
  <c r="B40" i="74"/>
  <c r="C39" i="74"/>
  <c r="B39" i="74"/>
  <c r="C38" i="74"/>
  <c r="B38" i="74"/>
  <c r="C37" i="74"/>
  <c r="B37" i="74"/>
  <c r="C36" i="74"/>
  <c r="B36" i="74"/>
  <c r="C35" i="74"/>
  <c r="B35" i="74"/>
  <c r="C34" i="74"/>
  <c r="B34" i="74"/>
  <c r="C33" i="74"/>
  <c r="B33" i="74"/>
  <c r="C32" i="74"/>
  <c r="B32" i="74"/>
  <c r="C31" i="74"/>
  <c r="B31" i="74"/>
  <c r="C30" i="74"/>
  <c r="C29" i="74"/>
  <c r="C28" i="74"/>
  <c r="C27" i="74"/>
  <c r="C26" i="74"/>
  <c r="C25" i="74"/>
  <c r="C24" i="74"/>
  <c r="C23" i="74"/>
  <c r="C22" i="74"/>
  <c r="C21" i="74"/>
  <c r="C20" i="74"/>
  <c r="C19" i="74"/>
  <c r="C18" i="74"/>
  <c r="C17" i="74"/>
  <c r="C16" i="74"/>
  <c r="C15" i="74"/>
  <c r="C14" i="74"/>
  <c r="C13" i="74"/>
  <c r="C12" i="74"/>
  <c r="C11" i="74"/>
  <c r="C10" i="74"/>
  <c r="C9" i="74"/>
  <c r="C8" i="74"/>
  <c r="B30" i="74"/>
  <c r="B29" i="74"/>
  <c r="B28" i="74"/>
  <c r="B27" i="74"/>
  <c r="B26" i="74"/>
  <c r="B25" i="74"/>
  <c r="B24" i="74"/>
  <c r="B23" i="74"/>
  <c r="B22" i="74"/>
  <c r="B21" i="74"/>
  <c r="B20" i="74"/>
  <c r="B19" i="74"/>
  <c r="B18" i="74"/>
  <c r="B17" i="74"/>
  <c r="B16" i="74"/>
  <c r="B15" i="74"/>
  <c r="B14" i="74"/>
  <c r="B13" i="74"/>
  <c r="B12" i="74"/>
  <c r="B11" i="74"/>
  <c r="B10" i="74"/>
  <c r="B9" i="74"/>
  <c r="B8" i="74"/>
  <c r="C5" i="74"/>
  <c r="C71" i="74" s="1"/>
  <c r="C3" i="74"/>
  <c r="AE16" i="73"/>
  <c r="AA16" i="73"/>
  <c r="Z16" i="73"/>
  <c r="X16" i="73"/>
  <c r="W16" i="73"/>
  <c r="Y16" i="73" s="1"/>
  <c r="U16" i="73"/>
  <c r="T16" i="73"/>
  <c r="V16" i="73" s="1"/>
  <c r="AC4" i="73"/>
  <c r="Z4" i="73"/>
  <c r="W4" i="73"/>
  <c r="AF4" i="73" s="1"/>
  <c r="E3" i="31"/>
  <c r="E68" i="76" l="1"/>
  <c r="C68" i="76" s="1"/>
  <c r="J817" i="34"/>
  <c r="J812" i="34"/>
  <c r="J801" i="34"/>
  <c r="J815" i="34"/>
  <c r="J807" i="34"/>
  <c r="J816" i="34"/>
  <c r="J813" i="34"/>
  <c r="J814" i="34"/>
  <c r="J805" i="34"/>
  <c r="J802" i="34"/>
  <c r="J806" i="34"/>
  <c r="J811" i="34"/>
  <c r="J803" i="34"/>
  <c r="J809" i="34"/>
  <c r="J808" i="34"/>
  <c r="J818" i="34"/>
  <c r="J810" i="34"/>
  <c r="I811" i="34"/>
  <c r="I810" i="34"/>
  <c r="I816" i="34"/>
  <c r="I814" i="34"/>
  <c r="I803" i="34"/>
  <c r="J804" i="34"/>
  <c r="I808" i="34"/>
  <c r="I815" i="34"/>
  <c r="I806" i="34"/>
  <c r="I807" i="34"/>
  <c r="I812" i="34"/>
  <c r="I817" i="34"/>
  <c r="I809" i="34"/>
  <c r="I805" i="34"/>
  <c r="I818" i="34"/>
  <c r="I802" i="34"/>
  <c r="I804" i="34"/>
  <c r="I801" i="34"/>
  <c r="I813" i="34"/>
  <c r="C89" i="75"/>
  <c r="C73" i="74"/>
  <c r="C83" i="74"/>
  <c r="C91" i="74"/>
  <c r="C99" i="74"/>
  <c r="C84" i="74"/>
  <c r="C92" i="74"/>
  <c r="C100" i="74"/>
  <c r="C79" i="74"/>
  <c r="C85" i="74"/>
  <c r="C101" i="74"/>
  <c r="C80" i="74"/>
  <c r="C88" i="74"/>
  <c r="C93" i="74"/>
  <c r="C81" i="74"/>
  <c r="C94" i="74"/>
  <c r="C102" i="74"/>
  <c r="C89" i="74"/>
  <c r="C82" i="74"/>
  <c r="C90" i="74"/>
  <c r="C97" i="74"/>
  <c r="C103" i="74"/>
  <c r="C98" i="74"/>
  <c r="C6" i="74"/>
  <c r="C57" i="75"/>
  <c r="C25" i="75"/>
  <c r="C72" i="74"/>
  <c r="C74" i="74"/>
  <c r="C70" i="74"/>
  <c r="C75" i="74"/>
  <c r="C76" i="74"/>
  <c r="AB16" i="73"/>
  <c r="C45" i="72" l="1"/>
  <c r="C40" i="72"/>
  <c r="C35" i="72"/>
  <c r="C30" i="72"/>
  <c r="C24" i="72"/>
  <c r="C19" i="72"/>
  <c r="C14" i="72"/>
  <c r="C9" i="72"/>
  <c r="C3" i="72"/>
  <c r="Z4" i="12"/>
  <c r="C307" i="71"/>
  <c r="C303" i="71"/>
  <c r="C299" i="71"/>
  <c r="C295" i="71"/>
  <c r="C290" i="71"/>
  <c r="C289" i="71"/>
  <c r="C287" i="71"/>
  <c r="C286" i="71"/>
  <c r="C247" i="71"/>
  <c r="C246" i="71"/>
  <c r="C242" i="71"/>
  <c r="C241" i="71"/>
  <c r="C237" i="71"/>
  <c r="C236" i="71"/>
  <c r="C232" i="71"/>
  <c r="C231" i="71"/>
  <c r="C226" i="71"/>
  <c r="C225" i="71"/>
  <c r="C223" i="71"/>
  <c r="C222" i="71"/>
  <c r="C183" i="71"/>
  <c r="C182" i="71"/>
  <c r="C181" i="71"/>
  <c r="C177" i="71"/>
  <c r="C176" i="71"/>
  <c r="C171" i="71"/>
  <c r="C170" i="71"/>
  <c r="C165" i="71"/>
  <c r="C164" i="71"/>
  <c r="C158" i="71"/>
  <c r="C155" i="71"/>
  <c r="C115" i="71"/>
  <c r="C114" i="71"/>
  <c r="C113" i="71"/>
  <c r="C112" i="71"/>
  <c r="C108" i="71"/>
  <c r="C107" i="71"/>
  <c r="C106" i="71"/>
  <c r="C105" i="71"/>
  <c r="C101" i="71"/>
  <c r="C100" i="71"/>
  <c r="C99" i="71"/>
  <c r="C98" i="71"/>
  <c r="C94" i="71"/>
  <c r="C93" i="71"/>
  <c r="C92" i="71"/>
  <c r="C91" i="71"/>
  <c r="C86" i="71"/>
  <c r="C83" i="71"/>
  <c r="C50" i="71"/>
  <c r="C49" i="71"/>
  <c r="C47" i="71"/>
  <c r="C46" i="71"/>
  <c r="C45" i="71"/>
  <c r="C42" i="71"/>
  <c r="C41" i="71"/>
  <c r="C39" i="71"/>
  <c r="C38" i="71"/>
  <c r="C34" i="71"/>
  <c r="C33" i="71"/>
  <c r="C31" i="71"/>
  <c r="C30" i="71"/>
  <c r="C26" i="71"/>
  <c r="C25" i="71"/>
  <c r="C23" i="71"/>
  <c r="C22" i="71"/>
  <c r="C18" i="71"/>
  <c r="C17" i="71"/>
  <c r="C15" i="71"/>
  <c r="C14" i="71"/>
  <c r="E306" i="71"/>
  <c r="E302" i="71"/>
  <c r="E304" i="71" s="1"/>
  <c r="E298" i="71"/>
  <c r="E300" i="71" s="1"/>
  <c r="E294" i="71"/>
  <c r="E291" i="71"/>
  <c r="E288" i="71"/>
  <c r="C288" i="71" s="1"/>
  <c r="E285" i="71"/>
  <c r="C261" i="71"/>
  <c r="E245" i="71"/>
  <c r="E240" i="71"/>
  <c r="E243" i="71" s="1"/>
  <c r="E235" i="71"/>
  <c r="E238" i="71" s="1"/>
  <c r="E230" i="71"/>
  <c r="E227" i="71"/>
  <c r="E224" i="71"/>
  <c r="E221" i="71"/>
  <c r="C197" i="71"/>
  <c r="E180" i="71"/>
  <c r="E184" i="71" s="1"/>
  <c r="E168" i="71"/>
  <c r="E153" i="71"/>
  <c r="C129" i="71"/>
  <c r="J793" i="34" l="1"/>
  <c r="J788" i="34"/>
  <c r="J795" i="34"/>
  <c r="J785" i="34"/>
  <c r="J799" i="34"/>
  <c r="J800" i="34"/>
  <c r="J798" i="34"/>
  <c r="J797" i="34"/>
  <c r="J792" i="34"/>
  <c r="J790" i="34"/>
  <c r="J789" i="34"/>
  <c r="J786" i="34"/>
  <c r="J791" i="34"/>
  <c r="J796" i="34"/>
  <c r="J787" i="34"/>
  <c r="I793" i="34"/>
  <c r="I789" i="34"/>
  <c r="J794" i="34"/>
  <c r="I785" i="34"/>
  <c r="I795" i="34"/>
  <c r="I800" i="34"/>
  <c r="I798" i="34"/>
  <c r="I787" i="34"/>
  <c r="I792" i="34"/>
  <c r="I799" i="34"/>
  <c r="I791" i="34"/>
  <c r="I796" i="34"/>
  <c r="I797" i="34"/>
  <c r="I788" i="34"/>
  <c r="I790" i="34"/>
  <c r="I794" i="34"/>
  <c r="I786" i="34"/>
  <c r="C230" i="71"/>
  <c r="C294" i="71"/>
  <c r="C227" i="71"/>
  <c r="C245" i="71"/>
  <c r="C306" i="71"/>
  <c r="C224" i="71"/>
  <c r="U93" i="12"/>
  <c r="V87" i="12"/>
  <c r="V86" i="12"/>
  <c r="T93" i="12"/>
  <c r="AD93" i="12"/>
  <c r="AE87" i="12"/>
  <c r="Y87" i="12"/>
  <c r="AC93" i="12"/>
  <c r="AE86" i="12"/>
  <c r="AB87" i="12"/>
  <c r="AA93" i="12"/>
  <c r="Y86" i="12"/>
  <c r="Z93" i="12"/>
  <c r="AB86" i="12"/>
  <c r="X93" i="12"/>
  <c r="W93" i="12"/>
  <c r="C184" i="71"/>
  <c r="C298" i="71"/>
  <c r="C243" i="71"/>
  <c r="C300" i="71"/>
  <c r="C180" i="71"/>
  <c r="C291" i="71"/>
  <c r="C240" i="71"/>
  <c r="C302" i="71"/>
  <c r="C235" i="71"/>
  <c r="C168" i="71"/>
  <c r="E296" i="71"/>
  <c r="C296" i="71" s="1"/>
  <c r="E308" i="71"/>
  <c r="C308" i="71" s="1"/>
  <c r="C304" i="71"/>
  <c r="C238" i="71"/>
  <c r="E248" i="71"/>
  <c r="C248" i="71" s="1"/>
  <c r="E233" i="71"/>
  <c r="C233" i="71" s="1"/>
  <c r="Y93" i="12" l="1"/>
  <c r="V93" i="12"/>
  <c r="E51" i="71" l="1"/>
  <c r="C51" i="71" s="1"/>
  <c r="E48" i="71"/>
  <c r="C48" i="71" s="1"/>
  <c r="E43" i="71"/>
  <c r="E40" i="71"/>
  <c r="E35" i="71"/>
  <c r="C35" i="71" s="1"/>
  <c r="E32" i="71"/>
  <c r="C32" i="71" s="1"/>
  <c r="E27" i="71"/>
  <c r="C27" i="71" s="1"/>
  <c r="E24" i="71"/>
  <c r="E19" i="71"/>
  <c r="C19" i="71" s="1"/>
  <c r="E16" i="71"/>
  <c r="C16" i="71" s="1"/>
  <c r="C57" i="71"/>
  <c r="E111" i="71"/>
  <c r="E97" i="71"/>
  <c r="E81" i="71"/>
  <c r="E3" i="71"/>
  <c r="C323" i="40"/>
  <c r="C322" i="40"/>
  <c r="C321" i="40"/>
  <c r="C320" i="40"/>
  <c r="C318" i="40"/>
  <c r="C317" i="40"/>
  <c r="C316" i="40"/>
  <c r="C315" i="40"/>
  <c r="C311" i="40"/>
  <c r="C307" i="40"/>
  <c r="C305" i="40"/>
  <c r="C304" i="40"/>
  <c r="C303" i="40"/>
  <c r="C302" i="40"/>
  <c r="C301" i="40"/>
  <c r="C300" i="40"/>
  <c r="C297" i="40"/>
  <c r="C295" i="40"/>
  <c r="C294" i="40"/>
  <c r="C293" i="40"/>
  <c r="C292" i="40"/>
  <c r="C291" i="40"/>
  <c r="C290" i="40"/>
  <c r="C287" i="40"/>
  <c r="J1073" i="34" l="1"/>
  <c r="J1104" i="34"/>
  <c r="J1087" i="34"/>
  <c r="J1102" i="34"/>
  <c r="J1101" i="34"/>
  <c r="J1068" i="34"/>
  <c r="J1075" i="34"/>
  <c r="J1098" i="34"/>
  <c r="J1090" i="34"/>
  <c r="J1121" i="34"/>
  <c r="J1088" i="34"/>
  <c r="J1071" i="34"/>
  <c r="J1086" i="34"/>
  <c r="J1085" i="34"/>
  <c r="J1113" i="34"/>
  <c r="J1080" i="34"/>
  <c r="J1063" i="34"/>
  <c r="J1078" i="34"/>
  <c r="J1077" i="34"/>
  <c r="J1108" i="34"/>
  <c r="J1115" i="34"/>
  <c r="J1105" i="34"/>
  <c r="J1072" i="34"/>
  <c r="J1119" i="34"/>
  <c r="J1070" i="34"/>
  <c r="J1089" i="34"/>
  <c r="J1120" i="34"/>
  <c r="J1103" i="34"/>
  <c r="J1118" i="34"/>
  <c r="J1117" i="34"/>
  <c r="J1084" i="34"/>
  <c r="J1091" i="34"/>
  <c r="J1081" i="34"/>
  <c r="J1112" i="34"/>
  <c r="J1095" i="34"/>
  <c r="J1110" i="34"/>
  <c r="J1109" i="34"/>
  <c r="J1076" i="34"/>
  <c r="J1083" i="34"/>
  <c r="J1062" i="34"/>
  <c r="J1106" i="34"/>
  <c r="J1107" i="34"/>
  <c r="J1099" i="34"/>
  <c r="J1074" i="34"/>
  <c r="J1067" i="34"/>
  <c r="J1066" i="34"/>
  <c r="J1114" i="34"/>
  <c r="J1097" i="34"/>
  <c r="J1093" i="34"/>
  <c r="J1116" i="34"/>
  <c r="J1059" i="34"/>
  <c r="J1065" i="34"/>
  <c r="J1096" i="34"/>
  <c r="J1069" i="34"/>
  <c r="J1100" i="34"/>
  <c r="J1082" i="34"/>
  <c r="J1122" i="34"/>
  <c r="J1064" i="34"/>
  <c r="J1111" i="34"/>
  <c r="J1061" i="34"/>
  <c r="J1092" i="34"/>
  <c r="I1113" i="34"/>
  <c r="I1088" i="34"/>
  <c r="I1095" i="34"/>
  <c r="I1086" i="34"/>
  <c r="I1109" i="34"/>
  <c r="I1100" i="34"/>
  <c r="I1075" i="34"/>
  <c r="J1060" i="34"/>
  <c r="I1105" i="34"/>
  <c r="I1080" i="34"/>
  <c r="I1087" i="34"/>
  <c r="I1078" i="34"/>
  <c r="I1101" i="34"/>
  <c r="I1092" i="34"/>
  <c r="I1067" i="34"/>
  <c r="I1090" i="34"/>
  <c r="I1122" i="34"/>
  <c r="I1097" i="34"/>
  <c r="I1072" i="34"/>
  <c r="I1079" i="34"/>
  <c r="I1070" i="34"/>
  <c r="I1093" i="34"/>
  <c r="I1084" i="34"/>
  <c r="I1059" i="34"/>
  <c r="I1074" i="34"/>
  <c r="I1106" i="34"/>
  <c r="I1089" i="34"/>
  <c r="I1064" i="34"/>
  <c r="I1071" i="34"/>
  <c r="I1062" i="34"/>
  <c r="I1085" i="34"/>
  <c r="I1076" i="34"/>
  <c r="I1115" i="34"/>
  <c r="I1098" i="34"/>
  <c r="J1079" i="34"/>
  <c r="I1081" i="34"/>
  <c r="I1120" i="34"/>
  <c r="I1063" i="34"/>
  <c r="I1118" i="34"/>
  <c r="I1077" i="34"/>
  <c r="I1068" i="34"/>
  <c r="I1107" i="34"/>
  <c r="I1073" i="34"/>
  <c r="I1112" i="34"/>
  <c r="I1119" i="34"/>
  <c r="I1110" i="34"/>
  <c r="I1065" i="34"/>
  <c r="I1104" i="34"/>
  <c r="I1111" i="34"/>
  <c r="I1102" i="34"/>
  <c r="I1061" i="34"/>
  <c r="I1116" i="34"/>
  <c r="I1091" i="34"/>
  <c r="I1082" i="34"/>
  <c r="I1114" i="34"/>
  <c r="I1103" i="34"/>
  <c r="I1108" i="34"/>
  <c r="F422" i="71"/>
  <c r="F322" i="71"/>
  <c r="F323" i="71" s="1"/>
  <c r="D463" i="16" s="1"/>
  <c r="F389" i="71"/>
  <c r="F385" i="71"/>
  <c r="F418" i="71"/>
  <c r="F391" i="71"/>
  <c r="F343" i="71"/>
  <c r="G419" i="71"/>
  <c r="G402" i="71"/>
  <c r="G361" i="71"/>
  <c r="G360" i="71"/>
  <c r="G382" i="71"/>
  <c r="G416" i="71"/>
  <c r="G422" i="71"/>
  <c r="G413" i="71"/>
  <c r="J1094" i="34"/>
  <c r="I1060" i="34"/>
  <c r="I1066" i="34"/>
  <c r="F414" i="71"/>
  <c r="F377" i="71"/>
  <c r="F421" i="71"/>
  <c r="F375" i="71"/>
  <c r="F419" i="71"/>
  <c r="F408" i="71"/>
  <c r="F357" i="71"/>
  <c r="F416" i="71"/>
  <c r="F404" i="71"/>
  <c r="G403" i="71"/>
  <c r="G391" i="71"/>
  <c r="G335" i="71"/>
  <c r="G344" i="71"/>
  <c r="G406" i="71"/>
  <c r="G354" i="71"/>
  <c r="G379" i="71"/>
  <c r="G366" i="71"/>
  <c r="F415" i="71"/>
  <c r="F406" i="71"/>
  <c r="F364" i="71"/>
  <c r="F401" i="71"/>
  <c r="F362" i="71"/>
  <c r="F409" i="71"/>
  <c r="F358" i="71"/>
  <c r="F382" i="71"/>
  <c r="F340" i="71"/>
  <c r="G392" i="71"/>
  <c r="G375" i="71"/>
  <c r="G322" i="71"/>
  <c r="G323" i="71" s="1"/>
  <c r="E463" i="16" s="1"/>
  <c r="G334" i="71"/>
  <c r="G381" i="71"/>
  <c r="G324" i="71"/>
  <c r="G325" i="71" s="1"/>
  <c r="E465" i="16" s="1"/>
  <c r="G352" i="71"/>
  <c r="G341" i="71"/>
  <c r="G365" i="71"/>
  <c r="G387" i="71"/>
  <c r="F403" i="71"/>
  <c r="G418" i="71"/>
  <c r="G340" i="71"/>
  <c r="F341" i="71"/>
  <c r="F400" i="71"/>
  <c r="F366" i="71"/>
  <c r="G410" i="71"/>
  <c r="I1096" i="34"/>
  <c r="I1099" i="34"/>
  <c r="F407" i="71"/>
  <c r="F387" i="71"/>
  <c r="F354" i="71"/>
  <c r="F386" i="71"/>
  <c r="F337" i="71"/>
  <c r="F384" i="71"/>
  <c r="F335" i="71"/>
  <c r="G384" i="71"/>
  <c r="G364" i="71"/>
  <c r="G358" i="71"/>
  <c r="F360" i="71"/>
  <c r="F338" i="71"/>
  <c r="F356" i="71"/>
  <c r="G337" i="71"/>
  <c r="G409" i="71"/>
  <c r="G415" i="71"/>
  <c r="G377" i="71"/>
  <c r="I1117" i="34"/>
  <c r="F412" i="71"/>
  <c r="G326" i="71"/>
  <c r="G327" i="71" s="1"/>
  <c r="E466" i="16" s="1"/>
  <c r="G408" i="71"/>
  <c r="G353" i="71"/>
  <c r="F402" i="71"/>
  <c r="G407" i="71"/>
  <c r="G401" i="71"/>
  <c r="I1083" i="34"/>
  <c r="F380" i="71"/>
  <c r="F379" i="71"/>
  <c r="F326" i="71"/>
  <c r="F327" i="71" s="1"/>
  <c r="D466" i="16" s="1"/>
  <c r="F376" i="71"/>
  <c r="F324" i="71"/>
  <c r="F325" i="71" s="1"/>
  <c r="F374" i="71"/>
  <c r="F320" i="71"/>
  <c r="F321" i="71" s="1"/>
  <c r="F392" i="71"/>
  <c r="F390" i="71"/>
  <c r="G376" i="71"/>
  <c r="G356" i="71"/>
  <c r="G421" i="71"/>
  <c r="G343" i="71"/>
  <c r="G400" i="71"/>
  <c r="G414" i="71"/>
  <c r="G404" i="71"/>
  <c r="F361" i="71"/>
  <c r="F420" i="71"/>
  <c r="F365" i="71"/>
  <c r="F413" i="71"/>
  <c r="G420" i="71"/>
  <c r="G320" i="71"/>
  <c r="G321" i="71" s="1"/>
  <c r="G412" i="71"/>
  <c r="F353" i="71"/>
  <c r="F410" i="71"/>
  <c r="G357" i="71"/>
  <c r="G390" i="71"/>
  <c r="F334" i="71"/>
  <c r="F344" i="71"/>
  <c r="G385" i="71"/>
  <c r="G380" i="71"/>
  <c r="I1121" i="34"/>
  <c r="I1094" i="34"/>
  <c r="F352" i="71"/>
  <c r="F381" i="71"/>
  <c r="G386" i="71"/>
  <c r="G389" i="71"/>
  <c r="I1069" i="34"/>
  <c r="G338" i="71"/>
  <c r="G374" i="71"/>
  <c r="G362" i="71"/>
  <c r="G197" i="71"/>
  <c r="F57" i="71"/>
  <c r="F129" i="71"/>
  <c r="F197" i="71"/>
  <c r="G261" i="71"/>
  <c r="G129" i="71"/>
  <c r="G57" i="71"/>
  <c r="F261" i="71"/>
  <c r="C43" i="71"/>
  <c r="E116" i="71"/>
  <c r="C116" i="71" s="1"/>
  <c r="C111" i="71"/>
  <c r="E102" i="71"/>
  <c r="C102" i="71" s="1"/>
  <c r="C97" i="71"/>
  <c r="C24" i="71"/>
  <c r="C40" i="71"/>
  <c r="E419" i="71"/>
  <c r="E414" i="71"/>
  <c r="E409" i="71"/>
  <c r="E404" i="71"/>
  <c r="E400" i="71"/>
  <c r="E390" i="71"/>
  <c r="E386" i="71"/>
  <c r="E382" i="71"/>
  <c r="E374" i="71"/>
  <c r="E365" i="71"/>
  <c r="E352" i="71"/>
  <c r="E344" i="71"/>
  <c r="E334" i="71"/>
  <c r="E422" i="71"/>
  <c r="E418" i="71"/>
  <c r="E413" i="71"/>
  <c r="E408" i="71"/>
  <c r="E403" i="71"/>
  <c r="E389" i="71"/>
  <c r="E385" i="71"/>
  <c r="E381" i="71"/>
  <c r="E377" i="71"/>
  <c r="E364" i="71"/>
  <c r="E361" i="71"/>
  <c r="E343" i="71"/>
  <c r="E341" i="71"/>
  <c r="E326" i="71"/>
  <c r="E401" i="71"/>
  <c r="E353" i="71"/>
  <c r="E421" i="71"/>
  <c r="E406" i="71"/>
  <c r="E387" i="71"/>
  <c r="E337" i="71"/>
  <c r="E335" i="71"/>
  <c r="E322" i="71"/>
  <c r="E416" i="71"/>
  <c r="E412" i="71"/>
  <c r="E407" i="71"/>
  <c r="E402" i="71"/>
  <c r="E392" i="71"/>
  <c r="E384" i="71"/>
  <c r="E380" i="71"/>
  <c r="E376" i="71"/>
  <c r="E360" i="71"/>
  <c r="E357" i="71"/>
  <c r="E340" i="71"/>
  <c r="E338" i="71"/>
  <c r="E324" i="71"/>
  <c r="E415" i="71"/>
  <c r="E391" i="71"/>
  <c r="E366" i="71"/>
  <c r="E356" i="71"/>
  <c r="E420" i="71"/>
  <c r="E410" i="71"/>
  <c r="E379" i="71"/>
  <c r="E375" i="71"/>
  <c r="E320" i="71"/>
  <c r="E261" i="71"/>
  <c r="AE67" i="12" s="1"/>
  <c r="E197" i="71"/>
  <c r="AB67" i="12" s="1"/>
  <c r="E129" i="71"/>
  <c r="Y67" i="12" s="1"/>
  <c r="E57" i="71"/>
  <c r="V67" i="12" s="1"/>
  <c r="F336" i="71" l="1"/>
  <c r="D474" i="16" s="1"/>
  <c r="G345" i="71"/>
  <c r="E478" i="16" s="1"/>
  <c r="F329" i="71"/>
  <c r="G378" i="71"/>
  <c r="E498" i="16" s="1"/>
  <c r="F355" i="71"/>
  <c r="D486" i="16" s="1"/>
  <c r="F405" i="71"/>
  <c r="D510" i="16" s="1"/>
  <c r="E467" i="16"/>
  <c r="F342" i="71"/>
  <c r="D477" i="16" s="1"/>
  <c r="F363" i="71"/>
  <c r="D489" i="16" s="1"/>
  <c r="G411" i="71"/>
  <c r="E511" i="16" s="1"/>
  <c r="G393" i="71"/>
  <c r="E502" i="16" s="1"/>
  <c r="G329" i="71"/>
  <c r="F378" i="71"/>
  <c r="D498" i="16" s="1"/>
  <c r="F330" i="71"/>
  <c r="D470" i="16"/>
  <c r="G336" i="71"/>
  <c r="E474" i="16" s="1"/>
  <c r="F393" i="71"/>
  <c r="D502" i="16" s="1"/>
  <c r="G405" i="71"/>
  <c r="G388" i="71"/>
  <c r="G330" i="71"/>
  <c r="D462" i="16"/>
  <c r="G342" i="71"/>
  <c r="G363" i="71"/>
  <c r="G355" i="71"/>
  <c r="G417" i="71"/>
  <c r="F388" i="71"/>
  <c r="G423" i="71"/>
  <c r="E514" i="16" s="1"/>
  <c r="F345" i="71"/>
  <c r="D478" i="16" s="1"/>
  <c r="D465" i="16"/>
  <c r="D467" i="16" s="1"/>
  <c r="G359" i="71"/>
  <c r="E487" i="16" s="1"/>
  <c r="E462" i="16"/>
  <c r="F339" i="71"/>
  <c r="D475" i="16" s="1"/>
  <c r="E470" i="16"/>
  <c r="F383" i="71"/>
  <c r="D499" i="16" s="1"/>
  <c r="G339" i="71"/>
  <c r="E475" i="16" s="1"/>
  <c r="F367" i="71"/>
  <c r="D490" i="16" s="1"/>
  <c r="F423" i="71"/>
  <c r="D514" i="16" s="1"/>
  <c r="G367" i="71"/>
  <c r="E490" i="16" s="1"/>
  <c r="F417" i="71"/>
  <c r="F359" i="71"/>
  <c r="D487" i="16" s="1"/>
  <c r="F411" i="71"/>
  <c r="D511" i="16" s="1"/>
  <c r="G383" i="71"/>
  <c r="E499" i="16" s="1"/>
  <c r="C391" i="71"/>
  <c r="C376" i="71"/>
  <c r="C322" i="71"/>
  <c r="C326" i="71"/>
  <c r="C385" i="71"/>
  <c r="C400" i="71"/>
  <c r="C320" i="71"/>
  <c r="C415" i="71"/>
  <c r="C380" i="71"/>
  <c r="C335" i="71"/>
  <c r="C341" i="71"/>
  <c r="C389" i="71"/>
  <c r="C352" i="71"/>
  <c r="C404" i="71"/>
  <c r="C375" i="71"/>
  <c r="C324" i="71"/>
  <c r="C384" i="71"/>
  <c r="C337" i="71"/>
  <c r="C343" i="71"/>
  <c r="C403" i="71"/>
  <c r="C409" i="71"/>
  <c r="C379" i="71"/>
  <c r="C338" i="71"/>
  <c r="C392" i="71"/>
  <c r="C387" i="71"/>
  <c r="C408" i="71"/>
  <c r="C365" i="71"/>
  <c r="C414" i="71"/>
  <c r="C410" i="71"/>
  <c r="C340" i="71"/>
  <c r="C402" i="71"/>
  <c r="C406" i="71"/>
  <c r="C361" i="71"/>
  <c r="C413" i="71"/>
  <c r="C374" i="71"/>
  <c r="C419" i="71"/>
  <c r="C344" i="71"/>
  <c r="C420" i="71"/>
  <c r="C407" i="71"/>
  <c r="C421" i="71"/>
  <c r="C364" i="71"/>
  <c r="C418" i="71"/>
  <c r="C382" i="71"/>
  <c r="C356" i="71"/>
  <c r="C357" i="71"/>
  <c r="C412" i="71"/>
  <c r="C353" i="71"/>
  <c r="C377" i="71"/>
  <c r="C422" i="71"/>
  <c r="C386" i="71"/>
  <c r="C366" i="71"/>
  <c r="C360" i="71"/>
  <c r="C416" i="71"/>
  <c r="C401" i="71"/>
  <c r="C381" i="71"/>
  <c r="C334" i="71"/>
  <c r="C390" i="71"/>
  <c r="E383" i="71"/>
  <c r="E325" i="71"/>
  <c r="E367" i="71"/>
  <c r="E411" i="71"/>
  <c r="E417" i="71"/>
  <c r="E423" i="71"/>
  <c r="E342" i="71"/>
  <c r="E345" i="71"/>
  <c r="E405" i="71"/>
  <c r="E321" i="71"/>
  <c r="E323" i="71"/>
  <c r="E336" i="71"/>
  <c r="E388" i="71"/>
  <c r="E393" i="71"/>
  <c r="E339" i="71"/>
  <c r="E378" i="71"/>
  <c r="E327" i="71"/>
  <c r="G331" i="71" l="1"/>
  <c r="D481" i="16"/>
  <c r="E482" i="16"/>
  <c r="F331" i="71"/>
  <c r="E518" i="16"/>
  <c r="D518" i="16"/>
  <c r="D491" i="16"/>
  <c r="F425" i="71"/>
  <c r="E494" i="16"/>
  <c r="E506" i="16"/>
  <c r="F370" i="71"/>
  <c r="D494" i="16"/>
  <c r="G347" i="71"/>
  <c r="D482" i="16"/>
  <c r="F348" i="71"/>
  <c r="D464" i="16"/>
  <c r="D469" i="16"/>
  <c r="D471" i="16" s="1"/>
  <c r="F369" i="71"/>
  <c r="E464" i="16"/>
  <c r="E469" i="16"/>
  <c r="E471" i="16" s="1"/>
  <c r="D500" i="16"/>
  <c r="E476" i="16"/>
  <c r="D493" i="16"/>
  <c r="D488" i="16"/>
  <c r="G396" i="71"/>
  <c r="E501" i="16"/>
  <c r="F426" i="71"/>
  <c r="D513" i="16"/>
  <c r="G426" i="71"/>
  <c r="E513" i="16"/>
  <c r="E515" i="16" s="1"/>
  <c r="G348" i="71"/>
  <c r="E477" i="16"/>
  <c r="F395" i="71"/>
  <c r="F396" i="71"/>
  <c r="D501" i="16"/>
  <c r="D503" i="16" s="1"/>
  <c r="D476" i="16"/>
  <c r="D506" i="16"/>
  <c r="G425" i="71"/>
  <c r="E510" i="16"/>
  <c r="E500" i="16"/>
  <c r="F347" i="71"/>
  <c r="G369" i="71"/>
  <c r="E486" i="16"/>
  <c r="G395" i="71"/>
  <c r="D512" i="16"/>
  <c r="D479" i="16"/>
  <c r="G370" i="71"/>
  <c r="E489" i="16"/>
  <c r="E491" i="16" s="1"/>
  <c r="AF47" i="12"/>
  <c r="AF21" i="12"/>
  <c r="AG21" i="12"/>
  <c r="AG47" i="12"/>
  <c r="C325" i="71"/>
  <c r="C327" i="71"/>
  <c r="C323" i="71"/>
  <c r="C321" i="71"/>
  <c r="C345" i="71"/>
  <c r="C336" i="71"/>
  <c r="C388" i="71"/>
  <c r="C405" i="71"/>
  <c r="AF21" i="73" s="1"/>
  <c r="C411" i="71"/>
  <c r="AG21" i="73" s="1"/>
  <c r="C342" i="71"/>
  <c r="C423" i="71"/>
  <c r="AG47" i="73" s="1"/>
  <c r="C417" i="71"/>
  <c r="AF47" i="73" s="1"/>
  <c r="C367" i="71"/>
  <c r="C393" i="71"/>
  <c r="E395" i="71"/>
  <c r="C378" i="71"/>
  <c r="C339" i="71"/>
  <c r="C383" i="71"/>
  <c r="E425" i="71"/>
  <c r="E426" i="71"/>
  <c r="E396" i="71"/>
  <c r="E347" i="71"/>
  <c r="E348" i="71"/>
  <c r="E329" i="71"/>
  <c r="C329" i="71" s="1"/>
  <c r="E330" i="71"/>
  <c r="C330" i="71" s="1"/>
  <c r="D483" i="16" l="1"/>
  <c r="G427" i="71"/>
  <c r="G371" i="71"/>
  <c r="F371" i="71"/>
  <c r="G349" i="71"/>
  <c r="F427" i="71"/>
  <c r="F349" i="71"/>
  <c r="F397" i="71"/>
  <c r="D495" i="16"/>
  <c r="E503" i="16"/>
  <c r="E505" i="16"/>
  <c r="E507" i="16" s="1"/>
  <c r="E479" i="16"/>
  <c r="E481" i="16"/>
  <c r="E483" i="16" s="1"/>
  <c r="E517" i="16"/>
  <c r="E519" i="16" s="1"/>
  <c r="E512" i="16"/>
  <c r="G397" i="71"/>
  <c r="E493" i="16"/>
  <c r="E495" i="16" s="1"/>
  <c r="E488" i="16"/>
  <c r="D515" i="16"/>
  <c r="D517" i="16"/>
  <c r="D519" i="16" s="1"/>
  <c r="D505" i="16"/>
  <c r="D507" i="16" s="1"/>
  <c r="AH47" i="12"/>
  <c r="AH21" i="12"/>
  <c r="AH47" i="73"/>
  <c r="AH21" i="73"/>
  <c r="C396" i="71"/>
  <c r="C395" i="71"/>
  <c r="C426" i="71"/>
  <c r="C425" i="71"/>
  <c r="C348" i="71"/>
  <c r="C347" i="71"/>
  <c r="E427" i="71"/>
  <c r="E397" i="71"/>
  <c r="E349" i="71"/>
  <c r="E331" i="71"/>
  <c r="C331" i="71" s="1"/>
  <c r="C75" i="70"/>
  <c r="E3" i="70"/>
  <c r="C75" i="69"/>
  <c r="E3" i="69"/>
  <c r="C75" i="68"/>
  <c r="E3" i="68"/>
  <c r="C75" i="67"/>
  <c r="E3" i="67"/>
  <c r="C100" i="66"/>
  <c r="C75" i="66"/>
  <c r="C73" i="66"/>
  <c r="C48" i="66"/>
  <c r="C22" i="66"/>
  <c r="E3" i="66"/>
  <c r="C100" i="65"/>
  <c r="C75" i="65"/>
  <c r="C73" i="65"/>
  <c r="C48" i="65"/>
  <c r="C22" i="65"/>
  <c r="E3" i="65"/>
  <c r="C100" i="64"/>
  <c r="C75" i="64"/>
  <c r="C73" i="64"/>
  <c r="C48" i="64"/>
  <c r="C22" i="64"/>
  <c r="E3" i="64"/>
  <c r="E75" i="67" l="1"/>
  <c r="E75" i="66"/>
  <c r="E75" i="65"/>
  <c r="E75" i="68"/>
  <c r="E75" i="69"/>
  <c r="E75" i="70"/>
  <c r="E75" i="64"/>
  <c r="C349" i="71"/>
  <c r="C427" i="71"/>
  <c r="C397" i="71"/>
  <c r="C100" i="26" l="1"/>
  <c r="C73" i="26"/>
  <c r="C48" i="26"/>
  <c r="C22" i="26"/>
  <c r="C123" i="63"/>
  <c r="C122" i="63"/>
  <c r="C86" i="63"/>
  <c r="C85" i="63"/>
  <c r="C63" i="63"/>
  <c r="C100" i="63" s="1"/>
  <c r="C137" i="63" s="1"/>
  <c r="C62" i="63"/>
  <c r="C99" i="63" s="1"/>
  <c r="C136" i="63" s="1"/>
  <c r="C49" i="63"/>
  <c r="C48" i="63"/>
  <c r="C26" i="63"/>
  <c r="C25" i="63"/>
  <c r="C12" i="63"/>
  <c r="C11" i="63"/>
  <c r="E3" i="63"/>
  <c r="C123" i="21"/>
  <c r="C122" i="21"/>
  <c r="C86" i="21"/>
  <c r="C85" i="21"/>
  <c r="C63" i="21"/>
  <c r="C100" i="21" s="1"/>
  <c r="C137" i="21" s="1"/>
  <c r="C62" i="21"/>
  <c r="C99" i="21" s="1"/>
  <c r="C136" i="21" s="1"/>
  <c r="C49" i="21"/>
  <c r="C48" i="21"/>
  <c r="C26" i="21"/>
  <c r="C25" i="21"/>
  <c r="C12" i="21"/>
  <c r="C11" i="21"/>
  <c r="F85" i="21" l="1"/>
  <c r="G85" i="21"/>
  <c r="G11" i="21"/>
  <c r="F11" i="21"/>
  <c r="G122" i="63"/>
  <c r="G48" i="63"/>
  <c r="F48" i="63"/>
  <c r="F122" i="63"/>
  <c r="F86" i="63"/>
  <c r="F12" i="63"/>
  <c r="G86" i="63"/>
  <c r="G12" i="63"/>
  <c r="F86" i="21"/>
  <c r="F12" i="21"/>
  <c r="G86" i="21"/>
  <c r="G12" i="21"/>
  <c r="E49" i="63"/>
  <c r="F123" i="63"/>
  <c r="F49" i="63"/>
  <c r="G123" i="63"/>
  <c r="G49" i="63"/>
  <c r="F123" i="21"/>
  <c r="F49" i="21"/>
  <c r="G123" i="21"/>
  <c r="G49" i="21"/>
  <c r="G85" i="63"/>
  <c r="G11" i="63"/>
  <c r="F85" i="63"/>
  <c r="F11" i="63"/>
  <c r="F122" i="21"/>
  <c r="F48" i="21"/>
  <c r="G122" i="21"/>
  <c r="G48" i="21"/>
  <c r="G38" i="70"/>
  <c r="E1070" i="19" s="1"/>
  <c r="E1072" i="19" s="1"/>
  <c r="J552" i="34"/>
  <c r="J566" i="34"/>
  <c r="J549" i="34"/>
  <c r="J548" i="34"/>
  <c r="J570" i="34"/>
  <c r="J562" i="34"/>
  <c r="F31" i="67"/>
  <c r="J550" i="34"/>
  <c r="J569" i="34"/>
  <c r="F38" i="67"/>
  <c r="D206" i="19" s="1"/>
  <c r="D208" i="19" s="1"/>
  <c r="J568" i="34"/>
  <c r="J551" i="34"/>
  <c r="J564" i="34"/>
  <c r="J560" i="34"/>
  <c r="J556" i="34"/>
  <c r="G31" i="70"/>
  <c r="J571" i="34"/>
  <c r="G38" i="67"/>
  <c r="E206" i="19" s="1"/>
  <c r="E208" i="19" s="1"/>
  <c r="J554" i="34"/>
  <c r="F38" i="68"/>
  <c r="D494" i="19" s="1"/>
  <c r="D496" i="19" s="1"/>
  <c r="J558" i="34"/>
  <c r="I550" i="34"/>
  <c r="G31" i="67"/>
  <c r="F31" i="68"/>
  <c r="I569" i="34"/>
  <c r="I549" i="34"/>
  <c r="I562" i="34"/>
  <c r="I564" i="34"/>
  <c r="I556" i="34"/>
  <c r="I568" i="34"/>
  <c r="I548" i="34"/>
  <c r="I560" i="34"/>
  <c r="I552" i="34"/>
  <c r="I566" i="34"/>
  <c r="I554" i="34"/>
  <c r="I570" i="34"/>
  <c r="I551" i="34"/>
  <c r="G38" i="68"/>
  <c r="E494" i="19" s="1"/>
  <c r="E496" i="19" s="1"/>
  <c r="G38" i="69"/>
  <c r="E782" i="19" s="1"/>
  <c r="E784" i="19" s="1"/>
  <c r="F31" i="70"/>
  <c r="F38" i="69"/>
  <c r="D782" i="19" s="1"/>
  <c r="D784" i="19" s="1"/>
  <c r="I571" i="34"/>
  <c r="F38" i="70"/>
  <c r="D1070" i="19" s="1"/>
  <c r="D1072" i="19" s="1"/>
  <c r="I558" i="34"/>
  <c r="G31" i="68"/>
  <c r="G31" i="69"/>
  <c r="F31" i="69"/>
  <c r="E12" i="63"/>
  <c r="E102" i="63"/>
  <c r="E65" i="63"/>
  <c r="E28" i="63"/>
  <c r="E139" i="63"/>
  <c r="C113" i="21"/>
  <c r="C149" i="63"/>
  <c r="C147" i="21"/>
  <c r="C149" i="21"/>
  <c r="C110" i="63"/>
  <c r="C147" i="63"/>
  <c r="C150" i="63"/>
  <c r="C113" i="63"/>
  <c r="E122" i="63"/>
  <c r="E48" i="63"/>
  <c r="E85" i="63"/>
  <c r="E11" i="63"/>
  <c r="E86" i="63"/>
  <c r="E123" i="63"/>
  <c r="C111" i="63"/>
  <c r="C112" i="63"/>
  <c r="C148" i="63"/>
  <c r="C112" i="21"/>
  <c r="C110" i="21"/>
  <c r="E122" i="21"/>
  <c r="E123" i="21"/>
  <c r="E86" i="21"/>
  <c r="C111" i="21"/>
  <c r="E85" i="21"/>
  <c r="C148" i="21"/>
  <c r="C150" i="21"/>
  <c r="E448" i="19" l="1"/>
  <c r="E450" i="19" s="1"/>
  <c r="D448" i="19"/>
  <c r="D450" i="19" s="1"/>
  <c r="E160" i="19"/>
  <c r="E162" i="19" s="1"/>
  <c r="E1024" i="19"/>
  <c r="E1026" i="19" s="1"/>
  <c r="D1024" i="19"/>
  <c r="D1026" i="19" s="1"/>
  <c r="E736" i="19"/>
  <c r="E738" i="19" s="1"/>
  <c r="D736" i="19"/>
  <c r="D738" i="19" s="1"/>
  <c r="D160" i="19"/>
  <c r="D162" i="19" s="1"/>
  <c r="C58" i="48"/>
  <c r="C61" i="48" s="1"/>
  <c r="C44" i="48"/>
  <c r="C1146" i="19" l="1"/>
  <c r="C1112" i="19"/>
  <c r="C1057" i="19"/>
  <c r="C1041" i="19"/>
  <c r="C975" i="19"/>
  <c r="C983" i="19" s="1"/>
  <c r="C935" i="19"/>
  <c r="C982" i="19" s="1"/>
  <c r="C858" i="19"/>
  <c r="C824" i="19"/>
  <c r="C769" i="19"/>
  <c r="C753" i="19"/>
  <c r="C687" i="19"/>
  <c r="C695" i="19" s="1"/>
  <c r="C647" i="19"/>
  <c r="C694" i="19" s="1"/>
  <c r="C570" i="19"/>
  <c r="C536" i="19"/>
  <c r="C481" i="19"/>
  <c r="C465" i="19"/>
  <c r="C399" i="19"/>
  <c r="C407" i="19" s="1"/>
  <c r="C359" i="19"/>
  <c r="C406" i="19" s="1"/>
  <c r="C282" i="19"/>
  <c r="C111" i="19"/>
  <c r="C119" i="19" s="1"/>
  <c r="C71" i="19"/>
  <c r="C118" i="19" s="1"/>
  <c r="C578" i="19" l="1"/>
  <c r="C577" i="19"/>
  <c r="C579" i="19" s="1"/>
  <c r="C866" i="19"/>
  <c r="C865" i="19"/>
  <c r="C1153" i="19"/>
  <c r="C1154" i="19"/>
  <c r="C984" i="19"/>
  <c r="C696" i="19"/>
  <c r="C408" i="19"/>
  <c r="C867" i="19" l="1"/>
  <c r="C1155" i="19"/>
  <c r="C540" i="16" l="1"/>
  <c r="C535" i="16"/>
  <c r="C458" i="16"/>
  <c r="C453" i="16"/>
  <c r="C448" i="16"/>
  <c r="C443" i="16"/>
  <c r="C436" i="16"/>
  <c r="C435" i="16"/>
  <c r="C433" i="16"/>
  <c r="C430" i="16"/>
  <c r="C424" i="16"/>
  <c r="C423" i="16"/>
  <c r="C421" i="16"/>
  <c r="C418" i="16"/>
  <c r="C412" i="16"/>
  <c r="C411" i="16"/>
  <c r="C409" i="16"/>
  <c r="C406" i="16"/>
  <c r="C400" i="16"/>
  <c r="C399" i="16"/>
  <c r="C397" i="16"/>
  <c r="C394" i="16"/>
  <c r="C387" i="16"/>
  <c r="C386" i="16"/>
  <c r="C384" i="16"/>
  <c r="C381" i="16"/>
  <c r="C375" i="16"/>
  <c r="C374" i="16"/>
  <c r="C372" i="16"/>
  <c r="C369" i="16"/>
  <c r="C338" i="16"/>
  <c r="C337" i="16"/>
  <c r="C335" i="16"/>
  <c r="C332" i="16"/>
  <c r="C326" i="16"/>
  <c r="C325" i="16"/>
  <c r="C323" i="16"/>
  <c r="C320" i="16"/>
  <c r="C290" i="16"/>
  <c r="C285" i="16"/>
  <c r="C265" i="16"/>
  <c r="C268" i="16"/>
  <c r="C267" i="16"/>
  <c r="C253" i="16"/>
  <c r="C256" i="16"/>
  <c r="C255" i="16"/>
  <c r="C219" i="16"/>
  <c r="C218" i="16"/>
  <c r="C216" i="16"/>
  <c r="C213" i="16"/>
  <c r="C207" i="16"/>
  <c r="C206" i="16"/>
  <c r="C204" i="16"/>
  <c r="C201" i="16"/>
  <c r="C24" i="15"/>
  <c r="C19" i="15"/>
  <c r="C14" i="15"/>
  <c r="C9" i="15"/>
  <c r="C73" i="16"/>
  <c r="C68" i="16"/>
  <c r="C63" i="16"/>
  <c r="C58" i="16"/>
  <c r="C208" i="16" l="1"/>
  <c r="C220" i="16"/>
  <c r="C388" i="16"/>
  <c r="C413" i="16"/>
  <c r="C425" i="16"/>
  <c r="C401" i="16"/>
  <c r="C437" i="16"/>
  <c r="C376" i="16"/>
  <c r="C327" i="16"/>
  <c r="C339" i="16"/>
  <c r="C257" i="16"/>
  <c r="C269" i="16"/>
  <c r="C250" i="16"/>
  <c r="C262" i="16"/>
  <c r="C51" i="16" l="1"/>
  <c r="C50" i="16"/>
  <c r="C48" i="16"/>
  <c r="C45" i="16"/>
  <c r="C39" i="16"/>
  <c r="C38" i="16"/>
  <c r="C36" i="16"/>
  <c r="C33" i="16"/>
  <c r="C268" i="15"/>
  <c r="C267" i="15"/>
  <c r="C265" i="15"/>
  <c r="C262" i="15"/>
  <c r="C256" i="15"/>
  <c r="C255" i="15"/>
  <c r="C253" i="15"/>
  <c r="C250" i="15"/>
  <c r="C219" i="15"/>
  <c r="C218" i="15"/>
  <c r="C216" i="15"/>
  <c r="C213" i="15"/>
  <c r="C207" i="15"/>
  <c r="C206" i="15"/>
  <c r="C204" i="15"/>
  <c r="C201" i="15"/>
  <c r="C195" i="15"/>
  <c r="C194" i="15"/>
  <c r="C192" i="15"/>
  <c r="C189" i="15"/>
  <c r="C183" i="15"/>
  <c r="C182" i="15"/>
  <c r="C180" i="15"/>
  <c r="C177" i="15"/>
  <c r="C226" i="15"/>
  <c r="C229" i="15"/>
  <c r="C231" i="15"/>
  <c r="C232" i="15"/>
  <c r="C238" i="15"/>
  <c r="C241" i="15"/>
  <c r="C243" i="15"/>
  <c r="C244" i="15"/>
  <c r="C170" i="15"/>
  <c r="C169" i="15"/>
  <c r="C167" i="15"/>
  <c r="C164" i="15"/>
  <c r="C158" i="15"/>
  <c r="C157" i="15"/>
  <c r="C155" i="15"/>
  <c r="C152" i="15"/>
  <c r="C146" i="15"/>
  <c r="C145" i="15"/>
  <c r="C143" i="15"/>
  <c r="C140" i="15"/>
  <c r="C134" i="15"/>
  <c r="C133" i="15"/>
  <c r="C131" i="15"/>
  <c r="C128" i="15"/>
  <c r="C40" i="16" l="1"/>
  <c r="C257" i="15"/>
  <c r="C269" i="15"/>
  <c r="C184" i="15"/>
  <c r="C196" i="15"/>
  <c r="C208" i="15"/>
  <c r="C52" i="16"/>
  <c r="C220" i="15"/>
  <c r="C147" i="15"/>
  <c r="C159" i="15"/>
  <c r="C171" i="15"/>
  <c r="C233" i="15"/>
  <c r="C135" i="15"/>
  <c r="C245" i="15"/>
  <c r="C121" i="15" l="1"/>
  <c r="C120" i="15"/>
  <c r="C118" i="15"/>
  <c r="C115" i="15"/>
  <c r="C109" i="15"/>
  <c r="C108" i="15"/>
  <c r="C106" i="15"/>
  <c r="C103" i="15"/>
  <c r="C72" i="15"/>
  <c r="C71" i="15"/>
  <c r="C69" i="15"/>
  <c r="C66" i="15"/>
  <c r="C60" i="15"/>
  <c r="C59" i="15"/>
  <c r="C57" i="15"/>
  <c r="C54" i="15"/>
  <c r="E182" i="62"/>
  <c r="E181" i="62"/>
  <c r="E180" i="62"/>
  <c r="E179" i="62"/>
  <c r="E176" i="62"/>
  <c r="E174" i="62"/>
  <c r="E149" i="62" s="1"/>
  <c r="E173" i="62"/>
  <c r="E172" i="62"/>
  <c r="E164" i="62"/>
  <c r="E162" i="62"/>
  <c r="E158" i="62"/>
  <c r="C154" i="62"/>
  <c r="E150" i="62"/>
  <c r="E144" i="62"/>
  <c r="E143" i="62"/>
  <c r="E142" i="62"/>
  <c r="E141" i="62"/>
  <c r="E138" i="62"/>
  <c r="E112" i="62" s="1"/>
  <c r="E136" i="62"/>
  <c r="E111" i="62" s="1"/>
  <c r="E135" i="62"/>
  <c r="E134" i="62"/>
  <c r="E126" i="62"/>
  <c r="E124" i="62"/>
  <c r="E120" i="62"/>
  <c r="C116" i="62"/>
  <c r="C103" i="62"/>
  <c r="C102" i="62"/>
  <c r="C101" i="62"/>
  <c r="C100" i="62"/>
  <c r="E99" i="62"/>
  <c r="C96" i="62"/>
  <c r="C95" i="62"/>
  <c r="C94" i="62"/>
  <c r="C93" i="62"/>
  <c r="E92" i="62"/>
  <c r="C90" i="62"/>
  <c r="C88" i="62"/>
  <c r="C87" i="62"/>
  <c r="C86" i="62"/>
  <c r="E85" i="62"/>
  <c r="E71" i="62" s="1"/>
  <c r="C82" i="62"/>
  <c r="C168" i="62" s="1"/>
  <c r="C81" i="62"/>
  <c r="C78" i="62"/>
  <c r="C76" i="62"/>
  <c r="C72" i="62"/>
  <c r="C68" i="62"/>
  <c r="E64" i="62"/>
  <c r="E63" i="62"/>
  <c r="C53" i="62"/>
  <c r="C52" i="62"/>
  <c r="C51" i="62"/>
  <c r="C50" i="62"/>
  <c r="E49" i="62"/>
  <c r="C46" i="62"/>
  <c r="C45" i="62"/>
  <c r="C44" i="62"/>
  <c r="C43" i="62"/>
  <c r="E42" i="62"/>
  <c r="C40" i="62"/>
  <c r="C38" i="62"/>
  <c r="C37" i="62"/>
  <c r="C36" i="62"/>
  <c r="E35" i="62"/>
  <c r="C32" i="62"/>
  <c r="C130" i="62" s="1"/>
  <c r="C31" i="62"/>
  <c r="C129" i="62" s="1"/>
  <c r="C28" i="62"/>
  <c r="C26" i="62"/>
  <c r="C22" i="62"/>
  <c r="C18" i="62"/>
  <c r="E14" i="62"/>
  <c r="E13" i="62"/>
  <c r="E3" i="62"/>
  <c r="C68" i="41"/>
  <c r="C18" i="41"/>
  <c r="C154" i="41"/>
  <c r="C116" i="41"/>
  <c r="I12" i="20"/>
  <c r="H12" i="20"/>
  <c r="C82" i="41"/>
  <c r="C81" i="41"/>
  <c r="F154" i="41" l="1"/>
  <c r="G154" i="41"/>
  <c r="G68" i="62"/>
  <c r="F68" i="62"/>
  <c r="C17" i="41"/>
  <c r="F18" i="41"/>
  <c r="G18" i="41"/>
  <c r="C67" i="41"/>
  <c r="F68" i="41"/>
  <c r="G68" i="41"/>
  <c r="C17" i="62"/>
  <c r="G18" i="62"/>
  <c r="F18" i="62"/>
  <c r="G154" i="62"/>
  <c r="F154" i="62"/>
  <c r="C115" i="41"/>
  <c r="F116" i="41"/>
  <c r="G116" i="41"/>
  <c r="J625" i="34"/>
  <c r="J639" i="34"/>
  <c r="J627" i="34"/>
  <c r="J593" i="34"/>
  <c r="J623" i="34"/>
  <c r="J637" i="34"/>
  <c r="J615" i="34"/>
  <c r="J629" i="34"/>
  <c r="J588" i="34"/>
  <c r="J603" i="34"/>
  <c r="J599" i="34"/>
  <c r="J641" i="34"/>
  <c r="J590" i="34"/>
  <c r="J589" i="34"/>
  <c r="J643" i="34"/>
  <c r="J633" i="34"/>
  <c r="J647" i="34"/>
  <c r="J635" i="34"/>
  <c r="J611" i="34"/>
  <c r="J645" i="34"/>
  <c r="J649" i="34"/>
  <c r="J621" i="34"/>
  <c r="J617" i="34"/>
  <c r="J613" i="34"/>
  <c r="J602" i="34"/>
  <c r="J596" i="34"/>
  <c r="J631" i="34"/>
  <c r="I647" i="34"/>
  <c r="I627" i="34"/>
  <c r="I639" i="34"/>
  <c r="I619" i="34"/>
  <c r="I649" i="34"/>
  <c r="I631" i="34"/>
  <c r="I645" i="34"/>
  <c r="I611" i="34"/>
  <c r="J619" i="34"/>
  <c r="I641" i="34"/>
  <c r="I623" i="34"/>
  <c r="I637" i="34"/>
  <c r="I603" i="34"/>
  <c r="I633" i="34"/>
  <c r="I615" i="34"/>
  <c r="I590" i="34"/>
  <c r="I629" i="34"/>
  <c r="I625" i="34"/>
  <c r="I599" i="34"/>
  <c r="I617" i="34"/>
  <c r="I613" i="34"/>
  <c r="I596" i="34"/>
  <c r="I643" i="34"/>
  <c r="I588" i="34"/>
  <c r="I635" i="34"/>
  <c r="I602" i="34"/>
  <c r="I593" i="34"/>
  <c r="I621" i="34"/>
  <c r="I589" i="34"/>
  <c r="H13" i="20"/>
  <c r="F137" i="62" s="1"/>
  <c r="F110" i="62" s="1"/>
  <c r="J592" i="34"/>
  <c r="J576" i="34"/>
  <c r="I592" i="34"/>
  <c r="I576" i="34"/>
  <c r="G137" i="62"/>
  <c r="G110" i="62" s="1"/>
  <c r="H592" i="34"/>
  <c r="H576" i="34"/>
  <c r="I13" i="20"/>
  <c r="F175" i="41"/>
  <c r="F148" i="41" s="1"/>
  <c r="J595" i="34"/>
  <c r="J579" i="34"/>
  <c r="I595" i="34"/>
  <c r="I579" i="34"/>
  <c r="G175" i="62"/>
  <c r="G148" i="62" s="1"/>
  <c r="G175" i="41"/>
  <c r="G148" i="41" s="1"/>
  <c r="F175" i="62"/>
  <c r="F148" i="62" s="1"/>
  <c r="H595" i="34"/>
  <c r="H579" i="34"/>
  <c r="G116" i="62"/>
  <c r="F116" i="62"/>
  <c r="C61" i="15"/>
  <c r="C110" i="15"/>
  <c r="E133" i="62"/>
  <c r="E119" i="62" s="1"/>
  <c r="C144" i="62"/>
  <c r="C49" i="62"/>
  <c r="C64" i="62"/>
  <c r="C135" i="62"/>
  <c r="C153" i="62"/>
  <c r="C174" i="62"/>
  <c r="E70" i="62"/>
  <c r="C13" i="62"/>
  <c r="E171" i="62"/>
  <c r="E157" i="62" s="1"/>
  <c r="C122" i="15"/>
  <c r="C73" i="15"/>
  <c r="C71" i="62"/>
  <c r="C14" i="62"/>
  <c r="C99" i="62"/>
  <c r="C158" i="62"/>
  <c r="C172" i="62"/>
  <c r="C180" i="62"/>
  <c r="C42" i="62"/>
  <c r="C162" i="62"/>
  <c r="C176" i="62"/>
  <c r="C35" i="62"/>
  <c r="C85" i="62"/>
  <c r="C92" i="62"/>
  <c r="C150" i="62"/>
  <c r="C173" i="62"/>
  <c r="C63" i="62"/>
  <c r="C182" i="62"/>
  <c r="C124" i="62"/>
  <c r="E184" i="62"/>
  <c r="E106" i="62"/>
  <c r="E84" i="62"/>
  <c r="E34" i="62"/>
  <c r="C115" i="62"/>
  <c r="E116" i="62"/>
  <c r="E68" i="62"/>
  <c r="C112" i="62"/>
  <c r="C126" i="62"/>
  <c r="E17" i="62"/>
  <c r="E21" i="62"/>
  <c r="E190" i="62"/>
  <c r="C136" i="62"/>
  <c r="C138" i="62"/>
  <c r="C134" i="62"/>
  <c r="E18" i="62"/>
  <c r="C167" i="62"/>
  <c r="C120" i="62"/>
  <c r="C67" i="62"/>
  <c r="C143" i="62"/>
  <c r="C164" i="62"/>
  <c r="E140" i="62"/>
  <c r="C141" i="62"/>
  <c r="E137" i="62"/>
  <c r="C149" i="62"/>
  <c r="C142" i="62"/>
  <c r="E196" i="62"/>
  <c r="E197" i="62"/>
  <c r="E189" i="62"/>
  <c r="E154" i="62"/>
  <c r="E178" i="62"/>
  <c r="C181" i="62"/>
  <c r="E175" i="62"/>
  <c r="C179" i="62"/>
  <c r="C32" i="41"/>
  <c r="C31" i="41"/>
  <c r="F137" i="41" l="1"/>
  <c r="F110" i="41" s="1"/>
  <c r="F17" i="41"/>
  <c r="F11" i="41" s="1"/>
  <c r="G17" i="41"/>
  <c r="G11" i="41" s="1"/>
  <c r="F115" i="41"/>
  <c r="G115" i="41"/>
  <c r="G109" i="41" s="1"/>
  <c r="F147" i="62"/>
  <c r="G153" i="62"/>
  <c r="G147" i="62" s="1"/>
  <c r="G194" i="62" s="1"/>
  <c r="F153" i="62"/>
  <c r="G137" i="41"/>
  <c r="G110" i="41" s="1"/>
  <c r="G115" i="62"/>
  <c r="G109" i="62" s="1"/>
  <c r="F115" i="62"/>
  <c r="F61" i="62"/>
  <c r="E153" i="62"/>
  <c r="G17" i="62"/>
  <c r="G11" i="62" s="1"/>
  <c r="F17" i="62"/>
  <c r="F11" i="62" s="1"/>
  <c r="G61" i="62"/>
  <c r="F67" i="41"/>
  <c r="G67" i="41"/>
  <c r="G61" i="41" s="1"/>
  <c r="J598" i="34"/>
  <c r="J582" i="34"/>
  <c r="I598" i="34"/>
  <c r="I582" i="34"/>
  <c r="H598" i="34"/>
  <c r="H582" i="34"/>
  <c r="F109" i="62"/>
  <c r="G67" i="62"/>
  <c r="F67" i="62"/>
  <c r="J601" i="34"/>
  <c r="J585" i="34"/>
  <c r="I601" i="34"/>
  <c r="I585" i="34"/>
  <c r="H601" i="34"/>
  <c r="H585" i="34"/>
  <c r="F109" i="41"/>
  <c r="F61" i="41"/>
  <c r="C157" i="62"/>
  <c r="C119" i="62"/>
  <c r="C74" i="62"/>
  <c r="C171" i="62"/>
  <c r="C111" i="62"/>
  <c r="C122" i="62"/>
  <c r="C175" i="62"/>
  <c r="E148" i="62"/>
  <c r="C196" i="62"/>
  <c r="E170" i="62"/>
  <c r="E132" i="62"/>
  <c r="E66" i="62"/>
  <c r="C137" i="62"/>
  <c r="E110" i="62"/>
  <c r="C140" i="62"/>
  <c r="E11" i="62"/>
  <c r="C21" i="62"/>
  <c r="E20" i="62"/>
  <c r="C24" i="62"/>
  <c r="E67" i="62"/>
  <c r="E61" i="62" s="1"/>
  <c r="C189" i="62"/>
  <c r="C133" i="62"/>
  <c r="E118" i="62"/>
  <c r="C197" i="62"/>
  <c r="C178" i="62"/>
  <c r="C190" i="62"/>
  <c r="E115" i="62"/>
  <c r="E109" i="62" s="1"/>
  <c r="G187" i="41" l="1"/>
  <c r="G187" i="62"/>
  <c r="F194" i="62"/>
  <c r="F187" i="62"/>
  <c r="F187" i="41"/>
  <c r="E187" i="62"/>
  <c r="C109" i="62"/>
  <c r="C20" i="62"/>
  <c r="E16" i="62"/>
  <c r="C16" i="62" s="1"/>
  <c r="C148" i="62"/>
  <c r="C160" i="62"/>
  <c r="E147" i="62"/>
  <c r="E156" i="62"/>
  <c r="C11" i="62"/>
  <c r="C110" i="62"/>
  <c r="C66" i="62"/>
  <c r="C61" i="62"/>
  <c r="C70" i="62"/>
  <c r="C118" i="62"/>
  <c r="E114" i="62"/>
  <c r="C114" i="62" s="1"/>
  <c r="E194" i="62" l="1"/>
  <c r="C147" i="62"/>
  <c r="E152" i="62"/>
  <c r="C152" i="62" s="1"/>
  <c r="C156" i="62"/>
  <c r="C187" i="62"/>
  <c r="C194" i="62" l="1"/>
  <c r="P6" i="61" l="1"/>
  <c r="Q6" i="61"/>
  <c r="P7" i="61"/>
  <c r="Q7" i="61"/>
  <c r="P8" i="61"/>
  <c r="R8" i="61" s="1"/>
  <c r="Q8" i="61"/>
  <c r="P9" i="61"/>
  <c r="Q9" i="61"/>
  <c r="P10" i="61"/>
  <c r="Q10" i="61"/>
  <c r="P11" i="61"/>
  <c r="Q11" i="61"/>
  <c r="P12" i="61"/>
  <c r="Q12" i="61"/>
  <c r="P13" i="61"/>
  <c r="Q13" i="61"/>
  <c r="P14" i="61"/>
  <c r="Q14" i="61"/>
  <c r="P15" i="61"/>
  <c r="Q15" i="61"/>
  <c r="P16" i="61"/>
  <c r="Q16" i="61"/>
  <c r="P17" i="61"/>
  <c r="Q17" i="61"/>
  <c r="P18" i="61"/>
  <c r="Q18" i="61"/>
  <c r="P19" i="61"/>
  <c r="Q19" i="61"/>
  <c r="P20" i="61"/>
  <c r="Q20" i="61"/>
  <c r="P21" i="61"/>
  <c r="Q21" i="61"/>
  <c r="P22" i="61"/>
  <c r="Q22" i="61"/>
  <c r="P23" i="61"/>
  <c r="Q23" i="61"/>
  <c r="P24" i="61"/>
  <c r="Q24" i="61"/>
  <c r="P25" i="61"/>
  <c r="Q25" i="61"/>
  <c r="P26" i="61"/>
  <c r="Q26" i="61"/>
  <c r="P27" i="61"/>
  <c r="Q27" i="61"/>
  <c r="P28" i="61"/>
  <c r="R28" i="61" s="1"/>
  <c r="Q28" i="61"/>
  <c r="P29" i="61"/>
  <c r="Q29" i="61"/>
  <c r="P30" i="61"/>
  <c r="Q30" i="61"/>
  <c r="P31" i="61"/>
  <c r="Q31" i="61"/>
  <c r="P32" i="61"/>
  <c r="R32" i="61" s="1"/>
  <c r="Q32" i="61"/>
  <c r="P33" i="61"/>
  <c r="Q33" i="61"/>
  <c r="P34" i="61"/>
  <c r="Q34" i="61"/>
  <c r="P35" i="61"/>
  <c r="Q35" i="61"/>
  <c r="P36" i="61"/>
  <c r="R36" i="61" s="1"/>
  <c r="Q36" i="61"/>
  <c r="P37" i="61"/>
  <c r="Q37" i="61"/>
  <c r="P38" i="61"/>
  <c r="Q38" i="61"/>
  <c r="P39" i="61"/>
  <c r="Q39" i="61"/>
  <c r="P40" i="61"/>
  <c r="R40" i="61" s="1"/>
  <c r="Q40" i="61"/>
  <c r="P41" i="61"/>
  <c r="Q41" i="61"/>
  <c r="P42" i="61"/>
  <c r="Q42" i="61"/>
  <c r="P43" i="61"/>
  <c r="Q43" i="61"/>
  <c r="P44" i="61"/>
  <c r="Q44" i="61"/>
  <c r="P45" i="61"/>
  <c r="Q45" i="61"/>
  <c r="P46" i="61"/>
  <c r="Q46" i="61"/>
  <c r="P47" i="61"/>
  <c r="Q47" i="61"/>
  <c r="P48" i="61"/>
  <c r="Q48" i="61"/>
  <c r="P49" i="61"/>
  <c r="Q49" i="61"/>
  <c r="P50" i="61"/>
  <c r="Q50" i="61"/>
  <c r="P51" i="61"/>
  <c r="Q51" i="61"/>
  <c r="P52" i="61"/>
  <c r="Q52" i="61"/>
  <c r="P53" i="61"/>
  <c r="Q53" i="61"/>
  <c r="P54" i="61"/>
  <c r="Q54" i="61"/>
  <c r="P55" i="61"/>
  <c r="Q55" i="61"/>
  <c r="P56" i="61"/>
  <c r="Q56" i="61"/>
  <c r="P57" i="61"/>
  <c r="Q57" i="61"/>
  <c r="P58" i="61"/>
  <c r="Q58" i="61"/>
  <c r="P59" i="61"/>
  <c r="Q59" i="61"/>
  <c r="P60" i="61"/>
  <c r="R60" i="61" s="1"/>
  <c r="Q60" i="61"/>
  <c r="P61" i="61"/>
  <c r="Q61" i="61"/>
  <c r="P62" i="61"/>
  <c r="Q62" i="61"/>
  <c r="P63" i="61"/>
  <c r="Q63" i="61"/>
  <c r="P64" i="61"/>
  <c r="R64" i="61" s="1"/>
  <c r="Q64" i="61"/>
  <c r="P65" i="61"/>
  <c r="Q65" i="61"/>
  <c r="P66" i="61"/>
  <c r="Q66" i="61"/>
  <c r="P67" i="61"/>
  <c r="Q67" i="61"/>
  <c r="P68" i="61"/>
  <c r="R68" i="61" s="1"/>
  <c r="Q68" i="61"/>
  <c r="P69" i="61"/>
  <c r="Q69" i="61"/>
  <c r="P70" i="61"/>
  <c r="Q70" i="61"/>
  <c r="P71" i="61"/>
  <c r="Q71" i="61"/>
  <c r="P72" i="61"/>
  <c r="R72" i="61" s="1"/>
  <c r="Q72" i="61"/>
  <c r="P73" i="61"/>
  <c r="Q73" i="61"/>
  <c r="P74" i="61"/>
  <c r="Q74" i="61"/>
  <c r="P75" i="61"/>
  <c r="Q75" i="61"/>
  <c r="P76" i="61"/>
  <c r="Q76" i="61"/>
  <c r="P77" i="61"/>
  <c r="Q77" i="61"/>
  <c r="P78" i="61"/>
  <c r="Q78" i="61"/>
  <c r="P79" i="61"/>
  <c r="Q79" i="61"/>
  <c r="P80" i="61"/>
  <c r="Q80" i="61"/>
  <c r="P81" i="61"/>
  <c r="Q81" i="61"/>
  <c r="P82" i="61"/>
  <c r="Q82" i="61"/>
  <c r="P83" i="61"/>
  <c r="Q83" i="61"/>
  <c r="P84" i="61"/>
  <c r="Q84" i="61"/>
  <c r="P85" i="61"/>
  <c r="Q85" i="61"/>
  <c r="P86" i="61"/>
  <c r="Q86" i="61"/>
  <c r="P87" i="61"/>
  <c r="Q87" i="61"/>
  <c r="P88" i="61"/>
  <c r="Q88" i="61"/>
  <c r="P89" i="61"/>
  <c r="Q89" i="61"/>
  <c r="P90" i="61"/>
  <c r="Q90" i="61"/>
  <c r="P91" i="61"/>
  <c r="Q91" i="61"/>
  <c r="P92" i="61"/>
  <c r="R92" i="61" s="1"/>
  <c r="Q92" i="61"/>
  <c r="P93" i="61"/>
  <c r="Q93" i="61"/>
  <c r="P94" i="61"/>
  <c r="Q94" i="61"/>
  <c r="P95" i="61"/>
  <c r="Q95" i="61"/>
  <c r="P96" i="61"/>
  <c r="R96" i="61" s="1"/>
  <c r="Q96" i="61"/>
  <c r="P97" i="61"/>
  <c r="Q97" i="61"/>
  <c r="P98" i="61"/>
  <c r="Q98" i="61"/>
  <c r="P99" i="61"/>
  <c r="Q99" i="61"/>
  <c r="P100" i="61"/>
  <c r="R100" i="61" s="1"/>
  <c r="Q100" i="61"/>
  <c r="P101" i="61"/>
  <c r="Q101" i="61"/>
  <c r="P102" i="61"/>
  <c r="Q102" i="61"/>
  <c r="P103" i="61"/>
  <c r="Q103" i="61"/>
  <c r="P104" i="61"/>
  <c r="R104" i="61" s="1"/>
  <c r="Q104" i="61"/>
  <c r="P105" i="61"/>
  <c r="Q105" i="61"/>
  <c r="P106" i="61"/>
  <c r="Q106" i="61"/>
  <c r="P107" i="61"/>
  <c r="Q107" i="61"/>
  <c r="P108" i="61"/>
  <c r="Q108" i="61"/>
  <c r="P109" i="61"/>
  <c r="Q109" i="61"/>
  <c r="P110" i="61"/>
  <c r="Q110" i="61"/>
  <c r="P111" i="61"/>
  <c r="Q111" i="61"/>
  <c r="P112" i="61"/>
  <c r="Q112" i="61"/>
  <c r="P113" i="61"/>
  <c r="Q113" i="61"/>
  <c r="P114" i="61"/>
  <c r="Q114" i="61"/>
  <c r="P115" i="61"/>
  <c r="Q115" i="61"/>
  <c r="P116" i="61"/>
  <c r="Q116" i="61"/>
  <c r="P117" i="61"/>
  <c r="Q117" i="61"/>
  <c r="P118" i="61"/>
  <c r="Q118" i="61"/>
  <c r="P119" i="61"/>
  <c r="Q119" i="61"/>
  <c r="P120" i="61"/>
  <c r="Q120" i="61"/>
  <c r="P121" i="61"/>
  <c r="Q121" i="61"/>
  <c r="P122" i="61"/>
  <c r="Q122" i="61"/>
  <c r="P123" i="61"/>
  <c r="Q123" i="61"/>
  <c r="P124" i="61"/>
  <c r="R124" i="61" s="1"/>
  <c r="Q124" i="61"/>
  <c r="P125" i="61"/>
  <c r="Q125" i="61"/>
  <c r="P126" i="61"/>
  <c r="Q126" i="61"/>
  <c r="P127" i="61"/>
  <c r="Q127" i="61"/>
  <c r="P128" i="61"/>
  <c r="R128" i="61" s="1"/>
  <c r="Q128" i="61"/>
  <c r="P129" i="61"/>
  <c r="Q129" i="61"/>
  <c r="P130" i="61"/>
  <c r="Q130" i="61"/>
  <c r="P131" i="61"/>
  <c r="Q131" i="61"/>
  <c r="P132" i="61"/>
  <c r="R132" i="61" s="1"/>
  <c r="Q132" i="61"/>
  <c r="P133" i="61"/>
  <c r="Q133" i="61"/>
  <c r="P134" i="61"/>
  <c r="Q134" i="61"/>
  <c r="P135" i="61"/>
  <c r="Q135" i="61"/>
  <c r="P136" i="61"/>
  <c r="R136" i="61" s="1"/>
  <c r="Q136" i="61"/>
  <c r="P137" i="61"/>
  <c r="Q137" i="61"/>
  <c r="P138" i="61"/>
  <c r="Q138" i="61"/>
  <c r="P139" i="61"/>
  <c r="Q139" i="61"/>
  <c r="P140" i="61"/>
  <c r="Q140" i="61"/>
  <c r="P141" i="61"/>
  <c r="Q141" i="61"/>
  <c r="P142" i="61"/>
  <c r="Q142" i="61"/>
  <c r="P143" i="61"/>
  <c r="Q143" i="61"/>
  <c r="P144" i="61"/>
  <c r="Q144" i="61"/>
  <c r="P145" i="61"/>
  <c r="Q145" i="61"/>
  <c r="P146" i="61"/>
  <c r="Q146" i="61"/>
  <c r="P147" i="61"/>
  <c r="Q147" i="61"/>
  <c r="P148" i="61"/>
  <c r="Q148" i="61"/>
  <c r="P149" i="61"/>
  <c r="Q149" i="61"/>
  <c r="P150" i="61"/>
  <c r="Q150" i="61"/>
  <c r="P151" i="61"/>
  <c r="Q151" i="61"/>
  <c r="P152" i="61"/>
  <c r="Q152" i="61"/>
  <c r="P153" i="61"/>
  <c r="Q153" i="61"/>
  <c r="P154" i="61"/>
  <c r="Q154" i="61"/>
  <c r="P155" i="61"/>
  <c r="Q155" i="61"/>
  <c r="P156" i="61"/>
  <c r="R156" i="61" s="1"/>
  <c r="Q156" i="61"/>
  <c r="P157" i="61"/>
  <c r="Q157" i="61"/>
  <c r="P158" i="61"/>
  <c r="Q158" i="61"/>
  <c r="P159" i="61"/>
  <c r="Q159" i="61"/>
  <c r="P160" i="61"/>
  <c r="R160" i="61" s="1"/>
  <c r="Q160" i="61"/>
  <c r="P161" i="61"/>
  <c r="Q161" i="61"/>
  <c r="P162" i="61"/>
  <c r="Q162" i="61"/>
  <c r="P163" i="61"/>
  <c r="Q163" i="61"/>
  <c r="P164" i="61"/>
  <c r="R164" i="61" s="1"/>
  <c r="Q164" i="61"/>
  <c r="P165" i="61"/>
  <c r="Q165" i="61"/>
  <c r="P166" i="61"/>
  <c r="Q166" i="61"/>
  <c r="P167" i="61"/>
  <c r="Q167" i="61"/>
  <c r="P168" i="61"/>
  <c r="R168" i="61" s="1"/>
  <c r="Q168" i="61"/>
  <c r="P169" i="61"/>
  <c r="Q169" i="61"/>
  <c r="P170" i="61"/>
  <c r="Q170" i="61"/>
  <c r="P171" i="61"/>
  <c r="Q171" i="61"/>
  <c r="P172" i="61"/>
  <c r="Q172" i="61"/>
  <c r="P173" i="61"/>
  <c r="Q173" i="61"/>
  <c r="P174" i="61"/>
  <c r="Q174" i="61"/>
  <c r="P175" i="61"/>
  <c r="Q175" i="61"/>
  <c r="P176" i="61"/>
  <c r="Q176" i="61"/>
  <c r="P177" i="61"/>
  <c r="Q177" i="61"/>
  <c r="P178" i="61"/>
  <c r="Q178" i="61"/>
  <c r="P179" i="61"/>
  <c r="Q179" i="61"/>
  <c r="P180" i="61"/>
  <c r="Q180" i="61"/>
  <c r="P181" i="61"/>
  <c r="Q181" i="61"/>
  <c r="P182" i="61"/>
  <c r="Q182" i="61"/>
  <c r="P183" i="61"/>
  <c r="Q183" i="61"/>
  <c r="P184" i="61"/>
  <c r="Q184" i="61"/>
  <c r="P185" i="61"/>
  <c r="Q185" i="61"/>
  <c r="P186" i="61"/>
  <c r="Q186" i="61"/>
  <c r="P187" i="61"/>
  <c r="Q187" i="61"/>
  <c r="P188" i="61"/>
  <c r="R188" i="61" s="1"/>
  <c r="Q188" i="61"/>
  <c r="P189" i="61"/>
  <c r="Q189" i="61"/>
  <c r="P190" i="61"/>
  <c r="Q190" i="61"/>
  <c r="P191" i="61"/>
  <c r="Q191" i="61"/>
  <c r="P192" i="61"/>
  <c r="R192" i="61" s="1"/>
  <c r="Q192" i="61"/>
  <c r="P193" i="61"/>
  <c r="Q193" i="61"/>
  <c r="P194" i="61"/>
  <c r="Q194" i="61"/>
  <c r="P195" i="61"/>
  <c r="Q195" i="61"/>
  <c r="P196" i="61"/>
  <c r="R196" i="61" s="1"/>
  <c r="Q196" i="61"/>
  <c r="P197" i="61"/>
  <c r="Q197" i="61"/>
  <c r="P198" i="61"/>
  <c r="Q198" i="61"/>
  <c r="P199" i="61"/>
  <c r="Q199" i="61"/>
  <c r="P200" i="61"/>
  <c r="R200" i="61" s="1"/>
  <c r="Q200" i="61"/>
  <c r="P201" i="61"/>
  <c r="Q201" i="61"/>
  <c r="P202" i="61"/>
  <c r="Q202" i="61"/>
  <c r="P203" i="61"/>
  <c r="Q203" i="61"/>
  <c r="P204" i="61"/>
  <c r="Q204" i="61"/>
  <c r="P205" i="61"/>
  <c r="Q205" i="61"/>
  <c r="P206" i="61"/>
  <c r="Q206" i="61"/>
  <c r="P207" i="61"/>
  <c r="Q207" i="61"/>
  <c r="P208" i="61"/>
  <c r="Q208" i="61"/>
  <c r="P209" i="61"/>
  <c r="Q209" i="61"/>
  <c r="P210" i="61"/>
  <c r="Q210" i="61"/>
  <c r="P211" i="61"/>
  <c r="Q211" i="61"/>
  <c r="P212" i="61"/>
  <c r="R212" i="61" s="1"/>
  <c r="Q212" i="61"/>
  <c r="P213" i="61"/>
  <c r="Q213" i="61"/>
  <c r="P214" i="61"/>
  <c r="Q214" i="61"/>
  <c r="P215" i="61"/>
  <c r="Q215" i="61"/>
  <c r="P216" i="61"/>
  <c r="Q216" i="61"/>
  <c r="P217" i="61"/>
  <c r="Q217" i="61"/>
  <c r="P218" i="61"/>
  <c r="Q218" i="61"/>
  <c r="P219" i="61"/>
  <c r="Q219" i="61"/>
  <c r="P220" i="61"/>
  <c r="R220" i="61" s="1"/>
  <c r="Q220" i="61"/>
  <c r="P221" i="61"/>
  <c r="Q221" i="61"/>
  <c r="P222" i="61"/>
  <c r="Q222" i="61"/>
  <c r="P223" i="61"/>
  <c r="Q223" i="61"/>
  <c r="P224" i="61"/>
  <c r="R224" i="61" s="1"/>
  <c r="Q224" i="61"/>
  <c r="P225" i="61"/>
  <c r="Q225" i="61"/>
  <c r="P226" i="61"/>
  <c r="Q226" i="61"/>
  <c r="P227" i="61"/>
  <c r="Q227" i="61"/>
  <c r="P228" i="61"/>
  <c r="R228" i="61" s="1"/>
  <c r="Q228" i="61"/>
  <c r="P229" i="61"/>
  <c r="Q229" i="61"/>
  <c r="P230" i="61"/>
  <c r="Q230" i="61"/>
  <c r="P231" i="61"/>
  <c r="Q231" i="61"/>
  <c r="P232" i="61"/>
  <c r="R232" i="61" s="1"/>
  <c r="Q232" i="61"/>
  <c r="P233" i="61"/>
  <c r="Q233" i="61"/>
  <c r="P234" i="61"/>
  <c r="Q234" i="61"/>
  <c r="P235" i="61"/>
  <c r="Q235" i="61"/>
  <c r="P236" i="61"/>
  <c r="Q236" i="61"/>
  <c r="P237" i="61"/>
  <c r="Q237" i="61"/>
  <c r="P238" i="61"/>
  <c r="Q238" i="61"/>
  <c r="P239" i="61"/>
  <c r="Q239" i="61"/>
  <c r="P240" i="61"/>
  <c r="Q240" i="61"/>
  <c r="P241" i="61"/>
  <c r="Q241" i="61"/>
  <c r="P242" i="61"/>
  <c r="Q242" i="61"/>
  <c r="P243" i="61"/>
  <c r="Q243" i="61"/>
  <c r="P244" i="61"/>
  <c r="R244" i="61" s="1"/>
  <c r="Q244" i="61"/>
  <c r="P245" i="61"/>
  <c r="Q245" i="61"/>
  <c r="P246" i="61"/>
  <c r="Q246" i="61"/>
  <c r="P247" i="61"/>
  <c r="Q247" i="61"/>
  <c r="P248" i="61"/>
  <c r="Q248" i="61"/>
  <c r="P249" i="61"/>
  <c r="Q249" i="61"/>
  <c r="P250" i="61"/>
  <c r="Q250" i="61"/>
  <c r="P251" i="61"/>
  <c r="Q251" i="61"/>
  <c r="P252" i="61"/>
  <c r="R252" i="61" s="1"/>
  <c r="Q252" i="61"/>
  <c r="P253" i="61"/>
  <c r="Q253" i="61"/>
  <c r="P254" i="61"/>
  <c r="Q254" i="61"/>
  <c r="P255" i="61"/>
  <c r="Q255" i="61"/>
  <c r="P256" i="61"/>
  <c r="R256" i="61" s="1"/>
  <c r="Q256" i="61"/>
  <c r="P257" i="61"/>
  <c r="Q257" i="61"/>
  <c r="P258" i="61"/>
  <c r="Q258" i="61"/>
  <c r="P259" i="61"/>
  <c r="Q259" i="61"/>
  <c r="P260" i="61"/>
  <c r="R260" i="61" s="1"/>
  <c r="Q260" i="61"/>
  <c r="P261" i="61"/>
  <c r="Q261" i="61"/>
  <c r="P262" i="61"/>
  <c r="Q262" i="61"/>
  <c r="P263" i="61"/>
  <c r="Q263" i="61"/>
  <c r="P264" i="61"/>
  <c r="R264" i="61" s="1"/>
  <c r="Q264" i="61"/>
  <c r="P265" i="61"/>
  <c r="Q265" i="61"/>
  <c r="P266" i="61"/>
  <c r="Q266" i="61"/>
  <c r="P267" i="61"/>
  <c r="Q267" i="61"/>
  <c r="P268" i="61"/>
  <c r="Q268" i="61"/>
  <c r="P269" i="61"/>
  <c r="Q269" i="61"/>
  <c r="P270" i="61"/>
  <c r="Q270" i="61"/>
  <c r="P271" i="61"/>
  <c r="Q271" i="61"/>
  <c r="P272" i="61"/>
  <c r="Q272" i="61"/>
  <c r="P273" i="61"/>
  <c r="Q273" i="61"/>
  <c r="P274" i="61"/>
  <c r="Q274" i="61"/>
  <c r="P275" i="61"/>
  <c r="Q275" i="61"/>
  <c r="P276" i="61"/>
  <c r="R276" i="61" s="1"/>
  <c r="Q276" i="61"/>
  <c r="P277" i="61"/>
  <c r="Q277" i="61"/>
  <c r="P278" i="61"/>
  <c r="Q278" i="61"/>
  <c r="P279" i="61"/>
  <c r="Q279" i="61"/>
  <c r="P280" i="61"/>
  <c r="Q280" i="61"/>
  <c r="P281" i="61"/>
  <c r="Q281" i="61"/>
  <c r="P282" i="61"/>
  <c r="Q282" i="61"/>
  <c r="P283" i="61"/>
  <c r="Q283" i="61"/>
  <c r="P284" i="61"/>
  <c r="R284" i="61" s="1"/>
  <c r="Q284" i="61"/>
  <c r="P285" i="61"/>
  <c r="Q285" i="61"/>
  <c r="P286" i="61"/>
  <c r="Q286" i="61"/>
  <c r="P287" i="61"/>
  <c r="Q287" i="61"/>
  <c r="P288" i="61"/>
  <c r="R288" i="61" s="1"/>
  <c r="Q288" i="61"/>
  <c r="P289" i="61"/>
  <c r="Q289" i="61"/>
  <c r="P290" i="61"/>
  <c r="Q290" i="61"/>
  <c r="P291" i="61"/>
  <c r="Q291" i="61"/>
  <c r="P292" i="61"/>
  <c r="R292" i="61" s="1"/>
  <c r="Q292" i="61"/>
  <c r="P293" i="61"/>
  <c r="Q293" i="61"/>
  <c r="P294" i="61"/>
  <c r="Q294" i="61"/>
  <c r="P295" i="61"/>
  <c r="Q295" i="61"/>
  <c r="P296" i="61"/>
  <c r="R296" i="61" s="1"/>
  <c r="Q296" i="61"/>
  <c r="P297" i="61"/>
  <c r="Q297" i="61"/>
  <c r="P298" i="61"/>
  <c r="Q298" i="61"/>
  <c r="P299" i="61"/>
  <c r="Q299" i="61"/>
  <c r="P300" i="61"/>
  <c r="Q300" i="61"/>
  <c r="P301" i="61"/>
  <c r="Q301" i="61"/>
  <c r="P302" i="61"/>
  <c r="Q302" i="61"/>
  <c r="P303" i="61"/>
  <c r="Q303" i="61"/>
  <c r="P304" i="61"/>
  <c r="Q304" i="61"/>
  <c r="P305" i="61"/>
  <c r="Q305" i="61"/>
  <c r="P306" i="61"/>
  <c r="Q306" i="61"/>
  <c r="P307" i="61"/>
  <c r="Q307" i="61"/>
  <c r="P308" i="61"/>
  <c r="R308" i="61" s="1"/>
  <c r="Q308" i="61"/>
  <c r="P309" i="61"/>
  <c r="Q309" i="61"/>
  <c r="P310" i="61"/>
  <c r="Q310" i="61"/>
  <c r="P311" i="61"/>
  <c r="Q311" i="61"/>
  <c r="P312" i="61"/>
  <c r="Q312" i="61"/>
  <c r="P313" i="61"/>
  <c r="Q313" i="61"/>
  <c r="P314" i="61"/>
  <c r="Q314" i="61"/>
  <c r="P315" i="61"/>
  <c r="Q315" i="61"/>
  <c r="P316" i="61"/>
  <c r="R316" i="61" s="1"/>
  <c r="Q316" i="61"/>
  <c r="P317" i="61"/>
  <c r="Q317" i="61"/>
  <c r="P318" i="61"/>
  <c r="Q318" i="61"/>
  <c r="P319" i="61"/>
  <c r="Q319" i="61"/>
  <c r="P320" i="61"/>
  <c r="R320" i="61" s="1"/>
  <c r="Q320" i="61"/>
  <c r="P321" i="61"/>
  <c r="Q321" i="61"/>
  <c r="P322" i="61"/>
  <c r="Q322" i="61"/>
  <c r="P323" i="61"/>
  <c r="Q323" i="61"/>
  <c r="P324" i="61"/>
  <c r="R324" i="61" s="1"/>
  <c r="Q324" i="61"/>
  <c r="P325" i="61"/>
  <c r="Q325" i="61"/>
  <c r="P326" i="61"/>
  <c r="Q326" i="61"/>
  <c r="P327" i="61"/>
  <c r="Q327" i="61"/>
  <c r="P328" i="61"/>
  <c r="R328" i="61" s="1"/>
  <c r="Q328" i="61"/>
  <c r="P329" i="61"/>
  <c r="Q329" i="61"/>
  <c r="P330" i="61"/>
  <c r="Q330" i="61"/>
  <c r="P331" i="61"/>
  <c r="Q331" i="61"/>
  <c r="P332" i="61"/>
  <c r="Q332" i="61"/>
  <c r="P333" i="61"/>
  <c r="Q333" i="61"/>
  <c r="P334" i="61"/>
  <c r="Q334" i="61"/>
  <c r="P335" i="61"/>
  <c r="Q335" i="61"/>
  <c r="P336" i="61"/>
  <c r="R336" i="61" s="1"/>
  <c r="Q336" i="61"/>
  <c r="P337" i="61"/>
  <c r="Q337" i="61"/>
  <c r="P338" i="61"/>
  <c r="Q338" i="61"/>
  <c r="P339" i="61"/>
  <c r="Q339" i="61"/>
  <c r="P340" i="61"/>
  <c r="R340" i="61" s="1"/>
  <c r="Q340" i="61"/>
  <c r="P341" i="61"/>
  <c r="Q341" i="61"/>
  <c r="P342" i="61"/>
  <c r="Q342" i="61"/>
  <c r="P343" i="61"/>
  <c r="Q343" i="61"/>
  <c r="P344" i="61"/>
  <c r="R344" i="61" s="1"/>
  <c r="Q344" i="61"/>
  <c r="P345" i="61"/>
  <c r="Q345" i="61"/>
  <c r="P346" i="61"/>
  <c r="Q346" i="61"/>
  <c r="P347" i="61"/>
  <c r="Q347" i="61"/>
  <c r="P348" i="61"/>
  <c r="R348" i="61" s="1"/>
  <c r="Q348" i="61"/>
  <c r="P349" i="61"/>
  <c r="R349" i="61" s="1"/>
  <c r="Q349" i="61"/>
  <c r="P350" i="61"/>
  <c r="Q350" i="61"/>
  <c r="P351" i="61"/>
  <c r="Q351" i="61"/>
  <c r="P352" i="61"/>
  <c r="R352" i="61" s="1"/>
  <c r="Q352" i="61"/>
  <c r="P353" i="61"/>
  <c r="Q353" i="61"/>
  <c r="P354" i="61"/>
  <c r="Q354" i="61"/>
  <c r="P355" i="61"/>
  <c r="Q355" i="61"/>
  <c r="P356" i="61"/>
  <c r="Q356" i="61"/>
  <c r="P357" i="61"/>
  <c r="Q357" i="61"/>
  <c r="P358" i="61"/>
  <c r="Q358" i="61"/>
  <c r="P359" i="61"/>
  <c r="Q359" i="61"/>
  <c r="P360" i="61"/>
  <c r="R360" i="61" s="1"/>
  <c r="Q360" i="61"/>
  <c r="P361" i="61"/>
  <c r="Q361" i="61"/>
  <c r="P362" i="61"/>
  <c r="Q362" i="61"/>
  <c r="P363" i="61"/>
  <c r="Q363" i="61"/>
  <c r="P364" i="61"/>
  <c r="R364" i="61" s="1"/>
  <c r="Q364" i="61"/>
  <c r="P365" i="61"/>
  <c r="Q365" i="61"/>
  <c r="P366" i="61"/>
  <c r="Q366" i="61"/>
  <c r="P367" i="61"/>
  <c r="Q367" i="61"/>
  <c r="P368" i="61"/>
  <c r="R368" i="61" s="1"/>
  <c r="Q368" i="61"/>
  <c r="P369" i="61"/>
  <c r="Q369" i="61"/>
  <c r="P370" i="61"/>
  <c r="Q370" i="61"/>
  <c r="P371" i="61"/>
  <c r="Q371" i="61"/>
  <c r="P372" i="61"/>
  <c r="R372" i="61" s="1"/>
  <c r="Q372" i="61"/>
  <c r="P373" i="61"/>
  <c r="Q373" i="61"/>
  <c r="P374" i="61"/>
  <c r="Q374" i="61"/>
  <c r="P375" i="61"/>
  <c r="Q375" i="61"/>
  <c r="P376" i="61"/>
  <c r="R376" i="61" s="1"/>
  <c r="Q376" i="61"/>
  <c r="P377" i="61"/>
  <c r="Q377" i="61"/>
  <c r="P378" i="61"/>
  <c r="Q378" i="61"/>
  <c r="P379" i="61"/>
  <c r="Q379" i="61"/>
  <c r="P380" i="61"/>
  <c r="Q380" i="61"/>
  <c r="P381" i="61"/>
  <c r="Q381" i="61"/>
  <c r="P382" i="61"/>
  <c r="Q382" i="61"/>
  <c r="P383" i="61"/>
  <c r="Q383" i="61"/>
  <c r="P384" i="61"/>
  <c r="Q384" i="61"/>
  <c r="P385" i="61"/>
  <c r="Q385" i="61"/>
  <c r="P386" i="61"/>
  <c r="Q386" i="61"/>
  <c r="P387" i="61"/>
  <c r="Q387" i="61"/>
  <c r="P388" i="61"/>
  <c r="R388" i="61" s="1"/>
  <c r="Q388" i="61"/>
  <c r="P389" i="61"/>
  <c r="Q389" i="61"/>
  <c r="P390" i="61"/>
  <c r="Q390" i="61"/>
  <c r="P391" i="61"/>
  <c r="Q391" i="61"/>
  <c r="P392" i="61"/>
  <c r="Q392" i="61"/>
  <c r="P393" i="61"/>
  <c r="Q393" i="61"/>
  <c r="P394" i="61"/>
  <c r="Q394" i="61"/>
  <c r="P395" i="61"/>
  <c r="Q395" i="61"/>
  <c r="P396" i="61"/>
  <c r="R396" i="61" s="1"/>
  <c r="Q396" i="61"/>
  <c r="P397" i="61"/>
  <c r="Q397" i="61"/>
  <c r="P398" i="61"/>
  <c r="Q398" i="61"/>
  <c r="P399" i="61"/>
  <c r="Q399" i="61"/>
  <c r="P400" i="61"/>
  <c r="R400" i="61" s="1"/>
  <c r="Q400" i="61"/>
  <c r="P401" i="61"/>
  <c r="Q401" i="61"/>
  <c r="P402" i="61"/>
  <c r="Q402" i="61"/>
  <c r="P403" i="61"/>
  <c r="Q403" i="61"/>
  <c r="P404" i="61"/>
  <c r="Q404" i="61"/>
  <c r="P405" i="61"/>
  <c r="Q405" i="61"/>
  <c r="P406" i="61"/>
  <c r="Q406" i="61"/>
  <c r="P407" i="61"/>
  <c r="Q407" i="61"/>
  <c r="P408" i="61"/>
  <c r="R408" i="61" s="1"/>
  <c r="Q408" i="61"/>
  <c r="P409" i="61"/>
  <c r="Q409" i="61"/>
  <c r="P410" i="61"/>
  <c r="Q410" i="61"/>
  <c r="P411" i="61"/>
  <c r="Q411" i="61"/>
  <c r="P412" i="61"/>
  <c r="Q412" i="61"/>
  <c r="P413" i="61"/>
  <c r="Q413" i="61"/>
  <c r="P414" i="61"/>
  <c r="Q414" i="61"/>
  <c r="P415" i="61"/>
  <c r="Q415" i="61"/>
  <c r="P416" i="61"/>
  <c r="R416" i="61" s="1"/>
  <c r="Q416" i="61"/>
  <c r="P417" i="61"/>
  <c r="Q417" i="61"/>
  <c r="P418" i="61"/>
  <c r="Q418" i="61"/>
  <c r="P419" i="61"/>
  <c r="Q419" i="61"/>
  <c r="P420" i="61"/>
  <c r="R420" i="61" s="1"/>
  <c r="Q420" i="61"/>
  <c r="P421" i="61"/>
  <c r="Q421" i="61"/>
  <c r="P422" i="61"/>
  <c r="Q422" i="61"/>
  <c r="P423" i="61"/>
  <c r="Q423" i="61"/>
  <c r="P424" i="61"/>
  <c r="Q424" i="61"/>
  <c r="P425" i="61"/>
  <c r="Q425" i="61"/>
  <c r="P426" i="61"/>
  <c r="Q426" i="61"/>
  <c r="P427" i="61"/>
  <c r="Q427" i="61"/>
  <c r="P428" i="61"/>
  <c r="Q428" i="61"/>
  <c r="P429" i="61"/>
  <c r="Q429" i="61"/>
  <c r="P430" i="61"/>
  <c r="Q430" i="61"/>
  <c r="P431" i="61"/>
  <c r="Q431" i="61"/>
  <c r="P432" i="61"/>
  <c r="R432" i="61" s="1"/>
  <c r="Q432" i="61"/>
  <c r="P433" i="61"/>
  <c r="Q433" i="61"/>
  <c r="P434" i="61"/>
  <c r="Q434" i="61"/>
  <c r="P435" i="61"/>
  <c r="Q435" i="61"/>
  <c r="P436" i="61"/>
  <c r="Q436" i="61"/>
  <c r="P437" i="61"/>
  <c r="Q437" i="61"/>
  <c r="P438" i="61"/>
  <c r="Q438" i="61"/>
  <c r="P439" i="61"/>
  <c r="Q439" i="61"/>
  <c r="P440" i="61"/>
  <c r="Q440" i="61"/>
  <c r="P441" i="61"/>
  <c r="Q441" i="61"/>
  <c r="P442" i="61"/>
  <c r="Q442" i="61"/>
  <c r="P443" i="61"/>
  <c r="Q443" i="61"/>
  <c r="P444" i="61"/>
  <c r="R444" i="61" s="1"/>
  <c r="Q444" i="61"/>
  <c r="P445" i="61"/>
  <c r="Q445" i="61"/>
  <c r="P446" i="61"/>
  <c r="Q446" i="61"/>
  <c r="P447" i="61"/>
  <c r="Q447" i="61"/>
  <c r="P448" i="61"/>
  <c r="Q448" i="61"/>
  <c r="P449" i="61"/>
  <c r="Q449" i="61"/>
  <c r="P450" i="61"/>
  <c r="Q450" i="61"/>
  <c r="P451" i="61"/>
  <c r="Q451" i="61"/>
  <c r="P452" i="61"/>
  <c r="R452" i="61" s="1"/>
  <c r="Q452" i="61"/>
  <c r="P453" i="61"/>
  <c r="Q453" i="61"/>
  <c r="P454" i="61"/>
  <c r="Q454" i="61"/>
  <c r="P455" i="61"/>
  <c r="Q455" i="61"/>
  <c r="P456" i="61"/>
  <c r="R456" i="61" s="1"/>
  <c r="Q456" i="61"/>
  <c r="P457" i="61"/>
  <c r="Q457" i="61"/>
  <c r="P458" i="61"/>
  <c r="Q458" i="61"/>
  <c r="P459" i="61"/>
  <c r="Q459" i="61"/>
  <c r="P460" i="61"/>
  <c r="R460" i="61" s="1"/>
  <c r="Q460" i="61"/>
  <c r="P461" i="61"/>
  <c r="Q461" i="61"/>
  <c r="P462" i="61"/>
  <c r="Q462" i="61"/>
  <c r="P463" i="61"/>
  <c r="Q463" i="61"/>
  <c r="P464" i="61"/>
  <c r="R464" i="61" s="1"/>
  <c r="Q464" i="61"/>
  <c r="P465" i="61"/>
  <c r="Q465" i="61"/>
  <c r="P466" i="61"/>
  <c r="Q466" i="61"/>
  <c r="P467" i="61"/>
  <c r="Q467" i="61"/>
  <c r="P468" i="61"/>
  <c r="Q468" i="61"/>
  <c r="P469" i="61"/>
  <c r="Q469" i="61"/>
  <c r="P470" i="61"/>
  <c r="Q470" i="61"/>
  <c r="P471" i="61"/>
  <c r="Q471" i="61"/>
  <c r="P472" i="61"/>
  <c r="Q472" i="61"/>
  <c r="P473" i="61"/>
  <c r="Q473" i="61"/>
  <c r="P474" i="61"/>
  <c r="Q474" i="61"/>
  <c r="P475" i="61"/>
  <c r="Q475" i="61"/>
  <c r="P476" i="61"/>
  <c r="R476" i="61" s="1"/>
  <c r="Q476" i="61"/>
  <c r="P477" i="61"/>
  <c r="Q477" i="61"/>
  <c r="P478" i="61"/>
  <c r="Q478" i="61"/>
  <c r="P479" i="61"/>
  <c r="Q479" i="61"/>
  <c r="P480" i="61"/>
  <c r="Q480" i="61"/>
  <c r="P481" i="61"/>
  <c r="Q481" i="61"/>
  <c r="P482" i="61"/>
  <c r="Q482" i="61"/>
  <c r="P483" i="61"/>
  <c r="Q483" i="61"/>
  <c r="P484" i="61"/>
  <c r="R484" i="61" s="1"/>
  <c r="Q484" i="61"/>
  <c r="P485" i="61"/>
  <c r="Q485" i="61"/>
  <c r="P486" i="61"/>
  <c r="Q486" i="61"/>
  <c r="P487" i="61"/>
  <c r="Q487" i="61"/>
  <c r="P488" i="61"/>
  <c r="R488" i="61" s="1"/>
  <c r="Q488" i="61"/>
  <c r="P489" i="61"/>
  <c r="Q489" i="61"/>
  <c r="P490" i="61"/>
  <c r="Q490" i="61"/>
  <c r="P491" i="61"/>
  <c r="Q491" i="61"/>
  <c r="P492" i="61"/>
  <c r="R492" i="61" s="1"/>
  <c r="Q492" i="61"/>
  <c r="P493" i="61"/>
  <c r="Q493" i="61"/>
  <c r="P494" i="61"/>
  <c r="Q494" i="61"/>
  <c r="P495" i="61"/>
  <c r="Q495" i="61"/>
  <c r="P496" i="61"/>
  <c r="R496" i="61" s="1"/>
  <c r="Q496" i="61"/>
  <c r="P497" i="61"/>
  <c r="Q497" i="61"/>
  <c r="P498" i="61"/>
  <c r="Q498" i="61"/>
  <c r="P499" i="61"/>
  <c r="Q499" i="61"/>
  <c r="P500" i="61"/>
  <c r="Q500" i="61"/>
  <c r="P501" i="61"/>
  <c r="Q501" i="61"/>
  <c r="P502" i="61"/>
  <c r="Q502" i="61"/>
  <c r="P503" i="61"/>
  <c r="Q503" i="61"/>
  <c r="P504" i="61"/>
  <c r="Q504" i="61"/>
  <c r="P505" i="61"/>
  <c r="Q505" i="61"/>
  <c r="P506" i="61"/>
  <c r="Q506" i="61"/>
  <c r="P507" i="61"/>
  <c r="Q507" i="61"/>
  <c r="P508" i="61"/>
  <c r="R508" i="61" s="1"/>
  <c r="Q508" i="61"/>
  <c r="P509" i="61"/>
  <c r="Q509" i="61"/>
  <c r="P510" i="61"/>
  <c r="Q510" i="61"/>
  <c r="P511" i="61"/>
  <c r="Q511" i="61"/>
  <c r="P512" i="61"/>
  <c r="Q512" i="61"/>
  <c r="P513" i="61"/>
  <c r="Q513" i="61"/>
  <c r="P514" i="61"/>
  <c r="Q514" i="61"/>
  <c r="P515" i="61"/>
  <c r="Q515" i="61"/>
  <c r="P516" i="61"/>
  <c r="R516" i="61" s="1"/>
  <c r="Q516" i="61"/>
  <c r="P517" i="61"/>
  <c r="Q517" i="61"/>
  <c r="P518" i="61"/>
  <c r="Q518" i="61"/>
  <c r="P519" i="61"/>
  <c r="Q519" i="61"/>
  <c r="P520" i="61"/>
  <c r="R520" i="61" s="1"/>
  <c r="Q520" i="61"/>
  <c r="P521" i="61"/>
  <c r="Q521" i="61"/>
  <c r="P522" i="61"/>
  <c r="Q522" i="61"/>
  <c r="P523" i="61"/>
  <c r="Q523" i="61"/>
  <c r="P524" i="61"/>
  <c r="R524" i="61" s="1"/>
  <c r="Q524" i="61"/>
  <c r="P525" i="61"/>
  <c r="Q525" i="61"/>
  <c r="P526" i="61"/>
  <c r="Q526" i="61"/>
  <c r="P527" i="61"/>
  <c r="Q527" i="61"/>
  <c r="P528" i="61"/>
  <c r="R528" i="61" s="1"/>
  <c r="Q528" i="61"/>
  <c r="P529" i="61"/>
  <c r="Q529" i="61"/>
  <c r="P530" i="61"/>
  <c r="Q530" i="61"/>
  <c r="P531" i="61"/>
  <c r="Q531" i="61"/>
  <c r="P532" i="61"/>
  <c r="Q532" i="61"/>
  <c r="P533" i="61"/>
  <c r="Q533" i="61"/>
  <c r="P534" i="61"/>
  <c r="Q534" i="61"/>
  <c r="P535" i="61"/>
  <c r="Q535" i="61"/>
  <c r="P536" i="61"/>
  <c r="Q536" i="61"/>
  <c r="P537" i="61"/>
  <c r="Q537" i="61"/>
  <c r="P538" i="61"/>
  <c r="Q538" i="61"/>
  <c r="R538" i="61" s="1"/>
  <c r="P539" i="61"/>
  <c r="Q539" i="61"/>
  <c r="P540" i="61"/>
  <c r="R540" i="61" s="1"/>
  <c r="Q540" i="61"/>
  <c r="P541" i="61"/>
  <c r="Q541" i="61"/>
  <c r="P542" i="61"/>
  <c r="Q542" i="61"/>
  <c r="R542" i="61" s="1"/>
  <c r="P543" i="61"/>
  <c r="Q543" i="61"/>
  <c r="P544" i="61"/>
  <c r="Q544" i="61"/>
  <c r="P545" i="61"/>
  <c r="Q545" i="61"/>
  <c r="P546" i="61"/>
  <c r="Q546" i="61"/>
  <c r="P547" i="61"/>
  <c r="Q547" i="61"/>
  <c r="P548" i="61"/>
  <c r="R548" i="61" s="1"/>
  <c r="Q548" i="61"/>
  <c r="P549" i="61"/>
  <c r="Q549" i="61"/>
  <c r="P550" i="61"/>
  <c r="Q550" i="61"/>
  <c r="R550" i="61" s="1"/>
  <c r="P551" i="61"/>
  <c r="Q551" i="61"/>
  <c r="P552" i="61"/>
  <c r="R552" i="61" s="1"/>
  <c r="Q552" i="61"/>
  <c r="P553" i="61"/>
  <c r="Q553" i="61"/>
  <c r="P554" i="61"/>
  <c r="Q554" i="61"/>
  <c r="P555" i="61"/>
  <c r="Q555" i="61"/>
  <c r="P556" i="61"/>
  <c r="R556" i="61" s="1"/>
  <c r="Q556" i="61"/>
  <c r="P557" i="61"/>
  <c r="Q557" i="61"/>
  <c r="P558" i="61"/>
  <c r="Q558" i="61"/>
  <c r="P559" i="61"/>
  <c r="Q559" i="61"/>
  <c r="P560" i="61"/>
  <c r="R560" i="61" s="1"/>
  <c r="Q560" i="61"/>
  <c r="P561" i="61"/>
  <c r="Q561" i="61"/>
  <c r="P562" i="61"/>
  <c r="Q562" i="61"/>
  <c r="P563" i="61"/>
  <c r="Q563" i="61"/>
  <c r="P564" i="61"/>
  <c r="Q564" i="61"/>
  <c r="P565" i="61"/>
  <c r="Q565" i="61"/>
  <c r="P566" i="61"/>
  <c r="Q566" i="61"/>
  <c r="P567" i="61"/>
  <c r="Q567" i="61"/>
  <c r="P568" i="61"/>
  <c r="Q568" i="61"/>
  <c r="P569" i="61"/>
  <c r="Q569" i="61"/>
  <c r="P570" i="61"/>
  <c r="Q570" i="61"/>
  <c r="R570" i="61" s="1"/>
  <c r="P571" i="61"/>
  <c r="Q571" i="61"/>
  <c r="P572" i="61"/>
  <c r="R572" i="61" s="1"/>
  <c r="Q572" i="61"/>
  <c r="P573" i="61"/>
  <c r="Q573" i="61"/>
  <c r="P574" i="61"/>
  <c r="Q574" i="61"/>
  <c r="R574" i="61" s="1"/>
  <c r="P575" i="61"/>
  <c r="Q575" i="61"/>
  <c r="P576" i="61"/>
  <c r="Q576" i="61"/>
  <c r="P577" i="61"/>
  <c r="Q577" i="61"/>
  <c r="P578" i="61"/>
  <c r="Q578" i="61"/>
  <c r="P579" i="61"/>
  <c r="Q579" i="61"/>
  <c r="P580" i="61"/>
  <c r="R580" i="61" s="1"/>
  <c r="Q580" i="61"/>
  <c r="P581" i="61"/>
  <c r="Q581" i="61"/>
  <c r="P582" i="61"/>
  <c r="Q582" i="61"/>
  <c r="R582" i="61" s="1"/>
  <c r="P583" i="61"/>
  <c r="Q583" i="61"/>
  <c r="P584" i="61"/>
  <c r="R584" i="61" s="1"/>
  <c r="Q584" i="61"/>
  <c r="P585" i="61"/>
  <c r="Q585" i="61"/>
  <c r="P586" i="61"/>
  <c r="Q586" i="61"/>
  <c r="P587" i="61"/>
  <c r="Q587" i="61"/>
  <c r="P588" i="61"/>
  <c r="R588" i="61" s="1"/>
  <c r="Q588" i="61"/>
  <c r="P589" i="61"/>
  <c r="Q589" i="61"/>
  <c r="P590" i="61"/>
  <c r="Q590" i="61"/>
  <c r="P591" i="61"/>
  <c r="Q591" i="61"/>
  <c r="P592" i="61"/>
  <c r="R592" i="61" s="1"/>
  <c r="Q592" i="61"/>
  <c r="P593" i="61"/>
  <c r="Q593" i="61"/>
  <c r="P594" i="61"/>
  <c r="Q594" i="61"/>
  <c r="P595" i="61"/>
  <c r="Q595" i="61"/>
  <c r="P596" i="61"/>
  <c r="Q596" i="61"/>
  <c r="P597" i="61"/>
  <c r="Q597" i="61"/>
  <c r="P598" i="61"/>
  <c r="Q598" i="61"/>
  <c r="P599" i="61"/>
  <c r="Q599" i="61"/>
  <c r="P600" i="61"/>
  <c r="Q600" i="61"/>
  <c r="P601" i="61"/>
  <c r="Q601" i="61"/>
  <c r="P602" i="61"/>
  <c r="Q602" i="61"/>
  <c r="R602" i="61" s="1"/>
  <c r="P603" i="61"/>
  <c r="Q603" i="61"/>
  <c r="P604" i="61"/>
  <c r="R604" i="61" s="1"/>
  <c r="Q604" i="61"/>
  <c r="P605" i="61"/>
  <c r="Q605" i="61"/>
  <c r="P606" i="61"/>
  <c r="Q606" i="61"/>
  <c r="R606" i="61" s="1"/>
  <c r="P607" i="61"/>
  <c r="Q607" i="61"/>
  <c r="P608" i="61"/>
  <c r="Q608" i="61"/>
  <c r="P609" i="61"/>
  <c r="Q609" i="61"/>
  <c r="P610" i="61"/>
  <c r="Q610" i="61"/>
  <c r="P611" i="61"/>
  <c r="Q611" i="61"/>
  <c r="P612" i="61"/>
  <c r="R612" i="61" s="1"/>
  <c r="Q612" i="61"/>
  <c r="P613" i="61"/>
  <c r="Q613" i="61"/>
  <c r="P614" i="61"/>
  <c r="Q614" i="61"/>
  <c r="R614" i="61" s="1"/>
  <c r="P615" i="61"/>
  <c r="Q615" i="61"/>
  <c r="P616" i="61"/>
  <c r="R616" i="61" s="1"/>
  <c r="Q616" i="61"/>
  <c r="P617" i="61"/>
  <c r="Q617" i="61"/>
  <c r="P618" i="61"/>
  <c r="Q618" i="61"/>
  <c r="P619" i="61"/>
  <c r="Q619" i="61"/>
  <c r="P620" i="61"/>
  <c r="R620" i="61" s="1"/>
  <c r="Q620" i="61"/>
  <c r="P621" i="61"/>
  <c r="Q621" i="61"/>
  <c r="P622" i="61"/>
  <c r="Q622" i="61"/>
  <c r="P623" i="61"/>
  <c r="Q623" i="61"/>
  <c r="P624" i="61"/>
  <c r="R624" i="61" s="1"/>
  <c r="Q624" i="61"/>
  <c r="P625" i="61"/>
  <c r="Q625" i="61"/>
  <c r="P626" i="61"/>
  <c r="Q626" i="61"/>
  <c r="P627" i="61"/>
  <c r="Q627" i="61"/>
  <c r="P628" i="61"/>
  <c r="Q628" i="61"/>
  <c r="P629" i="61"/>
  <c r="Q629" i="61"/>
  <c r="P630" i="61"/>
  <c r="Q630" i="61"/>
  <c r="P631" i="61"/>
  <c r="Q631" i="61"/>
  <c r="P632" i="61"/>
  <c r="Q632" i="61"/>
  <c r="P633" i="61"/>
  <c r="Q633" i="61"/>
  <c r="P634" i="61"/>
  <c r="Q634" i="61"/>
  <c r="R634" i="61" s="1"/>
  <c r="P635" i="61"/>
  <c r="Q635" i="61"/>
  <c r="P636" i="61"/>
  <c r="R636" i="61" s="1"/>
  <c r="Q636" i="61"/>
  <c r="P637" i="61"/>
  <c r="Q637" i="61"/>
  <c r="P638" i="61"/>
  <c r="Q638" i="61"/>
  <c r="R638" i="61" s="1"/>
  <c r="P639" i="61"/>
  <c r="Q639" i="61"/>
  <c r="P640" i="61"/>
  <c r="Q640" i="61"/>
  <c r="P641" i="61"/>
  <c r="Q641" i="61"/>
  <c r="P642" i="61"/>
  <c r="Q642" i="61"/>
  <c r="P643" i="61"/>
  <c r="Q643" i="61"/>
  <c r="P644" i="61"/>
  <c r="R644" i="61" s="1"/>
  <c r="Q644" i="61"/>
  <c r="P645" i="61"/>
  <c r="Q645" i="61"/>
  <c r="P646" i="61"/>
  <c r="Q646" i="61"/>
  <c r="R646" i="61" s="1"/>
  <c r="P647" i="61"/>
  <c r="Q647" i="61"/>
  <c r="P648" i="61"/>
  <c r="R648" i="61" s="1"/>
  <c r="Q648" i="61"/>
  <c r="P649" i="61"/>
  <c r="Q649" i="61"/>
  <c r="P650" i="61"/>
  <c r="Q650" i="61"/>
  <c r="P651" i="61"/>
  <c r="Q651" i="61"/>
  <c r="P652" i="61"/>
  <c r="R652" i="61" s="1"/>
  <c r="Q652" i="61"/>
  <c r="P653" i="61"/>
  <c r="Q653" i="61"/>
  <c r="P654" i="61"/>
  <c r="Q654" i="61"/>
  <c r="P655" i="61"/>
  <c r="Q655" i="61"/>
  <c r="P656" i="61"/>
  <c r="R656" i="61" s="1"/>
  <c r="Q656" i="61"/>
  <c r="P657" i="61"/>
  <c r="Q657" i="61"/>
  <c r="P658" i="61"/>
  <c r="Q658" i="61"/>
  <c r="P659" i="61"/>
  <c r="Q659" i="61"/>
  <c r="P660" i="61"/>
  <c r="Q660" i="61"/>
  <c r="P661" i="61"/>
  <c r="Q661" i="61"/>
  <c r="P662" i="61"/>
  <c r="Q662" i="61"/>
  <c r="P663" i="61"/>
  <c r="Q663" i="61"/>
  <c r="P664" i="61"/>
  <c r="Q664" i="61"/>
  <c r="P665" i="61"/>
  <c r="Q665" i="61"/>
  <c r="P666" i="61"/>
  <c r="Q666" i="61"/>
  <c r="R666" i="61" s="1"/>
  <c r="P667" i="61"/>
  <c r="Q667" i="61"/>
  <c r="P668" i="61"/>
  <c r="R668" i="61" s="1"/>
  <c r="Q668" i="61"/>
  <c r="P669" i="61"/>
  <c r="Q669" i="61"/>
  <c r="P670" i="61"/>
  <c r="Q670" i="61"/>
  <c r="R670" i="61" s="1"/>
  <c r="P671" i="61"/>
  <c r="Q671" i="61"/>
  <c r="P672" i="61"/>
  <c r="Q672" i="61"/>
  <c r="P673" i="61"/>
  <c r="Q673" i="61"/>
  <c r="P674" i="61"/>
  <c r="Q674" i="61"/>
  <c r="P675" i="61"/>
  <c r="Q675" i="61"/>
  <c r="P676" i="61"/>
  <c r="R676" i="61" s="1"/>
  <c r="Q676" i="61"/>
  <c r="P677" i="61"/>
  <c r="Q677" i="61"/>
  <c r="P678" i="61"/>
  <c r="Q678" i="61"/>
  <c r="R678" i="61" s="1"/>
  <c r="P679" i="61"/>
  <c r="Q679" i="61"/>
  <c r="P680" i="61"/>
  <c r="R680" i="61" s="1"/>
  <c r="Q680" i="61"/>
  <c r="P681" i="61"/>
  <c r="Q681" i="61"/>
  <c r="P682" i="61"/>
  <c r="Q682" i="61"/>
  <c r="P683" i="61"/>
  <c r="Q683" i="61"/>
  <c r="P684" i="61"/>
  <c r="R684" i="61" s="1"/>
  <c r="Q684" i="61"/>
  <c r="P685" i="61"/>
  <c r="Q685" i="61"/>
  <c r="P686" i="61"/>
  <c r="Q686" i="61"/>
  <c r="P687" i="61"/>
  <c r="Q687" i="61"/>
  <c r="P688" i="61"/>
  <c r="R688" i="61" s="1"/>
  <c r="Q688" i="61"/>
  <c r="P689" i="61"/>
  <c r="Q689" i="61"/>
  <c r="P690" i="61"/>
  <c r="Q690" i="61"/>
  <c r="P691" i="61"/>
  <c r="Q691" i="61"/>
  <c r="P692" i="61"/>
  <c r="Q692" i="61"/>
  <c r="P693" i="61"/>
  <c r="Q693" i="61"/>
  <c r="P694" i="61"/>
  <c r="Q694" i="61"/>
  <c r="P695" i="61"/>
  <c r="Q695" i="61"/>
  <c r="P696" i="61"/>
  <c r="Q696" i="61"/>
  <c r="P697" i="61"/>
  <c r="Q697" i="61"/>
  <c r="P698" i="61"/>
  <c r="Q698" i="61"/>
  <c r="R698" i="61" s="1"/>
  <c r="P699" i="61"/>
  <c r="Q699" i="61"/>
  <c r="P700" i="61"/>
  <c r="R700" i="61" s="1"/>
  <c r="Q700" i="61"/>
  <c r="P701" i="61"/>
  <c r="Q701" i="61"/>
  <c r="P702" i="61"/>
  <c r="Q702" i="61"/>
  <c r="R702" i="61" s="1"/>
  <c r="P703" i="61"/>
  <c r="Q703" i="61"/>
  <c r="P704" i="61"/>
  <c r="Q704" i="61"/>
  <c r="P705" i="61"/>
  <c r="Q705" i="61"/>
  <c r="P706" i="61"/>
  <c r="Q706" i="61"/>
  <c r="P707" i="61"/>
  <c r="Q707" i="61"/>
  <c r="P708" i="61"/>
  <c r="R708" i="61" s="1"/>
  <c r="Q708" i="61"/>
  <c r="P709" i="61"/>
  <c r="Q709" i="61"/>
  <c r="P710" i="61"/>
  <c r="Q710" i="61"/>
  <c r="R710" i="61" s="1"/>
  <c r="P711" i="61"/>
  <c r="Q711" i="61"/>
  <c r="P712" i="61"/>
  <c r="R712" i="61" s="1"/>
  <c r="Q712" i="61"/>
  <c r="P713" i="61"/>
  <c r="Q713" i="61"/>
  <c r="P714" i="61"/>
  <c r="Q714" i="61"/>
  <c r="R714" i="61" s="1"/>
  <c r="P715" i="61"/>
  <c r="Q715" i="61"/>
  <c r="P716" i="61"/>
  <c r="Q716" i="61"/>
  <c r="P717" i="61"/>
  <c r="R717" i="61" s="1"/>
  <c r="Q717" i="61"/>
  <c r="P718" i="61"/>
  <c r="Q718" i="61"/>
  <c r="P719" i="61"/>
  <c r="Q719" i="61"/>
  <c r="P720" i="61"/>
  <c r="R720" i="61" s="1"/>
  <c r="Q720" i="61"/>
  <c r="P721" i="61"/>
  <c r="Q721" i="61"/>
  <c r="P722" i="61"/>
  <c r="Q722" i="61"/>
  <c r="R722" i="61" s="1"/>
  <c r="P723" i="61"/>
  <c r="Q723" i="61"/>
  <c r="P724" i="61"/>
  <c r="R724" i="61" s="1"/>
  <c r="Q724" i="61"/>
  <c r="P725" i="61"/>
  <c r="Q725" i="61"/>
  <c r="P726" i="61"/>
  <c r="Q726" i="61"/>
  <c r="P727" i="61"/>
  <c r="Q727" i="61"/>
  <c r="P728" i="61"/>
  <c r="Q728" i="61"/>
  <c r="P729" i="61"/>
  <c r="Q729" i="61"/>
  <c r="P730" i="61"/>
  <c r="Q730" i="61"/>
  <c r="P731" i="61"/>
  <c r="Q731" i="61"/>
  <c r="P732" i="61"/>
  <c r="R732" i="61" s="1"/>
  <c r="Q732" i="61"/>
  <c r="P733" i="61"/>
  <c r="Q733" i="61"/>
  <c r="P734" i="61"/>
  <c r="Q734" i="61"/>
  <c r="R734" i="61" s="1"/>
  <c r="P735" i="61"/>
  <c r="Q735" i="61"/>
  <c r="P736" i="61"/>
  <c r="R736" i="61" s="1"/>
  <c r="Q736" i="61"/>
  <c r="P737" i="61"/>
  <c r="Q737" i="61"/>
  <c r="P738" i="61"/>
  <c r="Q738" i="61"/>
  <c r="P739" i="61"/>
  <c r="Q739" i="61"/>
  <c r="P740" i="61"/>
  <c r="R740" i="61" s="1"/>
  <c r="Q740" i="61"/>
  <c r="P741" i="61"/>
  <c r="Q741" i="61"/>
  <c r="P742" i="61"/>
  <c r="Q742" i="61"/>
  <c r="P743" i="61"/>
  <c r="Q743" i="61"/>
  <c r="P744" i="61"/>
  <c r="R744" i="61" s="1"/>
  <c r="Q744" i="61"/>
  <c r="P745" i="61"/>
  <c r="Q745" i="61"/>
  <c r="P746" i="61"/>
  <c r="Q746" i="61"/>
  <c r="R746" i="61" s="1"/>
  <c r="P747" i="61"/>
  <c r="Q747" i="61"/>
  <c r="P748" i="61"/>
  <c r="R748" i="61" s="1"/>
  <c r="Q748" i="61"/>
  <c r="P749" i="61"/>
  <c r="Q749" i="61"/>
  <c r="P750" i="61"/>
  <c r="Q750" i="61"/>
  <c r="P751" i="61"/>
  <c r="Q751" i="61"/>
  <c r="P752" i="61"/>
  <c r="R752" i="61" s="1"/>
  <c r="Q752" i="61"/>
  <c r="P753" i="61"/>
  <c r="Q753" i="61"/>
  <c r="P754" i="61"/>
  <c r="Q754" i="61"/>
  <c r="P755" i="61"/>
  <c r="Q755" i="61"/>
  <c r="P756" i="61"/>
  <c r="R756" i="61" s="1"/>
  <c r="Q756" i="61"/>
  <c r="P757" i="61"/>
  <c r="Q757" i="61"/>
  <c r="P758" i="61"/>
  <c r="Q758" i="61"/>
  <c r="P759" i="61"/>
  <c r="Q759" i="61"/>
  <c r="P760" i="61"/>
  <c r="R760" i="61" s="1"/>
  <c r="Q760" i="61"/>
  <c r="P761" i="61"/>
  <c r="Q761" i="61"/>
  <c r="P762" i="61"/>
  <c r="Q762" i="61"/>
  <c r="P763" i="61"/>
  <c r="Q763" i="61"/>
  <c r="P764" i="61"/>
  <c r="Q764" i="61"/>
  <c r="P765" i="61"/>
  <c r="Q765" i="61"/>
  <c r="P766" i="61"/>
  <c r="Q766" i="61"/>
  <c r="R766" i="61" s="1"/>
  <c r="P767" i="61"/>
  <c r="Q767" i="61"/>
  <c r="P768" i="61"/>
  <c r="R768" i="61" s="1"/>
  <c r="Q768" i="61"/>
  <c r="P769" i="61"/>
  <c r="R769" i="61" s="1"/>
  <c r="Q769" i="61"/>
  <c r="P770" i="61"/>
  <c r="Q770" i="61"/>
  <c r="P771" i="61"/>
  <c r="Q771" i="61"/>
  <c r="P772" i="61"/>
  <c r="R772" i="61" s="1"/>
  <c r="Q772" i="61"/>
  <c r="P773" i="61"/>
  <c r="Q773" i="61"/>
  <c r="P774" i="61"/>
  <c r="Q774" i="61"/>
  <c r="P775" i="61"/>
  <c r="Q775" i="61"/>
  <c r="P776" i="61"/>
  <c r="R776" i="61" s="1"/>
  <c r="Q776" i="61"/>
  <c r="P777" i="61"/>
  <c r="Q777" i="61"/>
  <c r="P778" i="61"/>
  <c r="Q778" i="61"/>
  <c r="R778" i="61" s="1"/>
  <c r="P779" i="61"/>
  <c r="Q779" i="61"/>
  <c r="P780" i="61"/>
  <c r="R780" i="61" s="1"/>
  <c r="Q780" i="61"/>
  <c r="P781" i="61"/>
  <c r="Q781" i="61"/>
  <c r="P782" i="61"/>
  <c r="Q782" i="61"/>
  <c r="P783" i="61"/>
  <c r="Q783" i="61"/>
  <c r="P784" i="61"/>
  <c r="R784" i="61" s="1"/>
  <c r="Q784" i="61"/>
  <c r="P785" i="61"/>
  <c r="Q785" i="61"/>
  <c r="P786" i="61"/>
  <c r="Q786" i="61"/>
  <c r="P787" i="61"/>
  <c r="Q787" i="61"/>
  <c r="P788" i="61"/>
  <c r="R788" i="61" s="1"/>
  <c r="Q788" i="61"/>
  <c r="P789" i="61"/>
  <c r="Q789" i="61"/>
  <c r="P790" i="61"/>
  <c r="Q790" i="61"/>
  <c r="P791" i="61"/>
  <c r="Q791" i="61"/>
  <c r="P792" i="61"/>
  <c r="R792" i="61" s="1"/>
  <c r="Q792" i="61"/>
  <c r="P793" i="61"/>
  <c r="Q793" i="61"/>
  <c r="P794" i="61"/>
  <c r="Q794" i="61"/>
  <c r="P795" i="61"/>
  <c r="Q795" i="61"/>
  <c r="P796" i="61"/>
  <c r="R796" i="61" s="1"/>
  <c r="Q796" i="61"/>
  <c r="P797" i="61"/>
  <c r="Q797" i="61"/>
  <c r="P798" i="61"/>
  <c r="Q798" i="61"/>
  <c r="P799" i="61"/>
  <c r="Q799" i="61"/>
  <c r="P800" i="61"/>
  <c r="R800" i="61" s="1"/>
  <c r="Q800" i="61"/>
  <c r="P801" i="61"/>
  <c r="Q801" i="61"/>
  <c r="P802" i="61"/>
  <c r="Q802" i="61"/>
  <c r="R802" i="61" s="1"/>
  <c r="P803" i="61"/>
  <c r="Q803" i="61"/>
  <c r="P804" i="61"/>
  <c r="R804" i="61" s="1"/>
  <c r="Q804" i="61"/>
  <c r="P805" i="61"/>
  <c r="Q805" i="61"/>
  <c r="P806" i="61"/>
  <c r="Q806" i="61"/>
  <c r="P807" i="61"/>
  <c r="Q807" i="61"/>
  <c r="P808" i="61"/>
  <c r="Q808" i="61"/>
  <c r="P809" i="61"/>
  <c r="Q809" i="61"/>
  <c r="P810" i="61"/>
  <c r="Q810" i="61"/>
  <c r="R810" i="61" s="1"/>
  <c r="P811" i="61"/>
  <c r="Q811" i="61"/>
  <c r="P812" i="61"/>
  <c r="R812" i="61" s="1"/>
  <c r="Q812" i="61"/>
  <c r="P813" i="61"/>
  <c r="R813" i="61" s="1"/>
  <c r="Q813" i="61"/>
  <c r="P814" i="61"/>
  <c r="Q814" i="61"/>
  <c r="P815" i="61"/>
  <c r="Q815" i="61"/>
  <c r="P816" i="61"/>
  <c r="Q816" i="61"/>
  <c r="P817" i="61"/>
  <c r="Q817" i="61"/>
  <c r="P818" i="61"/>
  <c r="Q818" i="61"/>
  <c r="P819" i="61"/>
  <c r="Q819" i="61"/>
  <c r="P820" i="61"/>
  <c r="Q820" i="61"/>
  <c r="P821" i="61"/>
  <c r="R821" i="61" s="1"/>
  <c r="Q821" i="61"/>
  <c r="P822" i="61"/>
  <c r="Q822" i="61"/>
  <c r="R822" i="61" s="1"/>
  <c r="P823" i="61"/>
  <c r="Q823" i="61"/>
  <c r="P824" i="61"/>
  <c r="R824" i="61" s="1"/>
  <c r="Q824" i="61"/>
  <c r="P825" i="61"/>
  <c r="Q825" i="61"/>
  <c r="P826" i="61"/>
  <c r="Q826" i="61"/>
  <c r="R826" i="61" s="1"/>
  <c r="P827" i="61"/>
  <c r="Q827" i="61"/>
  <c r="P828" i="61"/>
  <c r="Q828" i="61"/>
  <c r="P829" i="61"/>
  <c r="Q829" i="61"/>
  <c r="P830" i="61"/>
  <c r="Q830" i="61"/>
  <c r="R830" i="61" s="1"/>
  <c r="P831" i="61"/>
  <c r="Q831" i="61"/>
  <c r="P832" i="61"/>
  <c r="Q832" i="61"/>
  <c r="P833" i="61"/>
  <c r="Q833" i="61"/>
  <c r="P834" i="61"/>
  <c r="Q834" i="61"/>
  <c r="R834" i="61" s="1"/>
  <c r="P835" i="61"/>
  <c r="Q835" i="61"/>
  <c r="P836" i="61"/>
  <c r="R836" i="61" s="1"/>
  <c r="Q836" i="61"/>
  <c r="P837" i="61"/>
  <c r="Q837" i="61"/>
  <c r="P838" i="61"/>
  <c r="Q838" i="61"/>
  <c r="R838" i="61" s="1"/>
  <c r="P839" i="61"/>
  <c r="Q839" i="61"/>
  <c r="P840" i="61"/>
  <c r="Q840" i="61"/>
  <c r="P841" i="61"/>
  <c r="Q841" i="61"/>
  <c r="P842" i="61"/>
  <c r="Q842" i="61"/>
  <c r="P843" i="61"/>
  <c r="Q843" i="61"/>
  <c r="P844" i="61"/>
  <c r="Q844" i="61"/>
  <c r="P845" i="61"/>
  <c r="Q845" i="61"/>
  <c r="P846" i="61"/>
  <c r="Q846" i="61"/>
  <c r="R846" i="61" s="1"/>
  <c r="P847" i="61"/>
  <c r="Q847" i="61"/>
  <c r="P848" i="61"/>
  <c r="R848" i="61" s="1"/>
  <c r="Q848" i="61"/>
  <c r="P849" i="61"/>
  <c r="R849" i="61" s="1"/>
  <c r="Q849" i="61"/>
  <c r="P850" i="61"/>
  <c r="Q850" i="61"/>
  <c r="R850" i="61" s="1"/>
  <c r="P851" i="61"/>
  <c r="Q851" i="61"/>
  <c r="P852" i="61"/>
  <c r="Q852" i="61"/>
  <c r="P853" i="61"/>
  <c r="Q853" i="61"/>
  <c r="P854" i="61"/>
  <c r="Q854" i="61"/>
  <c r="R854" i="61" s="1"/>
  <c r="P855" i="61"/>
  <c r="Q855" i="61"/>
  <c r="P856" i="61"/>
  <c r="Q856" i="61"/>
  <c r="P857" i="61"/>
  <c r="R857" i="61" s="1"/>
  <c r="Q857" i="61"/>
  <c r="P858" i="61"/>
  <c r="Q858" i="61"/>
  <c r="R858" i="61" s="1"/>
  <c r="P859" i="61"/>
  <c r="Q859" i="61"/>
  <c r="P860" i="61"/>
  <c r="R860" i="61" s="1"/>
  <c r="Q860" i="61"/>
  <c r="P861" i="61"/>
  <c r="Q861" i="61"/>
  <c r="P862" i="61"/>
  <c r="Q862" i="61"/>
  <c r="R862" i="61" s="1"/>
  <c r="P863" i="61"/>
  <c r="Q863" i="61"/>
  <c r="P864" i="61"/>
  <c r="Q864" i="61"/>
  <c r="P865" i="61"/>
  <c r="Q865" i="61"/>
  <c r="P866" i="61"/>
  <c r="Q866" i="61"/>
  <c r="P867" i="61"/>
  <c r="Q867" i="61"/>
  <c r="P868" i="61"/>
  <c r="Q868" i="61"/>
  <c r="P869" i="61"/>
  <c r="Q869" i="61"/>
  <c r="P870" i="61"/>
  <c r="Q870" i="61"/>
  <c r="R870" i="61" s="1"/>
  <c r="P871" i="61"/>
  <c r="Q871" i="61"/>
  <c r="P872" i="61"/>
  <c r="R872" i="61" s="1"/>
  <c r="Q872" i="61"/>
  <c r="P873" i="61"/>
  <c r="Q873" i="61"/>
  <c r="P874" i="61"/>
  <c r="Q874" i="61"/>
  <c r="P875" i="61"/>
  <c r="Q875" i="61"/>
  <c r="P876" i="61"/>
  <c r="Q876" i="61"/>
  <c r="P877" i="61"/>
  <c r="Q877" i="61"/>
  <c r="P878" i="61"/>
  <c r="Q878" i="61"/>
  <c r="R878" i="61" s="1"/>
  <c r="P879" i="61"/>
  <c r="Q879" i="61"/>
  <c r="P880" i="61"/>
  <c r="Q880" i="61"/>
  <c r="P881" i="61"/>
  <c r="Q881" i="61"/>
  <c r="P882" i="61"/>
  <c r="Q882" i="61"/>
  <c r="R882" i="61" s="1"/>
  <c r="P883" i="61"/>
  <c r="Q883" i="61"/>
  <c r="P884" i="61"/>
  <c r="Q884" i="61"/>
  <c r="P885" i="61"/>
  <c r="Q885" i="61"/>
  <c r="P886" i="61"/>
  <c r="Q886" i="61"/>
  <c r="R886" i="61" s="1"/>
  <c r="P887" i="61"/>
  <c r="Q887" i="61"/>
  <c r="P888" i="61"/>
  <c r="R888" i="61" s="1"/>
  <c r="Q888" i="61"/>
  <c r="P889" i="61"/>
  <c r="Q889" i="61"/>
  <c r="P890" i="61"/>
  <c r="Q890" i="61"/>
  <c r="R890" i="61" s="1"/>
  <c r="P891" i="61"/>
  <c r="Q891" i="61"/>
  <c r="P892" i="61"/>
  <c r="R892" i="61" s="1"/>
  <c r="Q892" i="61"/>
  <c r="P893" i="61"/>
  <c r="Q893" i="61"/>
  <c r="P894" i="61"/>
  <c r="Q894" i="61"/>
  <c r="R894" i="61" s="1"/>
  <c r="P895" i="61"/>
  <c r="Q895" i="61"/>
  <c r="P896" i="61"/>
  <c r="Q896" i="61"/>
  <c r="P897" i="61"/>
  <c r="Q897" i="61"/>
  <c r="P898" i="61"/>
  <c r="Q898" i="61"/>
  <c r="R898" i="61" s="1"/>
  <c r="P899" i="61"/>
  <c r="Q899" i="61"/>
  <c r="P900" i="61"/>
  <c r="Q900" i="61"/>
  <c r="P901" i="61"/>
  <c r="Q901" i="61"/>
  <c r="P902" i="61"/>
  <c r="Q902" i="61"/>
  <c r="R902" i="61" s="1"/>
  <c r="P903" i="61"/>
  <c r="Q903" i="61"/>
  <c r="P904" i="61"/>
  <c r="R904" i="61" s="1"/>
  <c r="Q904" i="61"/>
  <c r="P905" i="61"/>
  <c r="Q905" i="61"/>
  <c r="P906" i="61"/>
  <c r="Q906" i="61"/>
  <c r="R906" i="61" s="1"/>
  <c r="P907" i="61"/>
  <c r="Q907" i="61"/>
  <c r="P908" i="61"/>
  <c r="R908" i="61" s="1"/>
  <c r="Q908" i="61"/>
  <c r="P909" i="61"/>
  <c r="Q909" i="61"/>
  <c r="P910" i="61"/>
  <c r="Q910" i="61"/>
  <c r="R910" i="61" s="1"/>
  <c r="P911" i="61"/>
  <c r="Q911" i="61"/>
  <c r="P912" i="61"/>
  <c r="Q912" i="61"/>
  <c r="P913" i="61"/>
  <c r="Q913" i="61"/>
  <c r="P914" i="61"/>
  <c r="Q914" i="61"/>
  <c r="R914" i="61" s="1"/>
  <c r="P915" i="61"/>
  <c r="Q915" i="61"/>
  <c r="P916" i="61"/>
  <c r="Q916" i="61"/>
  <c r="P917" i="61"/>
  <c r="Q917" i="61"/>
  <c r="P918" i="61"/>
  <c r="Q918" i="61"/>
  <c r="R918" i="61" s="1"/>
  <c r="P919" i="61"/>
  <c r="Q919" i="61"/>
  <c r="P920" i="61"/>
  <c r="R920" i="61" s="1"/>
  <c r="Q920" i="61"/>
  <c r="P921" i="61"/>
  <c r="Q921" i="61"/>
  <c r="P922" i="61"/>
  <c r="Q922" i="61"/>
  <c r="R922" i="61" s="1"/>
  <c r="P923" i="61"/>
  <c r="Q923" i="61"/>
  <c r="P924" i="61"/>
  <c r="R924" i="61" s="1"/>
  <c r="Q924" i="61"/>
  <c r="P925" i="61"/>
  <c r="Q925" i="61"/>
  <c r="P926" i="61"/>
  <c r="Q926" i="61"/>
  <c r="R926" i="61" s="1"/>
  <c r="P927" i="61"/>
  <c r="Q927" i="61"/>
  <c r="P928" i="61"/>
  <c r="Q928" i="61"/>
  <c r="P929" i="61"/>
  <c r="Q929" i="61"/>
  <c r="P930" i="61"/>
  <c r="Q930" i="61"/>
  <c r="P931" i="61"/>
  <c r="Q931" i="61"/>
  <c r="P932" i="61"/>
  <c r="Q932" i="61"/>
  <c r="P933" i="61"/>
  <c r="Q933" i="61"/>
  <c r="P934" i="61"/>
  <c r="Q934" i="61"/>
  <c r="R934" i="61" s="1"/>
  <c r="P935" i="61"/>
  <c r="Q935" i="61"/>
  <c r="P936" i="61"/>
  <c r="R936" i="61" s="1"/>
  <c r="Q936" i="61"/>
  <c r="P937" i="61"/>
  <c r="Q937" i="61"/>
  <c r="P938" i="61"/>
  <c r="Q938" i="61"/>
  <c r="P939" i="61"/>
  <c r="Q939" i="61"/>
  <c r="P940" i="61"/>
  <c r="Q940" i="61"/>
  <c r="P941" i="61"/>
  <c r="Q941" i="61"/>
  <c r="P942" i="61"/>
  <c r="Q942" i="61"/>
  <c r="R942" i="61" s="1"/>
  <c r="P943" i="61"/>
  <c r="Q943" i="61"/>
  <c r="P944" i="61"/>
  <c r="R944" i="61" s="1"/>
  <c r="Q944" i="61"/>
  <c r="P945" i="61"/>
  <c r="Q945" i="61"/>
  <c r="P946" i="61"/>
  <c r="Q946" i="61"/>
  <c r="P947" i="61"/>
  <c r="Q947" i="61"/>
  <c r="P948" i="61"/>
  <c r="R948" i="61" s="1"/>
  <c r="Q948" i="61"/>
  <c r="P949" i="61"/>
  <c r="Q949" i="61"/>
  <c r="P950" i="61"/>
  <c r="Q950" i="61"/>
  <c r="R950" i="61" s="1"/>
  <c r="P951" i="61"/>
  <c r="Q951" i="61"/>
  <c r="P952" i="61"/>
  <c r="R952" i="61" s="1"/>
  <c r="Q952" i="61"/>
  <c r="P953" i="61"/>
  <c r="Q953" i="61"/>
  <c r="P954" i="61"/>
  <c r="Q954" i="61"/>
  <c r="P955" i="61"/>
  <c r="Q955" i="61"/>
  <c r="P956" i="61"/>
  <c r="R956" i="61" s="1"/>
  <c r="Q956" i="61"/>
  <c r="P957" i="61"/>
  <c r="Q957" i="61"/>
  <c r="P958" i="61"/>
  <c r="Q958" i="61"/>
  <c r="R958" i="61" s="1"/>
  <c r="P959" i="61"/>
  <c r="Q959" i="61"/>
  <c r="P960" i="61"/>
  <c r="R960" i="61" s="1"/>
  <c r="Q960" i="61"/>
  <c r="P961" i="61"/>
  <c r="Q961" i="61"/>
  <c r="P962" i="61"/>
  <c r="Q962" i="61"/>
  <c r="R962" i="61" s="1"/>
  <c r="P963" i="61"/>
  <c r="Q963" i="61"/>
  <c r="P964" i="61"/>
  <c r="R964" i="61" s="1"/>
  <c r="Q964" i="61"/>
  <c r="P965" i="61"/>
  <c r="Q965" i="61"/>
  <c r="P966" i="61"/>
  <c r="Q966" i="61"/>
  <c r="R966" i="61" s="1"/>
  <c r="P967" i="61"/>
  <c r="Q967" i="61"/>
  <c r="P968" i="61"/>
  <c r="Q968" i="61"/>
  <c r="P969" i="61"/>
  <c r="Q969" i="61"/>
  <c r="P970" i="61"/>
  <c r="Q970" i="61"/>
  <c r="R970" i="61" s="1"/>
  <c r="P971" i="61"/>
  <c r="Q971" i="61"/>
  <c r="P972" i="61"/>
  <c r="R972" i="61" s="1"/>
  <c r="Q972" i="61"/>
  <c r="P973" i="61"/>
  <c r="Q973" i="61"/>
  <c r="P974" i="61"/>
  <c r="Q974" i="61"/>
  <c r="R974" i="61" s="1"/>
  <c r="P975" i="61"/>
  <c r="Q975" i="61"/>
  <c r="P976" i="61"/>
  <c r="R976" i="61" s="1"/>
  <c r="Q976" i="61"/>
  <c r="P977" i="61"/>
  <c r="Q977" i="61"/>
  <c r="P978" i="61"/>
  <c r="Q978" i="61"/>
  <c r="R978" i="61" s="1"/>
  <c r="P979" i="61"/>
  <c r="Q979" i="61"/>
  <c r="P980" i="61"/>
  <c r="Q980" i="61"/>
  <c r="P981" i="61"/>
  <c r="Q981" i="61"/>
  <c r="P982" i="61"/>
  <c r="Q982" i="61"/>
  <c r="R982" i="61" s="1"/>
  <c r="P983" i="61"/>
  <c r="Q983" i="61"/>
  <c r="P984" i="61"/>
  <c r="Q984" i="61"/>
  <c r="P985" i="61"/>
  <c r="Q985" i="61"/>
  <c r="P986" i="61"/>
  <c r="Q986" i="61"/>
  <c r="R986" i="61" s="1"/>
  <c r="P987" i="61"/>
  <c r="Q987" i="61"/>
  <c r="P988" i="61"/>
  <c r="R988" i="61" s="1"/>
  <c r="Q988" i="61"/>
  <c r="P989" i="61"/>
  <c r="Q989" i="61"/>
  <c r="P990" i="61"/>
  <c r="Q990" i="61"/>
  <c r="R990" i="61" s="1"/>
  <c r="P991" i="61"/>
  <c r="Q991" i="61"/>
  <c r="P992" i="61"/>
  <c r="Q992" i="61"/>
  <c r="P993" i="61"/>
  <c r="Q993" i="61"/>
  <c r="P994" i="61"/>
  <c r="Q994" i="61"/>
  <c r="P995" i="61"/>
  <c r="Q995" i="61"/>
  <c r="P996" i="61"/>
  <c r="Q996" i="61"/>
  <c r="P997" i="61"/>
  <c r="Q997" i="61"/>
  <c r="P998" i="61"/>
  <c r="Q998" i="61"/>
  <c r="R998" i="61" s="1"/>
  <c r="P999" i="61"/>
  <c r="Q999" i="61"/>
  <c r="P1000" i="61"/>
  <c r="R1000" i="61" s="1"/>
  <c r="Q1000" i="61"/>
  <c r="P1001" i="61"/>
  <c r="R1001" i="61" s="1"/>
  <c r="Q1001" i="61"/>
  <c r="Q5" i="61"/>
  <c r="P5" i="61"/>
  <c r="R5" i="61" s="1"/>
  <c r="R999" i="61"/>
  <c r="R996" i="61"/>
  <c r="R995" i="61"/>
  <c r="R994" i="61"/>
  <c r="R992" i="61"/>
  <c r="R991" i="61"/>
  <c r="R987" i="61"/>
  <c r="R984" i="61"/>
  <c r="R983" i="61"/>
  <c r="R980" i="61"/>
  <c r="R979" i="61"/>
  <c r="R975" i="61"/>
  <c r="R971" i="61"/>
  <c r="R968" i="61"/>
  <c r="R967" i="61"/>
  <c r="R963" i="61"/>
  <c r="R959" i="61"/>
  <c r="R955" i="61"/>
  <c r="R954" i="61"/>
  <c r="R951" i="61"/>
  <c r="R947" i="61"/>
  <c r="R946" i="61"/>
  <c r="R943" i="61"/>
  <c r="R940" i="61"/>
  <c r="R939" i="61"/>
  <c r="R938" i="61"/>
  <c r="R935" i="61"/>
  <c r="R932" i="61"/>
  <c r="R931" i="61"/>
  <c r="R930" i="61"/>
  <c r="R928" i="61"/>
  <c r="R923" i="61"/>
  <c r="R919" i="61"/>
  <c r="R916" i="61"/>
  <c r="R915" i="61"/>
  <c r="R912" i="61"/>
  <c r="R911" i="61"/>
  <c r="R907" i="61"/>
  <c r="R903" i="61"/>
  <c r="R900" i="61"/>
  <c r="R899" i="61"/>
  <c r="R896" i="61"/>
  <c r="R895" i="61"/>
  <c r="R891" i="61"/>
  <c r="R887" i="61"/>
  <c r="R884" i="61"/>
  <c r="R883" i="61"/>
  <c r="R880" i="61"/>
  <c r="R876" i="61"/>
  <c r="R875" i="61"/>
  <c r="R874" i="61"/>
  <c r="R871" i="61"/>
  <c r="R868" i="61"/>
  <c r="R867" i="61"/>
  <c r="R866" i="61"/>
  <c r="R864" i="61"/>
  <c r="R859" i="61"/>
  <c r="R856" i="61"/>
  <c r="R855" i="61"/>
  <c r="R852" i="61"/>
  <c r="R851" i="61"/>
  <c r="R844" i="61"/>
  <c r="R843" i="61"/>
  <c r="R842" i="61"/>
  <c r="R840" i="61"/>
  <c r="R835" i="61"/>
  <c r="R832" i="61"/>
  <c r="R828" i="61"/>
  <c r="R827" i="61"/>
  <c r="R820" i="61"/>
  <c r="R819" i="61"/>
  <c r="R818" i="61"/>
  <c r="R816" i="61"/>
  <c r="R815" i="61"/>
  <c r="R814" i="61"/>
  <c r="R811" i="61"/>
  <c r="R808" i="61"/>
  <c r="R806" i="61"/>
  <c r="R803" i="61"/>
  <c r="R798" i="61"/>
  <c r="R795" i="61"/>
  <c r="R794" i="61"/>
  <c r="R790" i="61"/>
  <c r="R787" i="61"/>
  <c r="R786" i="61"/>
  <c r="R783" i="61"/>
  <c r="R782" i="61"/>
  <c r="R779" i="61"/>
  <c r="R774" i="61"/>
  <c r="R771" i="61"/>
  <c r="R770" i="61"/>
  <c r="R767" i="61"/>
  <c r="R764" i="61"/>
  <c r="R763" i="61"/>
  <c r="R762" i="61"/>
  <c r="R761" i="61"/>
  <c r="R758" i="61"/>
  <c r="R755" i="61"/>
  <c r="R754" i="61"/>
  <c r="R751" i="61"/>
  <c r="R750" i="61"/>
  <c r="R747" i="61"/>
  <c r="R742" i="61"/>
  <c r="R739" i="61"/>
  <c r="R738" i="61"/>
  <c r="R735" i="61"/>
  <c r="R731" i="61"/>
  <c r="R730" i="61"/>
  <c r="R728" i="61"/>
  <c r="R726" i="61"/>
  <c r="R723" i="61"/>
  <c r="R718" i="61"/>
  <c r="R716" i="61"/>
  <c r="R715" i="61"/>
  <c r="R707" i="61"/>
  <c r="R706" i="61"/>
  <c r="R704" i="61"/>
  <c r="R703" i="61"/>
  <c r="R699" i="61"/>
  <c r="R696" i="61"/>
  <c r="R695" i="61"/>
  <c r="R694" i="61"/>
  <c r="R692" i="61"/>
  <c r="R691" i="61"/>
  <c r="R690" i="61"/>
  <c r="R687" i="61"/>
  <c r="R686" i="61"/>
  <c r="R683" i="61"/>
  <c r="R682" i="61"/>
  <c r="R679" i="61"/>
  <c r="R675" i="61"/>
  <c r="R674" i="61"/>
  <c r="R672" i="61"/>
  <c r="R671" i="61"/>
  <c r="R667" i="61"/>
  <c r="R664" i="61"/>
  <c r="R663" i="61"/>
  <c r="R662" i="61"/>
  <c r="R660" i="61"/>
  <c r="R659" i="61"/>
  <c r="R658" i="61"/>
  <c r="R655" i="61"/>
  <c r="R654" i="61"/>
  <c r="R651" i="61"/>
  <c r="R650" i="61"/>
  <c r="R647" i="61"/>
  <c r="R643" i="61"/>
  <c r="R642" i="61"/>
  <c r="R640" i="61"/>
  <c r="R639" i="61"/>
  <c r="R635" i="61"/>
  <c r="R632" i="61"/>
  <c r="R631" i="61"/>
  <c r="R630" i="61"/>
  <c r="R628" i="61"/>
  <c r="R627" i="61"/>
  <c r="R626" i="61"/>
  <c r="R623" i="61"/>
  <c r="R622" i="61"/>
  <c r="R619" i="61"/>
  <c r="R618" i="61"/>
  <c r="R615" i="61"/>
  <c r="R611" i="61"/>
  <c r="R610" i="61"/>
  <c r="R608" i="61"/>
  <c r="R607" i="61"/>
  <c r="R603" i="61"/>
  <c r="R600" i="61"/>
  <c r="R599" i="61"/>
  <c r="R598" i="61"/>
  <c r="R596" i="61"/>
  <c r="R595" i="61"/>
  <c r="R594" i="61"/>
  <c r="R591" i="61"/>
  <c r="R590" i="61"/>
  <c r="R587" i="61"/>
  <c r="R586" i="61"/>
  <c r="R583" i="61"/>
  <c r="R579" i="61"/>
  <c r="R578" i="61"/>
  <c r="R576" i="61"/>
  <c r="R575" i="61"/>
  <c r="R571" i="61"/>
  <c r="R568" i="61"/>
  <c r="R567" i="61"/>
  <c r="R566" i="61"/>
  <c r="R564" i="61"/>
  <c r="R563" i="61"/>
  <c r="R562" i="61"/>
  <c r="R559" i="61"/>
  <c r="R558" i="61"/>
  <c r="R555" i="61"/>
  <c r="R554" i="61"/>
  <c r="R551" i="61"/>
  <c r="R547" i="61"/>
  <c r="R546" i="61"/>
  <c r="R544" i="61"/>
  <c r="R543" i="61"/>
  <c r="R539" i="61"/>
  <c r="R536" i="61"/>
  <c r="R535" i="61"/>
  <c r="R534" i="61"/>
  <c r="R532" i="61"/>
  <c r="R531" i="61"/>
  <c r="R530" i="61"/>
  <c r="R527" i="61"/>
  <c r="R526" i="61"/>
  <c r="R523" i="61"/>
  <c r="R522" i="61"/>
  <c r="R519" i="61"/>
  <c r="R518" i="61"/>
  <c r="R515" i="61"/>
  <c r="R514" i="61"/>
  <c r="R512" i="61"/>
  <c r="R511" i="61"/>
  <c r="R510" i="61"/>
  <c r="R507" i="61"/>
  <c r="R506" i="61"/>
  <c r="R504" i="61"/>
  <c r="R503" i="61"/>
  <c r="R502" i="61"/>
  <c r="R500" i="61"/>
  <c r="R499" i="61"/>
  <c r="R498" i="61"/>
  <c r="R495" i="61"/>
  <c r="R494" i="61"/>
  <c r="R491" i="61"/>
  <c r="R490" i="61"/>
  <c r="R487" i="61"/>
  <c r="R486" i="61"/>
  <c r="R483" i="61"/>
  <c r="R482" i="61"/>
  <c r="R480" i="61"/>
  <c r="R479" i="61"/>
  <c r="R478" i="61"/>
  <c r="R475" i="61"/>
  <c r="R474" i="61"/>
  <c r="R472" i="61"/>
  <c r="R471" i="61"/>
  <c r="R470" i="61"/>
  <c r="R468" i="61"/>
  <c r="R467" i="61"/>
  <c r="R466" i="61"/>
  <c r="R463" i="61"/>
  <c r="R462" i="61"/>
  <c r="R459" i="61"/>
  <c r="R458" i="61"/>
  <c r="R455" i="61"/>
  <c r="R454" i="61"/>
  <c r="R451" i="61"/>
  <c r="R450" i="61"/>
  <c r="R448" i="61"/>
  <c r="R447" i="61"/>
  <c r="R446" i="61"/>
  <c r="R443" i="61"/>
  <c r="R442" i="61"/>
  <c r="R440" i="61"/>
  <c r="R438" i="61"/>
  <c r="R436" i="61"/>
  <c r="R435" i="61"/>
  <c r="R434" i="61"/>
  <c r="R431" i="61"/>
  <c r="R430" i="61"/>
  <c r="R428" i="61"/>
  <c r="R427" i="61"/>
  <c r="R426" i="61"/>
  <c r="R424" i="61"/>
  <c r="R423" i="61"/>
  <c r="R422" i="61"/>
  <c r="R419" i="61"/>
  <c r="R418" i="61"/>
  <c r="R414" i="61"/>
  <c r="R412" i="61"/>
  <c r="R411" i="61"/>
  <c r="R410" i="61"/>
  <c r="R406" i="61"/>
  <c r="R404" i="61"/>
  <c r="R403" i="61"/>
  <c r="R402" i="61"/>
  <c r="R401" i="61"/>
  <c r="R399" i="61"/>
  <c r="R398" i="61"/>
  <c r="R395" i="61"/>
  <c r="R394" i="61"/>
  <c r="R393" i="61"/>
  <c r="R392" i="61"/>
  <c r="R390" i="61"/>
  <c r="R387" i="61"/>
  <c r="R386" i="61"/>
  <c r="R384" i="61"/>
  <c r="R383" i="61"/>
  <c r="R382" i="61"/>
  <c r="R380" i="61"/>
  <c r="R379" i="61"/>
  <c r="R378" i="61"/>
  <c r="R375" i="61"/>
  <c r="R374" i="61"/>
  <c r="R371" i="61"/>
  <c r="R370" i="61"/>
  <c r="R366" i="61"/>
  <c r="R363" i="61"/>
  <c r="R362" i="61"/>
  <c r="R358" i="61"/>
  <c r="R356" i="61"/>
  <c r="R355" i="61"/>
  <c r="R354" i="61"/>
  <c r="R350" i="61"/>
  <c r="R347" i="61"/>
  <c r="R346" i="61"/>
  <c r="R342" i="61"/>
  <c r="R339" i="61"/>
  <c r="R338" i="61"/>
  <c r="R334" i="61"/>
  <c r="R332" i="61"/>
  <c r="R331" i="61"/>
  <c r="R330" i="61"/>
  <c r="R327" i="61"/>
  <c r="R326" i="61"/>
  <c r="R323" i="61"/>
  <c r="R322" i="61"/>
  <c r="R319" i="61"/>
  <c r="R318" i="61"/>
  <c r="R315" i="61"/>
  <c r="R314" i="61"/>
  <c r="R312" i="61"/>
  <c r="R311" i="61"/>
  <c r="R310" i="61"/>
  <c r="R307" i="61"/>
  <c r="R306" i="61"/>
  <c r="R304" i="61"/>
  <c r="R303" i="61"/>
  <c r="R302" i="61"/>
  <c r="R300" i="61"/>
  <c r="R299" i="61"/>
  <c r="R298" i="61"/>
  <c r="R295" i="61"/>
  <c r="R294" i="61"/>
  <c r="R291" i="61"/>
  <c r="R290" i="61"/>
  <c r="R287" i="61"/>
  <c r="R286" i="61"/>
  <c r="R283" i="61"/>
  <c r="R282" i="61"/>
  <c r="R280" i="61"/>
  <c r="R279" i="61"/>
  <c r="R278" i="61"/>
  <c r="R275" i="61"/>
  <c r="R274" i="61"/>
  <c r="R272" i="61"/>
  <c r="R271" i="61"/>
  <c r="R270" i="61"/>
  <c r="R268" i="61"/>
  <c r="R267" i="61"/>
  <c r="R266" i="61"/>
  <c r="R263" i="61"/>
  <c r="R262" i="61"/>
  <c r="R259" i="61"/>
  <c r="R258" i="61"/>
  <c r="R255" i="61"/>
  <c r="R254" i="61"/>
  <c r="R251" i="61"/>
  <c r="R250" i="61"/>
  <c r="R248" i="61"/>
  <c r="R247" i="61"/>
  <c r="R246" i="61"/>
  <c r="R243" i="61"/>
  <c r="R242" i="61"/>
  <c r="R240" i="61"/>
  <c r="R239" i="61"/>
  <c r="R238" i="61"/>
  <c r="R236" i="61"/>
  <c r="R235" i="61"/>
  <c r="R234" i="61"/>
  <c r="R231" i="61"/>
  <c r="R230" i="61"/>
  <c r="R227" i="61"/>
  <c r="R226" i="61"/>
  <c r="R223" i="61"/>
  <c r="R222" i="61"/>
  <c r="R219" i="61"/>
  <c r="R218" i="61"/>
  <c r="R216" i="61"/>
  <c r="R215" i="61"/>
  <c r="R214" i="61"/>
  <c r="R211" i="61"/>
  <c r="R210" i="61"/>
  <c r="R208" i="61"/>
  <c r="R207" i="61"/>
  <c r="R206" i="61"/>
  <c r="R204" i="61"/>
  <c r="R203" i="61"/>
  <c r="R202" i="61"/>
  <c r="R199" i="61"/>
  <c r="R198" i="61"/>
  <c r="R195" i="61"/>
  <c r="R194" i="61"/>
  <c r="R191" i="61"/>
  <c r="R190" i="61"/>
  <c r="R187" i="61"/>
  <c r="R186" i="61"/>
  <c r="R184" i="61"/>
  <c r="R183" i="61"/>
  <c r="R182" i="61"/>
  <c r="R180" i="61"/>
  <c r="R179" i="61"/>
  <c r="R178" i="61"/>
  <c r="R176" i="61"/>
  <c r="R175" i="61"/>
  <c r="R174" i="61"/>
  <c r="R172" i="61"/>
  <c r="R171" i="61"/>
  <c r="R170" i="61"/>
  <c r="R167" i="61"/>
  <c r="R166" i="61"/>
  <c r="R163" i="61"/>
  <c r="R162" i="61"/>
  <c r="R159" i="61"/>
  <c r="R158" i="61"/>
  <c r="R155" i="61"/>
  <c r="R154" i="61"/>
  <c r="R152" i="61"/>
  <c r="R151" i="61"/>
  <c r="R150" i="61"/>
  <c r="R148" i="61"/>
  <c r="R147" i="61"/>
  <c r="R146" i="61"/>
  <c r="R144" i="61"/>
  <c r="R143" i="61"/>
  <c r="R142" i="61"/>
  <c r="R140" i="61"/>
  <c r="R139" i="61"/>
  <c r="R138" i="61"/>
  <c r="R135" i="61"/>
  <c r="R134" i="61"/>
  <c r="R131" i="61"/>
  <c r="R130" i="61"/>
  <c r="R127" i="61"/>
  <c r="R126" i="61"/>
  <c r="R123" i="61"/>
  <c r="R122" i="61"/>
  <c r="R120" i="61"/>
  <c r="R119" i="61"/>
  <c r="R118" i="61"/>
  <c r="R116" i="61"/>
  <c r="R115" i="61"/>
  <c r="R114" i="61"/>
  <c r="R112" i="61"/>
  <c r="R111" i="61"/>
  <c r="R110" i="61"/>
  <c r="R108" i="61"/>
  <c r="R107" i="61"/>
  <c r="R106" i="61"/>
  <c r="R103" i="61"/>
  <c r="R102" i="61"/>
  <c r="R99" i="61"/>
  <c r="R98" i="61"/>
  <c r="R95" i="61"/>
  <c r="R94" i="61"/>
  <c r="R91" i="61"/>
  <c r="R90" i="61"/>
  <c r="R88" i="61"/>
  <c r="R87" i="61"/>
  <c r="R86" i="61"/>
  <c r="R84" i="61"/>
  <c r="R83" i="61"/>
  <c r="R82" i="61"/>
  <c r="R80" i="61"/>
  <c r="R79" i="61"/>
  <c r="R78" i="61"/>
  <c r="R76" i="61"/>
  <c r="R75" i="61"/>
  <c r="R74" i="61"/>
  <c r="R71" i="61"/>
  <c r="R70" i="61"/>
  <c r="R67" i="61"/>
  <c r="R66" i="61"/>
  <c r="R63" i="61"/>
  <c r="R62" i="61"/>
  <c r="R59" i="61"/>
  <c r="R58" i="61"/>
  <c r="R56" i="61"/>
  <c r="R55" i="61"/>
  <c r="R54" i="61"/>
  <c r="R52" i="61"/>
  <c r="R51" i="61"/>
  <c r="R50" i="61"/>
  <c r="R48" i="61"/>
  <c r="R47" i="61"/>
  <c r="R46" i="61"/>
  <c r="R44" i="61"/>
  <c r="R43" i="61"/>
  <c r="R42" i="61"/>
  <c r="R39" i="61"/>
  <c r="R38" i="61"/>
  <c r="R35" i="61"/>
  <c r="R34" i="61"/>
  <c r="R31" i="61"/>
  <c r="R30" i="61"/>
  <c r="R27" i="61"/>
  <c r="R26" i="61"/>
  <c r="R24" i="61"/>
  <c r="R23" i="61"/>
  <c r="R22" i="61"/>
  <c r="R20" i="61"/>
  <c r="R19" i="61"/>
  <c r="R18" i="61"/>
  <c r="R16" i="61"/>
  <c r="R15" i="61"/>
  <c r="R14" i="61"/>
  <c r="R12" i="61"/>
  <c r="R11" i="61"/>
  <c r="R10" i="61"/>
  <c r="R7" i="61"/>
  <c r="R6" i="61"/>
  <c r="M6" i="61"/>
  <c r="O6" i="61" s="1"/>
  <c r="N6" i="61"/>
  <c r="M7" i="61"/>
  <c r="N7" i="61"/>
  <c r="M8" i="61"/>
  <c r="N8" i="61"/>
  <c r="M9" i="61"/>
  <c r="N9" i="61"/>
  <c r="M10" i="61"/>
  <c r="O10" i="61" s="1"/>
  <c r="N10" i="61"/>
  <c r="M11" i="61"/>
  <c r="N11" i="61"/>
  <c r="M12" i="61"/>
  <c r="N12" i="61"/>
  <c r="M13" i="61"/>
  <c r="N13" i="61"/>
  <c r="M14" i="61"/>
  <c r="N14" i="61"/>
  <c r="M15" i="61"/>
  <c r="N15" i="61"/>
  <c r="M16" i="61"/>
  <c r="N16" i="61"/>
  <c r="M17" i="61"/>
  <c r="N17" i="61"/>
  <c r="M18" i="61"/>
  <c r="O18" i="61" s="1"/>
  <c r="N18" i="61"/>
  <c r="M19" i="61"/>
  <c r="N19" i="61"/>
  <c r="O19" i="61" s="1"/>
  <c r="M20" i="61"/>
  <c r="N20" i="61"/>
  <c r="M21" i="61"/>
  <c r="N21" i="61"/>
  <c r="M22" i="61"/>
  <c r="O22" i="61" s="1"/>
  <c r="N22" i="61"/>
  <c r="M23" i="61"/>
  <c r="N23" i="61"/>
  <c r="O23" i="61" s="1"/>
  <c r="M24" i="61"/>
  <c r="N24" i="61"/>
  <c r="M25" i="61"/>
  <c r="N25" i="61"/>
  <c r="M26" i="61"/>
  <c r="N26" i="61"/>
  <c r="O26" i="61" s="1"/>
  <c r="M27" i="61"/>
  <c r="N27" i="61"/>
  <c r="M28" i="61"/>
  <c r="N28" i="61"/>
  <c r="M29" i="61"/>
  <c r="N29" i="61"/>
  <c r="M30" i="61"/>
  <c r="O30" i="61" s="1"/>
  <c r="N30" i="61"/>
  <c r="M31" i="61"/>
  <c r="N31" i="61"/>
  <c r="O31" i="61" s="1"/>
  <c r="M32" i="61"/>
  <c r="N32" i="61"/>
  <c r="M33" i="61"/>
  <c r="N33" i="61"/>
  <c r="M34" i="61"/>
  <c r="O34" i="61" s="1"/>
  <c r="N34" i="61"/>
  <c r="M35" i="61"/>
  <c r="N35" i="61"/>
  <c r="M36" i="61"/>
  <c r="N36" i="61"/>
  <c r="M37" i="61"/>
  <c r="N37" i="61"/>
  <c r="M38" i="61"/>
  <c r="O38" i="61" s="1"/>
  <c r="N38" i="61"/>
  <c r="M39" i="61"/>
  <c r="N39" i="61"/>
  <c r="M40" i="61"/>
  <c r="N40" i="61"/>
  <c r="M41" i="61"/>
  <c r="N41" i="61"/>
  <c r="M42" i="61"/>
  <c r="O42" i="61" s="1"/>
  <c r="N42" i="61"/>
  <c r="M43" i="61"/>
  <c r="N43" i="61"/>
  <c r="M44" i="61"/>
  <c r="N44" i="61"/>
  <c r="M45" i="61"/>
  <c r="N45" i="61"/>
  <c r="M46" i="61"/>
  <c r="N46" i="61"/>
  <c r="M47" i="61"/>
  <c r="N47" i="61"/>
  <c r="M48" i="61"/>
  <c r="N48" i="61"/>
  <c r="M49" i="61"/>
  <c r="N49" i="61"/>
  <c r="M50" i="61"/>
  <c r="O50" i="61" s="1"/>
  <c r="N50" i="61"/>
  <c r="M51" i="61"/>
  <c r="N51" i="61"/>
  <c r="O51" i="61" s="1"/>
  <c r="M52" i="61"/>
  <c r="N52" i="61"/>
  <c r="M53" i="61"/>
  <c r="N53" i="61"/>
  <c r="M54" i="61"/>
  <c r="O54" i="61" s="1"/>
  <c r="N54" i="61"/>
  <c r="M55" i="61"/>
  <c r="N55" i="61"/>
  <c r="O55" i="61" s="1"/>
  <c r="M56" i="61"/>
  <c r="N56" i="61"/>
  <c r="M57" i="61"/>
  <c r="N57" i="61"/>
  <c r="M58" i="61"/>
  <c r="N58" i="61"/>
  <c r="O58" i="61" s="1"/>
  <c r="M59" i="61"/>
  <c r="N59" i="61"/>
  <c r="M60" i="61"/>
  <c r="N60" i="61"/>
  <c r="M61" i="61"/>
  <c r="N61" i="61"/>
  <c r="M62" i="61"/>
  <c r="O62" i="61" s="1"/>
  <c r="N62" i="61"/>
  <c r="M63" i="61"/>
  <c r="N63" i="61"/>
  <c r="O63" i="61" s="1"/>
  <c r="M64" i="61"/>
  <c r="N64" i="61"/>
  <c r="M65" i="61"/>
  <c r="N65" i="61"/>
  <c r="M66" i="61"/>
  <c r="O66" i="61" s="1"/>
  <c r="N66" i="61"/>
  <c r="M67" i="61"/>
  <c r="N67" i="61"/>
  <c r="M68" i="61"/>
  <c r="N68" i="61"/>
  <c r="M69" i="61"/>
  <c r="N69" i="61"/>
  <c r="M70" i="61"/>
  <c r="O70" i="61" s="1"/>
  <c r="N70" i="61"/>
  <c r="M71" i="61"/>
  <c r="N71" i="61"/>
  <c r="M72" i="61"/>
  <c r="N72" i="61"/>
  <c r="M73" i="61"/>
  <c r="N73" i="61"/>
  <c r="M74" i="61"/>
  <c r="O74" i="61" s="1"/>
  <c r="N74" i="61"/>
  <c r="M75" i="61"/>
  <c r="N75" i="61"/>
  <c r="M76" i="61"/>
  <c r="N76" i="61"/>
  <c r="M77" i="61"/>
  <c r="N77" i="61"/>
  <c r="M78" i="61"/>
  <c r="N78" i="61"/>
  <c r="M79" i="61"/>
  <c r="N79" i="61"/>
  <c r="M80" i="61"/>
  <c r="N80" i="61"/>
  <c r="M81" i="61"/>
  <c r="N81" i="61"/>
  <c r="M82" i="61"/>
  <c r="O82" i="61" s="1"/>
  <c r="N82" i="61"/>
  <c r="M83" i="61"/>
  <c r="N83" i="61"/>
  <c r="O83" i="61" s="1"/>
  <c r="M84" i="61"/>
  <c r="N84" i="61"/>
  <c r="M85" i="61"/>
  <c r="N85" i="61"/>
  <c r="M86" i="61"/>
  <c r="O86" i="61" s="1"/>
  <c r="N86" i="61"/>
  <c r="M87" i="61"/>
  <c r="N87" i="61"/>
  <c r="O87" i="61" s="1"/>
  <c r="M88" i="61"/>
  <c r="N88" i="61"/>
  <c r="M89" i="61"/>
  <c r="N89" i="61"/>
  <c r="M90" i="61"/>
  <c r="N90" i="61"/>
  <c r="O90" i="61" s="1"/>
  <c r="M91" i="61"/>
  <c r="N91" i="61"/>
  <c r="M92" i="61"/>
  <c r="N92" i="61"/>
  <c r="M93" i="61"/>
  <c r="N93" i="61"/>
  <c r="M94" i="61"/>
  <c r="O94" i="61" s="1"/>
  <c r="N94" i="61"/>
  <c r="M95" i="61"/>
  <c r="N95" i="61"/>
  <c r="O95" i="61" s="1"/>
  <c r="M96" i="61"/>
  <c r="N96" i="61"/>
  <c r="M97" i="61"/>
  <c r="N97" i="61"/>
  <c r="M98" i="61"/>
  <c r="O98" i="61" s="1"/>
  <c r="N98" i="61"/>
  <c r="M99" i="61"/>
  <c r="N99" i="61"/>
  <c r="M100" i="61"/>
  <c r="N100" i="61"/>
  <c r="M101" i="61"/>
  <c r="N101" i="61"/>
  <c r="M102" i="61"/>
  <c r="O102" i="61" s="1"/>
  <c r="N102" i="61"/>
  <c r="M103" i="61"/>
  <c r="N103" i="61"/>
  <c r="M104" i="61"/>
  <c r="N104" i="61"/>
  <c r="M105" i="61"/>
  <c r="N105" i="61"/>
  <c r="M106" i="61"/>
  <c r="O106" i="61" s="1"/>
  <c r="N106" i="61"/>
  <c r="M107" i="61"/>
  <c r="N107" i="61"/>
  <c r="M108" i="61"/>
  <c r="N108" i="61"/>
  <c r="M109" i="61"/>
  <c r="N109" i="61"/>
  <c r="M110" i="61"/>
  <c r="N110" i="61"/>
  <c r="M111" i="61"/>
  <c r="N111" i="61"/>
  <c r="M112" i="61"/>
  <c r="N112" i="61"/>
  <c r="M113" i="61"/>
  <c r="N113" i="61"/>
  <c r="M114" i="61"/>
  <c r="O114" i="61" s="1"/>
  <c r="N114" i="61"/>
  <c r="M115" i="61"/>
  <c r="N115" i="61"/>
  <c r="O115" i="61" s="1"/>
  <c r="M116" i="61"/>
  <c r="N116" i="61"/>
  <c r="M117" i="61"/>
  <c r="N117" i="61"/>
  <c r="M118" i="61"/>
  <c r="O118" i="61" s="1"/>
  <c r="N118" i="61"/>
  <c r="M119" i="61"/>
  <c r="N119" i="61"/>
  <c r="O119" i="61" s="1"/>
  <c r="M120" i="61"/>
  <c r="N120" i="61"/>
  <c r="M121" i="61"/>
  <c r="N121" i="61"/>
  <c r="M122" i="61"/>
  <c r="N122" i="61"/>
  <c r="O122" i="61" s="1"/>
  <c r="M123" i="61"/>
  <c r="N123" i="61"/>
  <c r="M124" i="61"/>
  <c r="N124" i="61"/>
  <c r="M125" i="61"/>
  <c r="N125" i="61"/>
  <c r="M126" i="61"/>
  <c r="O126" i="61" s="1"/>
  <c r="N126" i="61"/>
  <c r="M127" i="61"/>
  <c r="N127" i="61"/>
  <c r="O127" i="61" s="1"/>
  <c r="M128" i="61"/>
  <c r="N128" i="61"/>
  <c r="M129" i="61"/>
  <c r="N129" i="61"/>
  <c r="M130" i="61"/>
  <c r="O130" i="61" s="1"/>
  <c r="N130" i="61"/>
  <c r="M131" i="61"/>
  <c r="N131" i="61"/>
  <c r="M132" i="61"/>
  <c r="N132" i="61"/>
  <c r="M133" i="61"/>
  <c r="N133" i="61"/>
  <c r="M134" i="61"/>
  <c r="O134" i="61" s="1"/>
  <c r="N134" i="61"/>
  <c r="M135" i="61"/>
  <c r="N135" i="61"/>
  <c r="M136" i="61"/>
  <c r="N136" i="61"/>
  <c r="M137" i="61"/>
  <c r="N137" i="61"/>
  <c r="M138" i="61"/>
  <c r="O138" i="61" s="1"/>
  <c r="N138" i="61"/>
  <c r="M139" i="61"/>
  <c r="N139" i="61"/>
  <c r="M140" i="61"/>
  <c r="N140" i="61"/>
  <c r="M141" i="61"/>
  <c r="N141" i="61"/>
  <c r="M142" i="61"/>
  <c r="N142" i="61"/>
  <c r="M143" i="61"/>
  <c r="N143" i="61"/>
  <c r="M144" i="61"/>
  <c r="N144" i="61"/>
  <c r="M145" i="61"/>
  <c r="N145" i="61"/>
  <c r="M146" i="61"/>
  <c r="O146" i="61" s="1"/>
  <c r="N146" i="61"/>
  <c r="M147" i="61"/>
  <c r="N147" i="61"/>
  <c r="O147" i="61" s="1"/>
  <c r="M148" i="61"/>
  <c r="N148" i="61"/>
  <c r="M149" i="61"/>
  <c r="N149" i="61"/>
  <c r="M150" i="61"/>
  <c r="O150" i="61" s="1"/>
  <c r="N150" i="61"/>
  <c r="M151" i="61"/>
  <c r="N151" i="61"/>
  <c r="O151" i="61" s="1"/>
  <c r="M152" i="61"/>
  <c r="N152" i="61"/>
  <c r="M153" i="61"/>
  <c r="N153" i="61"/>
  <c r="M154" i="61"/>
  <c r="N154" i="61"/>
  <c r="O154" i="61" s="1"/>
  <c r="M155" i="61"/>
  <c r="N155" i="61"/>
  <c r="M156" i="61"/>
  <c r="N156" i="61"/>
  <c r="M157" i="61"/>
  <c r="N157" i="61"/>
  <c r="M158" i="61"/>
  <c r="O158" i="61" s="1"/>
  <c r="N158" i="61"/>
  <c r="M159" i="61"/>
  <c r="N159" i="61"/>
  <c r="O159" i="61" s="1"/>
  <c r="M160" i="61"/>
  <c r="N160" i="61"/>
  <c r="M161" i="61"/>
  <c r="N161" i="61"/>
  <c r="M162" i="61"/>
  <c r="O162" i="61" s="1"/>
  <c r="N162" i="61"/>
  <c r="M163" i="61"/>
  <c r="N163" i="61"/>
  <c r="M164" i="61"/>
  <c r="N164" i="61"/>
  <c r="M165" i="61"/>
  <c r="N165" i="61"/>
  <c r="M166" i="61"/>
  <c r="O166" i="61" s="1"/>
  <c r="N166" i="61"/>
  <c r="M167" i="61"/>
  <c r="N167" i="61"/>
  <c r="M168" i="61"/>
  <c r="N168" i="61"/>
  <c r="M169" i="61"/>
  <c r="N169" i="61"/>
  <c r="M170" i="61"/>
  <c r="O170" i="61" s="1"/>
  <c r="N170" i="61"/>
  <c r="M171" i="61"/>
  <c r="N171" i="61"/>
  <c r="M172" i="61"/>
  <c r="N172" i="61"/>
  <c r="M173" i="61"/>
  <c r="N173" i="61"/>
  <c r="M174" i="61"/>
  <c r="N174" i="61"/>
  <c r="M175" i="61"/>
  <c r="N175" i="61"/>
  <c r="M176" i="61"/>
  <c r="N176" i="61"/>
  <c r="M177" i="61"/>
  <c r="N177" i="61"/>
  <c r="M178" i="61"/>
  <c r="O178" i="61" s="1"/>
  <c r="N178" i="61"/>
  <c r="M179" i="61"/>
  <c r="N179" i="61"/>
  <c r="O179" i="61" s="1"/>
  <c r="M180" i="61"/>
  <c r="N180" i="61"/>
  <c r="M181" i="61"/>
  <c r="N181" i="61"/>
  <c r="M182" i="61"/>
  <c r="O182" i="61" s="1"/>
  <c r="N182" i="61"/>
  <c r="M183" i="61"/>
  <c r="N183" i="61"/>
  <c r="O183" i="61" s="1"/>
  <c r="M184" i="61"/>
  <c r="N184" i="61"/>
  <c r="M185" i="61"/>
  <c r="N185" i="61"/>
  <c r="M186" i="61"/>
  <c r="N186" i="61"/>
  <c r="O186" i="61" s="1"/>
  <c r="M187" i="61"/>
  <c r="N187" i="61"/>
  <c r="M188" i="61"/>
  <c r="N188" i="61"/>
  <c r="M189" i="61"/>
  <c r="N189" i="61"/>
  <c r="M190" i="61"/>
  <c r="O190" i="61" s="1"/>
  <c r="N190" i="61"/>
  <c r="M191" i="61"/>
  <c r="N191" i="61"/>
  <c r="O191" i="61" s="1"/>
  <c r="M192" i="61"/>
  <c r="N192" i="61"/>
  <c r="M193" i="61"/>
  <c r="N193" i="61"/>
  <c r="M194" i="61"/>
  <c r="O194" i="61" s="1"/>
  <c r="N194" i="61"/>
  <c r="M195" i="61"/>
  <c r="N195" i="61"/>
  <c r="M196" i="61"/>
  <c r="N196" i="61"/>
  <c r="M197" i="61"/>
  <c r="N197" i="61"/>
  <c r="M198" i="61"/>
  <c r="O198" i="61" s="1"/>
  <c r="N198" i="61"/>
  <c r="M199" i="61"/>
  <c r="N199" i="61"/>
  <c r="M200" i="61"/>
  <c r="N200" i="61"/>
  <c r="M201" i="61"/>
  <c r="N201" i="61"/>
  <c r="M202" i="61"/>
  <c r="O202" i="61" s="1"/>
  <c r="N202" i="61"/>
  <c r="M203" i="61"/>
  <c r="N203" i="61"/>
  <c r="M204" i="61"/>
  <c r="N204" i="61"/>
  <c r="M205" i="61"/>
  <c r="N205" i="61"/>
  <c r="M206" i="61"/>
  <c r="N206" i="61"/>
  <c r="M207" i="61"/>
  <c r="N207" i="61"/>
  <c r="M208" i="61"/>
  <c r="N208" i="61"/>
  <c r="M209" i="61"/>
  <c r="N209" i="61"/>
  <c r="M210" i="61"/>
  <c r="O210" i="61" s="1"/>
  <c r="N210" i="61"/>
  <c r="M211" i="61"/>
  <c r="N211" i="61"/>
  <c r="O211" i="61" s="1"/>
  <c r="M212" i="61"/>
  <c r="N212" i="61"/>
  <c r="M213" i="61"/>
  <c r="N213" i="61"/>
  <c r="M214" i="61"/>
  <c r="O214" i="61" s="1"/>
  <c r="N214" i="61"/>
  <c r="M215" i="61"/>
  <c r="N215" i="61"/>
  <c r="O215" i="61" s="1"/>
  <c r="M216" i="61"/>
  <c r="N216" i="61"/>
  <c r="M217" i="61"/>
  <c r="N217" i="61"/>
  <c r="M218" i="61"/>
  <c r="N218" i="61"/>
  <c r="O218" i="61" s="1"/>
  <c r="M219" i="61"/>
  <c r="N219" i="61"/>
  <c r="M220" i="61"/>
  <c r="N220" i="61"/>
  <c r="M221" i="61"/>
  <c r="N221" i="61"/>
  <c r="M222" i="61"/>
  <c r="O222" i="61" s="1"/>
  <c r="N222" i="61"/>
  <c r="M223" i="61"/>
  <c r="N223" i="61"/>
  <c r="O223" i="61" s="1"/>
  <c r="M224" i="61"/>
  <c r="N224" i="61"/>
  <c r="M225" i="61"/>
  <c r="N225" i="61"/>
  <c r="M226" i="61"/>
  <c r="O226" i="61" s="1"/>
  <c r="N226" i="61"/>
  <c r="M227" i="61"/>
  <c r="N227" i="61"/>
  <c r="M228" i="61"/>
  <c r="N228" i="61"/>
  <c r="M229" i="61"/>
  <c r="N229" i="61"/>
  <c r="M230" i="61"/>
  <c r="O230" i="61" s="1"/>
  <c r="N230" i="61"/>
  <c r="M231" i="61"/>
  <c r="N231" i="61"/>
  <c r="M232" i="61"/>
  <c r="N232" i="61"/>
  <c r="M233" i="61"/>
  <c r="N233" i="61"/>
  <c r="M234" i="61"/>
  <c r="O234" i="61" s="1"/>
  <c r="N234" i="61"/>
  <c r="M235" i="61"/>
  <c r="N235" i="61"/>
  <c r="M236" i="61"/>
  <c r="N236" i="61"/>
  <c r="M237" i="61"/>
  <c r="N237" i="61"/>
  <c r="M238" i="61"/>
  <c r="N238" i="61"/>
  <c r="M239" i="61"/>
  <c r="N239" i="61"/>
  <c r="M240" i="61"/>
  <c r="N240" i="61"/>
  <c r="M241" i="61"/>
  <c r="N241" i="61"/>
  <c r="M242" i="61"/>
  <c r="O242" i="61" s="1"/>
  <c r="N242" i="61"/>
  <c r="M243" i="61"/>
  <c r="N243" i="61"/>
  <c r="O243" i="61" s="1"/>
  <c r="M244" i="61"/>
  <c r="N244" i="61"/>
  <c r="M245" i="61"/>
  <c r="N245" i="61"/>
  <c r="M246" i="61"/>
  <c r="O246" i="61" s="1"/>
  <c r="N246" i="61"/>
  <c r="M247" i="61"/>
  <c r="N247" i="61"/>
  <c r="O247" i="61" s="1"/>
  <c r="M248" i="61"/>
  <c r="N248" i="61"/>
  <c r="M249" i="61"/>
  <c r="N249" i="61"/>
  <c r="M250" i="61"/>
  <c r="N250" i="61"/>
  <c r="O250" i="61" s="1"/>
  <c r="M251" i="61"/>
  <c r="N251" i="61"/>
  <c r="M252" i="61"/>
  <c r="N252" i="61"/>
  <c r="M253" i="61"/>
  <c r="N253" i="61"/>
  <c r="M254" i="61"/>
  <c r="O254" i="61" s="1"/>
  <c r="N254" i="61"/>
  <c r="M255" i="61"/>
  <c r="N255" i="61"/>
  <c r="O255" i="61" s="1"/>
  <c r="M256" i="61"/>
  <c r="N256" i="61"/>
  <c r="M257" i="61"/>
  <c r="N257" i="61"/>
  <c r="M258" i="61"/>
  <c r="O258" i="61" s="1"/>
  <c r="N258" i="61"/>
  <c r="M259" i="61"/>
  <c r="N259" i="61"/>
  <c r="M260" i="61"/>
  <c r="N260" i="61"/>
  <c r="M261" i="61"/>
  <c r="N261" i="61"/>
  <c r="M262" i="61"/>
  <c r="O262" i="61" s="1"/>
  <c r="N262" i="61"/>
  <c r="M263" i="61"/>
  <c r="N263" i="61"/>
  <c r="M264" i="61"/>
  <c r="N264" i="61"/>
  <c r="M265" i="61"/>
  <c r="N265" i="61"/>
  <c r="M266" i="61"/>
  <c r="O266" i="61" s="1"/>
  <c r="N266" i="61"/>
  <c r="M267" i="61"/>
  <c r="N267" i="61"/>
  <c r="M268" i="61"/>
  <c r="N268" i="61"/>
  <c r="M269" i="61"/>
  <c r="N269" i="61"/>
  <c r="M270" i="61"/>
  <c r="N270" i="61"/>
  <c r="M271" i="61"/>
  <c r="N271" i="61"/>
  <c r="M272" i="61"/>
  <c r="N272" i="61"/>
  <c r="M273" i="61"/>
  <c r="N273" i="61"/>
  <c r="M274" i="61"/>
  <c r="O274" i="61" s="1"/>
  <c r="N274" i="61"/>
  <c r="M275" i="61"/>
  <c r="N275" i="61"/>
  <c r="O275" i="61" s="1"/>
  <c r="M276" i="61"/>
  <c r="N276" i="61"/>
  <c r="M277" i="61"/>
  <c r="N277" i="61"/>
  <c r="M278" i="61"/>
  <c r="O278" i="61" s="1"/>
  <c r="N278" i="61"/>
  <c r="M279" i="61"/>
  <c r="N279" i="61"/>
  <c r="O279" i="61" s="1"/>
  <c r="M280" i="61"/>
  <c r="N280" i="61"/>
  <c r="M281" i="61"/>
  <c r="N281" i="61"/>
  <c r="M282" i="61"/>
  <c r="N282" i="61"/>
  <c r="O282" i="61" s="1"/>
  <c r="M283" i="61"/>
  <c r="N283" i="61"/>
  <c r="M284" i="61"/>
  <c r="N284" i="61"/>
  <c r="M285" i="61"/>
  <c r="N285" i="61"/>
  <c r="M286" i="61"/>
  <c r="O286" i="61" s="1"/>
  <c r="N286" i="61"/>
  <c r="M287" i="61"/>
  <c r="N287" i="61"/>
  <c r="O287" i="61" s="1"/>
  <c r="M288" i="61"/>
  <c r="N288" i="61"/>
  <c r="M289" i="61"/>
  <c r="N289" i="61"/>
  <c r="M290" i="61"/>
  <c r="O290" i="61" s="1"/>
  <c r="N290" i="61"/>
  <c r="M291" i="61"/>
  <c r="N291" i="61"/>
  <c r="M292" i="61"/>
  <c r="N292" i="61"/>
  <c r="M293" i="61"/>
  <c r="N293" i="61"/>
  <c r="M294" i="61"/>
  <c r="O294" i="61" s="1"/>
  <c r="N294" i="61"/>
  <c r="M295" i="61"/>
  <c r="N295" i="61"/>
  <c r="M296" i="61"/>
  <c r="N296" i="61"/>
  <c r="M297" i="61"/>
  <c r="N297" i="61"/>
  <c r="M298" i="61"/>
  <c r="O298" i="61" s="1"/>
  <c r="N298" i="61"/>
  <c r="M299" i="61"/>
  <c r="N299" i="61"/>
  <c r="M300" i="61"/>
  <c r="N300" i="61"/>
  <c r="M301" i="61"/>
  <c r="N301" i="61"/>
  <c r="M302" i="61"/>
  <c r="N302" i="61"/>
  <c r="M303" i="61"/>
  <c r="N303" i="61"/>
  <c r="M304" i="61"/>
  <c r="N304" i="61"/>
  <c r="M305" i="61"/>
  <c r="N305" i="61"/>
  <c r="M306" i="61"/>
  <c r="O306" i="61" s="1"/>
  <c r="N306" i="61"/>
  <c r="M307" i="61"/>
  <c r="N307" i="61"/>
  <c r="O307" i="61" s="1"/>
  <c r="M308" i="61"/>
  <c r="N308" i="61"/>
  <c r="M309" i="61"/>
  <c r="N309" i="61"/>
  <c r="M310" i="61"/>
  <c r="O310" i="61" s="1"/>
  <c r="N310" i="61"/>
  <c r="M311" i="61"/>
  <c r="N311" i="61"/>
  <c r="O311" i="61" s="1"/>
  <c r="M312" i="61"/>
  <c r="N312" i="61"/>
  <c r="M313" i="61"/>
  <c r="N313" i="61"/>
  <c r="M314" i="61"/>
  <c r="N314" i="61"/>
  <c r="O314" i="61" s="1"/>
  <c r="M315" i="61"/>
  <c r="N315" i="61"/>
  <c r="M316" i="61"/>
  <c r="N316" i="61"/>
  <c r="M317" i="61"/>
  <c r="N317" i="61"/>
  <c r="M318" i="61"/>
  <c r="O318" i="61" s="1"/>
  <c r="N318" i="61"/>
  <c r="M319" i="61"/>
  <c r="N319" i="61"/>
  <c r="O319" i="61" s="1"/>
  <c r="M320" i="61"/>
  <c r="N320" i="61"/>
  <c r="M321" i="61"/>
  <c r="N321" i="61"/>
  <c r="M322" i="61"/>
  <c r="O322" i="61" s="1"/>
  <c r="N322" i="61"/>
  <c r="M323" i="61"/>
  <c r="N323" i="61"/>
  <c r="M324" i="61"/>
  <c r="N324" i="61"/>
  <c r="M325" i="61"/>
  <c r="N325" i="61"/>
  <c r="M326" i="61"/>
  <c r="O326" i="61" s="1"/>
  <c r="N326" i="61"/>
  <c r="M327" i="61"/>
  <c r="N327" i="61"/>
  <c r="M328" i="61"/>
  <c r="O328" i="61" s="1"/>
  <c r="N328" i="61"/>
  <c r="M329" i="61"/>
  <c r="N329" i="61"/>
  <c r="M330" i="61"/>
  <c r="O330" i="61" s="1"/>
  <c r="N330" i="61"/>
  <c r="M331" i="61"/>
  <c r="N331" i="61"/>
  <c r="O331" i="61" s="1"/>
  <c r="M332" i="61"/>
  <c r="N332" i="61"/>
  <c r="M333" i="61"/>
  <c r="N333" i="61"/>
  <c r="M334" i="61"/>
  <c r="O334" i="61" s="1"/>
  <c r="N334" i="61"/>
  <c r="M335" i="61"/>
  <c r="N335" i="61"/>
  <c r="M336" i="61"/>
  <c r="O336" i="61" s="1"/>
  <c r="N336" i="61"/>
  <c r="M337" i="61"/>
  <c r="N337" i="61"/>
  <c r="M338" i="61"/>
  <c r="O338" i="61" s="1"/>
  <c r="N338" i="61"/>
  <c r="M339" i="61"/>
  <c r="N339" i="61"/>
  <c r="M340" i="61"/>
  <c r="N340" i="61"/>
  <c r="M341" i="61"/>
  <c r="N341" i="61"/>
  <c r="M342" i="61"/>
  <c r="O342" i="61" s="1"/>
  <c r="N342" i="61"/>
  <c r="M343" i="61"/>
  <c r="N343" i="61"/>
  <c r="M344" i="61"/>
  <c r="O344" i="61" s="1"/>
  <c r="N344" i="61"/>
  <c r="M345" i="61"/>
  <c r="N345" i="61"/>
  <c r="M346" i="61"/>
  <c r="O346" i="61" s="1"/>
  <c r="N346" i="61"/>
  <c r="M347" i="61"/>
  <c r="N347" i="61"/>
  <c r="M348" i="61"/>
  <c r="N348" i="61"/>
  <c r="M349" i="61"/>
  <c r="N349" i="61"/>
  <c r="M350" i="61"/>
  <c r="O350" i="61" s="1"/>
  <c r="N350" i="61"/>
  <c r="M351" i="61"/>
  <c r="N351" i="61"/>
  <c r="M352" i="61"/>
  <c r="O352" i="61" s="1"/>
  <c r="N352" i="61"/>
  <c r="M353" i="61"/>
  <c r="N353" i="61"/>
  <c r="M354" i="61"/>
  <c r="O354" i="61" s="1"/>
  <c r="N354" i="61"/>
  <c r="M355" i="61"/>
  <c r="N355" i="61"/>
  <c r="O355" i="61" s="1"/>
  <c r="M356" i="61"/>
  <c r="N356" i="61"/>
  <c r="M357" i="61"/>
  <c r="N357" i="61"/>
  <c r="M358" i="61"/>
  <c r="O358" i="61" s="1"/>
  <c r="N358" i="61"/>
  <c r="M359" i="61"/>
  <c r="N359" i="61"/>
  <c r="M360" i="61"/>
  <c r="O360" i="61" s="1"/>
  <c r="N360" i="61"/>
  <c r="M361" i="61"/>
  <c r="N361" i="61"/>
  <c r="M362" i="61"/>
  <c r="N362" i="61"/>
  <c r="O362" i="61" s="1"/>
  <c r="M363" i="61"/>
  <c r="N363" i="61"/>
  <c r="M364" i="61"/>
  <c r="N364" i="61"/>
  <c r="M365" i="61"/>
  <c r="N365" i="61"/>
  <c r="M366" i="61"/>
  <c r="O366" i="61" s="1"/>
  <c r="N366" i="61"/>
  <c r="M367" i="61"/>
  <c r="N367" i="61"/>
  <c r="O367" i="61" s="1"/>
  <c r="M368" i="61"/>
  <c r="O368" i="61" s="1"/>
  <c r="N368" i="61"/>
  <c r="M369" i="61"/>
  <c r="N369" i="61"/>
  <c r="M370" i="61"/>
  <c r="O370" i="61" s="1"/>
  <c r="N370" i="61"/>
  <c r="M371" i="61"/>
  <c r="N371" i="61"/>
  <c r="O371" i="61" s="1"/>
  <c r="M372" i="61"/>
  <c r="N372" i="61"/>
  <c r="M373" i="61"/>
  <c r="N373" i="61"/>
  <c r="M374" i="61"/>
  <c r="N374" i="61"/>
  <c r="O374" i="61" s="1"/>
  <c r="M375" i="61"/>
  <c r="N375" i="61"/>
  <c r="M376" i="61"/>
  <c r="O376" i="61" s="1"/>
  <c r="N376" i="61"/>
  <c r="M377" i="61"/>
  <c r="N377" i="61"/>
  <c r="M378" i="61"/>
  <c r="O378" i="61" s="1"/>
  <c r="N378" i="61"/>
  <c r="M379" i="61"/>
  <c r="N379" i="61"/>
  <c r="O379" i="61" s="1"/>
  <c r="M380" i="61"/>
  <c r="N380" i="61"/>
  <c r="M381" i="61"/>
  <c r="N381" i="61"/>
  <c r="M382" i="61"/>
  <c r="O382" i="61" s="1"/>
  <c r="N382" i="61"/>
  <c r="M383" i="61"/>
  <c r="N383" i="61"/>
  <c r="O383" i="61" s="1"/>
  <c r="M384" i="61"/>
  <c r="O384" i="61" s="1"/>
  <c r="N384" i="61"/>
  <c r="M385" i="61"/>
  <c r="N385" i="61"/>
  <c r="M386" i="61"/>
  <c r="N386" i="61"/>
  <c r="M387" i="61"/>
  <c r="N387" i="61"/>
  <c r="M388" i="61"/>
  <c r="N388" i="61"/>
  <c r="M389" i="61"/>
  <c r="N389" i="61"/>
  <c r="M390" i="61"/>
  <c r="O390" i="61" s="1"/>
  <c r="N390" i="61"/>
  <c r="M391" i="61"/>
  <c r="N391" i="61"/>
  <c r="O391" i="61" s="1"/>
  <c r="M392" i="61"/>
  <c r="O392" i="61" s="1"/>
  <c r="N392" i="61"/>
  <c r="M393" i="61"/>
  <c r="N393" i="61"/>
  <c r="M394" i="61"/>
  <c r="O394" i="61" s="1"/>
  <c r="N394" i="61"/>
  <c r="M395" i="61"/>
  <c r="N395" i="61"/>
  <c r="M396" i="61"/>
  <c r="N396" i="61"/>
  <c r="M397" i="61"/>
  <c r="N397" i="61"/>
  <c r="M398" i="61"/>
  <c r="N398" i="61"/>
  <c r="M399" i="61"/>
  <c r="N399" i="61"/>
  <c r="M400" i="61"/>
  <c r="O400" i="61" s="1"/>
  <c r="N400" i="61"/>
  <c r="M401" i="61"/>
  <c r="N401" i="61"/>
  <c r="M402" i="61"/>
  <c r="O402" i="61" s="1"/>
  <c r="N402" i="61"/>
  <c r="M403" i="61"/>
  <c r="N403" i="61"/>
  <c r="M404" i="61"/>
  <c r="N404" i="61"/>
  <c r="M405" i="61"/>
  <c r="N405" i="61"/>
  <c r="M406" i="61"/>
  <c r="O406" i="61" s="1"/>
  <c r="N406" i="61"/>
  <c r="M407" i="61"/>
  <c r="N407" i="61"/>
  <c r="M408" i="61"/>
  <c r="O408" i="61" s="1"/>
  <c r="N408" i="61"/>
  <c r="M409" i="61"/>
  <c r="N409" i="61"/>
  <c r="M410" i="61"/>
  <c r="O410" i="61" s="1"/>
  <c r="N410" i="61"/>
  <c r="M411" i="61"/>
  <c r="N411" i="61"/>
  <c r="M412" i="61"/>
  <c r="N412" i="61"/>
  <c r="M413" i="61"/>
  <c r="N413" i="61"/>
  <c r="M414" i="61"/>
  <c r="O414" i="61" s="1"/>
  <c r="N414" i="61"/>
  <c r="M415" i="61"/>
  <c r="N415" i="61"/>
  <c r="M416" i="61"/>
  <c r="O416" i="61" s="1"/>
  <c r="N416" i="61"/>
  <c r="M417" i="61"/>
  <c r="N417" i="61"/>
  <c r="M418" i="61"/>
  <c r="O418" i="61" s="1"/>
  <c r="N418" i="61"/>
  <c r="M419" i="61"/>
  <c r="N419" i="61"/>
  <c r="O419" i="61" s="1"/>
  <c r="M420" i="61"/>
  <c r="N420" i="61"/>
  <c r="M421" i="61"/>
  <c r="N421" i="61"/>
  <c r="M422" i="61"/>
  <c r="O422" i="61" s="1"/>
  <c r="N422" i="61"/>
  <c r="M423" i="61"/>
  <c r="N423" i="61"/>
  <c r="M424" i="61"/>
  <c r="O424" i="61" s="1"/>
  <c r="N424" i="61"/>
  <c r="M425" i="61"/>
  <c r="N425" i="61"/>
  <c r="M426" i="61"/>
  <c r="N426" i="61"/>
  <c r="O426" i="61" s="1"/>
  <c r="M427" i="61"/>
  <c r="N427" i="61"/>
  <c r="M428" i="61"/>
  <c r="N428" i="61"/>
  <c r="M429" i="61"/>
  <c r="N429" i="61"/>
  <c r="M430" i="61"/>
  <c r="O430" i="61" s="1"/>
  <c r="N430" i="61"/>
  <c r="M431" i="61"/>
  <c r="N431" i="61"/>
  <c r="O431" i="61" s="1"/>
  <c r="M432" i="61"/>
  <c r="O432" i="61" s="1"/>
  <c r="N432" i="61"/>
  <c r="M433" i="61"/>
  <c r="N433" i="61"/>
  <c r="M434" i="61"/>
  <c r="O434" i="61" s="1"/>
  <c r="N434" i="61"/>
  <c r="M435" i="61"/>
  <c r="N435" i="61"/>
  <c r="O435" i="61" s="1"/>
  <c r="M436" i="61"/>
  <c r="N436" i="61"/>
  <c r="M437" i="61"/>
  <c r="N437" i="61"/>
  <c r="M438" i="61"/>
  <c r="N438" i="61"/>
  <c r="O438" i="61" s="1"/>
  <c r="M439" i="61"/>
  <c r="N439" i="61"/>
  <c r="M440" i="61"/>
  <c r="O440" i="61" s="1"/>
  <c r="N440" i="61"/>
  <c r="M441" i="61"/>
  <c r="N441" i="61"/>
  <c r="M442" i="61"/>
  <c r="O442" i="61" s="1"/>
  <c r="N442" i="61"/>
  <c r="M443" i="61"/>
  <c r="N443" i="61"/>
  <c r="O443" i="61" s="1"/>
  <c r="M444" i="61"/>
  <c r="N444" i="61"/>
  <c r="M445" i="61"/>
  <c r="N445" i="61"/>
  <c r="M446" i="61"/>
  <c r="O446" i="61" s="1"/>
  <c r="N446" i="61"/>
  <c r="M447" i="61"/>
  <c r="N447" i="61"/>
  <c r="O447" i="61" s="1"/>
  <c r="M448" i="61"/>
  <c r="O448" i="61" s="1"/>
  <c r="N448" i="61"/>
  <c r="M449" i="61"/>
  <c r="N449" i="61"/>
  <c r="M450" i="61"/>
  <c r="N450" i="61"/>
  <c r="M451" i="61"/>
  <c r="N451" i="61"/>
  <c r="M452" i="61"/>
  <c r="N452" i="61"/>
  <c r="M453" i="61"/>
  <c r="N453" i="61"/>
  <c r="M454" i="61"/>
  <c r="O454" i="61" s="1"/>
  <c r="N454" i="61"/>
  <c r="M455" i="61"/>
  <c r="N455" i="61"/>
  <c r="O455" i="61" s="1"/>
  <c r="M456" i="61"/>
  <c r="O456" i="61" s="1"/>
  <c r="N456" i="61"/>
  <c r="M457" i="61"/>
  <c r="N457" i="61"/>
  <c r="M458" i="61"/>
  <c r="O458" i="61" s="1"/>
  <c r="N458" i="61"/>
  <c r="M459" i="61"/>
  <c r="N459" i="61"/>
  <c r="M460" i="61"/>
  <c r="N460" i="61"/>
  <c r="M461" i="61"/>
  <c r="N461" i="61"/>
  <c r="M462" i="61"/>
  <c r="N462" i="61"/>
  <c r="M463" i="61"/>
  <c r="N463" i="61"/>
  <c r="M464" i="61"/>
  <c r="O464" i="61" s="1"/>
  <c r="N464" i="61"/>
  <c r="M465" i="61"/>
  <c r="N465" i="61"/>
  <c r="M466" i="61"/>
  <c r="O466" i="61" s="1"/>
  <c r="N466" i="61"/>
  <c r="M467" i="61"/>
  <c r="N467" i="61"/>
  <c r="M468" i="61"/>
  <c r="O468" i="61" s="1"/>
  <c r="N468" i="61"/>
  <c r="M469" i="61"/>
  <c r="N469" i="61"/>
  <c r="M470" i="61"/>
  <c r="O470" i="61" s="1"/>
  <c r="N470" i="61"/>
  <c r="M471" i="61"/>
  <c r="N471" i="61"/>
  <c r="O471" i="61" s="1"/>
  <c r="M472" i="61"/>
  <c r="O472" i="61" s="1"/>
  <c r="N472" i="61"/>
  <c r="M473" i="61"/>
  <c r="N473" i="61"/>
  <c r="M474" i="61"/>
  <c r="O474" i="61" s="1"/>
  <c r="N474" i="61"/>
  <c r="M475" i="61"/>
  <c r="N475" i="61"/>
  <c r="O475" i="61" s="1"/>
  <c r="M476" i="61"/>
  <c r="O476" i="61" s="1"/>
  <c r="N476" i="61"/>
  <c r="M477" i="61"/>
  <c r="N477" i="61"/>
  <c r="M478" i="61"/>
  <c r="N478" i="61"/>
  <c r="M479" i="61"/>
  <c r="N479" i="61"/>
  <c r="M480" i="61"/>
  <c r="O480" i="61" s="1"/>
  <c r="N480" i="61"/>
  <c r="M481" i="61"/>
  <c r="N481" i="61"/>
  <c r="M482" i="61"/>
  <c r="O482" i="61" s="1"/>
  <c r="N482" i="61"/>
  <c r="M483" i="61"/>
  <c r="N483" i="61"/>
  <c r="M484" i="61"/>
  <c r="N484" i="61"/>
  <c r="M485" i="61"/>
  <c r="N485" i="61"/>
  <c r="M486" i="61"/>
  <c r="O486" i="61" s="1"/>
  <c r="N486" i="61"/>
  <c r="M487" i="61"/>
  <c r="N487" i="61"/>
  <c r="M488" i="61"/>
  <c r="O488" i="61" s="1"/>
  <c r="N488" i="61"/>
  <c r="M489" i="61"/>
  <c r="N489" i="61"/>
  <c r="M490" i="61"/>
  <c r="O490" i="61" s="1"/>
  <c r="N490" i="61"/>
  <c r="M491" i="61"/>
  <c r="N491" i="61"/>
  <c r="M492" i="61"/>
  <c r="N492" i="61"/>
  <c r="M493" i="61"/>
  <c r="N493" i="61"/>
  <c r="M494" i="61"/>
  <c r="O494" i="61" s="1"/>
  <c r="N494" i="61"/>
  <c r="M495" i="61"/>
  <c r="N495" i="61"/>
  <c r="M496" i="61"/>
  <c r="O496" i="61" s="1"/>
  <c r="N496" i="61"/>
  <c r="M497" i="61"/>
  <c r="N497" i="61"/>
  <c r="M498" i="61"/>
  <c r="O498" i="61" s="1"/>
  <c r="N498" i="61"/>
  <c r="M499" i="61"/>
  <c r="N499" i="61"/>
  <c r="O499" i="61" s="1"/>
  <c r="M500" i="61"/>
  <c r="O500" i="61" s="1"/>
  <c r="N500" i="61"/>
  <c r="M501" i="61"/>
  <c r="N501" i="61"/>
  <c r="M502" i="61"/>
  <c r="O502" i="61" s="1"/>
  <c r="N502" i="61"/>
  <c r="M503" i="61"/>
  <c r="N503" i="61"/>
  <c r="O503" i="61" s="1"/>
  <c r="M504" i="61"/>
  <c r="O504" i="61" s="1"/>
  <c r="N504" i="61"/>
  <c r="M505" i="61"/>
  <c r="N505" i="61"/>
  <c r="M506" i="61"/>
  <c r="N506" i="61"/>
  <c r="M507" i="61"/>
  <c r="N507" i="61"/>
  <c r="M508" i="61"/>
  <c r="O508" i="61" s="1"/>
  <c r="N508" i="61"/>
  <c r="M509" i="61"/>
  <c r="N509" i="61"/>
  <c r="M510" i="61"/>
  <c r="O510" i="61" s="1"/>
  <c r="N510" i="61"/>
  <c r="M511" i="61"/>
  <c r="N511" i="61"/>
  <c r="M512" i="61"/>
  <c r="O512" i="61" s="1"/>
  <c r="N512" i="61"/>
  <c r="M513" i="61"/>
  <c r="N513" i="61"/>
  <c r="M514" i="61"/>
  <c r="O514" i="61" s="1"/>
  <c r="N514" i="61"/>
  <c r="M515" i="61"/>
  <c r="N515" i="61"/>
  <c r="O515" i="61" s="1"/>
  <c r="M516" i="61"/>
  <c r="N516" i="61"/>
  <c r="M517" i="61"/>
  <c r="N517" i="61"/>
  <c r="M518" i="61"/>
  <c r="O518" i="61" s="1"/>
  <c r="N518" i="61"/>
  <c r="M519" i="61"/>
  <c r="N519" i="61"/>
  <c r="M520" i="61"/>
  <c r="O520" i="61" s="1"/>
  <c r="N520" i="61"/>
  <c r="M521" i="61"/>
  <c r="N521" i="61"/>
  <c r="M522" i="61"/>
  <c r="N522" i="61"/>
  <c r="O522" i="61" s="1"/>
  <c r="M523" i="61"/>
  <c r="N523" i="61"/>
  <c r="M524" i="61"/>
  <c r="N524" i="61"/>
  <c r="M525" i="61"/>
  <c r="N525" i="61"/>
  <c r="M526" i="61"/>
  <c r="O526" i="61" s="1"/>
  <c r="N526" i="61"/>
  <c r="M527" i="61"/>
  <c r="N527" i="61"/>
  <c r="O527" i="61" s="1"/>
  <c r="M528" i="61"/>
  <c r="O528" i="61" s="1"/>
  <c r="N528" i="61"/>
  <c r="M529" i="61"/>
  <c r="N529" i="61"/>
  <c r="M530" i="61"/>
  <c r="O530" i="61" s="1"/>
  <c r="N530" i="61"/>
  <c r="M531" i="61"/>
  <c r="N531" i="61"/>
  <c r="O531" i="61" s="1"/>
  <c r="M532" i="61"/>
  <c r="O532" i="61" s="1"/>
  <c r="N532" i="61"/>
  <c r="M533" i="61"/>
  <c r="N533" i="61"/>
  <c r="M534" i="61"/>
  <c r="N534" i="61"/>
  <c r="M535" i="61"/>
  <c r="N535" i="61"/>
  <c r="M536" i="61"/>
  <c r="O536" i="61" s="1"/>
  <c r="N536" i="61"/>
  <c r="M537" i="61"/>
  <c r="N537" i="61"/>
  <c r="M538" i="61"/>
  <c r="O538" i="61" s="1"/>
  <c r="N538" i="61"/>
  <c r="M539" i="61"/>
  <c r="N539" i="61"/>
  <c r="M540" i="61"/>
  <c r="O540" i="61" s="1"/>
  <c r="N540" i="61"/>
  <c r="M541" i="61"/>
  <c r="N541" i="61"/>
  <c r="M542" i="61"/>
  <c r="O542" i="61" s="1"/>
  <c r="N542" i="61"/>
  <c r="M543" i="61"/>
  <c r="N543" i="61"/>
  <c r="O543" i="61" s="1"/>
  <c r="M544" i="61"/>
  <c r="O544" i="61" s="1"/>
  <c r="N544" i="61"/>
  <c r="M545" i="61"/>
  <c r="N545" i="61"/>
  <c r="M546" i="61"/>
  <c r="O546" i="61" s="1"/>
  <c r="N546" i="61"/>
  <c r="M547" i="61"/>
  <c r="N547" i="61"/>
  <c r="O547" i="61" s="1"/>
  <c r="M548" i="61"/>
  <c r="O548" i="61" s="1"/>
  <c r="N548" i="61"/>
  <c r="M549" i="61"/>
  <c r="N549" i="61"/>
  <c r="M550" i="61"/>
  <c r="N550" i="61"/>
  <c r="M551" i="61"/>
  <c r="N551" i="61"/>
  <c r="M552" i="61"/>
  <c r="O552" i="61" s="1"/>
  <c r="N552" i="61"/>
  <c r="M553" i="61"/>
  <c r="N553" i="61"/>
  <c r="M554" i="61"/>
  <c r="O554" i="61" s="1"/>
  <c r="N554" i="61"/>
  <c r="M555" i="61"/>
  <c r="N555" i="61"/>
  <c r="M556" i="61"/>
  <c r="N556" i="61"/>
  <c r="M557" i="61"/>
  <c r="N557" i="61"/>
  <c r="M558" i="61"/>
  <c r="O558" i="61" s="1"/>
  <c r="N558" i="61"/>
  <c r="M559" i="61"/>
  <c r="N559" i="61"/>
  <c r="M560" i="61"/>
  <c r="O560" i="61" s="1"/>
  <c r="N560" i="61"/>
  <c r="M561" i="61"/>
  <c r="N561" i="61"/>
  <c r="M562" i="61"/>
  <c r="O562" i="61" s="1"/>
  <c r="N562" i="61"/>
  <c r="M563" i="61"/>
  <c r="N563" i="61"/>
  <c r="M564" i="61"/>
  <c r="O564" i="61" s="1"/>
  <c r="N564" i="61"/>
  <c r="M565" i="61"/>
  <c r="N565" i="61"/>
  <c r="M566" i="61"/>
  <c r="N566" i="61"/>
  <c r="O566" i="61" s="1"/>
  <c r="M567" i="61"/>
  <c r="N567" i="61"/>
  <c r="M568" i="61"/>
  <c r="O568" i="61" s="1"/>
  <c r="N568" i="61"/>
  <c r="M569" i="61"/>
  <c r="N569" i="61"/>
  <c r="M570" i="61"/>
  <c r="O570" i="61" s="1"/>
  <c r="N570" i="61"/>
  <c r="M571" i="61"/>
  <c r="N571" i="61"/>
  <c r="O571" i="61" s="1"/>
  <c r="M572" i="61"/>
  <c r="O572" i="61" s="1"/>
  <c r="N572" i="61"/>
  <c r="M573" i="61"/>
  <c r="N573" i="61"/>
  <c r="M574" i="61"/>
  <c r="O574" i="61" s="1"/>
  <c r="N574" i="61"/>
  <c r="M575" i="61"/>
  <c r="N575" i="61"/>
  <c r="M576" i="61"/>
  <c r="O576" i="61" s="1"/>
  <c r="N576" i="61"/>
  <c r="M577" i="61"/>
  <c r="N577" i="61"/>
  <c r="M578" i="61"/>
  <c r="O578" i="61" s="1"/>
  <c r="N578" i="61"/>
  <c r="M579" i="61"/>
  <c r="N579" i="61"/>
  <c r="M580" i="61"/>
  <c r="O580" i="61" s="1"/>
  <c r="N580" i="61"/>
  <c r="M581" i="61"/>
  <c r="N581" i="61"/>
  <c r="M582" i="61"/>
  <c r="N582" i="61"/>
  <c r="O582" i="61" s="1"/>
  <c r="M583" i="61"/>
  <c r="N583" i="61"/>
  <c r="O583" i="61" s="1"/>
  <c r="M584" i="61"/>
  <c r="O584" i="61" s="1"/>
  <c r="N584" i="61"/>
  <c r="M585" i="61"/>
  <c r="N585" i="61"/>
  <c r="M586" i="61"/>
  <c r="O586" i="61" s="1"/>
  <c r="N586" i="61"/>
  <c r="M587" i="61"/>
  <c r="N587" i="61"/>
  <c r="O587" i="61" s="1"/>
  <c r="M588" i="61"/>
  <c r="N588" i="61"/>
  <c r="M589" i="61"/>
  <c r="N589" i="61"/>
  <c r="M590" i="61"/>
  <c r="O590" i="61" s="1"/>
  <c r="N590" i="61"/>
  <c r="M591" i="61"/>
  <c r="N591" i="61"/>
  <c r="O591" i="61" s="1"/>
  <c r="M592" i="61"/>
  <c r="O592" i="61" s="1"/>
  <c r="N592" i="61"/>
  <c r="M593" i="61"/>
  <c r="N593" i="61"/>
  <c r="M594" i="61"/>
  <c r="N594" i="61"/>
  <c r="M595" i="61"/>
  <c r="N595" i="61"/>
  <c r="M596" i="61"/>
  <c r="O596" i="61" s="1"/>
  <c r="N596" i="61"/>
  <c r="M597" i="61"/>
  <c r="N597" i="61"/>
  <c r="M598" i="61"/>
  <c r="O598" i="61" s="1"/>
  <c r="N598" i="61"/>
  <c r="M599" i="61"/>
  <c r="N599" i="61"/>
  <c r="M600" i="61"/>
  <c r="O600" i="61" s="1"/>
  <c r="N600" i="61"/>
  <c r="M601" i="61"/>
  <c r="N601" i="61"/>
  <c r="M602" i="61"/>
  <c r="O602" i="61" s="1"/>
  <c r="N602" i="61"/>
  <c r="M603" i="61"/>
  <c r="N603" i="61"/>
  <c r="O603" i="61" s="1"/>
  <c r="M604" i="61"/>
  <c r="O604" i="61" s="1"/>
  <c r="N604" i="61"/>
  <c r="M605" i="61"/>
  <c r="N605" i="61"/>
  <c r="M606" i="61"/>
  <c r="O606" i="61" s="1"/>
  <c r="N606" i="61"/>
  <c r="M607" i="61"/>
  <c r="N607" i="61"/>
  <c r="O607" i="61" s="1"/>
  <c r="M608" i="61"/>
  <c r="O608" i="61" s="1"/>
  <c r="N608" i="61"/>
  <c r="M609" i="61"/>
  <c r="N609" i="61"/>
  <c r="M610" i="61"/>
  <c r="N610" i="61"/>
  <c r="M611" i="61"/>
  <c r="N611" i="61"/>
  <c r="M612" i="61"/>
  <c r="O612" i="61" s="1"/>
  <c r="N612" i="61"/>
  <c r="M613" i="61"/>
  <c r="N613" i="61"/>
  <c r="M614" i="61"/>
  <c r="O614" i="61" s="1"/>
  <c r="N614" i="61"/>
  <c r="M615" i="61"/>
  <c r="N615" i="61"/>
  <c r="M616" i="61"/>
  <c r="O616" i="61" s="1"/>
  <c r="N616" i="61"/>
  <c r="M617" i="61"/>
  <c r="N617" i="61"/>
  <c r="M618" i="61"/>
  <c r="O618" i="61" s="1"/>
  <c r="N618" i="61"/>
  <c r="M619" i="61"/>
  <c r="N619" i="61"/>
  <c r="O619" i="61" s="1"/>
  <c r="M620" i="61"/>
  <c r="N620" i="61"/>
  <c r="M621" i="61"/>
  <c r="N621" i="61"/>
  <c r="M622" i="61"/>
  <c r="O622" i="61" s="1"/>
  <c r="N622" i="61"/>
  <c r="M623" i="61"/>
  <c r="N623" i="61"/>
  <c r="M624" i="61"/>
  <c r="O624" i="61" s="1"/>
  <c r="N624" i="61"/>
  <c r="M625" i="61"/>
  <c r="N625" i="61"/>
  <c r="M626" i="61"/>
  <c r="N626" i="61"/>
  <c r="O626" i="61" s="1"/>
  <c r="M627" i="61"/>
  <c r="N627" i="61"/>
  <c r="O627" i="61" s="1"/>
  <c r="M628" i="61"/>
  <c r="O628" i="61" s="1"/>
  <c r="N628" i="61"/>
  <c r="M629" i="61"/>
  <c r="N629" i="61"/>
  <c r="M630" i="61"/>
  <c r="O630" i="61" s="1"/>
  <c r="N630" i="61"/>
  <c r="M631" i="61"/>
  <c r="N631" i="61"/>
  <c r="O631" i="61" s="1"/>
  <c r="M632" i="61"/>
  <c r="O632" i="61" s="1"/>
  <c r="N632" i="61"/>
  <c r="M633" i="61"/>
  <c r="N633" i="61"/>
  <c r="M634" i="61"/>
  <c r="O634" i="61" s="1"/>
  <c r="N634" i="61"/>
  <c r="M635" i="61"/>
  <c r="N635" i="61"/>
  <c r="M636" i="61"/>
  <c r="O636" i="61" s="1"/>
  <c r="N636" i="61"/>
  <c r="M637" i="61"/>
  <c r="N637" i="61"/>
  <c r="M638" i="61"/>
  <c r="O638" i="61" s="1"/>
  <c r="N638" i="61"/>
  <c r="M639" i="61"/>
  <c r="N639" i="61"/>
  <c r="M640" i="61"/>
  <c r="O640" i="61" s="1"/>
  <c r="N640" i="61"/>
  <c r="M641" i="61"/>
  <c r="N641" i="61"/>
  <c r="M642" i="61"/>
  <c r="N642" i="61"/>
  <c r="O642" i="61" s="1"/>
  <c r="M643" i="61"/>
  <c r="N643" i="61"/>
  <c r="O643" i="61" s="1"/>
  <c r="M644" i="61"/>
  <c r="O644" i="61" s="1"/>
  <c r="N644" i="61"/>
  <c r="M645" i="61"/>
  <c r="N645" i="61"/>
  <c r="M646" i="61"/>
  <c r="O646" i="61" s="1"/>
  <c r="N646" i="61"/>
  <c r="M647" i="61"/>
  <c r="N647" i="61"/>
  <c r="O647" i="61" s="1"/>
  <c r="M648" i="61"/>
  <c r="O648" i="61" s="1"/>
  <c r="N648" i="61"/>
  <c r="M649" i="61"/>
  <c r="N649" i="61"/>
  <c r="M650" i="61"/>
  <c r="O650" i="61" s="1"/>
  <c r="N650" i="61"/>
  <c r="M651" i="61"/>
  <c r="N651" i="61"/>
  <c r="M652" i="61"/>
  <c r="N652" i="61"/>
  <c r="M653" i="61"/>
  <c r="N653" i="61"/>
  <c r="M654" i="61"/>
  <c r="N654" i="61"/>
  <c r="M655" i="61"/>
  <c r="N655" i="61"/>
  <c r="M656" i="61"/>
  <c r="O656" i="61" s="1"/>
  <c r="N656" i="61"/>
  <c r="M657" i="61"/>
  <c r="N657" i="61"/>
  <c r="M658" i="61"/>
  <c r="O658" i="61" s="1"/>
  <c r="N658" i="61"/>
  <c r="M659" i="61"/>
  <c r="N659" i="61"/>
  <c r="M660" i="61"/>
  <c r="O660" i="61" s="1"/>
  <c r="N660" i="61"/>
  <c r="M661" i="61"/>
  <c r="N661" i="61"/>
  <c r="M662" i="61"/>
  <c r="O662" i="61" s="1"/>
  <c r="N662" i="61"/>
  <c r="M663" i="61"/>
  <c r="N663" i="61"/>
  <c r="O663" i="61" s="1"/>
  <c r="M664" i="61"/>
  <c r="O664" i="61" s="1"/>
  <c r="N664" i="61"/>
  <c r="M665" i="61"/>
  <c r="N665" i="61"/>
  <c r="M666" i="61"/>
  <c r="O666" i="61" s="1"/>
  <c r="N666" i="61"/>
  <c r="M667" i="61"/>
  <c r="N667" i="61"/>
  <c r="O667" i="61" s="1"/>
  <c r="M668" i="61"/>
  <c r="O668" i="61" s="1"/>
  <c r="N668" i="61"/>
  <c r="M669" i="61"/>
  <c r="N669" i="61"/>
  <c r="M670" i="61"/>
  <c r="N670" i="61"/>
  <c r="M671" i="61"/>
  <c r="N671" i="61"/>
  <c r="M672" i="61"/>
  <c r="O672" i="61" s="1"/>
  <c r="N672" i="61"/>
  <c r="M673" i="61"/>
  <c r="N673" i="61"/>
  <c r="M674" i="61"/>
  <c r="O674" i="61" s="1"/>
  <c r="N674" i="61"/>
  <c r="M675" i="61"/>
  <c r="N675" i="61"/>
  <c r="M676" i="61"/>
  <c r="O676" i="61" s="1"/>
  <c r="N676" i="61"/>
  <c r="M677" i="61"/>
  <c r="N677" i="61"/>
  <c r="M678" i="61"/>
  <c r="O678" i="61" s="1"/>
  <c r="N678" i="61"/>
  <c r="M679" i="61"/>
  <c r="N679" i="61"/>
  <c r="O679" i="61" s="1"/>
  <c r="M680" i="61"/>
  <c r="O680" i="61" s="1"/>
  <c r="N680" i="61"/>
  <c r="M681" i="61"/>
  <c r="N681" i="61"/>
  <c r="M682" i="61"/>
  <c r="O682" i="61" s="1"/>
  <c r="N682" i="61"/>
  <c r="M683" i="61"/>
  <c r="N683" i="61"/>
  <c r="O683" i="61" s="1"/>
  <c r="M684" i="61"/>
  <c r="N684" i="61"/>
  <c r="M685" i="61"/>
  <c r="N685" i="61"/>
  <c r="M686" i="61"/>
  <c r="N686" i="61"/>
  <c r="O686" i="61" s="1"/>
  <c r="M687" i="61"/>
  <c r="N687" i="61"/>
  <c r="O687" i="61" s="1"/>
  <c r="M688" i="61"/>
  <c r="O688" i="61" s="1"/>
  <c r="N688" i="61"/>
  <c r="M689" i="61"/>
  <c r="N689" i="61"/>
  <c r="M690" i="61"/>
  <c r="O690" i="61" s="1"/>
  <c r="N690" i="61"/>
  <c r="M691" i="61"/>
  <c r="N691" i="61"/>
  <c r="O691" i="61" s="1"/>
  <c r="M692" i="61"/>
  <c r="O692" i="61" s="1"/>
  <c r="N692" i="61"/>
  <c r="M693" i="61"/>
  <c r="N693" i="61"/>
  <c r="M694" i="61"/>
  <c r="O694" i="61" s="1"/>
  <c r="N694" i="61"/>
  <c r="M695" i="61"/>
  <c r="N695" i="61"/>
  <c r="M696" i="61"/>
  <c r="O696" i="61" s="1"/>
  <c r="N696" i="61"/>
  <c r="M697" i="61"/>
  <c r="N697" i="61"/>
  <c r="M698" i="61"/>
  <c r="O698" i="61" s="1"/>
  <c r="N698" i="61"/>
  <c r="M699" i="61"/>
  <c r="N699" i="61"/>
  <c r="M700" i="61"/>
  <c r="O700" i="61" s="1"/>
  <c r="N700" i="61"/>
  <c r="M701" i="61"/>
  <c r="N701" i="61"/>
  <c r="M702" i="61"/>
  <c r="N702" i="61"/>
  <c r="O702" i="61" s="1"/>
  <c r="M703" i="61"/>
  <c r="N703" i="61"/>
  <c r="O703" i="61" s="1"/>
  <c r="M704" i="61"/>
  <c r="O704" i="61" s="1"/>
  <c r="N704" i="61"/>
  <c r="M705" i="61"/>
  <c r="N705" i="61"/>
  <c r="M706" i="61"/>
  <c r="O706" i="61" s="1"/>
  <c r="N706" i="61"/>
  <c r="M707" i="61"/>
  <c r="N707" i="61"/>
  <c r="O707" i="61" s="1"/>
  <c r="M708" i="61"/>
  <c r="O708" i="61" s="1"/>
  <c r="N708" i="61"/>
  <c r="M709" i="61"/>
  <c r="N709" i="61"/>
  <c r="M710" i="61"/>
  <c r="O710" i="61" s="1"/>
  <c r="N710" i="61"/>
  <c r="M711" i="61"/>
  <c r="N711" i="61"/>
  <c r="M712" i="61"/>
  <c r="O712" i="61" s="1"/>
  <c r="N712" i="61"/>
  <c r="M713" i="61"/>
  <c r="N713" i="61"/>
  <c r="M714" i="61"/>
  <c r="O714" i="61" s="1"/>
  <c r="N714" i="61"/>
  <c r="M715" i="61"/>
  <c r="N715" i="61"/>
  <c r="M716" i="61"/>
  <c r="N716" i="61"/>
  <c r="M717" i="61"/>
  <c r="N717" i="61"/>
  <c r="M718" i="61"/>
  <c r="O718" i="61" s="1"/>
  <c r="N718" i="61"/>
  <c r="M719" i="61"/>
  <c r="N719" i="61"/>
  <c r="M720" i="61"/>
  <c r="O720" i="61" s="1"/>
  <c r="N720" i="61"/>
  <c r="M721" i="61"/>
  <c r="N721" i="61"/>
  <c r="M722" i="61"/>
  <c r="O722" i="61" s="1"/>
  <c r="N722" i="61"/>
  <c r="M723" i="61"/>
  <c r="N723" i="61"/>
  <c r="O723" i="61" s="1"/>
  <c r="M724" i="61"/>
  <c r="O724" i="61" s="1"/>
  <c r="N724" i="61"/>
  <c r="M725" i="61"/>
  <c r="N725" i="61"/>
  <c r="M726" i="61"/>
  <c r="O726" i="61" s="1"/>
  <c r="N726" i="61"/>
  <c r="M727" i="61"/>
  <c r="N727" i="61"/>
  <c r="O727" i="61" s="1"/>
  <c r="M728" i="61"/>
  <c r="O728" i="61" s="1"/>
  <c r="N728" i="61"/>
  <c r="M729" i="61"/>
  <c r="N729" i="61"/>
  <c r="M730" i="61"/>
  <c r="N730" i="61"/>
  <c r="M731" i="61"/>
  <c r="N731" i="61"/>
  <c r="M732" i="61"/>
  <c r="O732" i="61" s="1"/>
  <c r="N732" i="61"/>
  <c r="M733" i="61"/>
  <c r="N733" i="61"/>
  <c r="M734" i="61"/>
  <c r="O734" i="61" s="1"/>
  <c r="N734" i="61"/>
  <c r="M735" i="61"/>
  <c r="N735" i="61"/>
  <c r="M736" i="61"/>
  <c r="O736" i="61" s="1"/>
  <c r="N736" i="61"/>
  <c r="M737" i="61"/>
  <c r="N737" i="61"/>
  <c r="M738" i="61"/>
  <c r="O738" i="61" s="1"/>
  <c r="N738" i="61"/>
  <c r="M739" i="61"/>
  <c r="N739" i="61"/>
  <c r="O739" i="61" s="1"/>
  <c r="M740" i="61"/>
  <c r="O740" i="61" s="1"/>
  <c r="N740" i="61"/>
  <c r="M741" i="61"/>
  <c r="N741" i="61"/>
  <c r="M742" i="61"/>
  <c r="O742" i="61" s="1"/>
  <c r="N742" i="61"/>
  <c r="M743" i="61"/>
  <c r="N743" i="61"/>
  <c r="O743" i="61" s="1"/>
  <c r="M744" i="61"/>
  <c r="O744" i="61" s="1"/>
  <c r="N744" i="61"/>
  <c r="M745" i="61"/>
  <c r="N745" i="61"/>
  <c r="M746" i="61"/>
  <c r="N746" i="61"/>
  <c r="M747" i="61"/>
  <c r="N747" i="61"/>
  <c r="M748" i="61"/>
  <c r="N748" i="61"/>
  <c r="M749" i="61"/>
  <c r="N749" i="61"/>
  <c r="M750" i="61"/>
  <c r="O750" i="61" s="1"/>
  <c r="N750" i="61"/>
  <c r="M751" i="61"/>
  <c r="N751" i="61"/>
  <c r="O751" i="61" s="1"/>
  <c r="M752" i="61"/>
  <c r="O752" i="61" s="1"/>
  <c r="N752" i="61"/>
  <c r="M753" i="61"/>
  <c r="N753" i="61"/>
  <c r="M754" i="61"/>
  <c r="O754" i="61" s="1"/>
  <c r="N754" i="61"/>
  <c r="M755" i="61"/>
  <c r="N755" i="61"/>
  <c r="M756" i="61"/>
  <c r="O756" i="61" s="1"/>
  <c r="N756" i="61"/>
  <c r="M757" i="61"/>
  <c r="N757" i="61"/>
  <c r="M758" i="61"/>
  <c r="O758" i="61" s="1"/>
  <c r="N758" i="61"/>
  <c r="M759" i="61"/>
  <c r="N759" i="61"/>
  <c r="M760" i="61"/>
  <c r="O760" i="61" s="1"/>
  <c r="N760" i="61"/>
  <c r="M761" i="61"/>
  <c r="N761" i="61"/>
  <c r="M762" i="61"/>
  <c r="N762" i="61"/>
  <c r="O762" i="61" s="1"/>
  <c r="M763" i="61"/>
  <c r="N763" i="61"/>
  <c r="O763" i="61" s="1"/>
  <c r="M764" i="61"/>
  <c r="O764" i="61" s="1"/>
  <c r="N764" i="61"/>
  <c r="M765" i="61"/>
  <c r="N765" i="61"/>
  <c r="M766" i="61"/>
  <c r="O766" i="61" s="1"/>
  <c r="N766" i="61"/>
  <c r="M767" i="61"/>
  <c r="N767" i="61"/>
  <c r="O767" i="61" s="1"/>
  <c r="M768" i="61"/>
  <c r="O768" i="61" s="1"/>
  <c r="N768" i="61"/>
  <c r="M769" i="61"/>
  <c r="N769" i="61"/>
  <c r="M770" i="61"/>
  <c r="O770" i="61" s="1"/>
  <c r="N770" i="61"/>
  <c r="M771" i="61"/>
  <c r="N771" i="61"/>
  <c r="M772" i="61"/>
  <c r="O772" i="61" s="1"/>
  <c r="N772" i="61"/>
  <c r="M773" i="61"/>
  <c r="N773" i="61"/>
  <c r="M774" i="61"/>
  <c r="O774" i="61" s="1"/>
  <c r="N774" i="61"/>
  <c r="M775" i="61"/>
  <c r="N775" i="61"/>
  <c r="M776" i="61"/>
  <c r="O776" i="61" s="1"/>
  <c r="N776" i="61"/>
  <c r="M777" i="61"/>
  <c r="N777" i="61"/>
  <c r="M778" i="61"/>
  <c r="N778" i="61"/>
  <c r="O778" i="61" s="1"/>
  <c r="M779" i="61"/>
  <c r="N779" i="61"/>
  <c r="O779" i="61" s="1"/>
  <c r="M780" i="61"/>
  <c r="N780" i="61"/>
  <c r="M781" i="61"/>
  <c r="N781" i="61"/>
  <c r="M782" i="61"/>
  <c r="O782" i="61" s="1"/>
  <c r="N782" i="61"/>
  <c r="M783" i="61"/>
  <c r="N783" i="61"/>
  <c r="O783" i="61" s="1"/>
  <c r="M784" i="61"/>
  <c r="O784" i="61" s="1"/>
  <c r="N784" i="61"/>
  <c r="M785" i="61"/>
  <c r="N785" i="61"/>
  <c r="M786" i="61"/>
  <c r="O786" i="61" s="1"/>
  <c r="N786" i="61"/>
  <c r="M787" i="61"/>
  <c r="N787" i="61"/>
  <c r="O787" i="61" s="1"/>
  <c r="M788" i="61"/>
  <c r="O788" i="61" s="1"/>
  <c r="N788" i="61"/>
  <c r="M789" i="61"/>
  <c r="N789" i="61"/>
  <c r="M790" i="61"/>
  <c r="N790" i="61"/>
  <c r="M791" i="61"/>
  <c r="N791" i="61"/>
  <c r="M792" i="61"/>
  <c r="O792" i="61" s="1"/>
  <c r="N792" i="61"/>
  <c r="M793" i="61"/>
  <c r="N793" i="61"/>
  <c r="M794" i="61"/>
  <c r="O794" i="61" s="1"/>
  <c r="N794" i="61"/>
  <c r="M795" i="61"/>
  <c r="N795" i="61"/>
  <c r="M796" i="61"/>
  <c r="O796" i="61" s="1"/>
  <c r="N796" i="61"/>
  <c r="M797" i="61"/>
  <c r="N797" i="61"/>
  <c r="M798" i="61"/>
  <c r="O798" i="61" s="1"/>
  <c r="N798" i="61"/>
  <c r="M799" i="61"/>
  <c r="N799" i="61"/>
  <c r="O799" i="61" s="1"/>
  <c r="M800" i="61"/>
  <c r="O800" i="61" s="1"/>
  <c r="N800" i="61"/>
  <c r="M801" i="61"/>
  <c r="N801" i="61"/>
  <c r="M802" i="61"/>
  <c r="O802" i="61" s="1"/>
  <c r="N802" i="61"/>
  <c r="M803" i="61"/>
  <c r="N803" i="61"/>
  <c r="O803" i="61" s="1"/>
  <c r="M804" i="61"/>
  <c r="O804" i="61" s="1"/>
  <c r="N804" i="61"/>
  <c r="M805" i="61"/>
  <c r="N805" i="61"/>
  <c r="M806" i="61"/>
  <c r="N806" i="61"/>
  <c r="M807" i="61"/>
  <c r="N807" i="61"/>
  <c r="M808" i="61"/>
  <c r="O808" i="61" s="1"/>
  <c r="N808" i="61"/>
  <c r="M809" i="61"/>
  <c r="N809" i="61"/>
  <c r="M810" i="61"/>
  <c r="O810" i="61" s="1"/>
  <c r="N810" i="61"/>
  <c r="M811" i="61"/>
  <c r="N811" i="61"/>
  <c r="M812" i="61"/>
  <c r="O812" i="61" s="1"/>
  <c r="N812" i="61"/>
  <c r="M813" i="61"/>
  <c r="N813" i="61"/>
  <c r="M814" i="61"/>
  <c r="O814" i="61" s="1"/>
  <c r="N814" i="61"/>
  <c r="M815" i="61"/>
  <c r="N815" i="61"/>
  <c r="M816" i="61"/>
  <c r="O816" i="61" s="1"/>
  <c r="N816" i="61"/>
  <c r="M817" i="61"/>
  <c r="N817" i="61"/>
  <c r="M818" i="61"/>
  <c r="O818" i="61" s="1"/>
  <c r="N818" i="61"/>
  <c r="M819" i="61"/>
  <c r="N819" i="61"/>
  <c r="M820" i="61"/>
  <c r="O820" i="61" s="1"/>
  <c r="N820" i="61"/>
  <c r="M821" i="61"/>
  <c r="N821" i="61"/>
  <c r="M822" i="61"/>
  <c r="N822" i="61"/>
  <c r="O822" i="61" s="1"/>
  <c r="M823" i="61"/>
  <c r="N823" i="61"/>
  <c r="O823" i="61" s="1"/>
  <c r="M824" i="61"/>
  <c r="O824" i="61" s="1"/>
  <c r="N824" i="61"/>
  <c r="M825" i="61"/>
  <c r="N825" i="61"/>
  <c r="M826" i="61"/>
  <c r="O826" i="61" s="1"/>
  <c r="N826" i="61"/>
  <c r="M827" i="61"/>
  <c r="N827" i="61"/>
  <c r="O827" i="61" s="1"/>
  <c r="M828" i="61"/>
  <c r="O828" i="61" s="1"/>
  <c r="N828" i="61"/>
  <c r="M829" i="61"/>
  <c r="N829" i="61"/>
  <c r="M830" i="61"/>
  <c r="O830" i="61" s="1"/>
  <c r="N830" i="61"/>
  <c r="M831" i="61"/>
  <c r="N831" i="61"/>
  <c r="M832" i="61"/>
  <c r="O832" i="61" s="1"/>
  <c r="N832" i="61"/>
  <c r="M833" i="61"/>
  <c r="N833" i="61"/>
  <c r="M834" i="61"/>
  <c r="O834" i="61" s="1"/>
  <c r="N834" i="61"/>
  <c r="M835" i="61"/>
  <c r="N835" i="61"/>
  <c r="M836" i="61"/>
  <c r="O836" i="61" s="1"/>
  <c r="N836" i="61"/>
  <c r="M837" i="61"/>
  <c r="N837" i="61"/>
  <c r="M838" i="61"/>
  <c r="N838" i="61"/>
  <c r="O838" i="61" s="1"/>
  <c r="M839" i="61"/>
  <c r="N839" i="61"/>
  <c r="O839" i="61" s="1"/>
  <c r="M840" i="61"/>
  <c r="O840" i="61" s="1"/>
  <c r="N840" i="61"/>
  <c r="M841" i="61"/>
  <c r="N841" i="61"/>
  <c r="M842" i="61"/>
  <c r="O842" i="61" s="1"/>
  <c r="N842" i="61"/>
  <c r="M843" i="61"/>
  <c r="N843" i="61"/>
  <c r="O843" i="61" s="1"/>
  <c r="M844" i="61"/>
  <c r="N844" i="61"/>
  <c r="M845" i="61"/>
  <c r="N845" i="61"/>
  <c r="M846" i="61"/>
  <c r="O846" i="61" s="1"/>
  <c r="N846" i="61"/>
  <c r="M847" i="61"/>
  <c r="N847" i="61"/>
  <c r="O847" i="61" s="1"/>
  <c r="M848" i="61"/>
  <c r="O848" i="61" s="1"/>
  <c r="N848" i="61"/>
  <c r="M849" i="61"/>
  <c r="N849" i="61"/>
  <c r="M850" i="61"/>
  <c r="N850" i="61"/>
  <c r="M851" i="61"/>
  <c r="N851" i="61"/>
  <c r="M852" i="61"/>
  <c r="O852" i="61" s="1"/>
  <c r="N852" i="61"/>
  <c r="M853" i="61"/>
  <c r="N853" i="61"/>
  <c r="M854" i="61"/>
  <c r="O854" i="61" s="1"/>
  <c r="N854" i="61"/>
  <c r="M855" i="61"/>
  <c r="N855" i="61"/>
  <c r="M856" i="61"/>
  <c r="O856" i="61" s="1"/>
  <c r="N856" i="61"/>
  <c r="M857" i="61"/>
  <c r="N857" i="61"/>
  <c r="M858" i="61"/>
  <c r="O858" i="61" s="1"/>
  <c r="N858" i="61"/>
  <c r="M859" i="61"/>
  <c r="N859" i="61"/>
  <c r="O859" i="61" s="1"/>
  <c r="M860" i="61"/>
  <c r="O860" i="61" s="1"/>
  <c r="N860" i="61"/>
  <c r="M861" i="61"/>
  <c r="N861" i="61"/>
  <c r="M862" i="61"/>
  <c r="O862" i="61" s="1"/>
  <c r="N862" i="61"/>
  <c r="M863" i="61"/>
  <c r="N863" i="61"/>
  <c r="O863" i="61" s="1"/>
  <c r="M864" i="61"/>
  <c r="O864" i="61" s="1"/>
  <c r="N864" i="61"/>
  <c r="M865" i="61"/>
  <c r="N865" i="61"/>
  <c r="M866" i="61"/>
  <c r="N866" i="61"/>
  <c r="M867" i="61"/>
  <c r="N867" i="61"/>
  <c r="M868" i="61"/>
  <c r="O868" i="61" s="1"/>
  <c r="N868" i="61"/>
  <c r="M869" i="61"/>
  <c r="N869" i="61"/>
  <c r="M870" i="61"/>
  <c r="O870" i="61" s="1"/>
  <c r="N870" i="61"/>
  <c r="M871" i="61"/>
  <c r="N871" i="61"/>
  <c r="M872" i="61"/>
  <c r="O872" i="61" s="1"/>
  <c r="N872" i="61"/>
  <c r="M873" i="61"/>
  <c r="N873" i="61"/>
  <c r="M874" i="61"/>
  <c r="O874" i="61" s="1"/>
  <c r="N874" i="61"/>
  <c r="M875" i="61"/>
  <c r="N875" i="61"/>
  <c r="O875" i="61" s="1"/>
  <c r="M876" i="61"/>
  <c r="N876" i="61"/>
  <c r="M877" i="61"/>
  <c r="N877" i="61"/>
  <c r="M878" i="61"/>
  <c r="O878" i="61" s="1"/>
  <c r="N878" i="61"/>
  <c r="M879" i="61"/>
  <c r="N879" i="61"/>
  <c r="M880" i="61"/>
  <c r="O880" i="61" s="1"/>
  <c r="N880" i="61"/>
  <c r="M881" i="61"/>
  <c r="N881" i="61"/>
  <c r="M882" i="61"/>
  <c r="N882" i="61"/>
  <c r="O882" i="61" s="1"/>
  <c r="M883" i="61"/>
  <c r="N883" i="61"/>
  <c r="O883" i="61" s="1"/>
  <c r="M884" i="61"/>
  <c r="O884" i="61" s="1"/>
  <c r="N884" i="61"/>
  <c r="M885" i="61"/>
  <c r="N885" i="61"/>
  <c r="M886" i="61"/>
  <c r="O886" i="61" s="1"/>
  <c r="N886" i="61"/>
  <c r="M887" i="61"/>
  <c r="N887" i="61"/>
  <c r="O887" i="61" s="1"/>
  <c r="M888" i="61"/>
  <c r="O888" i="61" s="1"/>
  <c r="N888" i="61"/>
  <c r="M889" i="61"/>
  <c r="N889" i="61"/>
  <c r="M890" i="61"/>
  <c r="O890" i="61" s="1"/>
  <c r="N890" i="61"/>
  <c r="M891" i="61"/>
  <c r="N891" i="61"/>
  <c r="M892" i="61"/>
  <c r="O892" i="61" s="1"/>
  <c r="N892" i="61"/>
  <c r="M893" i="61"/>
  <c r="N893" i="61"/>
  <c r="M894" i="61"/>
  <c r="O894" i="61" s="1"/>
  <c r="N894" i="61"/>
  <c r="M895" i="61"/>
  <c r="N895" i="61"/>
  <c r="M896" i="61"/>
  <c r="O896" i="61" s="1"/>
  <c r="N896" i="61"/>
  <c r="M897" i="61"/>
  <c r="N897" i="61"/>
  <c r="M898" i="61"/>
  <c r="N898" i="61"/>
  <c r="O898" i="61" s="1"/>
  <c r="M899" i="61"/>
  <c r="N899" i="61"/>
  <c r="O899" i="61" s="1"/>
  <c r="M900" i="61"/>
  <c r="O900" i="61" s="1"/>
  <c r="N900" i="61"/>
  <c r="M901" i="61"/>
  <c r="N901" i="61"/>
  <c r="M902" i="61"/>
  <c r="O902" i="61" s="1"/>
  <c r="N902" i="61"/>
  <c r="M903" i="61"/>
  <c r="N903" i="61"/>
  <c r="O903" i="61" s="1"/>
  <c r="M904" i="61"/>
  <c r="O904" i="61" s="1"/>
  <c r="N904" i="61"/>
  <c r="M905" i="61"/>
  <c r="N905" i="61"/>
  <c r="M906" i="61"/>
  <c r="O906" i="61" s="1"/>
  <c r="N906" i="61"/>
  <c r="M907" i="61"/>
  <c r="N907" i="61"/>
  <c r="M908" i="61"/>
  <c r="O908" i="61" s="1"/>
  <c r="N908" i="61"/>
  <c r="M909" i="61"/>
  <c r="N909" i="61"/>
  <c r="M910" i="61"/>
  <c r="N910" i="61"/>
  <c r="M911" i="61"/>
  <c r="N911" i="61"/>
  <c r="M912" i="61"/>
  <c r="O912" i="61" s="1"/>
  <c r="N912" i="61"/>
  <c r="M913" i="61"/>
  <c r="N913" i="61"/>
  <c r="M914" i="61"/>
  <c r="O914" i="61" s="1"/>
  <c r="N914" i="61"/>
  <c r="M915" i="61"/>
  <c r="N915" i="61"/>
  <c r="M916" i="61"/>
  <c r="O916" i="61" s="1"/>
  <c r="N916" i="61"/>
  <c r="M917" i="61"/>
  <c r="N917" i="61"/>
  <c r="M918" i="61"/>
  <c r="O918" i="61" s="1"/>
  <c r="N918" i="61"/>
  <c r="M919" i="61"/>
  <c r="N919" i="61"/>
  <c r="O919" i="61" s="1"/>
  <c r="M920" i="61"/>
  <c r="O920" i="61" s="1"/>
  <c r="N920" i="61"/>
  <c r="M921" i="61"/>
  <c r="N921" i="61"/>
  <c r="M922" i="61"/>
  <c r="O922" i="61" s="1"/>
  <c r="N922" i="61"/>
  <c r="M923" i="61"/>
  <c r="N923" i="61"/>
  <c r="O923" i="61" s="1"/>
  <c r="M924" i="61"/>
  <c r="O924" i="61" s="1"/>
  <c r="N924" i="61"/>
  <c r="M925" i="61"/>
  <c r="N925" i="61"/>
  <c r="M926" i="61"/>
  <c r="N926" i="61"/>
  <c r="M927" i="61"/>
  <c r="N927" i="61"/>
  <c r="M928" i="61"/>
  <c r="O928" i="61" s="1"/>
  <c r="N928" i="61"/>
  <c r="M929" i="61"/>
  <c r="N929" i="61"/>
  <c r="M930" i="61"/>
  <c r="O930" i="61" s="1"/>
  <c r="N930" i="61"/>
  <c r="M931" i="61"/>
  <c r="N931" i="61"/>
  <c r="M932" i="61"/>
  <c r="O932" i="61" s="1"/>
  <c r="N932" i="61"/>
  <c r="M933" i="61"/>
  <c r="N933" i="61"/>
  <c r="M934" i="61"/>
  <c r="O934" i="61" s="1"/>
  <c r="N934" i="61"/>
  <c r="M935" i="61"/>
  <c r="N935" i="61"/>
  <c r="O935" i="61" s="1"/>
  <c r="M936" i="61"/>
  <c r="O936" i="61" s="1"/>
  <c r="N936" i="61"/>
  <c r="M937" i="61"/>
  <c r="N937" i="61"/>
  <c r="M938" i="61"/>
  <c r="O938" i="61" s="1"/>
  <c r="N938" i="61"/>
  <c r="M939" i="61"/>
  <c r="N939" i="61"/>
  <c r="O939" i="61" s="1"/>
  <c r="M940" i="61"/>
  <c r="N940" i="61"/>
  <c r="M941" i="61"/>
  <c r="N941" i="61"/>
  <c r="M942" i="61"/>
  <c r="N942" i="61"/>
  <c r="O942" i="61" s="1"/>
  <c r="M943" i="61"/>
  <c r="N943" i="61"/>
  <c r="O943" i="61" s="1"/>
  <c r="M944" i="61"/>
  <c r="O944" i="61" s="1"/>
  <c r="N944" i="61"/>
  <c r="M945" i="61"/>
  <c r="N945" i="61"/>
  <c r="M946" i="61"/>
  <c r="O946" i="61" s="1"/>
  <c r="N946" i="61"/>
  <c r="M947" i="61"/>
  <c r="N947" i="61"/>
  <c r="O947" i="61" s="1"/>
  <c r="M948" i="61"/>
  <c r="O948" i="61" s="1"/>
  <c r="N948" i="61"/>
  <c r="M949" i="61"/>
  <c r="O949" i="61" s="1"/>
  <c r="N949" i="61"/>
  <c r="M950" i="61"/>
  <c r="O950" i="61" s="1"/>
  <c r="N950" i="61"/>
  <c r="M951" i="61"/>
  <c r="N951" i="61"/>
  <c r="M952" i="61"/>
  <c r="O952" i="61" s="1"/>
  <c r="N952" i="61"/>
  <c r="M953" i="61"/>
  <c r="N953" i="61"/>
  <c r="M954" i="61"/>
  <c r="O954" i="61" s="1"/>
  <c r="N954" i="61"/>
  <c r="M955" i="61"/>
  <c r="N955" i="61"/>
  <c r="M956" i="61"/>
  <c r="O956" i="61" s="1"/>
  <c r="N956" i="61"/>
  <c r="M957" i="61"/>
  <c r="O957" i="61" s="1"/>
  <c r="N957" i="61"/>
  <c r="M958" i="61"/>
  <c r="N958" i="61"/>
  <c r="O958" i="61" s="1"/>
  <c r="M959" i="61"/>
  <c r="N959" i="61"/>
  <c r="O959" i="61" s="1"/>
  <c r="M960" i="61"/>
  <c r="O960" i="61" s="1"/>
  <c r="N960" i="61"/>
  <c r="M961" i="61"/>
  <c r="N961" i="61"/>
  <c r="M962" i="61"/>
  <c r="O962" i="61" s="1"/>
  <c r="N962" i="61"/>
  <c r="M963" i="61"/>
  <c r="N963" i="61"/>
  <c r="O963" i="61" s="1"/>
  <c r="M964" i="61"/>
  <c r="O964" i="61" s="1"/>
  <c r="N964" i="61"/>
  <c r="M965" i="61"/>
  <c r="N965" i="61"/>
  <c r="M966" i="61"/>
  <c r="O966" i="61" s="1"/>
  <c r="N966" i="61"/>
  <c r="M967" i="61"/>
  <c r="N967" i="61"/>
  <c r="M968" i="61"/>
  <c r="O968" i="61" s="1"/>
  <c r="N968" i="61"/>
  <c r="M969" i="61"/>
  <c r="N969" i="61"/>
  <c r="M970" i="61"/>
  <c r="O970" i="61" s="1"/>
  <c r="N970" i="61"/>
  <c r="M971" i="61"/>
  <c r="N971" i="61"/>
  <c r="M972" i="61"/>
  <c r="N972" i="61"/>
  <c r="M973" i="61"/>
  <c r="N973" i="61"/>
  <c r="M974" i="61"/>
  <c r="O974" i="61" s="1"/>
  <c r="N974" i="61"/>
  <c r="M975" i="61"/>
  <c r="N975" i="61"/>
  <c r="M976" i="61"/>
  <c r="O976" i="61" s="1"/>
  <c r="N976" i="61"/>
  <c r="M977" i="61"/>
  <c r="N977" i="61"/>
  <c r="M978" i="61"/>
  <c r="O978" i="61" s="1"/>
  <c r="N978" i="61"/>
  <c r="M979" i="61"/>
  <c r="N979" i="61"/>
  <c r="O979" i="61" s="1"/>
  <c r="M980" i="61"/>
  <c r="O980" i="61" s="1"/>
  <c r="N980" i="61"/>
  <c r="M981" i="61"/>
  <c r="O981" i="61" s="1"/>
  <c r="N981" i="61"/>
  <c r="M982" i="61"/>
  <c r="O982" i="61" s="1"/>
  <c r="N982" i="61"/>
  <c r="M983" i="61"/>
  <c r="N983" i="61"/>
  <c r="O983" i="61" s="1"/>
  <c r="M984" i="61"/>
  <c r="O984" i="61" s="1"/>
  <c r="N984" i="61"/>
  <c r="M985" i="61"/>
  <c r="N985" i="61"/>
  <c r="M986" i="61"/>
  <c r="N986" i="61"/>
  <c r="M987" i="61"/>
  <c r="N987" i="61"/>
  <c r="M988" i="61"/>
  <c r="O988" i="61" s="1"/>
  <c r="N988" i="61"/>
  <c r="M989" i="61"/>
  <c r="O989" i="61" s="1"/>
  <c r="N989" i="61"/>
  <c r="M990" i="61"/>
  <c r="O990" i="61" s="1"/>
  <c r="N990" i="61"/>
  <c r="M991" i="61"/>
  <c r="N991" i="61"/>
  <c r="M992" i="61"/>
  <c r="O992" i="61" s="1"/>
  <c r="N992" i="61"/>
  <c r="M993" i="61"/>
  <c r="N993" i="61"/>
  <c r="M994" i="61"/>
  <c r="O994" i="61" s="1"/>
  <c r="N994" i="61"/>
  <c r="M995" i="61"/>
  <c r="N995" i="61"/>
  <c r="O995" i="61" s="1"/>
  <c r="M996" i="61"/>
  <c r="O996" i="61" s="1"/>
  <c r="N996" i="61"/>
  <c r="M997" i="61"/>
  <c r="N997" i="61"/>
  <c r="M998" i="61"/>
  <c r="O998" i="61" s="1"/>
  <c r="N998" i="61"/>
  <c r="M999" i="61"/>
  <c r="N999" i="61"/>
  <c r="O999" i="61" s="1"/>
  <c r="M1000" i="61"/>
  <c r="O1000" i="61" s="1"/>
  <c r="N1000" i="61"/>
  <c r="M1001" i="61"/>
  <c r="N1001" i="61"/>
  <c r="N5" i="61"/>
  <c r="M5" i="61"/>
  <c r="O5" i="61" s="1"/>
  <c r="O991" i="61"/>
  <c r="O987" i="61"/>
  <c r="O986" i="61"/>
  <c r="O975" i="61"/>
  <c r="O972" i="61"/>
  <c r="O971" i="61"/>
  <c r="O967" i="61"/>
  <c r="O955" i="61"/>
  <c r="O951" i="61"/>
  <c r="O940" i="61"/>
  <c r="O931" i="61"/>
  <c r="O927" i="61"/>
  <c r="O926" i="61"/>
  <c r="O915" i="61"/>
  <c r="O911" i="61"/>
  <c r="O910" i="61"/>
  <c r="O907" i="61"/>
  <c r="O895" i="61"/>
  <c r="O891" i="61"/>
  <c r="O879" i="61"/>
  <c r="O876" i="61"/>
  <c r="O871" i="61"/>
  <c r="O867" i="61"/>
  <c r="O866" i="61"/>
  <c r="O855" i="61"/>
  <c r="O851" i="61"/>
  <c r="O850" i="61"/>
  <c r="O844" i="61"/>
  <c r="O835" i="61"/>
  <c r="O831" i="61"/>
  <c r="O819" i="61"/>
  <c r="O815" i="61"/>
  <c r="O811" i="61"/>
  <c r="O807" i="61"/>
  <c r="O806" i="61"/>
  <c r="O795" i="61"/>
  <c r="O791" i="61"/>
  <c r="O790" i="61"/>
  <c r="O780" i="61"/>
  <c r="O775" i="61"/>
  <c r="O771" i="61"/>
  <c r="O759" i="61"/>
  <c r="O755" i="61"/>
  <c r="O748" i="61"/>
  <c r="O747" i="61"/>
  <c r="O746" i="61"/>
  <c r="O735" i="61"/>
  <c r="O731" i="61"/>
  <c r="O730" i="61"/>
  <c r="O719" i="61"/>
  <c r="O716" i="61"/>
  <c r="O715" i="61"/>
  <c r="O711" i="61"/>
  <c r="O699" i="61"/>
  <c r="O695" i="61"/>
  <c r="O684" i="61"/>
  <c r="O675" i="61"/>
  <c r="O671" i="61"/>
  <c r="O670" i="61"/>
  <c r="O659" i="61"/>
  <c r="O655" i="61"/>
  <c r="O654" i="61"/>
  <c r="O652" i="61"/>
  <c r="O651" i="61"/>
  <c r="O639" i="61"/>
  <c r="O635" i="61"/>
  <c r="O623" i="61"/>
  <c r="O620" i="61"/>
  <c r="O615" i="61"/>
  <c r="O611" i="61"/>
  <c r="O610" i="61"/>
  <c r="O599" i="61"/>
  <c r="O595" i="61"/>
  <c r="O594" i="61"/>
  <c r="O588" i="61"/>
  <c r="O579" i="61"/>
  <c r="O575" i="61"/>
  <c r="O567" i="61"/>
  <c r="O563" i="61"/>
  <c r="O559" i="61"/>
  <c r="O556" i="61"/>
  <c r="O555" i="61"/>
  <c r="O551" i="61"/>
  <c r="O550" i="61"/>
  <c r="O539" i="61"/>
  <c r="O535" i="61"/>
  <c r="O534" i="61"/>
  <c r="O524" i="61"/>
  <c r="O523" i="61"/>
  <c r="O519" i="61"/>
  <c r="O516" i="61"/>
  <c r="O511" i="61"/>
  <c r="O507" i="61"/>
  <c r="O506" i="61"/>
  <c r="O495" i="61"/>
  <c r="O492" i="61"/>
  <c r="O491" i="61"/>
  <c r="O487" i="61"/>
  <c r="O484" i="61"/>
  <c r="O483" i="61"/>
  <c r="O479" i="61"/>
  <c r="O478" i="61"/>
  <c r="O467" i="61"/>
  <c r="O463" i="61"/>
  <c r="O462" i="61"/>
  <c r="O460" i="61"/>
  <c r="O459" i="61"/>
  <c r="O452" i="61"/>
  <c r="O451" i="61"/>
  <c r="O450" i="61"/>
  <c r="O444" i="61"/>
  <c r="O439" i="61"/>
  <c r="O436" i="61"/>
  <c r="O428" i="61"/>
  <c r="O427" i="61"/>
  <c r="O423" i="61"/>
  <c r="O420" i="61"/>
  <c r="O415" i="61"/>
  <c r="O412" i="61"/>
  <c r="O411" i="61"/>
  <c r="O407" i="61"/>
  <c r="O404" i="61"/>
  <c r="O403" i="61"/>
  <c r="O399" i="61"/>
  <c r="O398" i="61"/>
  <c r="O396" i="61"/>
  <c r="O395" i="61"/>
  <c r="O388" i="61"/>
  <c r="O387" i="61"/>
  <c r="O386" i="61"/>
  <c r="O380" i="61"/>
  <c r="O375" i="61"/>
  <c r="O372" i="61"/>
  <c r="O364" i="61"/>
  <c r="O363" i="61"/>
  <c r="O359" i="61"/>
  <c r="O356" i="61"/>
  <c r="O351" i="61"/>
  <c r="O348" i="61"/>
  <c r="O347" i="61"/>
  <c r="O343" i="61"/>
  <c r="O340" i="61"/>
  <c r="O339" i="61"/>
  <c r="O337" i="61"/>
  <c r="O335" i="61"/>
  <c r="O332" i="61"/>
  <c r="O327" i="61"/>
  <c r="O324" i="61"/>
  <c r="O323" i="61"/>
  <c r="O320" i="61"/>
  <c r="O316" i="61"/>
  <c r="O315" i="61"/>
  <c r="O312" i="61"/>
  <c r="O308" i="61"/>
  <c r="O304" i="61"/>
  <c r="O303" i="61"/>
  <c r="O302" i="61"/>
  <c r="O300" i="61"/>
  <c r="O299" i="61"/>
  <c r="O296" i="61"/>
  <c r="O295" i="61"/>
  <c r="O292" i="61"/>
  <c r="O291" i="61"/>
  <c r="O288" i="61"/>
  <c r="O284" i="61"/>
  <c r="O283" i="61"/>
  <c r="O280" i="61"/>
  <c r="O276" i="61"/>
  <c r="O272" i="61"/>
  <c r="O271" i="61"/>
  <c r="O270" i="61"/>
  <c r="O268" i="61"/>
  <c r="O267" i="61"/>
  <c r="O264" i="61"/>
  <c r="O263" i="61"/>
  <c r="O260" i="61"/>
  <c r="O259" i="61"/>
  <c r="O256" i="61"/>
  <c r="O252" i="61"/>
  <c r="O251" i="61"/>
  <c r="O248" i="61"/>
  <c r="O244" i="61"/>
  <c r="O240" i="61"/>
  <c r="O239" i="61"/>
  <c r="O238" i="61"/>
  <c r="O236" i="61"/>
  <c r="O235" i="61"/>
  <c r="O232" i="61"/>
  <c r="O231" i="61"/>
  <c r="O228" i="61"/>
  <c r="O227" i="61"/>
  <c r="O224" i="61"/>
  <c r="O220" i="61"/>
  <c r="O219" i="61"/>
  <c r="O216" i="61"/>
  <c r="O212" i="61"/>
  <c r="O208" i="61"/>
  <c r="O207" i="61"/>
  <c r="O206" i="61"/>
  <c r="O204" i="61"/>
  <c r="O203" i="61"/>
  <c r="O200" i="61"/>
  <c r="O199" i="61"/>
  <c r="O196" i="61"/>
  <c r="O195" i="61"/>
  <c r="O192" i="61"/>
  <c r="O188" i="61"/>
  <c r="O187" i="61"/>
  <c r="O184" i="61"/>
  <c r="O180" i="61"/>
  <c r="O176" i="61"/>
  <c r="O175" i="61"/>
  <c r="O174" i="61"/>
  <c r="O172" i="61"/>
  <c r="O171" i="61"/>
  <c r="O168" i="61"/>
  <c r="O167" i="61"/>
  <c r="O164" i="61"/>
  <c r="O163" i="61"/>
  <c r="O160" i="61"/>
  <c r="O156" i="61"/>
  <c r="O155" i="61"/>
  <c r="O152" i="61"/>
  <c r="O148" i="61"/>
  <c r="O144" i="61"/>
  <c r="O143" i="61"/>
  <c r="O142" i="61"/>
  <c r="O140" i="61"/>
  <c r="O139" i="61"/>
  <c r="O136" i="61"/>
  <c r="O135" i="61"/>
  <c r="O132" i="61"/>
  <c r="O131" i="61"/>
  <c r="O128" i="61"/>
  <c r="O124" i="61"/>
  <c r="O123" i="61"/>
  <c r="O120" i="61"/>
  <c r="O116" i="61"/>
  <c r="O112" i="61"/>
  <c r="O111" i="61"/>
  <c r="O110" i="61"/>
  <c r="O108" i="61"/>
  <c r="O107" i="61"/>
  <c r="O104" i="61"/>
  <c r="O103" i="61"/>
  <c r="O100" i="61"/>
  <c r="O99" i="61"/>
  <c r="O96" i="61"/>
  <c r="O92" i="61"/>
  <c r="O91" i="61"/>
  <c r="O88" i="61"/>
  <c r="O84" i="61"/>
  <c r="O80" i="61"/>
  <c r="O79" i="61"/>
  <c r="O78" i="61"/>
  <c r="O76" i="61"/>
  <c r="O75" i="61"/>
  <c r="O72" i="61"/>
  <c r="O71" i="61"/>
  <c r="O68" i="61"/>
  <c r="O67" i="61"/>
  <c r="O64" i="61"/>
  <c r="O60" i="61"/>
  <c r="O59" i="61"/>
  <c r="O56" i="61"/>
  <c r="O52" i="61"/>
  <c r="O48" i="61"/>
  <c r="O47" i="61"/>
  <c r="O46" i="61"/>
  <c r="O44" i="61"/>
  <c r="O43" i="61"/>
  <c r="O40" i="61"/>
  <c r="O39" i="61"/>
  <c r="O36" i="61"/>
  <c r="O35" i="61"/>
  <c r="O32" i="61"/>
  <c r="O28" i="61"/>
  <c r="O27" i="61"/>
  <c r="O24" i="61"/>
  <c r="O20" i="61"/>
  <c r="O16" i="61"/>
  <c r="O15" i="61"/>
  <c r="O14" i="61"/>
  <c r="O12" i="61"/>
  <c r="O11" i="61"/>
  <c r="O8" i="61"/>
  <c r="O7" i="61"/>
  <c r="C3" i="60"/>
  <c r="C145" i="58"/>
  <c r="C142" i="58"/>
  <c r="C138" i="58"/>
  <c r="C126" i="58"/>
  <c r="C125" i="58"/>
  <c r="C123" i="58"/>
  <c r="C120" i="58"/>
  <c r="C109" i="58"/>
  <c r="C106" i="58"/>
  <c r="C102" i="58"/>
  <c r="C90" i="58"/>
  <c r="C89" i="58"/>
  <c r="C87" i="58"/>
  <c r="C84" i="58"/>
  <c r="C4" i="59"/>
  <c r="C72" i="58"/>
  <c r="C69" i="58"/>
  <c r="C65" i="58"/>
  <c r="C53" i="58"/>
  <c r="C52" i="58"/>
  <c r="C50" i="58"/>
  <c r="C47" i="58"/>
  <c r="C36" i="58"/>
  <c r="C33" i="58"/>
  <c r="C29" i="58"/>
  <c r="C17" i="58"/>
  <c r="C16" i="58"/>
  <c r="C14" i="58"/>
  <c r="C11" i="58"/>
  <c r="C3" i="58"/>
  <c r="I1000" i="56"/>
  <c r="I999" i="56"/>
  <c r="I998" i="56"/>
  <c r="I997" i="56"/>
  <c r="I996" i="56"/>
  <c r="I995" i="56"/>
  <c r="I994" i="56"/>
  <c r="I993" i="56"/>
  <c r="I992" i="56"/>
  <c r="I991" i="56"/>
  <c r="I990" i="56"/>
  <c r="I989" i="56"/>
  <c r="I988" i="56"/>
  <c r="I987" i="56"/>
  <c r="I986" i="56"/>
  <c r="I985" i="56"/>
  <c r="I984" i="56"/>
  <c r="I983" i="56"/>
  <c r="I982" i="56"/>
  <c r="I981" i="56"/>
  <c r="I980" i="56"/>
  <c r="I979" i="56"/>
  <c r="I978" i="56"/>
  <c r="I977" i="56"/>
  <c r="I976" i="56"/>
  <c r="I975" i="56"/>
  <c r="I974" i="56"/>
  <c r="I973" i="56"/>
  <c r="I972" i="56"/>
  <c r="I971" i="56"/>
  <c r="I970" i="56"/>
  <c r="I969" i="56"/>
  <c r="I968" i="56"/>
  <c r="I967" i="56"/>
  <c r="I966" i="56"/>
  <c r="I965" i="56"/>
  <c r="I964" i="56"/>
  <c r="I963" i="56"/>
  <c r="I962" i="56"/>
  <c r="I961" i="56"/>
  <c r="I960" i="56"/>
  <c r="I959" i="56"/>
  <c r="I958" i="56"/>
  <c r="I957" i="56"/>
  <c r="I956" i="56"/>
  <c r="I955" i="56"/>
  <c r="I954" i="56"/>
  <c r="I953" i="56"/>
  <c r="I952" i="56"/>
  <c r="I951" i="56"/>
  <c r="I950" i="56"/>
  <c r="I949" i="56"/>
  <c r="I948" i="56"/>
  <c r="I947" i="56"/>
  <c r="I946" i="56"/>
  <c r="I945" i="56"/>
  <c r="I944" i="56"/>
  <c r="I943" i="56"/>
  <c r="I942" i="56"/>
  <c r="I941" i="56"/>
  <c r="I940" i="56"/>
  <c r="I939" i="56"/>
  <c r="I938" i="56"/>
  <c r="I937" i="56"/>
  <c r="I936" i="56"/>
  <c r="I935" i="56"/>
  <c r="I934" i="56"/>
  <c r="I933" i="56"/>
  <c r="I932" i="56"/>
  <c r="I931" i="56"/>
  <c r="I930" i="56"/>
  <c r="I929" i="56"/>
  <c r="I928" i="56"/>
  <c r="I927" i="56"/>
  <c r="I926" i="56"/>
  <c r="I925" i="56"/>
  <c r="I924" i="56"/>
  <c r="I923" i="56"/>
  <c r="I922" i="56"/>
  <c r="I921" i="56"/>
  <c r="I920" i="56"/>
  <c r="I919" i="56"/>
  <c r="I918" i="56"/>
  <c r="I917" i="56"/>
  <c r="I916" i="56"/>
  <c r="I915" i="56"/>
  <c r="I914" i="56"/>
  <c r="I913" i="56"/>
  <c r="I912" i="56"/>
  <c r="I911" i="56"/>
  <c r="I910" i="56"/>
  <c r="I909" i="56"/>
  <c r="I908" i="56"/>
  <c r="I907" i="56"/>
  <c r="I906" i="56"/>
  <c r="I905" i="56"/>
  <c r="I904" i="56"/>
  <c r="I903" i="56"/>
  <c r="I902" i="56"/>
  <c r="I901" i="56"/>
  <c r="I900" i="56"/>
  <c r="I899" i="56"/>
  <c r="I898" i="56"/>
  <c r="I897" i="56"/>
  <c r="I896" i="56"/>
  <c r="I895" i="56"/>
  <c r="I894" i="56"/>
  <c r="I893" i="56"/>
  <c r="I892" i="56"/>
  <c r="I891" i="56"/>
  <c r="I890" i="56"/>
  <c r="I889" i="56"/>
  <c r="I888" i="56"/>
  <c r="I887" i="56"/>
  <c r="I886" i="56"/>
  <c r="I885" i="56"/>
  <c r="I884" i="56"/>
  <c r="I883" i="56"/>
  <c r="I882" i="56"/>
  <c r="I881" i="56"/>
  <c r="I880" i="56"/>
  <c r="I879" i="56"/>
  <c r="I878" i="56"/>
  <c r="I877" i="56"/>
  <c r="I876" i="56"/>
  <c r="I875" i="56"/>
  <c r="I874" i="56"/>
  <c r="I873" i="56"/>
  <c r="I872" i="56"/>
  <c r="I871" i="56"/>
  <c r="I870" i="56"/>
  <c r="I869" i="56"/>
  <c r="I868" i="56"/>
  <c r="I867" i="56"/>
  <c r="I866" i="56"/>
  <c r="I865" i="56"/>
  <c r="I864" i="56"/>
  <c r="I863" i="56"/>
  <c r="I862" i="56"/>
  <c r="I861" i="56"/>
  <c r="I860" i="56"/>
  <c r="I859" i="56"/>
  <c r="I858" i="56"/>
  <c r="I857" i="56"/>
  <c r="I856" i="56"/>
  <c r="I855" i="56"/>
  <c r="I854" i="56"/>
  <c r="I853" i="56"/>
  <c r="I852" i="56"/>
  <c r="I851" i="56"/>
  <c r="I850" i="56"/>
  <c r="I849" i="56"/>
  <c r="I848" i="56"/>
  <c r="I847" i="56"/>
  <c r="I846" i="56"/>
  <c r="I845" i="56"/>
  <c r="I844" i="56"/>
  <c r="I843" i="56"/>
  <c r="I842" i="56"/>
  <c r="I841" i="56"/>
  <c r="I840" i="56"/>
  <c r="I839" i="56"/>
  <c r="I838" i="56"/>
  <c r="I837" i="56"/>
  <c r="I836" i="56"/>
  <c r="I835" i="56"/>
  <c r="I834" i="56"/>
  <c r="I833" i="56"/>
  <c r="I832" i="56"/>
  <c r="I831" i="56"/>
  <c r="I830" i="56"/>
  <c r="I829" i="56"/>
  <c r="I828" i="56"/>
  <c r="I827" i="56"/>
  <c r="I826" i="56"/>
  <c r="I825" i="56"/>
  <c r="I824" i="56"/>
  <c r="I823" i="56"/>
  <c r="I822" i="56"/>
  <c r="I821" i="56"/>
  <c r="I820" i="56"/>
  <c r="I819" i="56"/>
  <c r="I818" i="56"/>
  <c r="I817" i="56"/>
  <c r="I816" i="56"/>
  <c r="I815" i="56"/>
  <c r="I814" i="56"/>
  <c r="I813" i="56"/>
  <c r="I812" i="56"/>
  <c r="I811" i="56"/>
  <c r="I810" i="56"/>
  <c r="I809" i="56"/>
  <c r="I808" i="56"/>
  <c r="I807" i="56"/>
  <c r="I806" i="56"/>
  <c r="I805" i="56"/>
  <c r="I804" i="56"/>
  <c r="I803" i="56"/>
  <c r="I802" i="56"/>
  <c r="I801" i="56"/>
  <c r="I800" i="56"/>
  <c r="I799" i="56"/>
  <c r="I798" i="56"/>
  <c r="I797" i="56"/>
  <c r="I796" i="56"/>
  <c r="I795" i="56"/>
  <c r="I794" i="56"/>
  <c r="I793" i="56"/>
  <c r="I792" i="56"/>
  <c r="I791" i="56"/>
  <c r="I790" i="56"/>
  <c r="I789" i="56"/>
  <c r="I788" i="56"/>
  <c r="I787" i="56"/>
  <c r="I786" i="56"/>
  <c r="I785" i="56"/>
  <c r="I784" i="56"/>
  <c r="I783" i="56"/>
  <c r="I782" i="56"/>
  <c r="I781" i="56"/>
  <c r="I780" i="56"/>
  <c r="I779" i="56"/>
  <c r="I778" i="56"/>
  <c r="I777" i="56"/>
  <c r="I776" i="56"/>
  <c r="I775" i="56"/>
  <c r="I774" i="56"/>
  <c r="I773" i="56"/>
  <c r="I772" i="56"/>
  <c r="I771" i="56"/>
  <c r="I770" i="56"/>
  <c r="I769" i="56"/>
  <c r="I768" i="56"/>
  <c r="I767" i="56"/>
  <c r="I766" i="56"/>
  <c r="I765" i="56"/>
  <c r="I764" i="56"/>
  <c r="I763" i="56"/>
  <c r="I762" i="56"/>
  <c r="I761" i="56"/>
  <c r="I760" i="56"/>
  <c r="I759" i="56"/>
  <c r="I758" i="56"/>
  <c r="I757" i="56"/>
  <c r="I756" i="56"/>
  <c r="I755" i="56"/>
  <c r="I754" i="56"/>
  <c r="I753" i="56"/>
  <c r="I752" i="56"/>
  <c r="I751" i="56"/>
  <c r="I750" i="56"/>
  <c r="I749" i="56"/>
  <c r="I748" i="56"/>
  <c r="I747" i="56"/>
  <c r="I746" i="56"/>
  <c r="I745" i="56"/>
  <c r="I744" i="56"/>
  <c r="I743" i="56"/>
  <c r="I742" i="56"/>
  <c r="I741" i="56"/>
  <c r="I740" i="56"/>
  <c r="I739" i="56"/>
  <c r="I738" i="56"/>
  <c r="I737" i="56"/>
  <c r="I736" i="56"/>
  <c r="I735" i="56"/>
  <c r="I734" i="56"/>
  <c r="I733" i="56"/>
  <c r="I732" i="56"/>
  <c r="I731" i="56"/>
  <c r="I730" i="56"/>
  <c r="I729" i="56"/>
  <c r="I728" i="56"/>
  <c r="I727" i="56"/>
  <c r="I726" i="56"/>
  <c r="I725" i="56"/>
  <c r="I724" i="56"/>
  <c r="I723" i="56"/>
  <c r="I722" i="56"/>
  <c r="I721" i="56"/>
  <c r="I720" i="56"/>
  <c r="I719" i="56"/>
  <c r="I718" i="56"/>
  <c r="I717" i="56"/>
  <c r="I716" i="56"/>
  <c r="I715" i="56"/>
  <c r="I714" i="56"/>
  <c r="I713" i="56"/>
  <c r="I712" i="56"/>
  <c r="I711" i="56"/>
  <c r="I710" i="56"/>
  <c r="I709" i="56"/>
  <c r="I708" i="56"/>
  <c r="I707" i="56"/>
  <c r="I706" i="56"/>
  <c r="I705" i="56"/>
  <c r="I704" i="56"/>
  <c r="I703" i="56"/>
  <c r="I702" i="56"/>
  <c r="I701" i="56"/>
  <c r="I700" i="56"/>
  <c r="I699" i="56"/>
  <c r="I698" i="56"/>
  <c r="I697" i="56"/>
  <c r="I696" i="56"/>
  <c r="I695" i="56"/>
  <c r="I694" i="56"/>
  <c r="I693" i="56"/>
  <c r="I692" i="56"/>
  <c r="I691" i="56"/>
  <c r="I690" i="56"/>
  <c r="I689" i="56"/>
  <c r="I688" i="56"/>
  <c r="I687" i="56"/>
  <c r="I686" i="56"/>
  <c r="I685" i="56"/>
  <c r="I684" i="56"/>
  <c r="I683" i="56"/>
  <c r="I682" i="56"/>
  <c r="I681" i="56"/>
  <c r="I680" i="56"/>
  <c r="I679" i="56"/>
  <c r="I678" i="56"/>
  <c r="I677" i="56"/>
  <c r="I676" i="56"/>
  <c r="I675" i="56"/>
  <c r="I674" i="56"/>
  <c r="I673" i="56"/>
  <c r="I672" i="56"/>
  <c r="I671" i="56"/>
  <c r="I670" i="56"/>
  <c r="I669" i="56"/>
  <c r="I668" i="56"/>
  <c r="I667" i="56"/>
  <c r="I666" i="56"/>
  <c r="I665" i="56"/>
  <c r="I664" i="56"/>
  <c r="I663" i="56"/>
  <c r="I662" i="56"/>
  <c r="I661" i="56"/>
  <c r="I660" i="56"/>
  <c r="I659" i="56"/>
  <c r="I658" i="56"/>
  <c r="I657" i="56"/>
  <c r="I656" i="56"/>
  <c r="I655" i="56"/>
  <c r="I654" i="56"/>
  <c r="I653" i="56"/>
  <c r="I652" i="56"/>
  <c r="I651" i="56"/>
  <c r="I650" i="56"/>
  <c r="I649" i="56"/>
  <c r="I648" i="56"/>
  <c r="I647" i="56"/>
  <c r="I646" i="56"/>
  <c r="I645" i="56"/>
  <c r="I644" i="56"/>
  <c r="I643" i="56"/>
  <c r="I642" i="56"/>
  <c r="I641" i="56"/>
  <c r="I640" i="56"/>
  <c r="I639" i="56"/>
  <c r="I638" i="56"/>
  <c r="I637" i="56"/>
  <c r="I636" i="56"/>
  <c r="I635" i="56"/>
  <c r="I634" i="56"/>
  <c r="I633" i="56"/>
  <c r="I632" i="56"/>
  <c r="I631" i="56"/>
  <c r="I630" i="56"/>
  <c r="I629" i="56"/>
  <c r="I628" i="56"/>
  <c r="I627" i="56"/>
  <c r="I626" i="56"/>
  <c r="I625" i="56"/>
  <c r="I624" i="56"/>
  <c r="I623" i="56"/>
  <c r="I622" i="56"/>
  <c r="I621" i="56"/>
  <c r="I620" i="56"/>
  <c r="I619" i="56"/>
  <c r="I618" i="56"/>
  <c r="I617" i="56"/>
  <c r="I616" i="56"/>
  <c r="I615" i="56"/>
  <c r="I614" i="56"/>
  <c r="I613" i="56"/>
  <c r="I612" i="56"/>
  <c r="I611" i="56"/>
  <c r="I610" i="56"/>
  <c r="I609" i="56"/>
  <c r="I608" i="56"/>
  <c r="I607" i="56"/>
  <c r="I606" i="56"/>
  <c r="I605" i="56"/>
  <c r="I604" i="56"/>
  <c r="I603" i="56"/>
  <c r="I602" i="56"/>
  <c r="I601" i="56"/>
  <c r="I600" i="56"/>
  <c r="I599" i="56"/>
  <c r="I598" i="56"/>
  <c r="I597" i="56"/>
  <c r="I596" i="56"/>
  <c r="I595" i="56"/>
  <c r="I594" i="56"/>
  <c r="I593" i="56"/>
  <c r="I592" i="56"/>
  <c r="I591" i="56"/>
  <c r="I590" i="56"/>
  <c r="I589" i="56"/>
  <c r="I588" i="56"/>
  <c r="I587" i="56"/>
  <c r="I586" i="56"/>
  <c r="I585" i="56"/>
  <c r="I584" i="56"/>
  <c r="I583" i="56"/>
  <c r="I582" i="56"/>
  <c r="I581" i="56"/>
  <c r="I580" i="56"/>
  <c r="I579" i="56"/>
  <c r="I578" i="56"/>
  <c r="I577" i="56"/>
  <c r="I576" i="56"/>
  <c r="I575" i="56"/>
  <c r="I574" i="56"/>
  <c r="I573" i="56"/>
  <c r="I572" i="56"/>
  <c r="I571" i="56"/>
  <c r="I570" i="56"/>
  <c r="I569" i="56"/>
  <c r="I568" i="56"/>
  <c r="I567" i="56"/>
  <c r="I566" i="56"/>
  <c r="I565" i="56"/>
  <c r="I564" i="56"/>
  <c r="I563" i="56"/>
  <c r="I562" i="56"/>
  <c r="I561" i="56"/>
  <c r="I560" i="56"/>
  <c r="I559" i="56"/>
  <c r="I558" i="56"/>
  <c r="I557" i="56"/>
  <c r="I556" i="56"/>
  <c r="I555" i="56"/>
  <c r="I554" i="56"/>
  <c r="I553" i="56"/>
  <c r="I552" i="56"/>
  <c r="I551" i="56"/>
  <c r="I550" i="56"/>
  <c r="I549" i="56"/>
  <c r="I548" i="56"/>
  <c r="I547" i="56"/>
  <c r="I546" i="56"/>
  <c r="I545" i="56"/>
  <c r="I544" i="56"/>
  <c r="I543" i="56"/>
  <c r="I542" i="56"/>
  <c r="I541" i="56"/>
  <c r="I540" i="56"/>
  <c r="I539" i="56"/>
  <c r="I538" i="56"/>
  <c r="I537" i="56"/>
  <c r="I536" i="56"/>
  <c r="I535" i="56"/>
  <c r="I534" i="56"/>
  <c r="I533" i="56"/>
  <c r="I532" i="56"/>
  <c r="I531" i="56"/>
  <c r="I530" i="56"/>
  <c r="I529" i="56"/>
  <c r="I528" i="56"/>
  <c r="I527" i="56"/>
  <c r="I526" i="56"/>
  <c r="I525" i="56"/>
  <c r="I524" i="56"/>
  <c r="I523" i="56"/>
  <c r="I522" i="56"/>
  <c r="I521" i="56"/>
  <c r="I520" i="56"/>
  <c r="I519" i="56"/>
  <c r="I518" i="56"/>
  <c r="I517" i="56"/>
  <c r="I516" i="56"/>
  <c r="I515" i="56"/>
  <c r="I514" i="56"/>
  <c r="I513" i="56"/>
  <c r="I512" i="56"/>
  <c r="I511" i="56"/>
  <c r="I510" i="56"/>
  <c r="I509" i="56"/>
  <c r="I508" i="56"/>
  <c r="I507" i="56"/>
  <c r="I506" i="56"/>
  <c r="I505" i="56"/>
  <c r="I504" i="56"/>
  <c r="I503" i="56"/>
  <c r="I502" i="56"/>
  <c r="I501" i="56"/>
  <c r="I500" i="56"/>
  <c r="I499" i="56"/>
  <c r="I498" i="56"/>
  <c r="I497" i="56"/>
  <c r="I496" i="56"/>
  <c r="I495" i="56"/>
  <c r="I494" i="56"/>
  <c r="I493" i="56"/>
  <c r="I492" i="56"/>
  <c r="I491" i="56"/>
  <c r="I490" i="56"/>
  <c r="I489" i="56"/>
  <c r="I488" i="56"/>
  <c r="I487" i="56"/>
  <c r="I486" i="56"/>
  <c r="I485" i="56"/>
  <c r="I484" i="56"/>
  <c r="I483" i="56"/>
  <c r="I482" i="56"/>
  <c r="I481" i="56"/>
  <c r="I480" i="56"/>
  <c r="I479" i="56"/>
  <c r="I478" i="56"/>
  <c r="I477" i="56"/>
  <c r="I476" i="56"/>
  <c r="I475" i="56"/>
  <c r="I474" i="56"/>
  <c r="I473" i="56"/>
  <c r="I472" i="56"/>
  <c r="I471" i="56"/>
  <c r="I470" i="56"/>
  <c r="I469" i="56"/>
  <c r="I468" i="56"/>
  <c r="I467" i="56"/>
  <c r="I466" i="56"/>
  <c r="I465" i="56"/>
  <c r="I464" i="56"/>
  <c r="I463" i="56"/>
  <c r="I462" i="56"/>
  <c r="I461" i="56"/>
  <c r="I460" i="56"/>
  <c r="I459" i="56"/>
  <c r="I458" i="56"/>
  <c r="I457" i="56"/>
  <c r="I456" i="56"/>
  <c r="I455" i="56"/>
  <c r="I454" i="56"/>
  <c r="I453" i="56"/>
  <c r="I452" i="56"/>
  <c r="I451" i="56"/>
  <c r="I450" i="56"/>
  <c r="I449" i="56"/>
  <c r="I448" i="56"/>
  <c r="I447" i="56"/>
  <c r="I446" i="56"/>
  <c r="I445" i="56"/>
  <c r="I444" i="56"/>
  <c r="I443" i="56"/>
  <c r="I442" i="56"/>
  <c r="I441" i="56"/>
  <c r="I440" i="56"/>
  <c r="I439" i="56"/>
  <c r="I438" i="56"/>
  <c r="I437" i="56"/>
  <c r="I436" i="56"/>
  <c r="I435" i="56"/>
  <c r="I434" i="56"/>
  <c r="I433" i="56"/>
  <c r="I432" i="56"/>
  <c r="I431" i="56"/>
  <c r="I430" i="56"/>
  <c r="I429" i="56"/>
  <c r="I428" i="56"/>
  <c r="I427" i="56"/>
  <c r="I426" i="56"/>
  <c r="I425" i="56"/>
  <c r="I424" i="56"/>
  <c r="I423" i="56"/>
  <c r="I422" i="56"/>
  <c r="I421" i="56"/>
  <c r="I420" i="56"/>
  <c r="I419" i="56"/>
  <c r="I418" i="56"/>
  <c r="I417" i="56"/>
  <c r="I416" i="56"/>
  <c r="I415" i="56"/>
  <c r="I414" i="56"/>
  <c r="I413" i="56"/>
  <c r="I412" i="56"/>
  <c r="I411" i="56"/>
  <c r="I410" i="56"/>
  <c r="I409" i="56"/>
  <c r="I408" i="56"/>
  <c r="I407" i="56"/>
  <c r="I406" i="56"/>
  <c r="I405" i="56"/>
  <c r="I404" i="56"/>
  <c r="I403" i="56"/>
  <c r="I402" i="56"/>
  <c r="I401" i="56"/>
  <c r="I400" i="56"/>
  <c r="I399" i="56"/>
  <c r="I398" i="56"/>
  <c r="I397" i="56"/>
  <c r="I396" i="56"/>
  <c r="I395" i="56"/>
  <c r="I394" i="56"/>
  <c r="I393" i="56"/>
  <c r="I392" i="56"/>
  <c r="I391" i="56"/>
  <c r="I390" i="56"/>
  <c r="I389" i="56"/>
  <c r="I388" i="56"/>
  <c r="I387" i="56"/>
  <c r="I386" i="56"/>
  <c r="I385" i="56"/>
  <c r="I384" i="56"/>
  <c r="I383" i="56"/>
  <c r="I382" i="56"/>
  <c r="I381" i="56"/>
  <c r="I380" i="56"/>
  <c r="I379" i="56"/>
  <c r="I378" i="56"/>
  <c r="I377" i="56"/>
  <c r="I376" i="56"/>
  <c r="I375" i="56"/>
  <c r="I374" i="56"/>
  <c r="I373" i="56"/>
  <c r="I372" i="56"/>
  <c r="I371" i="56"/>
  <c r="I370" i="56"/>
  <c r="I369" i="56"/>
  <c r="I368" i="56"/>
  <c r="I367" i="56"/>
  <c r="I366" i="56"/>
  <c r="I365" i="56"/>
  <c r="I364" i="56"/>
  <c r="I363" i="56"/>
  <c r="I362" i="56"/>
  <c r="I361" i="56"/>
  <c r="I360" i="56"/>
  <c r="I359" i="56"/>
  <c r="I358" i="56"/>
  <c r="I357" i="56"/>
  <c r="I356" i="56"/>
  <c r="I355" i="56"/>
  <c r="I354" i="56"/>
  <c r="I353" i="56"/>
  <c r="I352" i="56"/>
  <c r="I351" i="56"/>
  <c r="I350" i="56"/>
  <c r="I349" i="56"/>
  <c r="I348" i="56"/>
  <c r="I347" i="56"/>
  <c r="I346" i="56"/>
  <c r="I345" i="56"/>
  <c r="I344" i="56"/>
  <c r="I343" i="56"/>
  <c r="I342" i="56"/>
  <c r="I341" i="56"/>
  <c r="I340" i="56"/>
  <c r="I339" i="56"/>
  <c r="I338" i="56"/>
  <c r="I337" i="56"/>
  <c r="I336" i="56"/>
  <c r="I335" i="56"/>
  <c r="I334" i="56"/>
  <c r="I333" i="56"/>
  <c r="I332" i="56"/>
  <c r="I331" i="56"/>
  <c r="I330" i="56"/>
  <c r="I329" i="56"/>
  <c r="I328" i="56"/>
  <c r="I327" i="56"/>
  <c r="I326" i="56"/>
  <c r="I325" i="56"/>
  <c r="I324" i="56"/>
  <c r="I323" i="56"/>
  <c r="I322" i="56"/>
  <c r="I321" i="56"/>
  <c r="I320" i="56"/>
  <c r="I319" i="56"/>
  <c r="I318" i="56"/>
  <c r="I317" i="56"/>
  <c r="I316" i="56"/>
  <c r="I315" i="56"/>
  <c r="I314" i="56"/>
  <c r="I313" i="56"/>
  <c r="I312" i="56"/>
  <c r="I311" i="56"/>
  <c r="I310" i="56"/>
  <c r="I309" i="56"/>
  <c r="I308" i="56"/>
  <c r="I307" i="56"/>
  <c r="I306" i="56"/>
  <c r="I305" i="56"/>
  <c r="I304" i="56"/>
  <c r="I303" i="56"/>
  <c r="I302" i="56"/>
  <c r="I301" i="56"/>
  <c r="I300" i="56"/>
  <c r="I299" i="56"/>
  <c r="I298" i="56"/>
  <c r="I297" i="56"/>
  <c r="I296" i="56"/>
  <c r="I295" i="56"/>
  <c r="I294" i="56"/>
  <c r="I293" i="56"/>
  <c r="I292" i="56"/>
  <c r="I291" i="56"/>
  <c r="I290" i="56"/>
  <c r="I289" i="56"/>
  <c r="I288" i="56"/>
  <c r="I287" i="56"/>
  <c r="I286" i="56"/>
  <c r="I285" i="56"/>
  <c r="I284" i="56"/>
  <c r="I283" i="56"/>
  <c r="I282" i="56"/>
  <c r="I281" i="56"/>
  <c r="I280" i="56"/>
  <c r="I279" i="56"/>
  <c r="I278" i="56"/>
  <c r="I277" i="56"/>
  <c r="I276" i="56"/>
  <c r="I275" i="56"/>
  <c r="I274" i="56"/>
  <c r="I273" i="56"/>
  <c r="I272" i="56"/>
  <c r="I271" i="56"/>
  <c r="I270" i="56"/>
  <c r="I269" i="56"/>
  <c r="I268" i="56"/>
  <c r="I267" i="56"/>
  <c r="I266" i="56"/>
  <c r="I265" i="56"/>
  <c r="I264" i="56"/>
  <c r="I263" i="56"/>
  <c r="I262" i="56"/>
  <c r="I261" i="56"/>
  <c r="I260" i="56"/>
  <c r="I259" i="56"/>
  <c r="I258" i="56"/>
  <c r="I257" i="56"/>
  <c r="I256" i="56"/>
  <c r="I255" i="56"/>
  <c r="I254" i="56"/>
  <c r="I253" i="56"/>
  <c r="I252" i="56"/>
  <c r="I251" i="56"/>
  <c r="I250" i="56"/>
  <c r="I249" i="56"/>
  <c r="I248" i="56"/>
  <c r="I247" i="56"/>
  <c r="I246" i="56"/>
  <c r="I245" i="56"/>
  <c r="I244" i="56"/>
  <c r="I243" i="56"/>
  <c r="I242" i="56"/>
  <c r="I241" i="56"/>
  <c r="I240" i="56"/>
  <c r="I239" i="56"/>
  <c r="I238" i="56"/>
  <c r="I237" i="56"/>
  <c r="I236" i="56"/>
  <c r="I235" i="56"/>
  <c r="I234" i="56"/>
  <c r="I233" i="56"/>
  <c r="I232" i="56"/>
  <c r="I231" i="56"/>
  <c r="I230" i="56"/>
  <c r="I229" i="56"/>
  <c r="I228" i="56"/>
  <c r="I227" i="56"/>
  <c r="I226" i="56"/>
  <c r="I225" i="56"/>
  <c r="I224" i="56"/>
  <c r="I223" i="56"/>
  <c r="I222" i="56"/>
  <c r="I221" i="56"/>
  <c r="I220" i="56"/>
  <c r="I219" i="56"/>
  <c r="I218" i="56"/>
  <c r="I217" i="56"/>
  <c r="I216" i="56"/>
  <c r="I215" i="56"/>
  <c r="I214" i="56"/>
  <c r="I213" i="56"/>
  <c r="I212" i="56"/>
  <c r="I211" i="56"/>
  <c r="I210" i="56"/>
  <c r="I209" i="56"/>
  <c r="I208" i="56"/>
  <c r="I207" i="56"/>
  <c r="I206" i="56"/>
  <c r="I205" i="56"/>
  <c r="I204" i="56"/>
  <c r="I203" i="56"/>
  <c r="I202" i="56"/>
  <c r="I201" i="56"/>
  <c r="I200" i="56"/>
  <c r="I199" i="56"/>
  <c r="I198" i="56"/>
  <c r="I197" i="56"/>
  <c r="I196" i="56"/>
  <c r="I195" i="56"/>
  <c r="I194" i="56"/>
  <c r="I193" i="56"/>
  <c r="I192" i="56"/>
  <c r="I191" i="56"/>
  <c r="I190" i="56"/>
  <c r="I189" i="56"/>
  <c r="I188" i="56"/>
  <c r="I187" i="56"/>
  <c r="I186" i="56"/>
  <c r="I185" i="56"/>
  <c r="I184" i="56"/>
  <c r="I183" i="56"/>
  <c r="I182" i="56"/>
  <c r="I181" i="56"/>
  <c r="I180" i="56"/>
  <c r="I179" i="56"/>
  <c r="I178" i="56"/>
  <c r="I177" i="56"/>
  <c r="I176" i="56"/>
  <c r="I175" i="56"/>
  <c r="I174" i="56"/>
  <c r="I173" i="56"/>
  <c r="I172" i="56"/>
  <c r="I171" i="56"/>
  <c r="I170" i="56"/>
  <c r="I169" i="56"/>
  <c r="I168" i="56"/>
  <c r="I167" i="56"/>
  <c r="I166" i="56"/>
  <c r="I165" i="56"/>
  <c r="I164" i="56"/>
  <c r="I163" i="56"/>
  <c r="I162" i="56"/>
  <c r="I161" i="56"/>
  <c r="I160" i="56"/>
  <c r="I159" i="56"/>
  <c r="I158" i="56"/>
  <c r="I157" i="56"/>
  <c r="I156" i="56"/>
  <c r="I155" i="56"/>
  <c r="I154" i="56"/>
  <c r="I153" i="56"/>
  <c r="I152" i="56"/>
  <c r="I151" i="56"/>
  <c r="I150" i="56"/>
  <c r="I149" i="56"/>
  <c r="I148" i="56"/>
  <c r="I147" i="56"/>
  <c r="I146" i="56"/>
  <c r="I145" i="56"/>
  <c r="I144" i="56"/>
  <c r="I143" i="56"/>
  <c r="I142" i="56"/>
  <c r="I141" i="56"/>
  <c r="I140" i="56"/>
  <c r="I139" i="56"/>
  <c r="I138" i="56"/>
  <c r="I137" i="56"/>
  <c r="I136" i="56"/>
  <c r="I135" i="56"/>
  <c r="I134" i="56"/>
  <c r="I133" i="56"/>
  <c r="I132" i="56"/>
  <c r="I131" i="56"/>
  <c r="I130" i="56"/>
  <c r="I129" i="56"/>
  <c r="I128" i="56"/>
  <c r="I127" i="56"/>
  <c r="I126" i="56"/>
  <c r="I125" i="56"/>
  <c r="I124" i="56"/>
  <c r="I123" i="56"/>
  <c r="I122" i="56"/>
  <c r="I121" i="56"/>
  <c r="I120" i="56"/>
  <c r="I119" i="56"/>
  <c r="I118" i="56"/>
  <c r="I117" i="56"/>
  <c r="I116" i="56"/>
  <c r="I115" i="56"/>
  <c r="I114" i="56"/>
  <c r="I113" i="56"/>
  <c r="I112" i="56"/>
  <c r="I111" i="56"/>
  <c r="I110" i="56"/>
  <c r="I109" i="56"/>
  <c r="I108" i="56"/>
  <c r="I107" i="56"/>
  <c r="I106" i="56"/>
  <c r="I105" i="56"/>
  <c r="I104" i="56"/>
  <c r="I103" i="56"/>
  <c r="I102" i="56"/>
  <c r="I101" i="56"/>
  <c r="I100" i="56"/>
  <c r="I99" i="56"/>
  <c r="I98" i="56"/>
  <c r="I97" i="56"/>
  <c r="I96" i="56"/>
  <c r="I95" i="56"/>
  <c r="I94" i="56"/>
  <c r="I93" i="56"/>
  <c r="I92" i="56"/>
  <c r="I91" i="56"/>
  <c r="I90" i="56"/>
  <c r="I89" i="56"/>
  <c r="I88" i="56"/>
  <c r="I87" i="56"/>
  <c r="I86" i="56"/>
  <c r="I85" i="56"/>
  <c r="I84" i="56"/>
  <c r="I83" i="56"/>
  <c r="I82" i="56"/>
  <c r="I81" i="56"/>
  <c r="I80" i="56"/>
  <c r="I79" i="56"/>
  <c r="I78" i="56"/>
  <c r="I77" i="56"/>
  <c r="I76" i="56"/>
  <c r="I75" i="56"/>
  <c r="I74" i="56"/>
  <c r="I73" i="56"/>
  <c r="I72" i="56"/>
  <c r="I71" i="56"/>
  <c r="I70" i="56"/>
  <c r="I69" i="56"/>
  <c r="I68" i="56"/>
  <c r="I67" i="56"/>
  <c r="I66" i="56"/>
  <c r="I65" i="56"/>
  <c r="E105" i="54" s="1"/>
  <c r="I64" i="56"/>
  <c r="I63" i="56"/>
  <c r="I62" i="56"/>
  <c r="I61" i="56"/>
  <c r="I60" i="56"/>
  <c r="I59" i="56"/>
  <c r="I58" i="56"/>
  <c r="I57" i="56"/>
  <c r="I56" i="56"/>
  <c r="I55" i="56"/>
  <c r="I54" i="56"/>
  <c r="I53" i="56"/>
  <c r="I52" i="56"/>
  <c r="I51" i="56"/>
  <c r="I50" i="56"/>
  <c r="I49" i="56"/>
  <c r="I48" i="56"/>
  <c r="I47" i="56"/>
  <c r="I46" i="56"/>
  <c r="I45" i="56"/>
  <c r="I44" i="56"/>
  <c r="I43" i="56"/>
  <c r="I42" i="56"/>
  <c r="I41" i="56"/>
  <c r="I40" i="56"/>
  <c r="I39" i="56"/>
  <c r="I38" i="56"/>
  <c r="I37" i="56"/>
  <c r="I36" i="56"/>
  <c r="I35" i="56"/>
  <c r="I34" i="56"/>
  <c r="I33" i="56"/>
  <c r="I32" i="56"/>
  <c r="I31" i="56"/>
  <c r="I30" i="56"/>
  <c r="I29" i="56"/>
  <c r="I28" i="56"/>
  <c r="I27" i="56"/>
  <c r="I26" i="56"/>
  <c r="I25" i="56"/>
  <c r="I24" i="56"/>
  <c r="I23" i="56"/>
  <c r="I22" i="56"/>
  <c r="I21" i="56"/>
  <c r="I20" i="56"/>
  <c r="I19" i="56"/>
  <c r="I18" i="56"/>
  <c r="I17" i="56"/>
  <c r="I16" i="56"/>
  <c r="I15" i="56"/>
  <c r="I14" i="56"/>
  <c r="I13" i="56"/>
  <c r="I12" i="56"/>
  <c r="I11" i="56"/>
  <c r="I10" i="56"/>
  <c r="I9" i="56"/>
  <c r="I8" i="56"/>
  <c r="I7" i="56"/>
  <c r="I6" i="56"/>
  <c r="I5" i="56"/>
  <c r="I4" i="56"/>
  <c r="E89" i="54" l="1"/>
  <c r="D57" i="54"/>
  <c r="D89" i="54"/>
  <c r="E52" i="48"/>
  <c r="E38" i="48"/>
  <c r="D52" i="48"/>
  <c r="D38" i="48"/>
  <c r="J505" i="34"/>
  <c r="J488" i="34"/>
  <c r="J515" i="34"/>
  <c r="J489" i="34"/>
  <c r="J503" i="34"/>
  <c r="J486" i="34"/>
  <c r="J517" i="34"/>
  <c r="J495" i="34"/>
  <c r="J509" i="34"/>
  <c r="J491" i="34"/>
  <c r="J487" i="34"/>
  <c r="J500" i="34"/>
  <c r="J513" i="34"/>
  <c r="J496" i="34"/>
  <c r="J492" i="34"/>
  <c r="J494" i="34"/>
  <c r="D78" i="16"/>
  <c r="J498" i="34"/>
  <c r="D81" i="16"/>
  <c r="J507" i="34"/>
  <c r="J499" i="34"/>
  <c r="D130" i="16"/>
  <c r="D93" i="16"/>
  <c r="J497" i="34"/>
  <c r="J501" i="34"/>
  <c r="J490" i="34"/>
  <c r="J493" i="34"/>
  <c r="D142" i="16"/>
  <c r="D127" i="16"/>
  <c r="I486" i="34"/>
  <c r="I515" i="34"/>
  <c r="I507" i="34"/>
  <c r="I511" i="34"/>
  <c r="I500" i="34"/>
  <c r="I499" i="34"/>
  <c r="I498" i="34"/>
  <c r="I503" i="34"/>
  <c r="I517" i="34"/>
  <c r="I492" i="34"/>
  <c r="I491" i="34"/>
  <c r="I513" i="34"/>
  <c r="I495" i="34"/>
  <c r="I509" i="34"/>
  <c r="I505" i="34"/>
  <c r="I496" i="34"/>
  <c r="I487" i="34"/>
  <c r="J511" i="34"/>
  <c r="I497" i="34"/>
  <c r="I488" i="34"/>
  <c r="I493" i="34"/>
  <c r="E78" i="16"/>
  <c r="D90" i="16"/>
  <c r="E127" i="16"/>
  <c r="I490" i="34"/>
  <c r="E130" i="16"/>
  <c r="E93" i="16"/>
  <c r="I494" i="34"/>
  <c r="E90" i="16"/>
  <c r="D139" i="16"/>
  <c r="E81" i="16"/>
  <c r="I489" i="34"/>
  <c r="E142" i="16"/>
  <c r="I501" i="34"/>
  <c r="E139" i="16"/>
  <c r="O1001" i="61"/>
  <c r="O997" i="61"/>
  <c r="O973" i="61"/>
  <c r="O965" i="61"/>
  <c r="O941" i="61"/>
  <c r="O933" i="61"/>
  <c r="O925" i="61"/>
  <c r="O917" i="61"/>
  <c r="O909" i="61"/>
  <c r="O901" i="61"/>
  <c r="O893" i="61"/>
  <c r="O885" i="61"/>
  <c r="O877" i="61"/>
  <c r="O869" i="61"/>
  <c r="O861" i="61"/>
  <c r="O853" i="61"/>
  <c r="O845" i="61"/>
  <c r="O837" i="61"/>
  <c r="O829" i="61"/>
  <c r="O821" i="61"/>
  <c r="O813" i="61"/>
  <c r="O805" i="61"/>
  <c r="O797" i="61"/>
  <c r="O789" i="61"/>
  <c r="O781" i="61"/>
  <c r="O773" i="61"/>
  <c r="O765" i="61"/>
  <c r="O757" i="61"/>
  <c r="O749" i="61"/>
  <c r="O741" i="61"/>
  <c r="O733" i="61"/>
  <c r="O729" i="61"/>
  <c r="O725" i="61"/>
  <c r="O721" i="61"/>
  <c r="O717" i="61"/>
  <c r="O713" i="61"/>
  <c r="O709" i="61"/>
  <c r="O705" i="61"/>
  <c r="O701" i="61"/>
  <c r="O697" i="61"/>
  <c r="O693" i="61"/>
  <c r="O689" i="61"/>
  <c r="O685" i="61"/>
  <c r="O681" i="61"/>
  <c r="O677" i="61"/>
  <c r="O673" i="61"/>
  <c r="O669" i="61"/>
  <c r="O665" i="61"/>
  <c r="O661" i="61"/>
  <c r="O657" i="61"/>
  <c r="O653" i="61"/>
  <c r="O649" i="61"/>
  <c r="O645" i="61"/>
  <c r="O641" i="61"/>
  <c r="O637" i="61"/>
  <c r="O633" i="61"/>
  <c r="O629" i="61"/>
  <c r="O625" i="61"/>
  <c r="O621" i="61"/>
  <c r="O617" i="61"/>
  <c r="O613" i="61"/>
  <c r="O609" i="61"/>
  <c r="O605" i="61"/>
  <c r="O601" i="61"/>
  <c r="O597" i="61"/>
  <c r="O593" i="61"/>
  <c r="O589" i="61"/>
  <c r="O585" i="61"/>
  <c r="O581" i="61"/>
  <c r="O577" i="61"/>
  <c r="O573" i="61"/>
  <c r="O569" i="61"/>
  <c r="O565" i="61"/>
  <c r="O561" i="61"/>
  <c r="O557" i="61"/>
  <c r="O553" i="61"/>
  <c r="O549" i="61"/>
  <c r="O545" i="61"/>
  <c r="O541" i="61"/>
  <c r="O537" i="61"/>
  <c r="O533" i="61"/>
  <c r="O529" i="61"/>
  <c r="O525" i="61"/>
  <c r="O521" i="61"/>
  <c r="O517" i="61"/>
  <c r="O513" i="61"/>
  <c r="O509" i="61"/>
  <c r="O505" i="61"/>
  <c r="O501" i="61"/>
  <c r="O497" i="61"/>
  <c r="O493" i="61"/>
  <c r="O489" i="61"/>
  <c r="O485" i="61"/>
  <c r="O481" i="61"/>
  <c r="O477" i="61"/>
  <c r="O473" i="61"/>
  <c r="O469" i="61"/>
  <c r="O465" i="61"/>
  <c r="O461" i="61"/>
  <c r="O457" i="61"/>
  <c r="O453" i="61"/>
  <c r="O449" i="61"/>
  <c r="O445" i="61"/>
  <c r="O441" i="61"/>
  <c r="O437" i="61"/>
  <c r="O433" i="61"/>
  <c r="O429" i="61"/>
  <c r="O425" i="61"/>
  <c r="O421" i="61"/>
  <c r="O417" i="61"/>
  <c r="O413" i="61"/>
  <c r="O409" i="61"/>
  <c r="O405" i="61"/>
  <c r="O401" i="61"/>
  <c r="O397" i="61"/>
  <c r="O393" i="61"/>
  <c r="O389" i="61"/>
  <c r="O385" i="61"/>
  <c r="O381" i="61"/>
  <c r="O377" i="61"/>
  <c r="O373" i="61"/>
  <c r="O369" i="61"/>
  <c r="O365" i="61"/>
  <c r="O361" i="61"/>
  <c r="O357" i="61"/>
  <c r="O353" i="61"/>
  <c r="O349" i="61"/>
  <c r="O345" i="61"/>
  <c r="O341" i="61"/>
  <c r="O333" i="61"/>
  <c r="O329" i="61"/>
  <c r="O325" i="61"/>
  <c r="O321" i="61"/>
  <c r="O317" i="61"/>
  <c r="O313" i="61"/>
  <c r="O309" i="61"/>
  <c r="O305" i="61"/>
  <c r="O301" i="61"/>
  <c r="O297" i="61"/>
  <c r="O293" i="61"/>
  <c r="O289" i="61"/>
  <c r="O285" i="61"/>
  <c r="O281" i="61"/>
  <c r="O277" i="61"/>
  <c r="O273" i="61"/>
  <c r="O269" i="61"/>
  <c r="O265" i="61"/>
  <c r="O261" i="61"/>
  <c r="O257" i="61"/>
  <c r="O253" i="61"/>
  <c r="O249" i="61"/>
  <c r="O245" i="61"/>
  <c r="O241" i="61"/>
  <c r="O237" i="61"/>
  <c r="O233" i="61"/>
  <c r="O229" i="61"/>
  <c r="O225" i="61"/>
  <c r="O221" i="61"/>
  <c r="O217" i="61"/>
  <c r="O213" i="61"/>
  <c r="O209" i="61"/>
  <c r="O205" i="61"/>
  <c r="O201" i="61"/>
  <c r="O197" i="61"/>
  <c r="O193" i="61"/>
  <c r="O189" i="61"/>
  <c r="O185" i="61"/>
  <c r="O181" i="61"/>
  <c r="O177" i="61"/>
  <c r="O173" i="61"/>
  <c r="O169" i="61"/>
  <c r="O165" i="61"/>
  <c r="O161" i="61"/>
  <c r="O157" i="61"/>
  <c r="O153" i="61"/>
  <c r="O149" i="61"/>
  <c r="O145" i="61"/>
  <c r="O141" i="61"/>
  <c r="O137" i="61"/>
  <c r="O133" i="61"/>
  <c r="O129" i="61"/>
  <c r="O125" i="61"/>
  <c r="O121" i="61"/>
  <c r="O117" i="61"/>
  <c r="O113" i="61"/>
  <c r="O109" i="61"/>
  <c r="O105" i="61"/>
  <c r="O101" i="61"/>
  <c r="O97" i="61"/>
  <c r="O93" i="61"/>
  <c r="O89" i="61"/>
  <c r="O85" i="61"/>
  <c r="O81" i="61"/>
  <c r="O77" i="61"/>
  <c r="O73" i="61"/>
  <c r="O69" i="61"/>
  <c r="O65" i="61"/>
  <c r="O61" i="61"/>
  <c r="O57" i="61"/>
  <c r="O53" i="61"/>
  <c r="O49" i="61"/>
  <c r="O45" i="61"/>
  <c r="O41" i="61"/>
  <c r="O37" i="61"/>
  <c r="O33" i="61"/>
  <c r="O29" i="61"/>
  <c r="O25" i="61"/>
  <c r="O21" i="61"/>
  <c r="O17" i="61"/>
  <c r="O13" i="61"/>
  <c r="O9" i="61"/>
  <c r="J523" i="34"/>
  <c r="D236" i="16"/>
  <c r="J522" i="34"/>
  <c r="D225" i="16"/>
  <c r="D232" i="16" s="1"/>
  <c r="D237" i="16"/>
  <c r="D244" i="16" s="1"/>
  <c r="D224" i="16"/>
  <c r="I522" i="34"/>
  <c r="E224" i="16"/>
  <c r="E225" i="16"/>
  <c r="E232" i="16" s="1"/>
  <c r="E237" i="16"/>
  <c r="E244" i="16" s="1"/>
  <c r="I523" i="34"/>
  <c r="E236" i="16"/>
  <c r="R997" i="61"/>
  <c r="R993" i="61"/>
  <c r="R989" i="61"/>
  <c r="R985" i="61"/>
  <c r="R981" i="61"/>
  <c r="R977" i="61"/>
  <c r="R973" i="61"/>
  <c r="R969" i="61"/>
  <c r="R965" i="61"/>
  <c r="R961" i="61"/>
  <c r="R957" i="61"/>
  <c r="R953" i="61"/>
  <c r="R949" i="61"/>
  <c r="R945" i="61"/>
  <c r="R941" i="61"/>
  <c r="R937" i="61"/>
  <c r="R933" i="61"/>
  <c r="R929" i="61"/>
  <c r="R925" i="61"/>
  <c r="R921" i="61"/>
  <c r="R917" i="61"/>
  <c r="R913" i="61"/>
  <c r="R909" i="61"/>
  <c r="R905" i="61"/>
  <c r="R901" i="61"/>
  <c r="R897" i="61"/>
  <c r="R893" i="61"/>
  <c r="R889" i="61"/>
  <c r="R885" i="61"/>
  <c r="R881" i="61"/>
  <c r="R877" i="61"/>
  <c r="R873" i="61"/>
  <c r="R869" i="61"/>
  <c r="R865" i="61"/>
  <c r="R861" i="61"/>
  <c r="R853" i="61"/>
  <c r="R845" i="61"/>
  <c r="R841" i="61"/>
  <c r="R837" i="61"/>
  <c r="R833" i="61"/>
  <c r="R829" i="61"/>
  <c r="R825" i="61"/>
  <c r="R817" i="61"/>
  <c r="R809" i="61"/>
  <c r="R805" i="61"/>
  <c r="R801" i="61"/>
  <c r="R797" i="61"/>
  <c r="R793" i="61"/>
  <c r="R789" i="61"/>
  <c r="R785" i="61"/>
  <c r="R781" i="61"/>
  <c r="R777" i="61"/>
  <c r="R773" i="61"/>
  <c r="R765" i="61"/>
  <c r="R757" i="61"/>
  <c r="R753" i="61"/>
  <c r="R749" i="61"/>
  <c r="R745" i="61"/>
  <c r="R741" i="61"/>
  <c r="R737" i="61"/>
  <c r="R733" i="61"/>
  <c r="R729" i="61"/>
  <c r="R725" i="61"/>
  <c r="R721" i="61"/>
  <c r="R713" i="61"/>
  <c r="R709" i="61"/>
  <c r="R705" i="61"/>
  <c r="R701" i="61"/>
  <c r="R697" i="61"/>
  <c r="R693" i="61"/>
  <c r="R689" i="61"/>
  <c r="R685" i="61"/>
  <c r="R681" i="61"/>
  <c r="R677" i="61"/>
  <c r="R673" i="61"/>
  <c r="R669" i="61"/>
  <c r="R665" i="61"/>
  <c r="R661" i="61"/>
  <c r="R657" i="61"/>
  <c r="R653" i="61"/>
  <c r="R649" i="61"/>
  <c r="R645" i="61"/>
  <c r="R641" i="61"/>
  <c r="R637" i="61"/>
  <c r="R633" i="61"/>
  <c r="R629" i="61"/>
  <c r="R625" i="61"/>
  <c r="R621" i="61"/>
  <c r="R617" i="61"/>
  <c r="R613" i="61"/>
  <c r="R609" i="61"/>
  <c r="R605" i="61"/>
  <c r="R601" i="61"/>
  <c r="R597" i="61"/>
  <c r="R593" i="61"/>
  <c r="R589" i="61"/>
  <c r="R585" i="61"/>
  <c r="R581" i="61"/>
  <c r="R577" i="61"/>
  <c r="R573" i="61"/>
  <c r="R569" i="61"/>
  <c r="R565" i="61"/>
  <c r="R561" i="61"/>
  <c r="R557" i="61"/>
  <c r="R553" i="61"/>
  <c r="R549" i="61"/>
  <c r="R545" i="61"/>
  <c r="R541" i="61"/>
  <c r="R537" i="61"/>
  <c r="R533" i="61"/>
  <c r="R529" i="61"/>
  <c r="R525" i="61"/>
  <c r="R521" i="61"/>
  <c r="R517" i="61"/>
  <c r="R513" i="61"/>
  <c r="R509" i="61"/>
  <c r="R505" i="61"/>
  <c r="R501" i="61"/>
  <c r="R497" i="61"/>
  <c r="R493" i="61"/>
  <c r="R489" i="61"/>
  <c r="R485" i="61"/>
  <c r="R481" i="61"/>
  <c r="R477" i="61"/>
  <c r="R473" i="61"/>
  <c r="R469" i="61"/>
  <c r="R465" i="61"/>
  <c r="R461" i="61"/>
  <c r="R457" i="61"/>
  <c r="R453" i="61"/>
  <c r="R449" i="61"/>
  <c r="R445" i="61"/>
  <c r="R441" i="61"/>
  <c r="R437" i="61"/>
  <c r="R433" i="61"/>
  <c r="R429" i="61"/>
  <c r="R425" i="61"/>
  <c r="R421" i="61"/>
  <c r="R417" i="61"/>
  <c r="R413" i="61"/>
  <c r="R409" i="61"/>
  <c r="R405" i="61"/>
  <c r="R397" i="61"/>
  <c r="R389" i="61"/>
  <c r="R385" i="61"/>
  <c r="R381" i="61"/>
  <c r="R377" i="61"/>
  <c r="R373" i="61"/>
  <c r="R369" i="61"/>
  <c r="R365" i="61"/>
  <c r="R361" i="61"/>
  <c r="R357" i="61"/>
  <c r="R353" i="61"/>
  <c r="R345" i="61"/>
  <c r="R341" i="61"/>
  <c r="R337" i="61"/>
  <c r="R333" i="61"/>
  <c r="R329" i="61"/>
  <c r="R325" i="61"/>
  <c r="R321" i="61"/>
  <c r="R317" i="61"/>
  <c r="R313" i="61"/>
  <c r="R309" i="61"/>
  <c r="R305" i="61"/>
  <c r="R301" i="61"/>
  <c r="R297" i="61"/>
  <c r="R293" i="61"/>
  <c r="R289" i="61"/>
  <c r="R285" i="61"/>
  <c r="R281" i="61"/>
  <c r="R277" i="61"/>
  <c r="R273" i="61"/>
  <c r="R269" i="61"/>
  <c r="R265" i="61"/>
  <c r="R261" i="61"/>
  <c r="R257" i="61"/>
  <c r="R253" i="61"/>
  <c r="R249" i="61"/>
  <c r="R245" i="61"/>
  <c r="R241" i="61"/>
  <c r="R237" i="61"/>
  <c r="R233" i="61"/>
  <c r="R229" i="61"/>
  <c r="R225" i="61"/>
  <c r="R221" i="61"/>
  <c r="R217" i="61"/>
  <c r="R213" i="61"/>
  <c r="R209" i="61"/>
  <c r="R205" i="61"/>
  <c r="R201" i="61"/>
  <c r="R197" i="61"/>
  <c r="R193" i="61"/>
  <c r="R189" i="61"/>
  <c r="R185" i="61"/>
  <c r="R181" i="61"/>
  <c r="R177" i="61"/>
  <c r="R173" i="61"/>
  <c r="R169" i="61"/>
  <c r="R165" i="61"/>
  <c r="R161" i="61"/>
  <c r="R157" i="61"/>
  <c r="R153" i="61"/>
  <c r="R149" i="61"/>
  <c r="R145" i="61"/>
  <c r="R141" i="61"/>
  <c r="R137" i="61"/>
  <c r="R133" i="61"/>
  <c r="R129" i="61"/>
  <c r="R125" i="61"/>
  <c r="R121" i="61"/>
  <c r="R117" i="61"/>
  <c r="R113" i="61"/>
  <c r="R109" i="61"/>
  <c r="R105" i="61"/>
  <c r="R101" i="61"/>
  <c r="R97" i="61"/>
  <c r="R93" i="61"/>
  <c r="R89" i="61"/>
  <c r="R85" i="61"/>
  <c r="R81" i="61"/>
  <c r="R77" i="61"/>
  <c r="R73" i="61"/>
  <c r="R69" i="61"/>
  <c r="R65" i="61"/>
  <c r="R61" i="61"/>
  <c r="R57" i="61"/>
  <c r="R53" i="61"/>
  <c r="R49" i="61"/>
  <c r="R45" i="61"/>
  <c r="R41" i="61"/>
  <c r="R37" i="61"/>
  <c r="R33" i="61"/>
  <c r="R29" i="61"/>
  <c r="R25" i="61"/>
  <c r="R21" i="61"/>
  <c r="R17" i="61"/>
  <c r="R13" i="61"/>
  <c r="R9" i="61"/>
  <c r="C149" i="58"/>
  <c r="C35" i="60"/>
  <c r="C69" i="60"/>
  <c r="C70" i="60"/>
  <c r="C72" i="60"/>
  <c r="C45" i="60"/>
  <c r="C73" i="60"/>
  <c r="C46" i="60"/>
  <c r="C48" i="60"/>
  <c r="C36" i="60"/>
  <c r="C49" i="60"/>
  <c r="C57" i="60"/>
  <c r="C58" i="60"/>
  <c r="C60" i="60"/>
  <c r="C61" i="60"/>
  <c r="C32" i="60"/>
  <c r="C33" i="60"/>
  <c r="C8" i="60"/>
  <c r="C24" i="60"/>
  <c r="C23" i="60"/>
  <c r="C12" i="60"/>
  <c r="C11" i="60"/>
  <c r="C20" i="60"/>
  <c r="C9" i="60"/>
  <c r="C21" i="60"/>
  <c r="R367" i="61"/>
  <c r="R415" i="61"/>
  <c r="R791" i="61"/>
  <c r="R823" i="61"/>
  <c r="R799" i="61"/>
  <c r="R831" i="61"/>
  <c r="R335" i="61"/>
  <c r="R391" i="61"/>
  <c r="R711" i="61"/>
  <c r="R743" i="61"/>
  <c r="R775" i="61"/>
  <c r="R807" i="61"/>
  <c r="R839" i="61"/>
  <c r="R343" i="61"/>
  <c r="R439" i="61"/>
  <c r="R719" i="61"/>
  <c r="R351" i="61"/>
  <c r="R407" i="61"/>
  <c r="R863" i="61"/>
  <c r="R879" i="61"/>
  <c r="R927" i="61"/>
  <c r="R359" i="61"/>
  <c r="R727" i="61"/>
  <c r="R759" i="61"/>
  <c r="R847" i="61"/>
  <c r="O993" i="61"/>
  <c r="O985" i="61"/>
  <c r="O977" i="61"/>
  <c r="O969" i="61"/>
  <c r="O961" i="61"/>
  <c r="O953" i="61"/>
  <c r="O945" i="61"/>
  <c r="O937" i="61"/>
  <c r="O929" i="61"/>
  <c r="O921" i="61"/>
  <c r="O913" i="61"/>
  <c r="O905" i="61"/>
  <c r="O897" i="61"/>
  <c r="O889" i="61"/>
  <c r="O881" i="61"/>
  <c r="O873" i="61"/>
  <c r="O865" i="61"/>
  <c r="O857" i="61"/>
  <c r="O849" i="61"/>
  <c r="O841" i="61"/>
  <c r="O833" i="61"/>
  <c r="O825" i="61"/>
  <c r="O817" i="61"/>
  <c r="O809" i="61"/>
  <c r="O801" i="61"/>
  <c r="O793" i="61"/>
  <c r="O785" i="61"/>
  <c r="O777" i="61"/>
  <c r="O769" i="61"/>
  <c r="O761" i="61"/>
  <c r="O753" i="61"/>
  <c r="O745" i="61"/>
  <c r="O737" i="61"/>
  <c r="C127" i="58"/>
  <c r="C91" i="58"/>
  <c r="C113" i="58"/>
  <c r="C18" i="58"/>
  <c r="C40" i="58"/>
  <c r="C76" i="58"/>
  <c r="C54" i="58"/>
  <c r="D146" i="16" l="1"/>
  <c r="D85" i="16"/>
  <c r="D97" i="16"/>
  <c r="E134" i="16"/>
  <c r="E97" i="16"/>
  <c r="E238" i="16"/>
  <c r="E243" i="16"/>
  <c r="E245" i="16" s="1"/>
  <c r="D231" i="16"/>
  <c r="D233" i="16" s="1"/>
  <c r="D226" i="16"/>
  <c r="E146" i="16"/>
  <c r="D238" i="16"/>
  <c r="D243" i="16"/>
  <c r="D245" i="16" s="1"/>
  <c r="E85" i="16"/>
  <c r="D134" i="16"/>
  <c r="E231" i="16"/>
  <c r="E233" i="16" s="1"/>
  <c r="E226" i="16"/>
  <c r="C71" i="60"/>
  <c r="C53" i="60"/>
  <c r="C16" i="60"/>
  <c r="C50" i="60"/>
  <c r="C65" i="60"/>
  <c r="C74" i="60"/>
  <c r="C47" i="60"/>
  <c r="C59" i="60"/>
  <c r="C77" i="60"/>
  <c r="C15" i="60"/>
  <c r="C62" i="60"/>
  <c r="C52" i="60"/>
  <c r="C10" i="60"/>
  <c r="C25" i="60"/>
  <c r="C40" i="60"/>
  <c r="C13" i="60"/>
  <c r="C28" i="60"/>
  <c r="C84" i="60" s="1"/>
  <c r="C22" i="60"/>
  <c r="C17" i="60" l="1"/>
  <c r="C54" i="60"/>
  <c r="C27" i="13" l="1"/>
  <c r="C53" i="13" s="1"/>
  <c r="C54" i="13" s="1" a="1"/>
  <c r="C442" i="13"/>
  <c r="C441" i="13"/>
  <c r="C435" i="13"/>
  <c r="C434" i="13"/>
  <c r="C428" i="13"/>
  <c r="C427" i="13"/>
  <c r="C421" i="13"/>
  <c r="C420" i="13"/>
  <c r="B408" i="13"/>
  <c r="B407" i="13"/>
  <c r="B406" i="13"/>
  <c r="B405" i="13"/>
  <c r="B404" i="13"/>
  <c r="B403" i="13"/>
  <c r="B402" i="13"/>
  <c r="B374" i="13"/>
  <c r="B373" i="13"/>
  <c r="B372" i="13"/>
  <c r="B371" i="13"/>
  <c r="B370" i="13"/>
  <c r="B369" i="13"/>
  <c r="B368" i="13"/>
  <c r="B340" i="13"/>
  <c r="B339" i="13"/>
  <c r="B338" i="13"/>
  <c r="B337" i="13"/>
  <c r="B336" i="13"/>
  <c r="B335" i="13"/>
  <c r="B334" i="13"/>
  <c r="B306" i="13"/>
  <c r="B305" i="13"/>
  <c r="B304" i="13"/>
  <c r="B303" i="13"/>
  <c r="B302" i="13"/>
  <c r="B301" i="13"/>
  <c r="B300" i="13"/>
  <c r="B282" i="13"/>
  <c r="C297" i="13"/>
  <c r="B388" i="13"/>
  <c r="B387" i="13"/>
  <c r="B386" i="13"/>
  <c r="B385" i="13"/>
  <c r="B384" i="13"/>
  <c r="C382" i="13"/>
  <c r="B354" i="13"/>
  <c r="B353" i="13"/>
  <c r="B352" i="13"/>
  <c r="B351" i="13"/>
  <c r="B350" i="13"/>
  <c r="C348" i="13"/>
  <c r="B320" i="13"/>
  <c r="B319" i="13"/>
  <c r="B318" i="13"/>
  <c r="B317" i="13"/>
  <c r="B316" i="13"/>
  <c r="C314" i="13"/>
  <c r="C258" i="13"/>
  <c r="C237" i="13"/>
  <c r="C216" i="13"/>
  <c r="C280" i="13"/>
  <c r="B285" i="13"/>
  <c r="B286" i="13"/>
  <c r="B284" i="13"/>
  <c r="B283" i="13"/>
  <c r="C263" i="13"/>
  <c r="C249" i="13"/>
  <c r="C242" i="13"/>
  <c r="C228" i="13"/>
  <c r="C221" i="13"/>
  <c r="C207" i="13"/>
  <c r="C19" i="13"/>
  <c r="C418" i="13" s="1"/>
  <c r="C45" i="13"/>
  <c r="C425" i="13" s="1"/>
  <c r="C200" i="13"/>
  <c r="C195" i="13"/>
  <c r="M12" i="20"/>
  <c r="L12" i="20"/>
  <c r="K12" i="20"/>
  <c r="J12" i="20"/>
  <c r="C180" i="13"/>
  <c r="C181" i="13" s="1"/>
  <c r="C321" i="13" s="1"/>
  <c r="C158" i="13"/>
  <c r="C169" i="13" s="1"/>
  <c r="C155" i="13"/>
  <c r="C166" i="13" s="1"/>
  <c r="C142" i="13"/>
  <c r="C146" i="13" s="1"/>
  <c r="C148" i="13" s="1"/>
  <c r="C131" i="13"/>
  <c r="C135" i="13" s="1"/>
  <c r="C137" i="13" s="1"/>
  <c r="C101" i="13"/>
  <c r="C102" i="13" s="1"/>
  <c r="C103" i="13" s="1"/>
  <c r="C75" i="13"/>
  <c r="C76" i="13" s="1"/>
  <c r="C77" i="13" s="1"/>
  <c r="C49" i="13"/>
  <c r="C50" i="13" s="1"/>
  <c r="C51" i="13" s="1"/>
  <c r="C28" i="13" a="1"/>
  <c r="C23" i="13"/>
  <c r="C24" i="13" s="1"/>
  <c r="C25" i="13" s="1"/>
  <c r="C60" i="13"/>
  <c r="C59" i="13"/>
  <c r="C85" i="13" s="1"/>
  <c r="C35" i="13"/>
  <c r="C10" i="13" a="1"/>
  <c r="L13" i="20" l="1"/>
  <c r="J557" i="34"/>
  <c r="J533" i="34"/>
  <c r="I557" i="34"/>
  <c r="I533" i="34"/>
  <c r="H557" i="34"/>
  <c r="H533" i="34"/>
  <c r="K13" i="20"/>
  <c r="J555" i="34"/>
  <c r="J531" i="34"/>
  <c r="I555" i="34"/>
  <c r="I531" i="34"/>
  <c r="H555" i="34"/>
  <c r="H531" i="34"/>
  <c r="M13" i="20"/>
  <c r="J559" i="34"/>
  <c r="J535" i="34"/>
  <c r="I559" i="34"/>
  <c r="I535" i="34"/>
  <c r="H559" i="34"/>
  <c r="H535" i="34"/>
  <c r="J13" i="20"/>
  <c r="J553" i="34"/>
  <c r="J529" i="34"/>
  <c r="I553" i="34"/>
  <c r="I529" i="34"/>
  <c r="H553" i="34"/>
  <c r="H529" i="34"/>
  <c r="C218" i="13"/>
  <c r="C450" i="13" s="1"/>
  <c r="C223" i="13"/>
  <c r="C227" i="13"/>
  <c r="C234" i="13" s="1"/>
  <c r="C225" i="13"/>
  <c r="C455" i="13"/>
  <c r="C447" i="13"/>
  <c r="C451" i="13"/>
  <c r="C459" i="13"/>
  <c r="C422" i="13"/>
  <c r="C429" i="13"/>
  <c r="C301" i="13"/>
  <c r="C303" i="13"/>
  <c r="C304" i="13"/>
  <c r="C300" i="13"/>
  <c r="C306" i="13"/>
  <c r="C298" i="13"/>
  <c r="C197" i="13"/>
  <c r="C446" i="13" s="1"/>
  <c r="C254" i="13"/>
  <c r="C275" i="13"/>
  <c r="C212" i="13"/>
  <c r="C230" i="13"/>
  <c r="C233" i="13"/>
  <c r="C86" i="13"/>
  <c r="C97" i="13" s="1"/>
  <c r="C439" i="13" s="1"/>
  <c r="C443" i="13" s="1"/>
  <c r="C71" i="13"/>
  <c r="C432" i="13" s="1"/>
  <c r="C436" i="13" s="1"/>
  <c r="C175" i="13"/>
  <c r="C176" i="13" s="1"/>
  <c r="C287" i="13" s="1"/>
  <c r="C79" i="13"/>
  <c r="C29" i="13"/>
  <c r="C61" i="13"/>
  <c r="C36" i="13" a="1"/>
  <c r="C11" i="13" s="1"/>
  <c r="J561" i="34" l="1"/>
  <c r="J537" i="34"/>
  <c r="I561" i="34"/>
  <c r="I537" i="34"/>
  <c r="H561" i="34"/>
  <c r="H537" i="34"/>
  <c r="J563" i="34"/>
  <c r="J539" i="34"/>
  <c r="I563" i="34"/>
  <c r="I539" i="34"/>
  <c r="H563" i="34"/>
  <c r="H539" i="34"/>
  <c r="J567" i="34"/>
  <c r="J543" i="34"/>
  <c r="I567" i="34"/>
  <c r="I543" i="34"/>
  <c r="H567" i="34"/>
  <c r="H543" i="34"/>
  <c r="J565" i="34"/>
  <c r="J541" i="34"/>
  <c r="I565" i="34"/>
  <c r="I541" i="34"/>
  <c r="H565" i="34"/>
  <c r="H541" i="34"/>
  <c r="C452" i="13"/>
  <c r="C448" i="13"/>
  <c r="C206" i="13"/>
  <c r="C213" i="13" s="1"/>
  <c r="C204" i="13"/>
  <c r="C202" i="13"/>
  <c r="C12" i="13" a="1"/>
  <c r="C38" i="13" s="1"/>
  <c r="C302" i="13"/>
  <c r="C305" i="13"/>
  <c r="C308" i="13" s="1"/>
  <c r="C209" i="13"/>
  <c r="C55" i="13"/>
  <c r="C56" i="13" s="1" a="1"/>
  <c r="C80" i="13" a="1"/>
  <c r="C105" i="13"/>
  <c r="C106" i="13" s="1" a="1"/>
  <c r="C30" i="13" a="1"/>
  <c r="C62" i="13" a="1"/>
  <c r="C87" i="13"/>
  <c r="C88" i="13" s="1" a="1"/>
  <c r="C37" i="13" l="1"/>
  <c r="C307" i="13"/>
  <c r="C310" i="13"/>
  <c r="C311" i="13" s="1"/>
  <c r="C81" i="13"/>
  <c r="C107" i="13" s="1"/>
  <c r="C108" i="13" s="1" a="1"/>
  <c r="C63" i="13" l="1"/>
  <c r="C64" i="13" s="1" a="1"/>
  <c r="C82" i="13" a="1"/>
  <c r="C89" i="13" l="1"/>
  <c r="C90" i="13" s="1" a="1"/>
  <c r="A3" i="6" l="1"/>
  <c r="B1013" i="56" l="1"/>
  <c r="B1012" i="56"/>
  <c r="B1011" i="56"/>
  <c r="B1010" i="56"/>
  <c r="B1007" i="56"/>
  <c r="B1006" i="56"/>
  <c r="B1005" i="56"/>
  <c r="B1004" i="56"/>
  <c r="I1013" i="56"/>
  <c r="I1012" i="56"/>
  <c r="I1011" i="56"/>
  <c r="I1010" i="56"/>
  <c r="I1007" i="56"/>
  <c r="I1006" i="56"/>
  <c r="I1005" i="56"/>
  <c r="I1004" i="56"/>
  <c r="I1002" i="56"/>
  <c r="I1014" i="56" l="1"/>
  <c r="I1008" i="56"/>
  <c r="I1003" i="56" l="1"/>
  <c r="C70" i="48"/>
  <c r="C34" i="48"/>
  <c r="E36" i="21" l="1"/>
  <c r="C28" i="48"/>
  <c r="C29" i="48" s="1"/>
  <c r="C21" i="48"/>
  <c r="C22" i="48" s="1"/>
  <c r="C168" i="41"/>
  <c r="F32" i="21" l="1"/>
  <c r="F7" i="21" s="1"/>
  <c r="G32" i="21"/>
  <c r="G7" i="21" s="1"/>
  <c r="G30" i="21"/>
  <c r="F30" i="21"/>
  <c r="G31" i="21"/>
  <c r="F31" i="21"/>
  <c r="C32" i="48"/>
  <c r="C31" i="48"/>
  <c r="F29" i="21" l="1"/>
  <c r="F15" i="21" s="1"/>
  <c r="F67" i="21"/>
  <c r="G29" i="21"/>
  <c r="G15" i="21" s="1"/>
  <c r="E73" i="21"/>
  <c r="C135" i="48"/>
  <c r="E182" i="41"/>
  <c r="E181" i="41"/>
  <c r="E180" i="41"/>
  <c r="E179" i="41"/>
  <c r="C103" i="41"/>
  <c r="C102" i="41"/>
  <c r="C101" i="41"/>
  <c r="C100" i="41"/>
  <c r="E99" i="41"/>
  <c r="E49" i="41"/>
  <c r="C53" i="41"/>
  <c r="C52" i="41"/>
  <c r="C51" i="41"/>
  <c r="C50" i="41"/>
  <c r="G69" i="21" l="1"/>
  <c r="G44" i="21" s="1"/>
  <c r="G68" i="21"/>
  <c r="F69" i="21"/>
  <c r="F44" i="21" s="1"/>
  <c r="G67" i="21"/>
  <c r="F68" i="21"/>
  <c r="F66" i="21" s="1"/>
  <c r="F52" i="21" s="1"/>
  <c r="E70" i="21"/>
  <c r="E175" i="41"/>
  <c r="C99" i="41"/>
  <c r="C49" i="41"/>
  <c r="G104" i="21" l="1"/>
  <c r="F104" i="21"/>
  <c r="G66" i="21"/>
  <c r="G52" i="21" s="1"/>
  <c r="E176" i="41"/>
  <c r="E174" i="41"/>
  <c r="E173" i="41"/>
  <c r="E172" i="41"/>
  <c r="E164" i="41"/>
  <c r="E162" i="41"/>
  <c r="E158" i="41"/>
  <c r="G106" i="21" l="1"/>
  <c r="G81" i="21" s="1"/>
  <c r="F105" i="21"/>
  <c r="F103" i="21" s="1"/>
  <c r="F89" i="21" s="1"/>
  <c r="G105" i="21"/>
  <c r="G103" i="21" s="1"/>
  <c r="G89" i="21" s="1"/>
  <c r="F106" i="21"/>
  <c r="F81" i="21" s="1"/>
  <c r="G141" i="21"/>
  <c r="C15" i="47"/>
  <c r="C20" i="47" s="1"/>
  <c r="C9" i="47"/>
  <c r="C19" i="47" s="1"/>
  <c r="C21" i="47" s="1"/>
  <c r="C13" i="13" s="1"/>
  <c r="F141" i="21" l="1"/>
  <c r="G142" i="21"/>
  <c r="G140" i="21" s="1"/>
  <c r="G126" i="21" s="1"/>
  <c r="C39" i="13"/>
  <c r="C14" i="13" a="1"/>
  <c r="C17" i="13"/>
  <c r="C21" i="13" s="1"/>
  <c r="G143" i="21" l="1"/>
  <c r="G118" i="21" s="1"/>
  <c r="F142" i="21"/>
  <c r="F140" i="21" s="1"/>
  <c r="F126" i="21" s="1"/>
  <c r="F143" i="21"/>
  <c r="F118" i="21" s="1"/>
  <c r="C419" i="13"/>
  <c r="C423" i="13" s="1"/>
  <c r="C112" i="13"/>
  <c r="C40" i="13" a="1"/>
  <c r="C15" i="13" s="1"/>
  <c r="C65" i="13"/>
  <c r="C43" i="13"/>
  <c r="C47" i="13" s="1"/>
  <c r="C41" i="13" l="1"/>
  <c r="C16" i="13" a="1"/>
  <c r="C42" i="13" s="1"/>
  <c r="C426" i="13"/>
  <c r="C430" i="13" s="1"/>
  <c r="C116" i="13"/>
  <c r="C91" i="13"/>
  <c r="C66" i="13" a="1"/>
  <c r="C69" i="13"/>
  <c r="C73" i="13" s="1"/>
  <c r="C130" i="41"/>
  <c r="C153" i="41"/>
  <c r="E144" i="41"/>
  <c r="E143" i="41"/>
  <c r="E142" i="41"/>
  <c r="E141" i="41"/>
  <c r="F153" i="41" l="1"/>
  <c r="F147" i="41" s="1"/>
  <c r="F194" i="41" s="1"/>
  <c r="G153" i="41"/>
  <c r="G147" i="41" s="1"/>
  <c r="G194" i="41" s="1"/>
  <c r="E137" i="41"/>
  <c r="C92" i="13" a="1"/>
  <c r="C95" i="13"/>
  <c r="C99" i="13" s="1"/>
  <c r="C120" i="13"/>
  <c r="C433" i="13"/>
  <c r="C437" i="13" s="1"/>
  <c r="C67" i="13"/>
  <c r="C129" i="41"/>
  <c r="C167" i="41"/>
  <c r="E115" i="41"/>
  <c r="E153" i="41"/>
  <c r="E116" i="41"/>
  <c r="E154" i="41"/>
  <c r="E140" i="41"/>
  <c r="C141" i="41"/>
  <c r="C142" i="41"/>
  <c r="C143" i="41"/>
  <c r="C144" i="41"/>
  <c r="C93" i="13" l="1"/>
  <c r="C94" i="13" s="1" a="1"/>
  <c r="C68" i="13" a="1"/>
  <c r="C440" i="13"/>
  <c r="C444" i="13" s="1"/>
  <c r="C124" i="13"/>
  <c r="C140" i="41"/>
  <c r="C96" i="41" l="1"/>
  <c r="C95" i="41"/>
  <c r="C94" i="41"/>
  <c r="C93" i="41"/>
  <c r="E92" i="41"/>
  <c r="E38" i="21" l="1"/>
  <c r="E37" i="21"/>
  <c r="C92" i="41"/>
  <c r="E33" i="21" l="1"/>
  <c r="E42" i="41"/>
  <c r="C46" i="41"/>
  <c r="C45" i="41"/>
  <c r="C44" i="41"/>
  <c r="C43" i="41"/>
  <c r="E126" i="41"/>
  <c r="E124" i="41"/>
  <c r="E120" i="41"/>
  <c r="E138" i="41"/>
  <c r="E136" i="41"/>
  <c r="E135" i="41"/>
  <c r="E134" i="41"/>
  <c r="C120" i="41" l="1"/>
  <c r="C126" i="41"/>
  <c r="C135" i="41"/>
  <c r="C134" i="41"/>
  <c r="E133" i="41"/>
  <c r="E111" i="41"/>
  <c r="C111" i="41" s="1"/>
  <c r="C136" i="41"/>
  <c r="E112" i="41"/>
  <c r="C112" i="41" s="1"/>
  <c r="C138" i="41"/>
  <c r="C124" i="41"/>
  <c r="C42" i="41"/>
  <c r="C122" i="41" l="1"/>
  <c r="C133" i="41"/>
  <c r="E119" i="41"/>
  <c r="C119" i="41" l="1"/>
  <c r="E109" i="41"/>
  <c r="C109" i="41" s="1"/>
  <c r="E118" i="41"/>
  <c r="E114" i="41" l="1"/>
  <c r="C114" i="41" s="1"/>
  <c r="C118" i="41"/>
  <c r="C78" i="41"/>
  <c r="C76" i="41"/>
  <c r="C72" i="41"/>
  <c r="C28" i="41"/>
  <c r="C26" i="41"/>
  <c r="C22" i="41"/>
  <c r="E30" i="21" l="1"/>
  <c r="E142" i="21"/>
  <c r="E68" i="21"/>
  <c r="E106" i="21"/>
  <c r="E31" i="21"/>
  <c r="E141" i="21"/>
  <c r="E69" i="21"/>
  <c r="E143" i="21"/>
  <c r="E32" i="21"/>
  <c r="E67" i="21"/>
  <c r="E105" i="21"/>
  <c r="E104" i="21"/>
  <c r="E18" i="41"/>
  <c r="E17" i="41"/>
  <c r="E67" i="41"/>
  <c r="E68" i="41"/>
  <c r="C24" i="41" l="1"/>
  <c r="C74" i="41"/>
  <c r="B1" i="40" l="1"/>
  <c r="C158" i="41" l="1"/>
  <c r="F34" i="63" l="1"/>
  <c r="F8" i="63" s="1"/>
  <c r="F39" i="67" s="1"/>
  <c r="D213" i="19" s="1"/>
  <c r="D215" i="19" s="1"/>
  <c r="G34" i="63"/>
  <c r="G8" i="63" s="1"/>
  <c r="G39" i="67" s="1"/>
  <c r="E213" i="19" s="1"/>
  <c r="E215" i="19" s="1"/>
  <c r="C162" i="41"/>
  <c r="E34" i="63" l="1"/>
  <c r="G145" i="63"/>
  <c r="G119" i="63" s="1"/>
  <c r="G39" i="70" s="1"/>
  <c r="E1077" i="19" s="1"/>
  <c r="E1079" i="19" s="1"/>
  <c r="G71" i="63"/>
  <c r="G45" i="63" s="1"/>
  <c r="G39" i="68" s="1"/>
  <c r="E501" i="19" s="1"/>
  <c r="E503" i="19" s="1"/>
  <c r="G108" i="63"/>
  <c r="G82" i="63" s="1"/>
  <c r="G39" i="69" s="1"/>
  <c r="E789" i="19" s="1"/>
  <c r="E791" i="19" s="1"/>
  <c r="F71" i="63"/>
  <c r="F45" i="63" s="1"/>
  <c r="F39" i="68" s="1"/>
  <c r="D501" i="19" s="1"/>
  <c r="D503" i="19" s="1"/>
  <c r="F145" i="63"/>
  <c r="F119" i="63" s="1"/>
  <c r="F39" i="70" s="1"/>
  <c r="D1077" i="19" s="1"/>
  <c r="D1079" i="19" s="1"/>
  <c r="F108" i="63"/>
  <c r="F82" i="63" s="1"/>
  <c r="F39" i="69" s="1"/>
  <c r="D789" i="19" s="1"/>
  <c r="D791" i="19" s="1"/>
  <c r="C164" i="41"/>
  <c r="C160" i="41"/>
  <c r="E71" i="63" l="1"/>
  <c r="E145" i="63"/>
  <c r="E108" i="63"/>
  <c r="C301" i="16"/>
  <c r="C302" i="16"/>
  <c r="G12" i="20" l="1"/>
  <c r="F12" i="20"/>
  <c r="E12" i="20"/>
  <c r="D12" i="20"/>
  <c r="J578" i="34" l="1"/>
  <c r="J594" i="34"/>
  <c r="I594" i="34"/>
  <c r="I578" i="34"/>
  <c r="H594" i="34"/>
  <c r="H578" i="34"/>
  <c r="F39" i="62"/>
  <c r="J591" i="34"/>
  <c r="J575" i="34"/>
  <c r="I591" i="34"/>
  <c r="I575" i="34"/>
  <c r="H591" i="34"/>
  <c r="H575" i="34"/>
  <c r="E39" i="62"/>
  <c r="G13" i="20"/>
  <c r="E13" i="20"/>
  <c r="D13" i="20"/>
  <c r="F13" i="20"/>
  <c r="F89" i="62" s="1"/>
  <c r="C75" i="26"/>
  <c r="F97" i="62" l="1"/>
  <c r="F62" i="62"/>
  <c r="F195" i="62" s="1"/>
  <c r="F198" i="62" s="1"/>
  <c r="D529" i="16" s="1"/>
  <c r="E12" i="62"/>
  <c r="C39" i="62"/>
  <c r="E89" i="41"/>
  <c r="E97" i="41" s="1"/>
  <c r="G39" i="62"/>
  <c r="G89" i="41"/>
  <c r="F39" i="41"/>
  <c r="F89" i="41"/>
  <c r="J600" i="34"/>
  <c r="J584" i="34"/>
  <c r="I600" i="34"/>
  <c r="I584" i="34"/>
  <c r="H584" i="34"/>
  <c r="H600" i="34"/>
  <c r="F47" i="62"/>
  <c r="F12" i="62"/>
  <c r="F188" i="62" s="1"/>
  <c r="F191" i="62" s="1"/>
  <c r="D524" i="16" s="1"/>
  <c r="J597" i="34"/>
  <c r="J581" i="34"/>
  <c r="I597" i="34"/>
  <c r="I581" i="34"/>
  <c r="H597" i="34"/>
  <c r="H581" i="34"/>
  <c r="E89" i="62"/>
  <c r="G89" i="62"/>
  <c r="E39" i="41"/>
  <c r="E47" i="41" s="1"/>
  <c r="G39" i="41"/>
  <c r="E47" i="62"/>
  <c r="E110" i="41"/>
  <c r="C193" i="19"/>
  <c r="C290" i="19" s="1"/>
  <c r="C177" i="19"/>
  <c r="F34" i="21" l="1"/>
  <c r="F8" i="21" s="1"/>
  <c r="G34" i="21"/>
  <c r="G8" i="21" s="1"/>
  <c r="G97" i="41"/>
  <c r="G62" i="41"/>
  <c r="G195" i="41" s="1"/>
  <c r="G198" i="41" s="1"/>
  <c r="G47" i="62"/>
  <c r="G12" i="62"/>
  <c r="G188" i="62" s="1"/>
  <c r="G191" i="62" s="1"/>
  <c r="E524" i="16" s="1"/>
  <c r="G97" i="62"/>
  <c r="G62" i="62"/>
  <c r="G195" i="62" s="1"/>
  <c r="G198" i="62" s="1"/>
  <c r="E529" i="16" s="1"/>
  <c r="E62" i="62"/>
  <c r="C89" i="62"/>
  <c r="F47" i="41"/>
  <c r="F12" i="41"/>
  <c r="F188" i="41" s="1"/>
  <c r="F191" i="41" s="1"/>
  <c r="E97" i="62"/>
  <c r="G47" i="41"/>
  <c r="G12" i="41"/>
  <c r="G188" i="41" s="1"/>
  <c r="G191" i="41" s="1"/>
  <c r="C12" i="62"/>
  <c r="E188" i="62"/>
  <c r="F97" i="41"/>
  <c r="F62" i="41"/>
  <c r="F195" i="41" s="1"/>
  <c r="F198" i="41" s="1"/>
  <c r="C137" i="41"/>
  <c r="C110" i="41"/>
  <c r="E34" i="21" l="1"/>
  <c r="C188" i="62"/>
  <c r="C191" i="62" s="1"/>
  <c r="E191" i="62"/>
  <c r="C62" i="62"/>
  <c r="E195" i="62"/>
  <c r="C120" i="19"/>
  <c r="C195" i="62" l="1"/>
  <c r="C198" i="62" s="1"/>
  <c r="E198" i="62"/>
  <c r="E48" i="21"/>
  <c r="E49" i="21"/>
  <c r="E11" i="21"/>
  <c r="E12" i="21"/>
  <c r="C314" i="16" l="1"/>
  <c r="C47" i="15" l="1"/>
  <c r="C35" i="15"/>
  <c r="C33" i="15" l="1"/>
  <c r="C45" i="15"/>
  <c r="C97" i="15" l="1"/>
  <c r="C42" i="15"/>
  <c r="C48" i="15"/>
  <c r="C49" i="15" s="1"/>
  <c r="C30" i="15"/>
  <c r="C36" i="15"/>
  <c r="C37" i="15" s="1"/>
  <c r="C85" i="15"/>
  <c r="C27" i="16"/>
  <c r="C15" i="16"/>
  <c r="C313" i="16"/>
  <c r="C315" i="16" s="1"/>
  <c r="C308" i="16"/>
  <c r="C311" i="16"/>
  <c r="C21" i="16"/>
  <c r="C26" i="16"/>
  <c r="C24" i="16"/>
  <c r="C28" i="16" l="1"/>
  <c r="C299" i="16" l="1"/>
  <c r="C12" i="16"/>
  <c r="C91" i="15"/>
  <c r="C96" i="15"/>
  <c r="C98" i="15" s="1"/>
  <c r="C296" i="16"/>
  <c r="C303" i="16"/>
  <c r="C82" i="15"/>
  <c r="C14" i="16"/>
  <c r="C16" i="16" s="1"/>
  <c r="C9" i="16"/>
  <c r="C79" i="15"/>
  <c r="C84" i="15"/>
  <c r="C86" i="15" s="1"/>
  <c r="C94" i="15"/>
  <c r="C37" i="41" l="1"/>
  <c r="C87" i="41"/>
  <c r="C36" i="41" l="1"/>
  <c r="E35" i="41"/>
  <c r="E14" i="41"/>
  <c r="C40" i="41"/>
  <c r="E62" i="41"/>
  <c r="C89" i="41"/>
  <c r="E64" i="41"/>
  <c r="C90" i="41"/>
  <c r="E85" i="41"/>
  <c r="C86" i="41"/>
  <c r="E63" i="41"/>
  <c r="C88" i="41"/>
  <c r="E12" i="41"/>
  <c r="C39" i="41"/>
  <c r="E13" i="41"/>
  <c r="C38" i="41"/>
  <c r="C63" i="41" l="1"/>
  <c r="C62" i="41"/>
  <c r="C12" i="41"/>
  <c r="E188" i="41"/>
  <c r="C188" i="41" s="1"/>
  <c r="C64" i="41"/>
  <c r="C14" i="41"/>
  <c r="E190" i="41"/>
  <c r="C190" i="41" s="1"/>
  <c r="C13" i="41"/>
  <c r="E189" i="41"/>
  <c r="C189" i="41" s="1"/>
  <c r="E21" i="41"/>
  <c r="C35" i="41"/>
  <c r="C85" i="41"/>
  <c r="E71" i="41"/>
  <c r="E70" i="41" l="1"/>
  <c r="C71" i="41"/>
  <c r="E61" i="41"/>
  <c r="E20" i="41"/>
  <c r="C21" i="41"/>
  <c r="E11" i="41"/>
  <c r="C11" i="41" l="1"/>
  <c r="E187" i="41"/>
  <c r="C61" i="41"/>
  <c r="E16" i="41"/>
  <c r="C16" i="41" s="1"/>
  <c r="C20" i="41"/>
  <c r="C70" i="41"/>
  <c r="E66" i="41"/>
  <c r="C66" i="41" s="1"/>
  <c r="E191" i="41" l="1"/>
  <c r="C187" i="41"/>
  <c r="C191" i="41" s="1"/>
  <c r="C182" i="41" l="1"/>
  <c r="C181" i="41"/>
  <c r="C179" i="41" l="1"/>
  <c r="E150" i="41" l="1"/>
  <c r="E197" i="41" s="1"/>
  <c r="C176" i="41"/>
  <c r="C197" i="41" l="1"/>
  <c r="C180" i="41"/>
  <c r="E178" i="41"/>
  <c r="C150" i="41"/>
  <c r="E148" i="41" l="1"/>
  <c r="E195" i="41" s="1"/>
  <c r="C175" i="41"/>
  <c r="C178" i="41"/>
  <c r="C195" i="41" l="1"/>
  <c r="C148" i="41"/>
  <c r="E149" i="41"/>
  <c r="E196" i="41" s="1"/>
  <c r="C174" i="41"/>
  <c r="C196" i="41" l="1"/>
  <c r="C173" i="41"/>
  <c r="E171" i="41"/>
  <c r="C149" i="41"/>
  <c r="E157" i="41" l="1"/>
  <c r="C171" i="41"/>
  <c r="C172" i="41"/>
  <c r="C157" i="41" l="1"/>
  <c r="E156" i="41"/>
  <c r="E147" i="41"/>
  <c r="E194" i="41" s="1"/>
  <c r="E198" i="41" l="1"/>
  <c r="C194" i="41"/>
  <c r="C198" i="41" s="1"/>
  <c r="C156" i="41"/>
  <c r="E152" i="41"/>
  <c r="C152" i="41" s="1"/>
  <c r="C147" i="41"/>
  <c r="C3" i="15" l="1"/>
  <c r="C3" i="16"/>
  <c r="H1" i="34"/>
  <c r="C3" i="13"/>
  <c r="E3" i="21"/>
  <c r="C4" i="40"/>
  <c r="E3" i="41"/>
  <c r="C3" i="48"/>
  <c r="C3" i="54"/>
  <c r="C4" i="39"/>
  <c r="C3" i="19"/>
  <c r="C3" i="47"/>
  <c r="E3" i="30"/>
  <c r="E3" i="26"/>
  <c r="B3" i="6"/>
  <c r="D26" i="48" l="1"/>
  <c r="D176" i="48" s="1"/>
  <c r="D19" i="48"/>
  <c r="D174" i="48" s="1"/>
  <c r="E49" i="48"/>
  <c r="E26" i="48"/>
  <c r="E176" i="48" s="1"/>
  <c r="E19" i="48"/>
  <c r="E174" i="48" s="1"/>
  <c r="D49" i="48"/>
  <c r="D10" i="48"/>
  <c r="D77" i="48" s="1"/>
  <c r="D75" i="48"/>
  <c r="D76" i="48" s="1"/>
  <c r="E75" i="48"/>
  <c r="E76" i="48" s="1"/>
  <c r="E10" i="48"/>
  <c r="E77" i="48" s="1"/>
  <c r="E9" i="48"/>
  <c r="D9" i="48"/>
  <c r="F7" i="67"/>
  <c r="D16" i="19" s="1"/>
  <c r="D18" i="19" s="1"/>
  <c r="F58" i="67" s="1"/>
  <c r="J440" i="34"/>
  <c r="J372" i="34"/>
  <c r="J307" i="34"/>
  <c r="J784" i="34"/>
  <c r="J423" i="34"/>
  <c r="J354" i="34"/>
  <c r="J455" i="34"/>
  <c r="J390" i="34"/>
  <c r="J321" i="34"/>
  <c r="J782" i="34"/>
  <c r="J437" i="34"/>
  <c r="J369" i="34"/>
  <c r="J304" i="34"/>
  <c r="J781" i="34"/>
  <c r="J469" i="34"/>
  <c r="J404" i="34"/>
  <c r="J335" i="34"/>
  <c r="J419" i="34"/>
  <c r="J350" i="34"/>
  <c r="J450" i="34"/>
  <c r="J374" i="34"/>
  <c r="J309" i="34"/>
  <c r="F27" i="67"/>
  <c r="D139" i="19" s="1"/>
  <c r="D141" i="19" s="1"/>
  <c r="F79" i="67" s="1"/>
  <c r="F26" i="67"/>
  <c r="F33" i="67"/>
  <c r="J424" i="34"/>
  <c r="J355" i="34"/>
  <c r="J407" i="34"/>
  <c r="J338" i="34"/>
  <c r="J438" i="34"/>
  <c r="J370" i="34"/>
  <c r="J421" i="34"/>
  <c r="J352" i="34"/>
  <c r="F18" i="67"/>
  <c r="F69" i="67" s="1"/>
  <c r="F17" i="67"/>
  <c r="F68" i="67" s="1"/>
  <c r="F25" i="67"/>
  <c r="F22" i="67"/>
  <c r="D114" i="19" s="1"/>
  <c r="D116" i="19" s="1"/>
  <c r="F73" i="67" s="1"/>
  <c r="J416" i="34"/>
  <c r="J347" i="34"/>
  <c r="J464" i="34"/>
  <c r="J399" i="34"/>
  <c r="J330" i="34"/>
  <c r="J430" i="34"/>
  <c r="J362" i="34"/>
  <c r="J413" i="34"/>
  <c r="J344" i="34"/>
  <c r="J444" i="34"/>
  <c r="J376" i="34"/>
  <c r="J311" i="34"/>
  <c r="J460" i="34"/>
  <c r="J395" i="34"/>
  <c r="J326" i="34"/>
  <c r="J426" i="34"/>
  <c r="J349" i="34"/>
  <c r="J449" i="34"/>
  <c r="F9" i="67"/>
  <c r="D30" i="19" s="1"/>
  <c r="D32" i="19" s="1"/>
  <c r="F60" i="67" s="1"/>
  <c r="J408" i="34"/>
  <c r="J339" i="34"/>
  <c r="J456" i="34"/>
  <c r="J391" i="34"/>
  <c r="J322" i="34"/>
  <c r="J422" i="34"/>
  <c r="J353" i="34"/>
  <c r="J457" i="34"/>
  <c r="J392" i="34"/>
  <c r="J323" i="34"/>
  <c r="J439" i="34"/>
  <c r="J371" i="34"/>
  <c r="J306" i="34"/>
  <c r="J783" i="34"/>
  <c r="J406" i="34"/>
  <c r="J337" i="34"/>
  <c r="J454" i="34"/>
  <c r="J389" i="34"/>
  <c r="J320" i="34"/>
  <c r="J420" i="34"/>
  <c r="J351" i="34"/>
  <c r="J435" i="34"/>
  <c r="J367" i="34"/>
  <c r="J302" i="34"/>
  <c r="J467" i="34"/>
  <c r="J402" i="34"/>
  <c r="J325" i="34"/>
  <c r="F29" i="67"/>
  <c r="D153" i="19" s="1"/>
  <c r="D155" i="19" s="1"/>
  <c r="F81" i="67" s="1"/>
  <c r="J448" i="34"/>
  <c r="J382" i="34"/>
  <c r="J315" i="34"/>
  <c r="J431" i="34"/>
  <c r="J363" i="34"/>
  <c r="J298" i="34"/>
  <c r="J463" i="34"/>
  <c r="J398" i="34"/>
  <c r="J329" i="34"/>
  <c r="J445" i="34"/>
  <c r="J377" i="34"/>
  <c r="J312" i="34"/>
  <c r="J412" i="34"/>
  <c r="J343" i="34"/>
  <c r="J427" i="34"/>
  <c r="J359" i="34"/>
  <c r="J459" i="34"/>
  <c r="J394" i="34"/>
  <c r="J317" i="34"/>
  <c r="F35" i="67"/>
  <c r="D186" i="19" s="1"/>
  <c r="D188" i="19" s="1"/>
  <c r="F87" i="67" s="1"/>
  <c r="F8" i="67"/>
  <c r="D23" i="19" s="1"/>
  <c r="D25" i="19" s="1"/>
  <c r="F59" i="67" s="1"/>
  <c r="J400" i="34"/>
  <c r="J447" i="34"/>
  <c r="J328" i="34"/>
  <c r="J453" i="34"/>
  <c r="J319" i="34"/>
  <c r="J403" i="34"/>
  <c r="J434" i="34"/>
  <c r="J305" i="34"/>
  <c r="J297" i="34"/>
  <c r="J401" i="34"/>
  <c r="G59" i="63"/>
  <c r="G96" i="63" s="1"/>
  <c r="G133" i="63" s="1"/>
  <c r="G35" i="67"/>
  <c r="E186" i="19" s="1"/>
  <c r="E188" i="19" s="1"/>
  <c r="G87" i="67" s="1"/>
  <c r="G22" i="67"/>
  <c r="E114" i="19" s="1"/>
  <c r="E116" i="19" s="1"/>
  <c r="G73" i="67" s="1"/>
  <c r="G25" i="67"/>
  <c r="F34" i="68"/>
  <c r="F28" i="68"/>
  <c r="J364" i="34"/>
  <c r="J415" i="34"/>
  <c r="J446" i="34"/>
  <c r="J296" i="34"/>
  <c r="J436" i="34"/>
  <c r="J303" i="34"/>
  <c r="J780" i="34"/>
  <c r="J387" i="34"/>
  <c r="J418" i="34"/>
  <c r="J441" i="34"/>
  <c r="J23" i="34"/>
  <c r="J285" i="34"/>
  <c r="F6" i="67"/>
  <c r="D9" i="19" s="1"/>
  <c r="D11" i="19" s="1"/>
  <c r="F57" i="67" s="1"/>
  <c r="J331" i="34"/>
  <c r="J380" i="34"/>
  <c r="J414" i="34"/>
  <c r="J462" i="34"/>
  <c r="J428" i="34"/>
  <c r="J295" i="34"/>
  <c r="J375" i="34"/>
  <c r="J410" i="34"/>
  <c r="J384" i="34"/>
  <c r="J294" i="34"/>
  <c r="J25" i="34"/>
  <c r="G29" i="67"/>
  <c r="E153" i="19" s="1"/>
  <c r="E155" i="19" s="1"/>
  <c r="G81" i="67" s="1"/>
  <c r="G28" i="67"/>
  <c r="E146" i="19" s="1"/>
  <c r="E148" i="19" s="1"/>
  <c r="G80" i="67" s="1"/>
  <c r="G18" i="67"/>
  <c r="G69" i="67" s="1"/>
  <c r="G48" i="67"/>
  <c r="E285" i="19" s="1"/>
  <c r="E287" i="19" s="1"/>
  <c r="G100" i="67" s="1"/>
  <c r="F9" i="68"/>
  <c r="F36" i="67"/>
  <c r="D189" i="19" s="1"/>
  <c r="D191" i="19" s="1"/>
  <c r="F88" i="67" s="1"/>
  <c r="J299" i="34"/>
  <c r="J346" i="34"/>
  <c r="J378" i="34"/>
  <c r="J429" i="34"/>
  <c r="J396" i="34"/>
  <c r="J342" i="34"/>
  <c r="J366" i="34"/>
  <c r="J316" i="34"/>
  <c r="J433" i="34"/>
  <c r="J22" i="34"/>
  <c r="J393" i="34"/>
  <c r="G57" i="63"/>
  <c r="G26" i="67"/>
  <c r="G7" i="67"/>
  <c r="E16" i="19" s="1"/>
  <c r="E18" i="19" s="1"/>
  <c r="G58" i="67" s="1"/>
  <c r="F48" i="67"/>
  <c r="D285" i="19" s="1"/>
  <c r="D287" i="19" s="1"/>
  <c r="F100" i="67" s="1"/>
  <c r="J314" i="34"/>
  <c r="J345" i="34"/>
  <c r="J405" i="34"/>
  <c r="J388" i="34"/>
  <c r="J468" i="34"/>
  <c r="J334" i="34"/>
  <c r="J357" i="34"/>
  <c r="J289" i="34"/>
  <c r="J373" i="34"/>
  <c r="J417" i="34"/>
  <c r="J458" i="34"/>
  <c r="G34" i="67"/>
  <c r="E183" i="19" s="1"/>
  <c r="E185" i="19" s="1"/>
  <c r="G86" i="67" s="1"/>
  <c r="G9" i="67"/>
  <c r="E30" i="19" s="1"/>
  <c r="E32" i="19" s="1"/>
  <c r="G60" i="67" s="1"/>
  <c r="F25" i="68"/>
  <c r="F22" i="68"/>
  <c r="F35" i="68"/>
  <c r="F29" i="68"/>
  <c r="F34" i="67"/>
  <c r="D183" i="19" s="1"/>
  <c r="D185" i="19" s="1"/>
  <c r="F86" i="67" s="1"/>
  <c r="J313" i="34"/>
  <c r="J397" i="34"/>
  <c r="J368" i="34"/>
  <c r="J452" i="34"/>
  <c r="J318" i="34"/>
  <c r="J341" i="34"/>
  <c r="J324" i="34"/>
  <c r="J778" i="34"/>
  <c r="J308" i="34"/>
  <c r="J356" i="34"/>
  <c r="G20" i="63"/>
  <c r="J777" i="34"/>
  <c r="J465" i="34"/>
  <c r="J361" i="34"/>
  <c r="J360" i="34"/>
  <c r="J443" i="34"/>
  <c r="J310" i="34"/>
  <c r="J779" i="34"/>
  <c r="J333" i="34"/>
  <c r="J291" i="34"/>
  <c r="J24" i="34"/>
  <c r="J287" i="34"/>
  <c r="J425" i="34"/>
  <c r="J300" i="34"/>
  <c r="J409" i="34"/>
  <c r="F8" i="68"/>
  <c r="F6" i="68"/>
  <c r="J432" i="34"/>
  <c r="J327" i="34"/>
  <c r="J340" i="34"/>
  <c r="F26" i="68"/>
  <c r="F17" i="68"/>
  <c r="I416" i="34"/>
  <c r="I347" i="34"/>
  <c r="I407" i="34"/>
  <c r="I338" i="34"/>
  <c r="I463" i="34"/>
  <c r="I398" i="34"/>
  <c r="I329" i="34"/>
  <c r="I421" i="34"/>
  <c r="I352" i="34"/>
  <c r="I284" i="34"/>
  <c r="I412" i="34"/>
  <c r="I343" i="34"/>
  <c r="I780" i="34"/>
  <c r="I452" i="34"/>
  <c r="I387" i="34"/>
  <c r="I318" i="34"/>
  <c r="I450" i="34"/>
  <c r="I374" i="34"/>
  <c r="I309" i="34"/>
  <c r="I425" i="34"/>
  <c r="I409" i="34"/>
  <c r="I458" i="34"/>
  <c r="I23" i="34"/>
  <c r="J21" i="34"/>
  <c r="J348" i="34"/>
  <c r="G27" i="67"/>
  <c r="E139" i="19" s="1"/>
  <c r="E141" i="19" s="1"/>
  <c r="G79" i="67" s="1"/>
  <c r="F33" i="68"/>
  <c r="I408" i="34"/>
  <c r="I339" i="34"/>
  <c r="I464" i="34"/>
  <c r="I399" i="34"/>
  <c r="I330" i="34"/>
  <c r="I455" i="34"/>
  <c r="I390" i="34"/>
  <c r="I321" i="34"/>
  <c r="I413" i="34"/>
  <c r="I344" i="34"/>
  <c r="I781" i="34"/>
  <c r="I469" i="34"/>
  <c r="I404" i="34"/>
  <c r="I335" i="34"/>
  <c r="I443" i="34"/>
  <c r="I375" i="34"/>
  <c r="I310" i="34"/>
  <c r="I442" i="34"/>
  <c r="I366" i="34"/>
  <c r="I301" i="34"/>
  <c r="I365" i="34"/>
  <c r="I348" i="34"/>
  <c r="I393" i="34"/>
  <c r="I777" i="34"/>
  <c r="I465" i="34"/>
  <c r="I400" i="34"/>
  <c r="I331" i="34"/>
  <c r="I456" i="34"/>
  <c r="I391" i="34"/>
  <c r="I322" i="34"/>
  <c r="I446" i="34"/>
  <c r="I378" i="34"/>
  <c r="I313" i="34"/>
  <c r="I405" i="34"/>
  <c r="I336" i="34"/>
  <c r="I461" i="34"/>
  <c r="I396" i="34"/>
  <c r="I327" i="34"/>
  <c r="I435" i="34"/>
  <c r="I367" i="34"/>
  <c r="I302" i="34"/>
  <c r="I434" i="34"/>
  <c r="I357" i="34"/>
  <c r="I300" i="34"/>
  <c r="I291" i="34"/>
  <c r="I441" i="34"/>
  <c r="I24" i="34"/>
  <c r="I332" i="34"/>
  <c r="I22" i="34"/>
  <c r="J336" i="34"/>
  <c r="J284" i="34"/>
  <c r="G53" i="63"/>
  <c r="G90" i="63" s="1"/>
  <c r="G127" i="63" s="1"/>
  <c r="I457" i="34"/>
  <c r="I392" i="34"/>
  <c r="I323" i="34"/>
  <c r="I447" i="34"/>
  <c r="I380" i="34"/>
  <c r="I314" i="34"/>
  <c r="I438" i="34"/>
  <c r="I370" i="34"/>
  <c r="I305" i="34"/>
  <c r="I462" i="34"/>
  <c r="I397" i="34"/>
  <c r="I328" i="34"/>
  <c r="I453" i="34"/>
  <c r="I388" i="34"/>
  <c r="I319" i="34"/>
  <c r="I427" i="34"/>
  <c r="I359" i="34"/>
  <c r="I294" i="34"/>
  <c r="I426" i="34"/>
  <c r="I349" i="34"/>
  <c r="I433" i="34"/>
  <c r="I466" i="34"/>
  <c r="J442" i="34"/>
  <c r="J332" i="34"/>
  <c r="G22" i="63"/>
  <c r="G6" i="67"/>
  <c r="E9" i="19" s="1"/>
  <c r="E11" i="19" s="1"/>
  <c r="G57" i="67" s="1"/>
  <c r="F48" i="68"/>
  <c r="F36" i="68"/>
  <c r="I448" i="34"/>
  <c r="I382" i="34"/>
  <c r="I315" i="34"/>
  <c r="I439" i="34"/>
  <c r="I371" i="34"/>
  <c r="I306" i="34"/>
  <c r="I430" i="34"/>
  <c r="I362" i="34"/>
  <c r="I297" i="34"/>
  <c r="I454" i="34"/>
  <c r="I389" i="34"/>
  <c r="I320" i="34"/>
  <c r="I444" i="34"/>
  <c r="I376" i="34"/>
  <c r="I311" i="34"/>
  <c r="I419" i="34"/>
  <c r="I350" i="34"/>
  <c r="I418" i="34"/>
  <c r="I341" i="34"/>
  <c r="I373" i="34"/>
  <c r="I417" i="34"/>
  <c r="I401" i="34"/>
  <c r="I324" i="34"/>
  <c r="J301" i="34"/>
  <c r="J365" i="34"/>
  <c r="G16" i="63"/>
  <c r="G17" i="67"/>
  <c r="G68" i="67" s="1"/>
  <c r="G8" i="67"/>
  <c r="E23" i="19" s="1"/>
  <c r="E25" i="19" s="1"/>
  <c r="G59" i="67" s="1"/>
  <c r="F7" i="68"/>
  <c r="I440" i="34"/>
  <c r="I372" i="34"/>
  <c r="I307" i="34"/>
  <c r="I431" i="34"/>
  <c r="I363" i="34"/>
  <c r="I298" i="34"/>
  <c r="I422" i="34"/>
  <c r="I353" i="34"/>
  <c r="I285" i="34"/>
  <c r="J411" i="34"/>
  <c r="G36" i="67"/>
  <c r="E189" i="19" s="1"/>
  <c r="E191" i="19" s="1"/>
  <c r="G88" i="67" s="1"/>
  <c r="G33" i="67"/>
  <c r="F18" i="68"/>
  <c r="F27" i="68"/>
  <c r="I432" i="34"/>
  <c r="I364" i="34"/>
  <c r="I299" i="34"/>
  <c r="I784" i="34"/>
  <c r="I423" i="34"/>
  <c r="I354" i="34"/>
  <c r="I287" i="34"/>
  <c r="I414" i="34"/>
  <c r="I345" i="34"/>
  <c r="I782" i="34"/>
  <c r="I437" i="34"/>
  <c r="I369" i="34"/>
  <c r="I304" i="34"/>
  <c r="I428" i="34"/>
  <c r="I360" i="34"/>
  <c r="I295" i="34"/>
  <c r="I468" i="34"/>
  <c r="I403" i="34"/>
  <c r="I334" i="34"/>
  <c r="I467" i="34"/>
  <c r="I402" i="34"/>
  <c r="I325" i="34"/>
  <c r="J466" i="34"/>
  <c r="I355" i="34"/>
  <c r="I429" i="34"/>
  <c r="I326" i="34"/>
  <c r="I394" i="34"/>
  <c r="I384" i="34"/>
  <c r="I449" i="34"/>
  <c r="G9" i="68"/>
  <c r="G8" i="68"/>
  <c r="F16" i="63"/>
  <c r="I289" i="34"/>
  <c r="I377" i="34"/>
  <c r="I436" i="34"/>
  <c r="I333" i="34"/>
  <c r="I778" i="34"/>
  <c r="F57" i="63"/>
  <c r="J461" i="34"/>
  <c r="I406" i="34"/>
  <c r="I361" i="34"/>
  <c r="I420" i="34"/>
  <c r="I317" i="34"/>
  <c r="I21" i="34"/>
  <c r="G33" i="68"/>
  <c r="G25" i="68"/>
  <c r="F53" i="63"/>
  <c r="F90" i="63" s="1"/>
  <c r="F127" i="63" s="1"/>
  <c r="I445" i="34"/>
  <c r="G17" i="68"/>
  <c r="F28" i="67"/>
  <c r="D146" i="19" s="1"/>
  <c r="D148" i="19" s="1"/>
  <c r="F80" i="67" s="1"/>
  <c r="I337" i="34"/>
  <c r="I312" i="34"/>
  <c r="I368" i="34"/>
  <c r="I340" i="34"/>
  <c r="G29" i="68"/>
  <c r="G22" i="68"/>
  <c r="F59" i="63"/>
  <c r="F96" i="63" s="1"/>
  <c r="F133" i="63" s="1"/>
  <c r="F20" i="63"/>
  <c r="G34" i="68"/>
  <c r="I346" i="34"/>
  <c r="G27" i="68"/>
  <c r="I424" i="34"/>
  <c r="I356" i="34"/>
  <c r="I296" i="34"/>
  <c r="I351" i="34"/>
  <c r="I460" i="34"/>
  <c r="I25" i="34"/>
  <c r="G6" i="68"/>
  <c r="F22" i="63"/>
  <c r="G35" i="68"/>
  <c r="I459" i="34"/>
  <c r="G36" i="68"/>
  <c r="G7" i="68"/>
  <c r="I342" i="34"/>
  <c r="I410" i="34"/>
  <c r="G18" i="68"/>
  <c r="G48" i="68"/>
  <c r="I415" i="34"/>
  <c r="I783" i="34"/>
  <c r="I303" i="34"/>
  <c r="I411" i="34"/>
  <c r="I779" i="34"/>
  <c r="I316" i="34"/>
  <c r="I395" i="34"/>
  <c r="G26" i="68"/>
  <c r="I308" i="34"/>
  <c r="G28" i="68"/>
  <c r="J536" i="34"/>
  <c r="J528" i="34"/>
  <c r="J542" i="34"/>
  <c r="J524" i="34"/>
  <c r="J547" i="34"/>
  <c r="J527" i="34"/>
  <c r="J532" i="34"/>
  <c r="J546" i="34"/>
  <c r="F31" i="64"/>
  <c r="J545" i="34"/>
  <c r="J525" i="34"/>
  <c r="J538" i="34"/>
  <c r="G38" i="65"/>
  <c r="E779" i="19" s="1"/>
  <c r="E781" i="19" s="1"/>
  <c r="G90" i="65" s="1"/>
  <c r="G38" i="66"/>
  <c r="E1067" i="19" s="1"/>
  <c r="E1069" i="19" s="1"/>
  <c r="G90" i="66" s="1"/>
  <c r="J544" i="34"/>
  <c r="J534" i="34"/>
  <c r="J530" i="34"/>
  <c r="F38" i="65"/>
  <c r="D779" i="19" s="1"/>
  <c r="D781" i="19" s="1"/>
  <c r="F90" i="65" s="1"/>
  <c r="G31" i="66"/>
  <c r="F31" i="65"/>
  <c r="I536" i="34"/>
  <c r="I527" i="34"/>
  <c r="F38" i="64"/>
  <c r="D491" i="19" s="1"/>
  <c r="D493" i="19" s="1"/>
  <c r="F90" i="64" s="1"/>
  <c r="I528" i="34"/>
  <c r="I542" i="34"/>
  <c r="J526" i="34"/>
  <c r="I545" i="34"/>
  <c r="I534" i="34"/>
  <c r="I525" i="34"/>
  <c r="I546" i="34"/>
  <c r="I530" i="34"/>
  <c r="I526" i="34"/>
  <c r="J540" i="34"/>
  <c r="G31" i="65"/>
  <c r="I532" i="34"/>
  <c r="I547" i="34"/>
  <c r="I538" i="34"/>
  <c r="F31" i="26"/>
  <c r="D157" i="19" s="1"/>
  <c r="D159" i="19" s="1"/>
  <c r="F83" i="26" s="1"/>
  <c r="I540" i="34"/>
  <c r="I524" i="34"/>
  <c r="G38" i="26"/>
  <c r="E203" i="19" s="1"/>
  <c r="E205" i="19" s="1"/>
  <c r="G90" i="26" s="1"/>
  <c r="G38" i="64"/>
  <c r="E491" i="19" s="1"/>
  <c r="E493" i="19" s="1"/>
  <c r="G90" i="64" s="1"/>
  <c r="F38" i="26"/>
  <c r="D203" i="19" s="1"/>
  <c r="D205" i="19" s="1"/>
  <c r="F90" i="26" s="1"/>
  <c r="I544" i="34"/>
  <c r="F39" i="26"/>
  <c r="D210" i="19" s="1"/>
  <c r="D212" i="19" s="1"/>
  <c r="F91" i="26" s="1"/>
  <c r="F38" i="66"/>
  <c r="D1067" i="19" s="1"/>
  <c r="D1069" i="19" s="1"/>
  <c r="F90" i="66" s="1"/>
  <c r="G39" i="26"/>
  <c r="E210" i="19" s="1"/>
  <c r="E212" i="19" s="1"/>
  <c r="G91" i="26" s="1"/>
  <c r="F31" i="66"/>
  <c r="G31" i="26"/>
  <c r="G31" i="64"/>
  <c r="J64" i="34"/>
  <c r="J71" i="34"/>
  <c r="J70" i="34"/>
  <c r="F16" i="67"/>
  <c r="G16" i="70"/>
  <c r="J80" i="34"/>
  <c r="J31" i="34"/>
  <c r="J46" i="34"/>
  <c r="J77" i="34"/>
  <c r="J76" i="34"/>
  <c r="J35" i="34"/>
  <c r="J50" i="34"/>
  <c r="G156" i="79"/>
  <c r="G120" i="79"/>
  <c r="G34" i="79"/>
  <c r="G24" i="79"/>
  <c r="F16" i="64"/>
  <c r="F156" i="78"/>
  <c r="F35" i="78"/>
  <c r="F34" i="78"/>
  <c r="F67" i="78"/>
  <c r="G16" i="67"/>
  <c r="G120" i="78"/>
  <c r="G125" i="78"/>
  <c r="J72" i="34"/>
  <c r="J95" i="34"/>
  <c r="J38" i="34"/>
  <c r="J69" i="34"/>
  <c r="J68" i="34"/>
  <c r="J91" i="34"/>
  <c r="J27" i="34"/>
  <c r="J56" i="34"/>
  <c r="J87" i="34"/>
  <c r="J30" i="34"/>
  <c r="J61" i="34"/>
  <c r="J60" i="34"/>
  <c r="J83" i="34"/>
  <c r="J98" i="34"/>
  <c r="J34" i="34"/>
  <c r="J97" i="34"/>
  <c r="J49" i="34"/>
  <c r="G125" i="79"/>
  <c r="G112" i="79"/>
  <c r="G111" i="79"/>
  <c r="G75" i="79"/>
  <c r="G66" i="79"/>
  <c r="F155" i="78"/>
  <c r="F15" i="78"/>
  <c r="F81" i="78"/>
  <c r="F40" i="78"/>
  <c r="F167" i="78"/>
  <c r="G68" i="78"/>
  <c r="J48" i="34"/>
  <c r="J79" i="34"/>
  <c r="J94" i="34"/>
  <c r="J53" i="34"/>
  <c r="J52" i="34"/>
  <c r="J75" i="34"/>
  <c r="J90" i="34"/>
  <c r="J26" i="34"/>
  <c r="J33" i="34"/>
  <c r="G32" i="79"/>
  <c r="G78" i="79"/>
  <c r="G154" i="79"/>
  <c r="G15" i="79"/>
  <c r="F125" i="78"/>
  <c r="F31" i="78"/>
  <c r="F120" i="78"/>
  <c r="J40" i="34"/>
  <c r="J63" i="34"/>
  <c r="J86" i="34"/>
  <c r="J45" i="34"/>
  <c r="J44" i="34"/>
  <c r="J67" i="34"/>
  <c r="J82" i="34"/>
  <c r="J41" i="34"/>
  <c r="G16" i="65"/>
  <c r="G23" i="79"/>
  <c r="G22" i="79"/>
  <c r="G79" i="79"/>
  <c r="G68" i="79"/>
  <c r="G119" i="79"/>
  <c r="G76" i="79"/>
  <c r="F164" i="78"/>
  <c r="F163" i="78"/>
  <c r="F32" i="78"/>
  <c r="F68" i="78"/>
  <c r="F79" i="78"/>
  <c r="G166" i="78"/>
  <c r="J32" i="34"/>
  <c r="J55" i="34"/>
  <c r="J78" i="34"/>
  <c r="J37" i="34"/>
  <c r="J36" i="34"/>
  <c r="J59" i="34"/>
  <c r="J74" i="34"/>
  <c r="J57" i="34"/>
  <c r="G40" i="79"/>
  <c r="G35" i="79"/>
  <c r="J96" i="34"/>
  <c r="J47" i="34"/>
  <c r="J62" i="34"/>
  <c r="J93" i="34"/>
  <c r="J29" i="34"/>
  <c r="J92" i="34"/>
  <c r="J28" i="34"/>
  <c r="J51" i="34"/>
  <c r="J66" i="34"/>
  <c r="G167" i="79"/>
  <c r="G169" i="79"/>
  <c r="G31" i="79"/>
  <c r="G166" i="79"/>
  <c r="G67" i="79"/>
  <c r="G164" i="79"/>
  <c r="F66" i="78"/>
  <c r="F75" i="78"/>
  <c r="F122" i="78"/>
  <c r="G169" i="78"/>
  <c r="J88" i="34"/>
  <c r="J85" i="34"/>
  <c r="J42" i="34"/>
  <c r="G155" i="79"/>
  <c r="F24" i="78"/>
  <c r="F111" i="78"/>
  <c r="G16" i="66"/>
  <c r="G119" i="78"/>
  <c r="G156" i="78"/>
  <c r="G16" i="78"/>
  <c r="G15" i="78"/>
  <c r="G154" i="78"/>
  <c r="I36" i="34"/>
  <c r="I83" i="34"/>
  <c r="I29" i="34"/>
  <c r="I42" i="34"/>
  <c r="I81" i="34"/>
  <c r="I53" i="34"/>
  <c r="I72" i="34"/>
  <c r="I87" i="34"/>
  <c r="I38" i="34"/>
  <c r="J73" i="34"/>
  <c r="G110" i="79"/>
  <c r="F166" i="78"/>
  <c r="F154" i="78"/>
  <c r="G78" i="78"/>
  <c r="G155" i="78"/>
  <c r="G81" i="78"/>
  <c r="I92" i="34"/>
  <c r="I28" i="34"/>
  <c r="I75" i="34"/>
  <c r="I98" i="34"/>
  <c r="I34" i="34"/>
  <c r="I73" i="34"/>
  <c r="I48" i="34"/>
  <c r="I79" i="34"/>
  <c r="I94" i="34"/>
  <c r="I30" i="34"/>
  <c r="I85" i="34"/>
  <c r="G37" i="79"/>
  <c r="F123" i="78"/>
  <c r="F78" i="78"/>
  <c r="F110" i="78"/>
  <c r="F16" i="68"/>
  <c r="G111" i="78"/>
  <c r="I84" i="34"/>
  <c r="I67" i="34"/>
  <c r="I90" i="34"/>
  <c r="I26" i="34"/>
  <c r="I77" i="34"/>
  <c r="I65" i="34"/>
  <c r="I71" i="34"/>
  <c r="I86" i="34"/>
  <c r="I93" i="34"/>
  <c r="I61" i="34"/>
  <c r="F16" i="26"/>
  <c r="J54" i="34"/>
  <c r="J65" i="34"/>
  <c r="G81" i="79"/>
  <c r="G163" i="79"/>
  <c r="F76" i="78"/>
  <c r="F23" i="78"/>
  <c r="G37" i="78"/>
  <c r="G163" i="78"/>
  <c r="G32" i="78"/>
  <c r="G31" i="78"/>
  <c r="I76" i="34"/>
  <c r="I59" i="34"/>
  <c r="I64" i="34"/>
  <c r="I82" i="34"/>
  <c r="I57" i="34"/>
  <c r="G16" i="79"/>
  <c r="F16" i="65"/>
  <c r="G76" i="78"/>
  <c r="G75" i="78"/>
  <c r="G164" i="78"/>
  <c r="I68" i="34"/>
  <c r="I51" i="34"/>
  <c r="I32" i="34"/>
  <c r="I74" i="34"/>
  <c r="I49" i="34"/>
  <c r="I69" i="34"/>
  <c r="I55" i="34"/>
  <c r="I70" i="34"/>
  <c r="J43" i="34"/>
  <c r="G123" i="79"/>
  <c r="F16" i="78"/>
  <c r="F112" i="78"/>
  <c r="F169" i="78"/>
  <c r="G110" i="78"/>
  <c r="G167" i="78"/>
  <c r="G66" i="78"/>
  <c r="G122" i="78"/>
  <c r="G123" i="78"/>
  <c r="J39" i="34"/>
  <c r="J84" i="34"/>
  <c r="J89" i="34"/>
  <c r="F119" i="78"/>
  <c r="G79" i="78"/>
  <c r="G67" i="78"/>
  <c r="G34" i="78"/>
  <c r="G112" i="78"/>
  <c r="G40" i="78"/>
  <c r="G23" i="78"/>
  <c r="I52" i="34"/>
  <c r="I35" i="34"/>
  <c r="I58" i="34"/>
  <c r="I40" i="34"/>
  <c r="I97" i="34"/>
  <c r="I33" i="34"/>
  <c r="I56" i="34"/>
  <c r="I96" i="34"/>
  <c r="I39" i="34"/>
  <c r="I54" i="34"/>
  <c r="G35" i="78"/>
  <c r="I91" i="34"/>
  <c r="I80" i="34"/>
  <c r="F16" i="66"/>
  <c r="F58" i="71"/>
  <c r="G16" i="69"/>
  <c r="F120" i="79"/>
  <c r="F67" i="79"/>
  <c r="F76" i="79"/>
  <c r="F75" i="79"/>
  <c r="F164" i="79"/>
  <c r="J58" i="34"/>
  <c r="G24" i="78"/>
  <c r="I43" i="34"/>
  <c r="I95" i="34"/>
  <c r="I78" i="34"/>
  <c r="F263" i="71"/>
  <c r="F199" i="71"/>
  <c r="G199" i="71"/>
  <c r="G16" i="26"/>
  <c r="F110" i="79"/>
  <c r="F78" i="79"/>
  <c r="F66" i="79"/>
  <c r="F112" i="79"/>
  <c r="F122" i="79"/>
  <c r="G16" i="64"/>
  <c r="J81" i="34"/>
  <c r="F22" i="78"/>
  <c r="I27" i="34"/>
  <c r="I89" i="34"/>
  <c r="I63" i="34"/>
  <c r="I62" i="34"/>
  <c r="G198" i="71"/>
  <c r="G131" i="71"/>
  <c r="G130" i="71"/>
  <c r="G72" i="71"/>
  <c r="F68" i="79"/>
  <c r="F166" i="79"/>
  <c r="F34" i="79"/>
  <c r="F32" i="79"/>
  <c r="G200" i="71"/>
  <c r="F37" i="79"/>
  <c r="F16" i="79"/>
  <c r="I44" i="34"/>
  <c r="F130" i="71"/>
  <c r="F167" i="79"/>
  <c r="F60" i="71"/>
  <c r="G262" i="71"/>
  <c r="F119" i="79"/>
  <c r="G122" i="79"/>
  <c r="F37" i="78"/>
  <c r="I41" i="34"/>
  <c r="I47" i="34"/>
  <c r="I46" i="34"/>
  <c r="F72" i="71"/>
  <c r="F59" i="71"/>
  <c r="F131" i="71"/>
  <c r="F262" i="71"/>
  <c r="G264" i="71"/>
  <c r="G73" i="71"/>
  <c r="G59" i="71"/>
  <c r="F79" i="79"/>
  <c r="F156" i="79"/>
  <c r="F35" i="79"/>
  <c r="F24" i="79"/>
  <c r="F23" i="79"/>
  <c r="F40" i="79"/>
  <c r="F111" i="79"/>
  <c r="F264" i="71"/>
  <c r="F169" i="79"/>
  <c r="G22" i="78"/>
  <c r="I37" i="34"/>
  <c r="I31" i="34"/>
  <c r="G132" i="71"/>
  <c r="G263" i="71"/>
  <c r="G60" i="71"/>
  <c r="F155" i="79"/>
  <c r="F15" i="79"/>
  <c r="F163" i="79"/>
  <c r="F154" i="79"/>
  <c r="F123" i="79"/>
  <c r="F200" i="71"/>
  <c r="G58" i="71"/>
  <c r="F16" i="69"/>
  <c r="I50" i="34"/>
  <c r="F125" i="79"/>
  <c r="I45" i="34"/>
  <c r="F73" i="71"/>
  <c r="F198" i="71"/>
  <c r="F31" i="79"/>
  <c r="G16" i="68"/>
  <c r="I60" i="34"/>
  <c r="I66" i="34"/>
  <c r="I88" i="34"/>
  <c r="F16" i="70"/>
  <c r="F81" i="79"/>
  <c r="F132" i="71"/>
  <c r="F22" i="79"/>
  <c r="J620" i="34"/>
  <c r="J634" i="34"/>
  <c r="J640" i="34"/>
  <c r="J638" i="34"/>
  <c r="J577" i="34"/>
  <c r="J632" i="34"/>
  <c r="J630" i="34"/>
  <c r="J624" i="34"/>
  <c r="J636" i="34"/>
  <c r="J574" i="34"/>
  <c r="J573" i="34"/>
  <c r="J628" i="34"/>
  <c r="J587" i="34"/>
  <c r="J642" i="34"/>
  <c r="J626" i="34"/>
  <c r="J646" i="34"/>
  <c r="J644" i="34"/>
  <c r="J618" i="34"/>
  <c r="J648" i="34"/>
  <c r="J622" i="34"/>
  <c r="J612" i="34"/>
  <c r="J616" i="34"/>
  <c r="J614" i="34"/>
  <c r="D523" i="16"/>
  <c r="D525" i="16" s="1"/>
  <c r="J580" i="34"/>
  <c r="J610" i="34"/>
  <c r="J583" i="34"/>
  <c r="J572" i="34"/>
  <c r="J586" i="34"/>
  <c r="D528" i="16"/>
  <c r="D530" i="16" s="1"/>
  <c r="I577" i="34"/>
  <c r="I640" i="34"/>
  <c r="I638" i="34"/>
  <c r="I573" i="34"/>
  <c r="I580" i="34"/>
  <c r="I642" i="34"/>
  <c r="I632" i="34"/>
  <c r="I630" i="34"/>
  <c r="I644" i="34"/>
  <c r="I572" i="34"/>
  <c r="I626" i="34"/>
  <c r="I610" i="34"/>
  <c r="I624" i="34"/>
  <c r="I622" i="34"/>
  <c r="I636" i="34"/>
  <c r="I616" i="34"/>
  <c r="I614" i="34"/>
  <c r="I628" i="34"/>
  <c r="I620" i="34"/>
  <c r="I587" i="34"/>
  <c r="I618" i="34"/>
  <c r="I583" i="34"/>
  <c r="I586" i="34"/>
  <c r="E523" i="16"/>
  <c r="E525" i="16" s="1"/>
  <c r="I634" i="34"/>
  <c r="E528" i="16"/>
  <c r="E530" i="16" s="1"/>
  <c r="I648" i="34"/>
  <c r="I646" i="34"/>
  <c r="I612" i="34"/>
  <c r="I574" i="34"/>
  <c r="F52" i="67"/>
  <c r="J1009" i="34"/>
  <c r="J945" i="34"/>
  <c r="J881" i="34"/>
  <c r="J1040" i="34"/>
  <c r="J976" i="34"/>
  <c r="J912" i="34"/>
  <c r="J848" i="34"/>
  <c r="J1023" i="34"/>
  <c r="J959" i="34"/>
  <c r="J895" i="34"/>
  <c r="J831" i="34"/>
  <c r="J1038" i="34"/>
  <c r="J974" i="34"/>
  <c r="J910" i="34"/>
  <c r="J846" i="34"/>
  <c r="J1037" i="34"/>
  <c r="J973" i="34"/>
  <c r="J909" i="34"/>
  <c r="J845" i="34"/>
  <c r="J1004" i="34"/>
  <c r="J940" i="34"/>
  <c r="J876" i="34"/>
  <c r="J1011" i="34"/>
  <c r="J947" i="34"/>
  <c r="J883" i="34"/>
  <c r="J819" i="34"/>
  <c r="G53" i="70"/>
  <c r="J1057" i="34"/>
  <c r="J993" i="34"/>
  <c r="J929" i="34"/>
  <c r="J865" i="34"/>
  <c r="J1024" i="34"/>
  <c r="J960" i="34"/>
  <c r="J896" i="34"/>
  <c r="J832" i="34"/>
  <c r="J1007" i="34"/>
  <c r="J943" i="34"/>
  <c r="J879" i="34"/>
  <c r="J1022" i="34"/>
  <c r="J958" i="34"/>
  <c r="J894" i="34"/>
  <c r="J830" i="34"/>
  <c r="J1021" i="34"/>
  <c r="J957" i="34"/>
  <c r="J893" i="34"/>
  <c r="J829" i="34"/>
  <c r="G83" i="70"/>
  <c r="F53" i="67"/>
  <c r="J1049" i="34"/>
  <c r="J985" i="34"/>
  <c r="J921" i="34"/>
  <c r="J857" i="34"/>
  <c r="J1016" i="34"/>
  <c r="J952" i="34"/>
  <c r="J888" i="34"/>
  <c r="J824" i="34"/>
  <c r="J999" i="34"/>
  <c r="J935" i="34"/>
  <c r="J871" i="34"/>
  <c r="J1014" i="34"/>
  <c r="J950" i="34"/>
  <c r="J886" i="34"/>
  <c r="J822" i="34"/>
  <c r="J1013" i="34"/>
  <c r="J949" i="34"/>
  <c r="J885" i="34"/>
  <c r="J821" i="34"/>
  <c r="J1044" i="34"/>
  <c r="J980" i="34"/>
  <c r="J916" i="34"/>
  <c r="J852" i="34"/>
  <c r="J1051" i="34"/>
  <c r="J987" i="34"/>
  <c r="J923" i="34"/>
  <c r="J859" i="34"/>
  <c r="J1042" i="34"/>
  <c r="G90" i="70"/>
  <c r="F90" i="67"/>
  <c r="J1041" i="34"/>
  <c r="J977" i="34"/>
  <c r="J913" i="34"/>
  <c r="J849" i="34"/>
  <c r="J1008" i="34"/>
  <c r="J944" i="34"/>
  <c r="J880" i="34"/>
  <c r="J1055" i="34"/>
  <c r="J991" i="34"/>
  <c r="J927" i="34"/>
  <c r="J863" i="34"/>
  <c r="J1006" i="34"/>
  <c r="F83" i="67"/>
  <c r="F91" i="67"/>
  <c r="J1025" i="34"/>
  <c r="J961" i="34"/>
  <c r="J897" i="34"/>
  <c r="J833" i="34"/>
  <c r="J1056" i="34"/>
  <c r="J992" i="34"/>
  <c r="J928" i="34"/>
  <c r="J864" i="34"/>
  <c r="J1039" i="34"/>
  <c r="J975" i="34"/>
  <c r="J911" i="34"/>
  <c r="J847" i="34"/>
  <c r="J1054" i="34"/>
  <c r="J990" i="34"/>
  <c r="J926" i="34"/>
  <c r="J862" i="34"/>
  <c r="J1053" i="34"/>
  <c r="J989" i="34"/>
  <c r="J925" i="34"/>
  <c r="J861" i="34"/>
  <c r="J1020" i="34"/>
  <c r="J956" i="34"/>
  <c r="J892" i="34"/>
  <c r="J828" i="34"/>
  <c r="J1027" i="34"/>
  <c r="J963" i="34"/>
  <c r="J899" i="34"/>
  <c r="J835" i="34"/>
  <c r="J850" i="34"/>
  <c r="G52" i="70"/>
  <c r="G91" i="70"/>
  <c r="J1017" i="34"/>
  <c r="J953" i="34"/>
  <c r="J889" i="34"/>
  <c r="J825" i="34"/>
  <c r="J1048" i="34"/>
  <c r="J984" i="34"/>
  <c r="J920" i="34"/>
  <c r="J856" i="34"/>
  <c r="J1031" i="34"/>
  <c r="J967" i="34"/>
  <c r="J903" i="34"/>
  <c r="J839" i="34"/>
  <c r="J1046" i="34"/>
  <c r="J982" i="34"/>
  <c r="J918" i="34"/>
  <c r="J854" i="34"/>
  <c r="J1045" i="34"/>
  <c r="J981" i="34"/>
  <c r="J917" i="34"/>
  <c r="J853" i="34"/>
  <c r="J1012" i="34"/>
  <c r="J948" i="34"/>
  <c r="J884" i="34"/>
  <c r="J820" i="34"/>
  <c r="J1019" i="34"/>
  <c r="J955" i="34"/>
  <c r="J891" i="34"/>
  <c r="J827" i="34"/>
  <c r="J969" i="34"/>
  <c r="J1000" i="34"/>
  <c r="J1047" i="34"/>
  <c r="J870" i="34"/>
  <c r="J1005" i="34"/>
  <c r="J837" i="34"/>
  <c r="J1052" i="34"/>
  <c r="J924" i="34"/>
  <c r="J995" i="34"/>
  <c r="J867" i="34"/>
  <c r="J890" i="34"/>
  <c r="J930" i="34"/>
  <c r="J922" i="34"/>
  <c r="F90" i="68"/>
  <c r="J937" i="34"/>
  <c r="J968" i="34"/>
  <c r="J1015" i="34"/>
  <c r="J1030" i="34"/>
  <c r="J838" i="34"/>
  <c r="J997" i="34"/>
  <c r="J1036" i="34"/>
  <c r="J908" i="34"/>
  <c r="J979" i="34"/>
  <c r="J851" i="34"/>
  <c r="J978" i="34"/>
  <c r="J1034" i="34"/>
  <c r="J826" i="34"/>
  <c r="J866" i="34"/>
  <c r="J905" i="34"/>
  <c r="J936" i="34"/>
  <c r="J983" i="34"/>
  <c r="J998" i="34"/>
  <c r="J965" i="34"/>
  <c r="J1028" i="34"/>
  <c r="J900" i="34"/>
  <c r="J971" i="34"/>
  <c r="J843" i="34"/>
  <c r="J914" i="34"/>
  <c r="J970" i="34"/>
  <c r="J1050" i="34"/>
  <c r="G53" i="65"/>
  <c r="G52" i="66"/>
  <c r="J873" i="34"/>
  <c r="J904" i="34"/>
  <c r="J951" i="34"/>
  <c r="J966" i="34"/>
  <c r="J941" i="34"/>
  <c r="J996" i="34"/>
  <c r="J868" i="34"/>
  <c r="J939" i="34"/>
  <c r="J906" i="34"/>
  <c r="J1026" i="34"/>
  <c r="J1010" i="34"/>
  <c r="J986" i="34"/>
  <c r="F53" i="64"/>
  <c r="G52" i="67"/>
  <c r="J841" i="34"/>
  <c r="J872" i="34"/>
  <c r="J919" i="34"/>
  <c r="J942" i="34"/>
  <c r="J933" i="34"/>
  <c r="J988" i="34"/>
  <c r="J860" i="34"/>
  <c r="J931" i="34"/>
  <c r="J842" i="34"/>
  <c r="J962" i="34"/>
  <c r="J946" i="34"/>
  <c r="J1002" i="34"/>
  <c r="G91" i="67"/>
  <c r="F52" i="65"/>
  <c r="J840" i="34"/>
  <c r="J887" i="34"/>
  <c r="J934" i="34"/>
  <c r="J901" i="34"/>
  <c r="J972" i="34"/>
  <c r="J844" i="34"/>
  <c r="J1043" i="34"/>
  <c r="J915" i="34"/>
  <c r="J898" i="34"/>
  <c r="J882" i="34"/>
  <c r="J938" i="34"/>
  <c r="J1033" i="34"/>
  <c r="J855" i="34"/>
  <c r="J902" i="34"/>
  <c r="J877" i="34"/>
  <c r="J964" i="34"/>
  <c r="J836" i="34"/>
  <c r="J1035" i="34"/>
  <c r="J907" i="34"/>
  <c r="J834" i="34"/>
  <c r="J1018" i="34"/>
  <c r="J874" i="34"/>
  <c r="J1058" i="34"/>
  <c r="F52" i="64"/>
  <c r="G90" i="67"/>
  <c r="G53" i="67"/>
  <c r="F83" i="68"/>
  <c r="J878" i="34"/>
  <c r="J1003" i="34"/>
  <c r="G83" i="67"/>
  <c r="I1049" i="34"/>
  <c r="I985" i="34"/>
  <c r="I921" i="34"/>
  <c r="I857" i="34"/>
  <c r="I1024" i="34"/>
  <c r="I960" i="34"/>
  <c r="I896" i="34"/>
  <c r="I832" i="34"/>
  <c r="I1031" i="34"/>
  <c r="I967" i="34"/>
  <c r="I903" i="34"/>
  <c r="I839" i="34"/>
  <c r="I1022" i="34"/>
  <c r="I958" i="34"/>
  <c r="I894" i="34"/>
  <c r="I830" i="34"/>
  <c r="I1045" i="34"/>
  <c r="I981" i="34"/>
  <c r="I917" i="34"/>
  <c r="I853" i="34"/>
  <c r="I1036" i="34"/>
  <c r="I972" i="34"/>
  <c r="I908" i="34"/>
  <c r="I844" i="34"/>
  <c r="I1011" i="34"/>
  <c r="I947" i="34"/>
  <c r="I883" i="34"/>
  <c r="I819" i="34"/>
  <c r="I954" i="34"/>
  <c r="I874" i="34"/>
  <c r="I1034" i="34"/>
  <c r="I986" i="34"/>
  <c r="J1032" i="34"/>
  <c r="J875" i="34"/>
  <c r="I1041" i="34"/>
  <c r="I977" i="34"/>
  <c r="I913" i="34"/>
  <c r="I849" i="34"/>
  <c r="I1016" i="34"/>
  <c r="I952" i="34"/>
  <c r="I888" i="34"/>
  <c r="I824" i="34"/>
  <c r="I1023" i="34"/>
  <c r="I959" i="34"/>
  <c r="I895" i="34"/>
  <c r="I831" i="34"/>
  <c r="I1014" i="34"/>
  <c r="I950" i="34"/>
  <c r="I886" i="34"/>
  <c r="I822" i="34"/>
  <c r="I1037" i="34"/>
  <c r="I973" i="34"/>
  <c r="I909" i="34"/>
  <c r="I845" i="34"/>
  <c r="I1028" i="34"/>
  <c r="I964" i="34"/>
  <c r="I900" i="34"/>
  <c r="I836" i="34"/>
  <c r="I1003" i="34"/>
  <c r="I939" i="34"/>
  <c r="I875" i="34"/>
  <c r="I890" i="34"/>
  <c r="I842" i="34"/>
  <c r="I922" i="34"/>
  <c r="J932" i="34"/>
  <c r="J858" i="34"/>
  <c r="F53" i="65"/>
  <c r="I1033" i="34"/>
  <c r="I969" i="34"/>
  <c r="I905" i="34"/>
  <c r="I841" i="34"/>
  <c r="I1008" i="34"/>
  <c r="I944" i="34"/>
  <c r="I880" i="34"/>
  <c r="I1015" i="34"/>
  <c r="I951" i="34"/>
  <c r="I887" i="34"/>
  <c r="I823" i="34"/>
  <c r="I1006" i="34"/>
  <c r="I942" i="34"/>
  <c r="I878" i="34"/>
  <c r="I1029" i="34"/>
  <c r="I965" i="34"/>
  <c r="I901" i="34"/>
  <c r="I837" i="34"/>
  <c r="I1020" i="34"/>
  <c r="I956" i="34"/>
  <c r="I892" i="34"/>
  <c r="I828" i="34"/>
  <c r="I995" i="34"/>
  <c r="I931" i="34"/>
  <c r="I867" i="34"/>
  <c r="I1026" i="34"/>
  <c r="I826" i="34"/>
  <c r="I1058" i="34"/>
  <c r="I858" i="34"/>
  <c r="I1025" i="34"/>
  <c r="I961" i="34"/>
  <c r="I897" i="34"/>
  <c r="I833" i="34"/>
  <c r="I1000" i="34"/>
  <c r="I936" i="34"/>
  <c r="I872" i="34"/>
  <c r="I1007" i="34"/>
  <c r="I943" i="34"/>
  <c r="I879" i="34"/>
  <c r="I998" i="34"/>
  <c r="I934" i="34"/>
  <c r="I870" i="34"/>
  <c r="I1021" i="34"/>
  <c r="I957" i="34"/>
  <c r="I893" i="34"/>
  <c r="I829" i="34"/>
  <c r="I1012" i="34"/>
  <c r="I948" i="34"/>
  <c r="I884" i="34"/>
  <c r="I820" i="34"/>
  <c r="I1051" i="34"/>
  <c r="I987" i="34"/>
  <c r="I923" i="34"/>
  <c r="I859" i="34"/>
  <c r="I962" i="34"/>
  <c r="I1010" i="34"/>
  <c r="I994" i="34"/>
  <c r="J1029" i="34"/>
  <c r="J954" i="34"/>
  <c r="I1017" i="34"/>
  <c r="I953" i="34"/>
  <c r="I889" i="34"/>
  <c r="I825" i="34"/>
  <c r="I1056" i="34"/>
  <c r="I992" i="34"/>
  <c r="I928" i="34"/>
  <c r="I864" i="34"/>
  <c r="I999" i="34"/>
  <c r="I935" i="34"/>
  <c r="I871" i="34"/>
  <c r="I1054" i="34"/>
  <c r="I990" i="34"/>
  <c r="I926" i="34"/>
  <c r="I862" i="34"/>
  <c r="I1013" i="34"/>
  <c r="I949" i="34"/>
  <c r="I885" i="34"/>
  <c r="I821" i="34"/>
  <c r="I1004" i="34"/>
  <c r="I940" i="34"/>
  <c r="I876" i="34"/>
  <c r="I1043" i="34"/>
  <c r="I979" i="34"/>
  <c r="I915" i="34"/>
  <c r="I851" i="34"/>
  <c r="I898" i="34"/>
  <c r="I946" i="34"/>
  <c r="I930" i="34"/>
  <c r="I970" i="34"/>
  <c r="I978" i="34"/>
  <c r="I906" i="34"/>
  <c r="J823" i="34"/>
  <c r="J869" i="34"/>
  <c r="F53" i="68"/>
  <c r="I1009" i="34"/>
  <c r="I945" i="34"/>
  <c r="I881" i="34"/>
  <c r="I1048" i="34"/>
  <c r="I984" i="34"/>
  <c r="I920" i="34"/>
  <c r="I856" i="34"/>
  <c r="I1055" i="34"/>
  <c r="I991" i="34"/>
  <c r="I927" i="34"/>
  <c r="I863" i="34"/>
  <c r="I1046" i="34"/>
  <c r="J1001" i="34"/>
  <c r="J994" i="34"/>
  <c r="G52" i="65"/>
  <c r="F91" i="68"/>
  <c r="I1001" i="34"/>
  <c r="I937" i="34"/>
  <c r="I873" i="34"/>
  <c r="I1040" i="34"/>
  <c r="I976" i="34"/>
  <c r="I912" i="34"/>
  <c r="I848" i="34"/>
  <c r="I1047" i="34"/>
  <c r="I983" i="34"/>
  <c r="I919" i="34"/>
  <c r="I855" i="34"/>
  <c r="I1038" i="34"/>
  <c r="I974" i="34"/>
  <c r="I910" i="34"/>
  <c r="I846" i="34"/>
  <c r="I997" i="34"/>
  <c r="I933" i="34"/>
  <c r="I869" i="34"/>
  <c r="I1052" i="34"/>
  <c r="I988" i="34"/>
  <c r="I924" i="34"/>
  <c r="I860" i="34"/>
  <c r="I1027" i="34"/>
  <c r="I963" i="34"/>
  <c r="I899" i="34"/>
  <c r="I835" i="34"/>
  <c r="I1002" i="34"/>
  <c r="I850" i="34"/>
  <c r="F53" i="26"/>
  <c r="F52" i="26"/>
  <c r="F52" i="68"/>
  <c r="I929" i="34"/>
  <c r="I966" i="34"/>
  <c r="I1053" i="34"/>
  <c r="I852" i="34"/>
  <c r="I955" i="34"/>
  <c r="I1018" i="34"/>
  <c r="F90" i="70"/>
  <c r="F52" i="70"/>
  <c r="G52" i="26"/>
  <c r="I865" i="34"/>
  <c r="I1039" i="34"/>
  <c r="I918" i="34"/>
  <c r="I1005" i="34"/>
  <c r="I907" i="34"/>
  <c r="I866" i="34"/>
  <c r="F91" i="69"/>
  <c r="F53" i="69"/>
  <c r="I975" i="34"/>
  <c r="I902" i="34"/>
  <c r="I989" i="34"/>
  <c r="I1044" i="34"/>
  <c r="I891" i="34"/>
  <c r="I938" i="34"/>
  <c r="G53" i="69"/>
  <c r="G83" i="69"/>
  <c r="G83" i="68"/>
  <c r="F83" i="69"/>
  <c r="F90" i="69"/>
  <c r="I904" i="34"/>
  <c r="I1030" i="34"/>
  <c r="G52" i="69"/>
  <c r="I840" i="34"/>
  <c r="G91" i="68"/>
  <c r="I911" i="34"/>
  <c r="I854" i="34"/>
  <c r="I941" i="34"/>
  <c r="I996" i="34"/>
  <c r="I843" i="34"/>
  <c r="F52" i="66"/>
  <c r="F91" i="70"/>
  <c r="G53" i="68"/>
  <c r="G52" i="68"/>
  <c r="F52" i="69"/>
  <c r="G52" i="64"/>
  <c r="G90" i="69"/>
  <c r="G90" i="68"/>
  <c r="I1019" i="34"/>
  <c r="F53" i="66"/>
  <c r="I868" i="34"/>
  <c r="G53" i="66"/>
  <c r="I1032" i="34"/>
  <c r="I847" i="34"/>
  <c r="I838" i="34"/>
  <c r="I925" i="34"/>
  <c r="I980" i="34"/>
  <c r="I827" i="34"/>
  <c r="G91" i="69"/>
  <c r="F83" i="70"/>
  <c r="G53" i="26"/>
  <c r="I861" i="34"/>
  <c r="I916" i="34"/>
  <c r="I914" i="34"/>
  <c r="G53" i="64"/>
  <c r="I968" i="34"/>
  <c r="I877" i="34"/>
  <c r="I932" i="34"/>
  <c r="I1035" i="34"/>
  <c r="I834" i="34"/>
  <c r="I882" i="34"/>
  <c r="I1050" i="34"/>
  <c r="I1042" i="34"/>
  <c r="I1057" i="34"/>
  <c r="I993" i="34"/>
  <c r="I982" i="34"/>
  <c r="I971" i="34"/>
  <c r="F53" i="70"/>
  <c r="D1172" i="19"/>
  <c r="D1168" i="19"/>
  <c r="E1190" i="19"/>
  <c r="E1180" i="19"/>
  <c r="D1163" i="19"/>
  <c r="D1162" i="19"/>
  <c r="D1190" i="19"/>
  <c r="E1186" i="19"/>
  <c r="E1189" i="19"/>
  <c r="E1171" i="19"/>
  <c r="D1181" i="19"/>
  <c r="D1180" i="19"/>
  <c r="E1163" i="19"/>
  <c r="E1169" i="19"/>
  <c r="D1171" i="19"/>
  <c r="D1160" i="19"/>
  <c r="E1172" i="19"/>
  <c r="E1187" i="19"/>
  <c r="E1181" i="19"/>
  <c r="D1187" i="19"/>
  <c r="D1189" i="19"/>
  <c r="E1162" i="19"/>
  <c r="E1159" i="19"/>
  <c r="D1159" i="19"/>
  <c r="E1160" i="19"/>
  <c r="D1177" i="19"/>
  <c r="D1169" i="19"/>
  <c r="E1178" i="19"/>
  <c r="D1186" i="19"/>
  <c r="E1168" i="19"/>
  <c r="E1177" i="19"/>
  <c r="D1178" i="19"/>
  <c r="J190" i="34"/>
  <c r="J189" i="34"/>
  <c r="J188" i="34"/>
  <c r="J187" i="34"/>
  <c r="G16" i="21"/>
  <c r="I189" i="34"/>
  <c r="I187" i="34"/>
  <c r="I188" i="34"/>
  <c r="F16" i="21"/>
  <c r="I190" i="34"/>
  <c r="E947" i="19"/>
  <c r="E949" i="19" s="1"/>
  <c r="E371" i="19"/>
  <c r="E373" i="19" s="1"/>
  <c r="E833" i="19"/>
  <c r="E835" i="19" s="1"/>
  <c r="E46" i="19"/>
  <c r="E48" i="19" s="1"/>
  <c r="E808" i="19"/>
  <c r="E810" i="19" s="1"/>
  <c r="E668" i="19"/>
  <c r="E670" i="19" s="1"/>
  <c r="E631" i="19"/>
  <c r="E633" i="19" s="1"/>
  <c r="E254" i="19"/>
  <c r="E256" i="19" s="1"/>
  <c r="E1105" i="19"/>
  <c r="E1107" i="19" s="1"/>
  <c r="E965" i="19"/>
  <c r="E967" i="19" s="1"/>
  <c r="E505" i="19"/>
  <c r="E507" i="19" s="1"/>
  <c r="E365" i="19"/>
  <c r="E367" i="19" s="1"/>
  <c r="E374" i="19"/>
  <c r="E376" i="19" s="1"/>
  <c r="E1124" i="19"/>
  <c r="E1126" i="19" s="1"/>
  <c r="E836" i="19"/>
  <c r="E838" i="19" s="1"/>
  <c r="E548" i="19"/>
  <c r="E550" i="19" s="1"/>
  <c r="E260" i="19"/>
  <c r="E262" i="19" s="1"/>
  <c r="E563" i="19"/>
  <c r="E565" i="19" s="1"/>
  <c r="E1139" i="19"/>
  <c r="E1141" i="19" s="1"/>
  <c r="E275" i="19"/>
  <c r="E277" i="19" s="1"/>
  <c r="J753" i="34"/>
  <c r="J767" i="34"/>
  <c r="J748" i="34"/>
  <c r="J755" i="34"/>
  <c r="E1142" i="19"/>
  <c r="E1144" i="19" s="1"/>
  <c r="G99" i="70" s="1"/>
  <c r="E811" i="19"/>
  <c r="E813" i="19" s="1"/>
  <c r="E683" i="19"/>
  <c r="E685" i="19" s="1"/>
  <c r="G72" i="69" s="1"/>
  <c r="E235" i="19"/>
  <c r="E237" i="19" s="1"/>
  <c r="E107" i="19"/>
  <c r="E109" i="19" s="1"/>
  <c r="G72" i="67" s="1"/>
  <c r="E910" i="19"/>
  <c r="E912" i="19" s="1"/>
  <c r="E545" i="19"/>
  <c r="E547" i="19" s="1"/>
  <c r="E532" i="19"/>
  <c r="E534" i="19" s="1"/>
  <c r="G99" i="64" s="1"/>
  <c r="E392" i="19"/>
  <c r="E394" i="19" s="1"/>
  <c r="E1118" i="19"/>
  <c r="E1120" i="19" s="1"/>
  <c r="E854" i="19"/>
  <c r="E856" i="19" s="1"/>
  <c r="G99" i="69" s="1"/>
  <c r="E343" i="19"/>
  <c r="E345" i="19" s="1"/>
  <c r="E1081" i="19"/>
  <c r="E1083" i="19" s="1"/>
  <c r="E941" i="19"/>
  <c r="E943" i="19" s="1"/>
  <c r="E229" i="19"/>
  <c r="E231" i="19" s="1"/>
  <c r="E89" i="19"/>
  <c r="E91" i="19" s="1"/>
  <c r="E802" i="19"/>
  <c r="E804" i="19" s="1"/>
  <c r="E674" i="19"/>
  <c r="E676" i="19" s="1"/>
  <c r="E925" i="19"/>
  <c r="E927" i="19" s="1"/>
  <c r="E637" i="19"/>
  <c r="E639" i="19" s="1"/>
  <c r="E349" i="19"/>
  <c r="E351" i="19" s="1"/>
  <c r="E61" i="19"/>
  <c r="E63" i="19" s="1"/>
  <c r="E628" i="19"/>
  <c r="E630" i="19" s="1"/>
  <c r="E1115" i="19"/>
  <c r="E1117" i="19" s="1"/>
  <c r="E251" i="19"/>
  <c r="E253" i="19" s="1"/>
  <c r="E827" i="19"/>
  <c r="E829" i="19" s="1"/>
  <c r="F21" i="67"/>
  <c r="J737" i="34"/>
  <c r="J768" i="34"/>
  <c r="J751" i="34"/>
  <c r="J766" i="34"/>
  <c r="J765" i="34"/>
  <c r="E799" i="19"/>
  <c r="E801" i="19" s="1"/>
  <c r="E671" i="19"/>
  <c r="E673" i="19" s="1"/>
  <c r="E95" i="19"/>
  <c r="E97" i="19" s="1"/>
  <c r="E898" i="19"/>
  <c r="E900" i="19" s="1"/>
  <c r="E634" i="19"/>
  <c r="E636" i="19" s="1"/>
  <c r="E269" i="19"/>
  <c r="E271" i="19" s="1"/>
  <c r="E520" i="19"/>
  <c r="E522" i="19" s="1"/>
  <c r="E842" i="19"/>
  <c r="E844" i="19" s="1"/>
  <c r="E67" i="19"/>
  <c r="E69" i="19" s="1"/>
  <c r="G72" i="26" s="1"/>
  <c r="E817" i="19"/>
  <c r="E819" i="19" s="1"/>
  <c r="E677" i="19"/>
  <c r="E679" i="19" s="1"/>
  <c r="E217" i="19"/>
  <c r="E219" i="19" s="1"/>
  <c r="E77" i="19"/>
  <c r="E79" i="19" s="1"/>
  <c r="E662" i="19"/>
  <c r="E664" i="19" s="1"/>
  <c r="E238" i="19"/>
  <c r="E240" i="19" s="1"/>
  <c r="E913" i="19"/>
  <c r="E915" i="19" s="1"/>
  <c r="E625" i="19"/>
  <c r="E627" i="19" s="1"/>
  <c r="E337" i="19"/>
  <c r="E339" i="19" s="1"/>
  <c r="E49" i="19"/>
  <c r="E51" i="19" s="1"/>
  <c r="E539" i="19"/>
  <c r="E541" i="19" s="1"/>
  <c r="E928" i="19"/>
  <c r="E930" i="19" s="1"/>
  <c r="F47" i="67"/>
  <c r="J760" i="34"/>
  <c r="J743" i="34"/>
  <c r="J758" i="34"/>
  <c r="J757" i="34"/>
  <c r="E659" i="19"/>
  <c r="E661" i="19" s="1"/>
  <c r="E83" i="19"/>
  <c r="E85" i="19" s="1"/>
  <c r="E622" i="19"/>
  <c r="E624" i="19" s="1"/>
  <c r="E257" i="19"/>
  <c r="E259" i="19" s="1"/>
  <c r="E1108" i="19"/>
  <c r="E1110" i="19" s="1"/>
  <c r="G99" i="66" s="1"/>
  <c r="E968" i="19"/>
  <c r="E970" i="19" s="1"/>
  <c r="E368" i="19"/>
  <c r="E370" i="19" s="1"/>
  <c r="E830" i="19"/>
  <c r="E832" i="19" s="1"/>
  <c r="E566" i="19"/>
  <c r="E568" i="19" s="1"/>
  <c r="G99" i="68" s="1"/>
  <c r="E55" i="19"/>
  <c r="E57" i="19" s="1"/>
  <c r="E805" i="19"/>
  <c r="E807" i="19" s="1"/>
  <c r="E665" i="19"/>
  <c r="E667" i="19" s="1"/>
  <c r="E1102" i="19"/>
  <c r="E1104" i="19" s="1"/>
  <c r="E650" i="19"/>
  <c r="E652" i="19" s="1"/>
  <c r="E226" i="19"/>
  <c r="E228" i="19" s="1"/>
  <c r="E98" i="19"/>
  <c r="E100" i="19" s="1"/>
  <c r="E901" i="19"/>
  <c r="E903" i="19" s="1"/>
  <c r="E613" i="19"/>
  <c r="E615" i="19" s="1"/>
  <c r="E325" i="19"/>
  <c r="E327" i="19" s="1"/>
  <c r="E37" i="19"/>
  <c r="E39" i="19" s="1"/>
  <c r="E640" i="19"/>
  <c r="E642" i="19" s="1"/>
  <c r="E352" i="19"/>
  <c r="E354" i="19" s="1"/>
  <c r="E839" i="19"/>
  <c r="E841" i="19" s="1"/>
  <c r="G47" i="70"/>
  <c r="J752" i="34"/>
  <c r="E1099" i="19"/>
  <c r="E1101" i="19" s="1"/>
  <c r="E971" i="19"/>
  <c r="E973" i="19" s="1"/>
  <c r="G72" i="70" s="1"/>
  <c r="E523" i="19"/>
  <c r="E525" i="19" s="1"/>
  <c r="E395" i="19"/>
  <c r="E397" i="19" s="1"/>
  <c r="G72" i="68" s="1"/>
  <c r="E1121" i="19"/>
  <c r="E1123" i="19" s="1"/>
  <c r="E334" i="19"/>
  <c r="E336" i="19" s="1"/>
  <c r="E1084" i="19"/>
  <c r="E1086" i="19" s="1"/>
  <c r="E944" i="19"/>
  <c r="E946" i="19" s="1"/>
  <c r="E232" i="19"/>
  <c r="E234" i="19" s="1"/>
  <c r="E919" i="19"/>
  <c r="E921" i="19" s="1"/>
  <c r="E542" i="19"/>
  <c r="E544" i="19" s="1"/>
  <c r="E278" i="19"/>
  <c r="E280" i="19" s="1"/>
  <c r="G99" i="67" s="1"/>
  <c r="E389" i="19"/>
  <c r="E391" i="19" s="1"/>
  <c r="E950" i="19"/>
  <c r="E952" i="19" s="1"/>
  <c r="E526" i="19"/>
  <c r="E528" i="19" s="1"/>
  <c r="E74" i="19"/>
  <c r="E76" i="19" s="1"/>
  <c r="J769" i="34"/>
  <c r="J764" i="34"/>
  <c r="J771" i="34"/>
  <c r="E1087" i="19"/>
  <c r="E1089" i="19" s="1"/>
  <c r="E959" i="19"/>
  <c r="E961" i="19" s="1"/>
  <c r="E383" i="19"/>
  <c r="E385" i="19" s="1"/>
  <c r="E845" i="19"/>
  <c r="E847" i="19" s="1"/>
  <c r="E322" i="19"/>
  <c r="E324" i="19" s="1"/>
  <c r="E58" i="19"/>
  <c r="E60" i="19" s="1"/>
  <c r="E820" i="19"/>
  <c r="E822" i="19" s="1"/>
  <c r="G99" i="65" s="1"/>
  <c r="E680" i="19"/>
  <c r="E682" i="19" s="1"/>
  <c r="E80" i="19"/>
  <c r="E82" i="19" s="1"/>
  <c r="E907" i="19"/>
  <c r="E909" i="19" s="1"/>
  <c r="E643" i="19"/>
  <c r="E645" i="19" s="1"/>
  <c r="G72" i="65" s="1"/>
  <c r="E266" i="19"/>
  <c r="E268" i="19" s="1"/>
  <c r="E517" i="19"/>
  <c r="E519" i="19" s="1"/>
  <c r="E377" i="19"/>
  <c r="E379" i="19" s="1"/>
  <c r="E938" i="19"/>
  <c r="E940" i="19" s="1"/>
  <c r="E514" i="19"/>
  <c r="E516" i="19" s="1"/>
  <c r="E386" i="19"/>
  <c r="E388" i="19" s="1"/>
  <c r="E1136" i="19"/>
  <c r="E1138" i="19" s="1"/>
  <c r="E848" i="19"/>
  <c r="E850" i="19" s="1"/>
  <c r="E560" i="19"/>
  <c r="E562" i="19" s="1"/>
  <c r="E272" i="19"/>
  <c r="E274" i="19" s="1"/>
  <c r="E904" i="19"/>
  <c r="E906" i="19" s="1"/>
  <c r="E616" i="19"/>
  <c r="E618" i="19" s="1"/>
  <c r="E851" i="19"/>
  <c r="E853" i="19" s="1"/>
  <c r="E916" i="19"/>
  <c r="E918" i="19" s="1"/>
  <c r="J761" i="34"/>
  <c r="J775" i="34"/>
  <c r="J756" i="34"/>
  <c r="J763" i="34"/>
  <c r="E557" i="19"/>
  <c r="E559" i="19" s="1"/>
  <c r="E796" i="19"/>
  <c r="E798" i="19" s="1"/>
  <c r="E1130" i="19"/>
  <c r="E1132" i="19" s="1"/>
  <c r="E814" i="19"/>
  <c r="E816" i="19" s="1"/>
  <c r="J744" i="34"/>
  <c r="J739" i="34"/>
  <c r="J746" i="34"/>
  <c r="G21" i="65"/>
  <c r="F47" i="64"/>
  <c r="E346" i="19"/>
  <c r="E348" i="19" s="1"/>
  <c r="E931" i="19"/>
  <c r="E933" i="19" s="1"/>
  <c r="G72" i="66" s="1"/>
  <c r="E86" i="19"/>
  <c r="E88" i="19" s="1"/>
  <c r="J759" i="34"/>
  <c r="E656" i="19"/>
  <c r="E658" i="19" s="1"/>
  <c r="E1093" i="19"/>
  <c r="E1095" i="19" s="1"/>
  <c r="E241" i="19"/>
  <c r="E243" i="19" s="1"/>
  <c r="E64" i="19"/>
  <c r="E66" i="19" s="1"/>
  <c r="J772" i="34"/>
  <c r="J762" i="34"/>
  <c r="F21" i="65"/>
  <c r="E1133" i="19"/>
  <c r="E1135" i="19" s="1"/>
  <c r="E551" i="19"/>
  <c r="E553" i="19" s="1"/>
  <c r="J773" i="34"/>
  <c r="J740" i="34"/>
  <c r="J738" i="34"/>
  <c r="F21" i="64"/>
  <c r="G21" i="67"/>
  <c r="E922" i="19"/>
  <c r="E924" i="19" s="1"/>
  <c r="E34" i="19"/>
  <c r="E36" i="19" s="1"/>
  <c r="E619" i="19"/>
  <c r="E621" i="19" s="1"/>
  <c r="E953" i="19"/>
  <c r="E955" i="19" s="1"/>
  <c r="E101" i="19"/>
  <c r="E103" i="19" s="1"/>
  <c r="G21" i="70"/>
  <c r="J774" i="34"/>
  <c r="J749" i="34"/>
  <c r="G47" i="66"/>
  <c r="E1096" i="19"/>
  <c r="E1098" i="19" s="1"/>
  <c r="E244" i="19"/>
  <c r="E246" i="19" s="1"/>
  <c r="G99" i="26" s="1"/>
  <c r="E554" i="19"/>
  <c r="E556" i="19" s="1"/>
  <c r="E793" i="19"/>
  <c r="E795" i="19" s="1"/>
  <c r="E1090" i="19"/>
  <c r="E1092" i="19" s="1"/>
  <c r="E1127" i="19"/>
  <c r="E1129" i="19" s="1"/>
  <c r="J750" i="34"/>
  <c r="J741" i="34"/>
  <c r="G47" i="65"/>
  <c r="E355" i="19"/>
  <c r="E357" i="19" s="1"/>
  <c r="G72" i="64" s="1"/>
  <c r="E362" i="19"/>
  <c r="E364" i="19" s="1"/>
  <c r="J742" i="34"/>
  <c r="G47" i="67"/>
  <c r="F47" i="68"/>
  <c r="G21" i="66"/>
  <c r="I768" i="34"/>
  <c r="I775" i="34"/>
  <c r="I766" i="34"/>
  <c r="I755" i="34"/>
  <c r="E610" i="19"/>
  <c r="E612" i="19" s="1"/>
  <c r="E263" i="19"/>
  <c r="E265" i="19" s="1"/>
  <c r="I760" i="34"/>
  <c r="I767" i="34"/>
  <c r="I758" i="34"/>
  <c r="I772" i="34"/>
  <c r="I747" i="34"/>
  <c r="E956" i="19"/>
  <c r="E958" i="19" s="1"/>
  <c r="J776" i="34"/>
  <c r="J747" i="34"/>
  <c r="J754" i="34"/>
  <c r="I752" i="34"/>
  <c r="I759" i="34"/>
  <c r="I750" i="34"/>
  <c r="I773" i="34"/>
  <c r="I764" i="34"/>
  <c r="I739" i="34"/>
  <c r="I746" i="34"/>
  <c r="E104" i="19"/>
  <c r="E106" i="19" s="1"/>
  <c r="I769" i="34"/>
  <c r="I744" i="34"/>
  <c r="I751" i="34"/>
  <c r="I742" i="34"/>
  <c r="I765" i="34"/>
  <c r="I756" i="34"/>
  <c r="I762" i="34"/>
  <c r="I761" i="34"/>
  <c r="I743" i="34"/>
  <c r="I757" i="34"/>
  <c r="I748" i="34"/>
  <c r="F47" i="26"/>
  <c r="E653" i="19"/>
  <c r="E655" i="19" s="1"/>
  <c r="I753" i="34"/>
  <c r="E962" i="19"/>
  <c r="E964" i="19" s="1"/>
  <c r="F21" i="68"/>
  <c r="I745" i="34"/>
  <c r="I741" i="34"/>
  <c r="I771" i="34"/>
  <c r="I770" i="34"/>
  <c r="J745" i="34"/>
  <c r="F47" i="65"/>
  <c r="I776" i="34"/>
  <c r="D1130" i="19"/>
  <c r="D1132" i="19" s="1"/>
  <c r="D619" i="19"/>
  <c r="D621" i="19" s="1"/>
  <c r="D1105" i="19"/>
  <c r="D1107" i="19" s="1"/>
  <c r="D965" i="19"/>
  <c r="D967" i="19" s="1"/>
  <c r="D505" i="19"/>
  <c r="D507" i="19" s="1"/>
  <c r="D802" i="19"/>
  <c r="D804" i="19" s="1"/>
  <c r="D674" i="19"/>
  <c r="D676" i="19" s="1"/>
  <c r="D811" i="19"/>
  <c r="D813" i="19" s="1"/>
  <c r="D683" i="19"/>
  <c r="D685" i="19" s="1"/>
  <c r="F72" i="69" s="1"/>
  <c r="D833" i="19"/>
  <c r="D835" i="19" s="1"/>
  <c r="D668" i="19"/>
  <c r="D670" i="19" s="1"/>
  <c r="D956" i="19"/>
  <c r="D958" i="19" s="1"/>
  <c r="D46" i="19"/>
  <c r="D48" i="19" s="1"/>
  <c r="D827" i="19"/>
  <c r="D829" i="19" s="1"/>
  <c r="D368" i="19"/>
  <c r="D370" i="19" s="1"/>
  <c r="D628" i="19"/>
  <c r="D630" i="19" s="1"/>
  <c r="D67" i="19"/>
  <c r="D69" i="19" s="1"/>
  <c r="F72" i="26" s="1"/>
  <c r="D820" i="19"/>
  <c r="D822" i="19" s="1"/>
  <c r="F99" i="65" s="1"/>
  <c r="D229" i="19"/>
  <c r="D231" i="19" s="1"/>
  <c r="D89" i="19"/>
  <c r="D91" i="19" s="1"/>
  <c r="D377" i="19"/>
  <c r="D379" i="19" s="1"/>
  <c r="D251" i="19"/>
  <c r="D253" i="19" s="1"/>
  <c r="D362" i="19"/>
  <c r="D364" i="19" s="1"/>
  <c r="D613" i="19"/>
  <c r="D615" i="19" s="1"/>
  <c r="D260" i="19"/>
  <c r="D262" i="19" s="1"/>
  <c r="D325" i="19"/>
  <c r="D327" i="19" s="1"/>
  <c r="I749" i="34"/>
  <c r="D1118" i="19"/>
  <c r="D1120" i="19" s="1"/>
  <c r="D854" i="19"/>
  <c r="D856" i="19" s="1"/>
  <c r="F99" i="69" s="1"/>
  <c r="D1093" i="19"/>
  <c r="D1095" i="19" s="1"/>
  <c r="D953" i="19"/>
  <c r="D955" i="19" s="1"/>
  <c r="D662" i="19"/>
  <c r="D664" i="19" s="1"/>
  <c r="D799" i="19"/>
  <c r="D801" i="19" s="1"/>
  <c r="D671" i="19"/>
  <c r="D673" i="19" s="1"/>
  <c r="D922" i="19"/>
  <c r="D924" i="19" s="1"/>
  <c r="D557" i="19"/>
  <c r="D559" i="19" s="1"/>
  <c r="D640" i="19"/>
  <c r="D642" i="19" s="1"/>
  <c r="D928" i="19"/>
  <c r="D930" i="19" s="1"/>
  <c r="D34" i="19"/>
  <c r="D36" i="19" s="1"/>
  <c r="D796" i="19"/>
  <c r="D798" i="19" s="1"/>
  <c r="D244" i="19"/>
  <c r="D246" i="19" s="1"/>
  <c r="F99" i="26" s="1"/>
  <c r="D104" i="19"/>
  <c r="D106" i="19" s="1"/>
  <c r="D563" i="19"/>
  <c r="D565" i="19" s="1"/>
  <c r="D55" i="19"/>
  <c r="D57" i="19" s="1"/>
  <c r="D217" i="19"/>
  <c r="D219" i="19" s="1"/>
  <c r="D77" i="19"/>
  <c r="D79" i="19" s="1"/>
  <c r="D352" i="19"/>
  <c r="D354" i="19" s="1"/>
  <c r="G21" i="68"/>
  <c r="I738" i="34"/>
  <c r="F47" i="66"/>
  <c r="D842" i="19"/>
  <c r="D844" i="19" s="1"/>
  <c r="D1081" i="19"/>
  <c r="D1083" i="19" s="1"/>
  <c r="D941" i="19"/>
  <c r="D943" i="19" s="1"/>
  <c r="D1102" i="19"/>
  <c r="D1104" i="19" s="1"/>
  <c r="D650" i="19"/>
  <c r="D652" i="19" s="1"/>
  <c r="D659" i="19"/>
  <c r="D661" i="19" s="1"/>
  <c r="D910" i="19"/>
  <c r="D912" i="19" s="1"/>
  <c r="D545" i="19"/>
  <c r="D547" i="19" s="1"/>
  <c r="D548" i="19"/>
  <c r="D550" i="19" s="1"/>
  <c r="D386" i="19"/>
  <c r="D388" i="19" s="1"/>
  <c r="D232" i="19"/>
  <c r="D234" i="19" s="1"/>
  <c r="D539" i="19"/>
  <c r="D541" i="19" s="1"/>
  <c r="D625" i="19"/>
  <c r="D627" i="19" s="1"/>
  <c r="D64" i="19"/>
  <c r="D66" i="19" s="1"/>
  <c r="D616" i="19"/>
  <c r="D618" i="19" s="1"/>
  <c r="D238" i="19"/>
  <c r="D240" i="19" s="1"/>
  <c r="D49" i="19"/>
  <c r="D51" i="19" s="1"/>
  <c r="D389" i="19"/>
  <c r="D391" i="19" s="1"/>
  <c r="G47" i="26"/>
  <c r="D919" i="19"/>
  <c r="D921" i="19" s="1"/>
  <c r="D1139" i="19"/>
  <c r="D1141" i="19" s="1"/>
  <c r="D1087" i="19"/>
  <c r="D1089" i="19" s="1"/>
  <c r="D610" i="19"/>
  <c r="D612" i="19" s="1"/>
  <c r="D107" i="19"/>
  <c r="D109" i="19" s="1"/>
  <c r="F72" i="67" s="1"/>
  <c r="D254" i="19"/>
  <c r="D256" i="19" s="1"/>
  <c r="D848" i="19"/>
  <c r="D850" i="19" s="1"/>
  <c r="D74" i="19"/>
  <c r="D76" i="19" s="1"/>
  <c r="F47" i="69"/>
  <c r="I763" i="34"/>
  <c r="D907" i="19"/>
  <c r="D909" i="19" s="1"/>
  <c r="D901" i="19"/>
  <c r="D903" i="19" s="1"/>
  <c r="D334" i="19"/>
  <c r="D336" i="19" s="1"/>
  <c r="D916" i="19"/>
  <c r="D918" i="19" s="1"/>
  <c r="D631" i="19"/>
  <c r="D633" i="19" s="1"/>
  <c r="D517" i="19"/>
  <c r="D519" i="19" s="1"/>
  <c r="D836" i="19"/>
  <c r="D838" i="19" s="1"/>
  <c r="D656" i="19"/>
  <c r="D658" i="19" s="1"/>
  <c r="D101" i="19"/>
  <c r="D103" i="19" s="1"/>
  <c r="D263" i="19"/>
  <c r="D265" i="19" s="1"/>
  <c r="D839" i="19"/>
  <c r="D841" i="19" s="1"/>
  <c r="F47" i="70"/>
  <c r="I737" i="34"/>
  <c r="I740" i="34"/>
  <c r="G47" i="69"/>
  <c r="D830" i="19"/>
  <c r="D832" i="19" s="1"/>
  <c r="D566" i="19"/>
  <c r="D568" i="19" s="1"/>
  <c r="F99" i="68" s="1"/>
  <c r="D817" i="19"/>
  <c r="D819" i="19" s="1"/>
  <c r="D677" i="19"/>
  <c r="D679" i="19" s="1"/>
  <c r="D1090" i="19"/>
  <c r="D1092" i="19" s="1"/>
  <c r="D962" i="19"/>
  <c r="D964" i="19" s="1"/>
  <c r="D898" i="19"/>
  <c r="D900" i="19" s="1"/>
  <c r="D634" i="19"/>
  <c r="D636" i="19" s="1"/>
  <c r="D371" i="19"/>
  <c r="D373" i="19" s="1"/>
  <c r="D269" i="19"/>
  <c r="D271" i="19" s="1"/>
  <c r="D80" i="19"/>
  <c r="D82" i="19" s="1"/>
  <c r="D278" i="19"/>
  <c r="D280" i="19" s="1"/>
  <c r="F99" i="67" s="1"/>
  <c r="D913" i="19"/>
  <c r="D915" i="19" s="1"/>
  <c r="D532" i="19"/>
  <c r="D534" i="19" s="1"/>
  <c r="F99" i="64" s="1"/>
  <c r="D226" i="19"/>
  <c r="D228" i="19" s="1"/>
  <c r="D98" i="19"/>
  <c r="D100" i="19" s="1"/>
  <c r="D904" i="19"/>
  <c r="D906" i="19" s="1"/>
  <c r="D551" i="19"/>
  <c r="D553" i="19" s="1"/>
  <c r="G47" i="68"/>
  <c r="G47" i="64"/>
  <c r="D793" i="19"/>
  <c r="D795" i="19" s="1"/>
  <c r="D938" i="19"/>
  <c r="D940" i="19" s="1"/>
  <c r="D959" i="19"/>
  <c r="D961" i="19" s="1"/>
  <c r="D1133" i="19"/>
  <c r="D1135" i="19" s="1"/>
  <c r="D235" i="19"/>
  <c r="D237" i="19" s="1"/>
  <c r="D346" i="19"/>
  <c r="D348" i="19" s="1"/>
  <c r="D383" i="19"/>
  <c r="D385" i="19" s="1"/>
  <c r="I774" i="34"/>
  <c r="I754" i="34"/>
  <c r="D643" i="19"/>
  <c r="D645" i="19" s="1"/>
  <c r="F72" i="65" s="1"/>
  <c r="D529" i="19"/>
  <c r="D531" i="19" s="1"/>
  <c r="D947" i="19"/>
  <c r="D949" i="19" s="1"/>
  <c r="D365" i="19"/>
  <c r="D367" i="19" s="1"/>
  <c r="D275" i="19"/>
  <c r="D277" i="19" s="1"/>
  <c r="D37" i="19"/>
  <c r="D39" i="19" s="1"/>
  <c r="G21" i="64"/>
  <c r="F21" i="26"/>
  <c r="G21" i="69"/>
  <c r="D1108" i="19"/>
  <c r="D1110" i="19" s="1"/>
  <c r="F99" i="66" s="1"/>
  <c r="D931" i="19"/>
  <c r="D933" i="19" s="1"/>
  <c r="F72" i="66" s="1"/>
  <c r="D554" i="19"/>
  <c r="D556" i="19" s="1"/>
  <c r="D805" i="19"/>
  <c r="D807" i="19" s="1"/>
  <c r="D665" i="19"/>
  <c r="D667" i="19" s="1"/>
  <c r="D950" i="19"/>
  <c r="D952" i="19" s="1"/>
  <c r="D526" i="19"/>
  <c r="D528" i="19" s="1"/>
  <c r="D1099" i="19"/>
  <c r="D1101" i="19" s="1"/>
  <c r="D971" i="19"/>
  <c r="D973" i="19" s="1"/>
  <c r="F72" i="70" s="1"/>
  <c r="D622" i="19"/>
  <c r="D624" i="19" s="1"/>
  <c r="D637" i="19"/>
  <c r="D639" i="19" s="1"/>
  <c r="D257" i="19"/>
  <c r="D259" i="19" s="1"/>
  <c r="D1136" i="19"/>
  <c r="D1138" i="19" s="1"/>
  <c r="D520" i="19"/>
  <c r="D522" i="19" s="1"/>
  <c r="D1124" i="19"/>
  <c r="D1126" i="19" s="1"/>
  <c r="D266" i="19"/>
  <c r="D268" i="19" s="1"/>
  <c r="D560" i="19"/>
  <c r="D562" i="19" s="1"/>
  <c r="D86" i="19"/>
  <c r="D88" i="19" s="1"/>
  <c r="D272" i="19"/>
  <c r="D274" i="19" s="1"/>
  <c r="D337" i="19"/>
  <c r="D339" i="19" s="1"/>
  <c r="D808" i="19"/>
  <c r="D810" i="19" s="1"/>
  <c r="F21" i="70"/>
  <c r="D1096" i="19"/>
  <c r="D1098" i="19" s="1"/>
  <c r="D542" i="19"/>
  <c r="D544" i="19" s="1"/>
  <c r="D653" i="19"/>
  <c r="D655" i="19" s="1"/>
  <c r="D514" i="19"/>
  <c r="D516" i="19" s="1"/>
  <c r="D944" i="19"/>
  <c r="D946" i="19" s="1"/>
  <c r="G21" i="26"/>
  <c r="D1084" i="19"/>
  <c r="D1086" i="19" s="1"/>
  <c r="D1127" i="19"/>
  <c r="D1129" i="19" s="1"/>
  <c r="D95" i="19"/>
  <c r="D97" i="19" s="1"/>
  <c r="D374" i="19"/>
  <c r="D376" i="19" s="1"/>
  <c r="D1115" i="19"/>
  <c r="D1117" i="19" s="1"/>
  <c r="D845" i="19"/>
  <c r="D847" i="19" s="1"/>
  <c r="D83" i="19"/>
  <c r="D85" i="19" s="1"/>
  <c r="D58" i="19"/>
  <c r="D60" i="19" s="1"/>
  <c r="D851" i="19"/>
  <c r="D853" i="19" s="1"/>
  <c r="D395" i="19"/>
  <c r="D397" i="19" s="1"/>
  <c r="F72" i="68" s="1"/>
  <c r="D392" i="19"/>
  <c r="D394" i="19" s="1"/>
  <c r="D349" i="19"/>
  <c r="D351" i="19" s="1"/>
  <c r="F21" i="69"/>
  <c r="J770" i="34"/>
  <c r="F21" i="66"/>
  <c r="D1121" i="19"/>
  <c r="D1123" i="19" s="1"/>
  <c r="D523" i="19"/>
  <c r="D525" i="19" s="1"/>
  <c r="D925" i="19"/>
  <c r="D927" i="19" s="1"/>
  <c r="D355" i="19"/>
  <c r="D357" i="19" s="1"/>
  <c r="F72" i="64" s="1"/>
  <c r="D1142" i="19"/>
  <c r="D1144" i="19" s="1"/>
  <c r="F99" i="70" s="1"/>
  <c r="D814" i="19"/>
  <c r="D816" i="19" s="1"/>
  <c r="D322" i="19"/>
  <c r="D324" i="19" s="1"/>
  <c r="D343" i="19"/>
  <c r="D345" i="19" s="1"/>
  <c r="D680" i="19"/>
  <c r="D682" i="19" s="1"/>
  <c r="D968" i="19"/>
  <c r="D970" i="19" s="1"/>
  <c r="D61" i="19"/>
  <c r="D63" i="19" s="1"/>
  <c r="E780" i="16"/>
  <c r="E612" i="16"/>
  <c r="E759" i="16"/>
  <c r="E667" i="16"/>
  <c r="E583" i="16"/>
  <c r="E814" i="16"/>
  <c r="E739" i="16"/>
  <c r="E647" i="16"/>
  <c r="E563" i="16"/>
  <c r="E785" i="16"/>
  <c r="E710" i="16"/>
  <c r="E637" i="16"/>
  <c r="E545" i="16"/>
  <c r="E784" i="16"/>
  <c r="E700" i="16"/>
  <c r="E617" i="16"/>
  <c r="E764" i="16"/>
  <c r="E680" i="16"/>
  <c r="E810" i="16"/>
  <c r="E726" i="16"/>
  <c r="E642" i="16"/>
  <c r="E605" i="16"/>
  <c r="E798" i="16"/>
  <c r="E706" i="16"/>
  <c r="D753" i="16"/>
  <c r="D661" i="16"/>
  <c r="D577" i="16"/>
  <c r="D816" i="16"/>
  <c r="D733" i="16"/>
  <c r="D649" i="16"/>
  <c r="D796" i="16"/>
  <c r="D712" i="16"/>
  <c r="D620" i="16"/>
  <c r="D778" i="16"/>
  <c r="D694" i="16"/>
  <c r="D602" i="16"/>
  <c r="D749" i="16"/>
  <c r="D674" i="16"/>
  <c r="D581" i="16"/>
  <c r="D829" i="16"/>
  <c r="D737" i="16"/>
  <c r="D653" i="16"/>
  <c r="D561" i="16"/>
  <c r="D811" i="16"/>
  <c r="D719" i="16"/>
  <c r="D635" i="16"/>
  <c r="D551" i="16"/>
  <c r="D827" i="16"/>
  <c r="D662" i="16"/>
  <c r="D619" i="16"/>
  <c r="E705" i="16"/>
  <c r="E676" i="16"/>
  <c r="E750" i="16"/>
  <c r="E721" i="16"/>
  <c r="E709" i="16"/>
  <c r="E607" i="16"/>
  <c r="E567" i="16"/>
  <c r="E549" i="16"/>
  <c r="D669" i="16"/>
  <c r="D741" i="16"/>
  <c r="D631" i="16"/>
  <c r="D711" i="16"/>
  <c r="D590" i="16"/>
  <c r="D580" i="16"/>
  <c r="E769" i="16"/>
  <c r="E677" i="16"/>
  <c r="E604" i="16"/>
  <c r="E824" i="16"/>
  <c r="E751" i="16"/>
  <c r="E648" i="16"/>
  <c r="E806" i="16"/>
  <c r="E730" i="16"/>
  <c r="E638" i="16"/>
  <c r="E554" i="16"/>
  <c r="E777" i="16"/>
  <c r="E701" i="16"/>
  <c r="E618" i="16"/>
  <c r="E765" i="16"/>
  <c r="E692" i="16"/>
  <c r="E608" i="16"/>
  <c r="E755" i="16"/>
  <c r="E671" i="16"/>
  <c r="E799" i="16"/>
  <c r="E707" i="16"/>
  <c r="E634" i="16"/>
  <c r="E817" i="16"/>
  <c r="E633" i="16"/>
  <c r="D826" i="16"/>
  <c r="D742" i="16"/>
  <c r="D650" i="16"/>
  <c r="D566" i="16"/>
  <c r="D808" i="16"/>
  <c r="D724" i="16"/>
  <c r="D640" i="16"/>
  <c r="D565" i="16"/>
  <c r="D787" i="16"/>
  <c r="D704" i="16"/>
  <c r="D611" i="16"/>
  <c r="D767" i="16"/>
  <c r="D683" i="16"/>
  <c r="D591" i="16"/>
  <c r="D822" i="16"/>
  <c r="D738" i="16"/>
  <c r="D665" i="16"/>
  <c r="D573" i="16"/>
  <c r="D821" i="16"/>
  <c r="D728" i="16"/>
  <c r="D645" i="16"/>
  <c r="D552" i="16"/>
  <c r="D800" i="16"/>
  <c r="D708" i="16"/>
  <c r="D624" i="16"/>
  <c r="D791" i="16"/>
  <c r="D754" i="16"/>
  <c r="D587" i="16"/>
  <c r="E720" i="16"/>
  <c r="E616" i="16"/>
  <c r="E578" i="16"/>
  <c r="E622" i="16"/>
  <c r="D770" i="16"/>
  <c r="D668" i="16"/>
  <c r="D639" i="16"/>
  <c r="D795" i="16"/>
  <c r="D766" i="16"/>
  <c r="D736" i="16"/>
  <c r="D763" i="16"/>
  <c r="E788" i="16"/>
  <c r="E768" i="16"/>
  <c r="E592" i="16"/>
  <c r="E666" i="16"/>
  <c r="E553" i="16"/>
  <c r="E625" i="16"/>
  <c r="E691" i="16"/>
  <c r="E651" i="16"/>
  <c r="E781" i="16"/>
  <c r="D762" i="16"/>
  <c r="D825" i="16"/>
  <c r="D807" i="16"/>
  <c r="D786" i="16"/>
  <c r="D757" i="16"/>
  <c r="D748" i="16"/>
  <c r="D727" i="16"/>
  <c r="D690" i="16"/>
  <c r="E752" i="16"/>
  <c r="E668" i="16"/>
  <c r="E593" i="16"/>
  <c r="E815" i="16"/>
  <c r="E740" i="16"/>
  <c r="E639" i="16"/>
  <c r="E564" i="16"/>
  <c r="E795" i="16"/>
  <c r="E722" i="16"/>
  <c r="E619" i="16"/>
  <c r="E766" i="16"/>
  <c r="E693" i="16"/>
  <c r="E609" i="16"/>
  <c r="E756" i="16"/>
  <c r="E681" i="16"/>
  <c r="E828" i="16"/>
  <c r="E736" i="16"/>
  <c r="E663" i="16"/>
  <c r="E791" i="16"/>
  <c r="E698" i="16"/>
  <c r="E623" i="16"/>
  <c r="E742" i="16"/>
  <c r="E650" i="16"/>
  <c r="E558" i="16"/>
  <c r="D817" i="16"/>
  <c r="D734" i="16"/>
  <c r="D641" i="16"/>
  <c r="D558" i="16"/>
  <c r="D797" i="16"/>
  <c r="D713" i="16"/>
  <c r="D632" i="16"/>
  <c r="D548" i="16"/>
  <c r="D779" i="16"/>
  <c r="D695" i="16"/>
  <c r="D603" i="16"/>
  <c r="D758" i="16"/>
  <c r="D675" i="16"/>
  <c r="D582" i="16"/>
  <c r="D813" i="16"/>
  <c r="D729" i="16"/>
  <c r="D654" i="16"/>
  <c r="D562" i="16"/>
  <c r="D812" i="16"/>
  <c r="D720" i="16"/>
  <c r="D636" i="16"/>
  <c r="D544" i="16"/>
  <c r="D792" i="16"/>
  <c r="D699" i="16"/>
  <c r="D616" i="16"/>
  <c r="D642" i="16"/>
  <c r="D771" i="16"/>
  <c r="D679" i="16"/>
  <c r="D799" i="16"/>
  <c r="D751" i="16"/>
  <c r="D806" i="16"/>
  <c r="D701" i="16"/>
  <c r="D692" i="16"/>
  <c r="D755" i="16"/>
  <c r="D595" i="16"/>
  <c r="E797" i="16"/>
  <c r="E603" i="16"/>
  <c r="E582" i="16"/>
  <c r="E654" i="16"/>
  <c r="E812" i="16"/>
  <c r="E699" i="16"/>
  <c r="E662" i="16"/>
  <c r="E566" i="16"/>
  <c r="E825" i="16"/>
  <c r="E741" i="16"/>
  <c r="E660" i="16"/>
  <c r="E584" i="16"/>
  <c r="E807" i="16"/>
  <c r="E723" i="16"/>
  <c r="E631" i="16"/>
  <c r="E555" i="16"/>
  <c r="E786" i="16"/>
  <c r="E711" i="16"/>
  <c r="E610" i="16"/>
  <c r="E757" i="16"/>
  <c r="E682" i="16"/>
  <c r="E590" i="16"/>
  <c r="E748" i="16"/>
  <c r="E664" i="16"/>
  <c r="E580" i="16"/>
  <c r="E820" i="16"/>
  <c r="E727" i="16"/>
  <c r="E652" i="16"/>
  <c r="E782" i="16"/>
  <c r="E690" i="16"/>
  <c r="E606" i="16"/>
  <c r="E762" i="16"/>
  <c r="E669" i="16"/>
  <c r="E577" i="16"/>
  <c r="D809" i="16"/>
  <c r="D633" i="16"/>
  <c r="D549" i="16"/>
  <c r="D788" i="16"/>
  <c r="D705" i="16"/>
  <c r="D621" i="16"/>
  <c r="D768" i="16"/>
  <c r="D676" i="16"/>
  <c r="D592" i="16"/>
  <c r="D823" i="16"/>
  <c r="D750" i="16"/>
  <c r="D666" i="16"/>
  <c r="D574" i="16"/>
  <c r="D794" i="16"/>
  <c r="D721" i="16"/>
  <c r="D646" i="16"/>
  <c r="D553" i="16"/>
  <c r="D793" i="16"/>
  <c r="D709" i="16"/>
  <c r="D625" i="16"/>
  <c r="D783" i="16"/>
  <c r="D691" i="16"/>
  <c r="D607" i="16"/>
  <c r="D698" i="16"/>
  <c r="D606" i="16"/>
  <c r="D726" i="16"/>
  <c r="D781" i="16"/>
  <c r="D769" i="16"/>
  <c r="D604" i="16"/>
  <c r="D554" i="16"/>
  <c r="E816" i="16"/>
  <c r="E733" i="16"/>
  <c r="E649" i="16"/>
  <c r="E796" i="16"/>
  <c r="E712" i="16"/>
  <c r="E620" i="16"/>
  <c r="E778" i="16"/>
  <c r="E694" i="16"/>
  <c r="E602" i="16"/>
  <c r="E749" i="16"/>
  <c r="E674" i="16"/>
  <c r="E581" i="16"/>
  <c r="E829" i="16"/>
  <c r="E737" i="16"/>
  <c r="E653" i="16"/>
  <c r="E561" i="16"/>
  <c r="E811" i="16"/>
  <c r="E719" i="16"/>
  <c r="E635" i="16"/>
  <c r="E551" i="16"/>
  <c r="E771" i="16"/>
  <c r="E679" i="16"/>
  <c r="E595" i="16"/>
  <c r="E613" i="16"/>
  <c r="E594" i="16"/>
  <c r="E770" i="16"/>
  <c r="D798" i="16"/>
  <c r="D706" i="16"/>
  <c r="D622" i="16"/>
  <c r="D780" i="16"/>
  <c r="D612" i="16"/>
  <c r="D759" i="16"/>
  <c r="D667" i="16"/>
  <c r="D583" i="16"/>
  <c r="D814" i="16"/>
  <c r="D739" i="16"/>
  <c r="D647" i="16"/>
  <c r="D563" i="16"/>
  <c r="D785" i="16"/>
  <c r="D710" i="16"/>
  <c r="D637" i="16"/>
  <c r="D545" i="16"/>
  <c r="D784" i="16"/>
  <c r="D700" i="16"/>
  <c r="D617" i="16"/>
  <c r="D764" i="16"/>
  <c r="D680" i="16"/>
  <c r="D596" i="16"/>
  <c r="D623" i="16"/>
  <c r="D670" i="16"/>
  <c r="D651" i="16"/>
  <c r="D613" i="16"/>
  <c r="D824" i="16"/>
  <c r="D730" i="16"/>
  <c r="D777" i="16"/>
  <c r="D765" i="16"/>
  <c r="D671" i="16"/>
  <c r="D578" i="16"/>
  <c r="E713" i="16"/>
  <c r="E548" i="16"/>
  <c r="E695" i="16"/>
  <c r="E675" i="16"/>
  <c r="E729" i="16"/>
  <c r="E636" i="16"/>
  <c r="E792" i="16"/>
  <c r="E734" i="16"/>
  <c r="D605" i="16"/>
  <c r="D593" i="16"/>
  <c r="D740" i="16"/>
  <c r="D722" i="16"/>
  <c r="D693" i="16"/>
  <c r="D756" i="16"/>
  <c r="D828" i="16"/>
  <c r="D707" i="16"/>
  <c r="E621" i="16"/>
  <c r="E574" i="16"/>
  <c r="E646" i="16"/>
  <c r="E735" i="16"/>
  <c r="E661" i="16"/>
  <c r="D660" i="16"/>
  <c r="D555" i="16"/>
  <c r="D820" i="16"/>
  <c r="D634" i="16"/>
  <c r="E808" i="16"/>
  <c r="E724" i="16"/>
  <c r="E640" i="16"/>
  <c r="E565" i="16"/>
  <c r="E787" i="16"/>
  <c r="E704" i="16"/>
  <c r="E611" i="16"/>
  <c r="E767" i="16"/>
  <c r="E683" i="16"/>
  <c r="E591" i="16"/>
  <c r="E822" i="16"/>
  <c r="E738" i="16"/>
  <c r="E665" i="16"/>
  <c r="E573" i="16"/>
  <c r="E821" i="16"/>
  <c r="E728" i="16"/>
  <c r="E645" i="16"/>
  <c r="E552" i="16"/>
  <c r="E800" i="16"/>
  <c r="E708" i="16"/>
  <c r="E624" i="16"/>
  <c r="E763" i="16"/>
  <c r="E670" i="16"/>
  <c r="E587" i="16"/>
  <c r="E826" i="16"/>
  <c r="E809" i="16"/>
  <c r="E641" i="16"/>
  <c r="E697" i="16"/>
  <c r="D697" i="16"/>
  <c r="D677" i="16"/>
  <c r="D648" i="16"/>
  <c r="D638" i="16"/>
  <c r="D618" i="16"/>
  <c r="D608" i="16"/>
  <c r="D782" i="16"/>
  <c r="E632" i="16"/>
  <c r="E779" i="16"/>
  <c r="E758" i="16"/>
  <c r="E813" i="16"/>
  <c r="E562" i="16"/>
  <c r="E544" i="16"/>
  <c r="E754" i="16"/>
  <c r="E753" i="16"/>
  <c r="D678" i="16"/>
  <c r="D752" i="16"/>
  <c r="D815" i="16"/>
  <c r="D564" i="16"/>
  <c r="D609" i="16"/>
  <c r="D681" i="16"/>
  <c r="D663" i="16"/>
  <c r="D810" i="16"/>
  <c r="E823" i="16"/>
  <c r="E794" i="16"/>
  <c r="E793" i="16"/>
  <c r="E783" i="16"/>
  <c r="E827" i="16"/>
  <c r="E678" i="16"/>
  <c r="D594" i="16"/>
  <c r="D584" i="16"/>
  <c r="D723" i="16"/>
  <c r="D610" i="16"/>
  <c r="D682" i="16"/>
  <c r="D664" i="16"/>
  <c r="D652" i="16"/>
  <c r="D735" i="16"/>
  <c r="J472" i="34"/>
  <c r="J481" i="34"/>
  <c r="J473" i="34"/>
  <c r="J471" i="34"/>
  <c r="J485" i="34"/>
  <c r="J477" i="34"/>
  <c r="J479" i="34"/>
  <c r="J470" i="34"/>
  <c r="D273" i="16"/>
  <c r="D52" i="19" s="1"/>
  <c r="D54" i="19" s="1"/>
  <c r="J476" i="34"/>
  <c r="D278" i="16"/>
  <c r="D274" i="16"/>
  <c r="D696" i="16" s="1"/>
  <c r="J483" i="34"/>
  <c r="J474" i="34"/>
  <c r="J475" i="34"/>
  <c r="D279" i="16"/>
  <c r="D380" i="19" s="1"/>
  <c r="D382" i="19" s="1"/>
  <c r="I481" i="34"/>
  <c r="I472" i="34"/>
  <c r="I477" i="34"/>
  <c r="I473" i="34"/>
  <c r="I470" i="34"/>
  <c r="I483" i="34"/>
  <c r="I479" i="34"/>
  <c r="I485" i="34"/>
  <c r="E279" i="16"/>
  <c r="E380" i="19" s="1"/>
  <c r="E382" i="19" s="1"/>
  <c r="I471" i="34"/>
  <c r="I476" i="34"/>
  <c r="I474" i="34"/>
  <c r="E274" i="16"/>
  <c r="E696" i="16" s="1"/>
  <c r="I475" i="34"/>
  <c r="E273" i="16"/>
  <c r="E278" i="16"/>
  <c r="G42" i="70"/>
  <c r="G94" i="70" s="1"/>
  <c r="G45" i="70"/>
  <c r="G97" i="70" s="1"/>
  <c r="F45" i="67"/>
  <c r="F97" i="67" s="1"/>
  <c r="J689" i="34"/>
  <c r="J720" i="34"/>
  <c r="J656" i="34"/>
  <c r="J703" i="34"/>
  <c r="J718" i="34"/>
  <c r="J654" i="34"/>
  <c r="J717" i="34"/>
  <c r="J653" i="34"/>
  <c r="J684" i="34"/>
  <c r="J691" i="34"/>
  <c r="J722" i="34"/>
  <c r="G13" i="70"/>
  <c r="G64" i="70" s="1"/>
  <c r="J673" i="34"/>
  <c r="J704" i="34"/>
  <c r="J687" i="34"/>
  <c r="J702" i="34"/>
  <c r="J701" i="34"/>
  <c r="G43" i="70"/>
  <c r="G95" i="70" s="1"/>
  <c r="F41" i="67"/>
  <c r="F93" i="67" s="1"/>
  <c r="F13" i="67"/>
  <c r="F64" i="67" s="1"/>
  <c r="J729" i="34"/>
  <c r="J665" i="34"/>
  <c r="J696" i="34"/>
  <c r="J679" i="34"/>
  <c r="J694" i="34"/>
  <c r="J693" i="34"/>
  <c r="J724" i="34"/>
  <c r="J660" i="34"/>
  <c r="J731" i="34"/>
  <c r="J667" i="34"/>
  <c r="G10" i="70"/>
  <c r="G61" i="70" s="1"/>
  <c r="G41" i="70"/>
  <c r="G93" i="70" s="1"/>
  <c r="F43" i="67"/>
  <c r="F95" i="67" s="1"/>
  <c r="F10" i="67"/>
  <c r="F61" i="67" s="1"/>
  <c r="F14" i="67"/>
  <c r="F65" i="67" s="1"/>
  <c r="J721" i="34"/>
  <c r="J657" i="34"/>
  <c r="J688" i="34"/>
  <c r="J735" i="34"/>
  <c r="J671" i="34"/>
  <c r="G44" i="70"/>
  <c r="G96" i="70" s="1"/>
  <c r="G14" i="70"/>
  <c r="G65" i="70" s="1"/>
  <c r="G15" i="70"/>
  <c r="G66" i="70" s="1"/>
  <c r="F42" i="67"/>
  <c r="F94" i="67" s="1"/>
  <c r="F11" i="67"/>
  <c r="F62" i="67" s="1"/>
  <c r="J705" i="34"/>
  <c r="J736" i="34"/>
  <c r="J672" i="34"/>
  <c r="J719" i="34"/>
  <c r="J655" i="34"/>
  <c r="J734" i="34"/>
  <c r="J670" i="34"/>
  <c r="J733" i="34"/>
  <c r="J669" i="34"/>
  <c r="J700" i="34"/>
  <c r="J707" i="34"/>
  <c r="G11" i="70"/>
  <c r="G62" i="70" s="1"/>
  <c r="F15" i="67"/>
  <c r="F66" i="67" s="1"/>
  <c r="J697" i="34"/>
  <c r="J728" i="34"/>
  <c r="J664" i="34"/>
  <c r="J711" i="34"/>
  <c r="J726" i="34"/>
  <c r="J662" i="34"/>
  <c r="J725" i="34"/>
  <c r="J661" i="34"/>
  <c r="J692" i="34"/>
  <c r="J699" i="34"/>
  <c r="J713" i="34"/>
  <c r="J686" i="34"/>
  <c r="J677" i="34"/>
  <c r="J668" i="34"/>
  <c r="J706" i="34"/>
  <c r="J690" i="34"/>
  <c r="G41" i="65"/>
  <c r="G93" i="65" s="1"/>
  <c r="F10" i="64"/>
  <c r="F61" i="64" s="1"/>
  <c r="G45" i="67"/>
  <c r="G97" i="67" s="1"/>
  <c r="G44" i="67"/>
  <c r="G96" i="67" s="1"/>
  <c r="G14" i="67"/>
  <c r="G65" i="67" s="1"/>
  <c r="F12" i="65"/>
  <c r="F63" i="65" s="1"/>
  <c r="F11" i="65"/>
  <c r="F62" i="65" s="1"/>
  <c r="F42" i="68"/>
  <c r="F94" i="68" s="1"/>
  <c r="G14" i="66"/>
  <c r="G65" i="66" s="1"/>
  <c r="G13" i="66"/>
  <c r="G64" i="66" s="1"/>
  <c r="J681" i="34"/>
  <c r="J712" i="34"/>
  <c r="J678" i="34"/>
  <c r="J652" i="34"/>
  <c r="J723" i="34"/>
  <c r="J682" i="34"/>
  <c r="G12" i="70"/>
  <c r="G63" i="70" s="1"/>
  <c r="J680" i="34"/>
  <c r="J727" i="34"/>
  <c r="J715" i="34"/>
  <c r="G44" i="65"/>
  <c r="G96" i="65" s="1"/>
  <c r="F15" i="64"/>
  <c r="F66" i="64" s="1"/>
  <c r="G42" i="67"/>
  <c r="G94" i="67" s="1"/>
  <c r="F42" i="65"/>
  <c r="F94" i="65" s="1"/>
  <c r="F41" i="68"/>
  <c r="F93" i="68" s="1"/>
  <c r="F15" i="68"/>
  <c r="F66" i="68" s="1"/>
  <c r="F10" i="68"/>
  <c r="F61" i="68" s="1"/>
  <c r="G43" i="66"/>
  <c r="G95" i="66" s="1"/>
  <c r="G12" i="66"/>
  <c r="G63" i="66" s="1"/>
  <c r="J695" i="34"/>
  <c r="J683" i="34"/>
  <c r="J658" i="34"/>
  <c r="J698" i="34"/>
  <c r="G10" i="65"/>
  <c r="G61" i="65" s="1"/>
  <c r="G42" i="65"/>
  <c r="G94" i="65" s="1"/>
  <c r="F45" i="64"/>
  <c r="F97" i="64" s="1"/>
  <c r="F14" i="64"/>
  <c r="F65" i="64" s="1"/>
  <c r="G11" i="67"/>
  <c r="G62" i="67" s="1"/>
  <c r="G10" i="67"/>
  <c r="G61" i="67" s="1"/>
  <c r="G15" i="67"/>
  <c r="G66" i="67" s="1"/>
  <c r="F13" i="65"/>
  <c r="F64" i="65" s="1"/>
  <c r="J663" i="34"/>
  <c r="J732" i="34"/>
  <c r="J675" i="34"/>
  <c r="J674" i="34"/>
  <c r="J666" i="34"/>
  <c r="G45" i="65"/>
  <c r="G97" i="65" s="1"/>
  <c r="F13" i="64"/>
  <c r="F64" i="64" s="1"/>
  <c r="F11" i="64"/>
  <c r="F62" i="64" s="1"/>
  <c r="G13" i="67"/>
  <c r="G64" i="67" s="1"/>
  <c r="G12" i="67"/>
  <c r="G63" i="67" s="1"/>
  <c r="F44" i="65"/>
  <c r="F96" i="65" s="1"/>
  <c r="F43" i="65"/>
  <c r="F95" i="65" s="1"/>
  <c r="F43" i="68"/>
  <c r="F95" i="68" s="1"/>
  <c r="G15" i="66"/>
  <c r="G66" i="66" s="1"/>
  <c r="F12" i="67"/>
  <c r="F63" i="67" s="1"/>
  <c r="J716" i="34"/>
  <c r="J659" i="34"/>
  <c r="J730" i="34"/>
  <c r="G14" i="65"/>
  <c r="G65" i="65" s="1"/>
  <c r="J709" i="34"/>
  <c r="J708" i="34"/>
  <c r="J651" i="34"/>
  <c r="J714" i="34"/>
  <c r="G12" i="65"/>
  <c r="G63" i="65" s="1"/>
  <c r="G11" i="65"/>
  <c r="G62" i="65" s="1"/>
  <c r="F43" i="64"/>
  <c r="F95" i="64" s="1"/>
  <c r="F45" i="65"/>
  <c r="F97" i="65" s="1"/>
  <c r="F13" i="68"/>
  <c r="F64" i="68" s="1"/>
  <c r="G10" i="66"/>
  <c r="G61" i="66" s="1"/>
  <c r="G42" i="66"/>
  <c r="G94" i="66" s="1"/>
  <c r="G43" i="67"/>
  <c r="G95" i="67" s="1"/>
  <c r="F10" i="65"/>
  <c r="F61" i="65" s="1"/>
  <c r="G45" i="66"/>
  <c r="G97" i="66" s="1"/>
  <c r="I729" i="34"/>
  <c r="I665" i="34"/>
  <c r="I704" i="34"/>
  <c r="I711" i="34"/>
  <c r="I702" i="34"/>
  <c r="I725" i="34"/>
  <c r="I661" i="34"/>
  <c r="I716" i="34"/>
  <c r="I652" i="34"/>
  <c r="I691" i="34"/>
  <c r="I690" i="34"/>
  <c r="I674" i="34"/>
  <c r="I722" i="34"/>
  <c r="F13" i="26"/>
  <c r="F64" i="26" s="1"/>
  <c r="J710" i="34"/>
  <c r="F44" i="64"/>
  <c r="F96" i="64" s="1"/>
  <c r="F45" i="68"/>
  <c r="F97" i="68" s="1"/>
  <c r="G11" i="66"/>
  <c r="G62" i="66" s="1"/>
  <c r="I721" i="34"/>
  <c r="I657" i="34"/>
  <c r="I696" i="34"/>
  <c r="I703" i="34"/>
  <c r="I694" i="34"/>
  <c r="I717" i="34"/>
  <c r="I653" i="34"/>
  <c r="I708" i="34"/>
  <c r="I683" i="34"/>
  <c r="I658" i="34"/>
  <c r="J650" i="34"/>
  <c r="F12" i="64"/>
  <c r="F63" i="64" s="1"/>
  <c r="F14" i="68"/>
  <c r="F65" i="68" s="1"/>
  <c r="F12" i="68"/>
  <c r="F63" i="68" s="1"/>
  <c r="G41" i="66"/>
  <c r="G93" i="66" s="1"/>
  <c r="I713" i="34"/>
  <c r="I688" i="34"/>
  <c r="I695" i="34"/>
  <c r="I686" i="34"/>
  <c r="I709" i="34"/>
  <c r="I700" i="34"/>
  <c r="I675" i="34"/>
  <c r="F15" i="26"/>
  <c r="F66" i="26" s="1"/>
  <c r="F41" i="65"/>
  <c r="F93" i="65" s="1"/>
  <c r="F44" i="68"/>
  <c r="F96" i="68" s="1"/>
  <c r="G44" i="66"/>
  <c r="G96" i="66" s="1"/>
  <c r="I705" i="34"/>
  <c r="I680" i="34"/>
  <c r="I687" i="34"/>
  <c r="I678" i="34"/>
  <c r="I701" i="34"/>
  <c r="I692" i="34"/>
  <c r="I731" i="34"/>
  <c r="I667" i="34"/>
  <c r="I682" i="34"/>
  <c r="J676" i="34"/>
  <c r="G43" i="65"/>
  <c r="G95" i="65" s="1"/>
  <c r="F41" i="64"/>
  <c r="F93" i="64" s="1"/>
  <c r="G41" i="67"/>
  <c r="G93" i="67" s="1"/>
  <c r="F11" i="68"/>
  <c r="F62" i="68" s="1"/>
  <c r="I697" i="34"/>
  <c r="I736" i="34"/>
  <c r="I672" i="34"/>
  <c r="I679" i="34"/>
  <c r="I734" i="34"/>
  <c r="I670" i="34"/>
  <c r="I693" i="34"/>
  <c r="I684" i="34"/>
  <c r="I723" i="34"/>
  <c r="I659" i="34"/>
  <c r="I698" i="34"/>
  <c r="I730" i="34"/>
  <c r="I714" i="34"/>
  <c r="F44" i="67"/>
  <c r="F96" i="67" s="1"/>
  <c r="F15" i="65"/>
  <c r="F66" i="65" s="1"/>
  <c r="I689" i="34"/>
  <c r="I728" i="34"/>
  <c r="I664" i="34"/>
  <c r="I735" i="34"/>
  <c r="I671" i="34"/>
  <c r="J685" i="34"/>
  <c r="G13" i="65"/>
  <c r="G64" i="65" s="1"/>
  <c r="I681" i="34"/>
  <c r="I720" i="34"/>
  <c r="I656" i="34"/>
  <c r="I727" i="34"/>
  <c r="I663" i="34"/>
  <c r="I718" i="34"/>
  <c r="I654" i="34"/>
  <c r="I677" i="34"/>
  <c r="I732" i="34"/>
  <c r="I668" i="34"/>
  <c r="I707" i="34"/>
  <c r="I650" i="34"/>
  <c r="F45" i="26"/>
  <c r="F97" i="26" s="1"/>
  <c r="F42" i="64"/>
  <c r="F94" i="64" s="1"/>
  <c r="I710" i="34"/>
  <c r="I699" i="34"/>
  <c r="F42" i="26"/>
  <c r="F94" i="26" s="1"/>
  <c r="F14" i="26"/>
  <c r="F65" i="26" s="1"/>
  <c r="F12" i="26"/>
  <c r="F63" i="26" s="1"/>
  <c r="F45" i="66"/>
  <c r="F97" i="66" s="1"/>
  <c r="G44" i="69"/>
  <c r="G96" i="69" s="1"/>
  <c r="G14" i="69"/>
  <c r="G65" i="69" s="1"/>
  <c r="G10" i="69"/>
  <c r="G61" i="69" s="1"/>
  <c r="F43" i="70"/>
  <c r="F95" i="70" s="1"/>
  <c r="G44" i="26"/>
  <c r="G96" i="26" s="1"/>
  <c r="G15" i="26"/>
  <c r="G66" i="26" s="1"/>
  <c r="G11" i="68"/>
  <c r="G62" i="68" s="1"/>
  <c r="G10" i="68"/>
  <c r="G61" i="68" s="1"/>
  <c r="G15" i="68"/>
  <c r="G66" i="68" s="1"/>
  <c r="F14" i="69"/>
  <c r="F65" i="69" s="1"/>
  <c r="F13" i="69"/>
  <c r="F64" i="69" s="1"/>
  <c r="F43" i="69"/>
  <c r="F95" i="69" s="1"/>
  <c r="I712" i="34"/>
  <c r="I662" i="34"/>
  <c r="I651" i="34"/>
  <c r="F14" i="66"/>
  <c r="F65" i="66" s="1"/>
  <c r="F10" i="70"/>
  <c r="F61" i="70" s="1"/>
  <c r="F15" i="70"/>
  <c r="F66" i="70" s="1"/>
  <c r="G12" i="26"/>
  <c r="G63" i="26" s="1"/>
  <c r="F10" i="69"/>
  <c r="F61" i="69" s="1"/>
  <c r="G10" i="64"/>
  <c r="G61" i="64" s="1"/>
  <c r="G15" i="65"/>
  <c r="G66" i="65" s="1"/>
  <c r="I733" i="34"/>
  <c r="F11" i="26"/>
  <c r="F62" i="26" s="1"/>
  <c r="F11" i="66"/>
  <c r="F62" i="66" s="1"/>
  <c r="G43" i="69"/>
  <c r="G95" i="69" s="1"/>
  <c r="F14" i="70"/>
  <c r="F65" i="70" s="1"/>
  <c r="F45" i="70"/>
  <c r="F97" i="70" s="1"/>
  <c r="F13" i="70"/>
  <c r="F64" i="70" s="1"/>
  <c r="G45" i="26"/>
  <c r="G97" i="26" s="1"/>
  <c r="G45" i="68"/>
  <c r="G97" i="68" s="1"/>
  <c r="G45" i="64"/>
  <c r="G97" i="64" s="1"/>
  <c r="F41" i="70"/>
  <c r="F93" i="70" s="1"/>
  <c r="G44" i="68"/>
  <c r="G96" i="68" s="1"/>
  <c r="G14" i="68"/>
  <c r="G65" i="68" s="1"/>
  <c r="F44" i="66"/>
  <c r="F96" i="66" s="1"/>
  <c r="G14" i="26"/>
  <c r="G65" i="26" s="1"/>
  <c r="G43" i="26"/>
  <c r="G95" i="26" s="1"/>
  <c r="G10" i="26"/>
  <c r="G61" i="26" s="1"/>
  <c r="F12" i="69"/>
  <c r="F63" i="69" s="1"/>
  <c r="G13" i="64"/>
  <c r="G64" i="64" s="1"/>
  <c r="G44" i="64"/>
  <c r="G96" i="64" s="1"/>
  <c r="F14" i="65"/>
  <c r="F65" i="65" s="1"/>
  <c r="I685" i="34"/>
  <c r="F43" i="66"/>
  <c r="F95" i="66" s="1"/>
  <c r="G42" i="69"/>
  <c r="G94" i="69" s="1"/>
  <c r="G13" i="69"/>
  <c r="G64" i="69" s="1"/>
  <c r="F12" i="70"/>
  <c r="F63" i="70" s="1"/>
  <c r="F44" i="69"/>
  <c r="F96" i="69" s="1"/>
  <c r="F42" i="69"/>
  <c r="F94" i="69" s="1"/>
  <c r="G43" i="64"/>
  <c r="G95" i="64" s="1"/>
  <c r="G41" i="64"/>
  <c r="G93" i="64" s="1"/>
  <c r="G12" i="69"/>
  <c r="G63" i="69" s="1"/>
  <c r="G15" i="64"/>
  <c r="G66" i="64" s="1"/>
  <c r="I706" i="34"/>
  <c r="G11" i="69"/>
  <c r="G62" i="69" s="1"/>
  <c r="F15" i="69"/>
  <c r="F66" i="69" s="1"/>
  <c r="I726" i="34"/>
  <c r="I715" i="34"/>
  <c r="I666" i="34"/>
  <c r="F42" i="66"/>
  <c r="F94" i="66" s="1"/>
  <c r="G41" i="69"/>
  <c r="G93" i="69" s="1"/>
  <c r="G45" i="69"/>
  <c r="G97" i="69" s="1"/>
  <c r="I673" i="34"/>
  <c r="I669" i="34"/>
  <c r="I724" i="34"/>
  <c r="F43" i="26"/>
  <c r="F95" i="26" s="1"/>
  <c r="F41" i="26"/>
  <c r="F93" i="26" s="1"/>
  <c r="F44" i="26"/>
  <c r="F96" i="26" s="1"/>
  <c r="F12" i="66"/>
  <c r="F63" i="66" s="1"/>
  <c r="F41" i="66"/>
  <c r="F93" i="66" s="1"/>
  <c r="G15" i="69"/>
  <c r="G66" i="69" s="1"/>
  <c r="F44" i="70"/>
  <c r="F96" i="70" s="1"/>
  <c r="G11" i="26"/>
  <c r="G62" i="26" s="1"/>
  <c r="G41" i="26"/>
  <c r="G93" i="26" s="1"/>
  <c r="G43" i="68"/>
  <c r="G95" i="68" s="1"/>
  <c r="G42" i="68"/>
  <c r="G94" i="68" s="1"/>
  <c r="G41" i="68"/>
  <c r="G93" i="68" s="1"/>
  <c r="G12" i="68"/>
  <c r="G63" i="68" s="1"/>
  <c r="F45" i="69"/>
  <c r="F97" i="69" s="1"/>
  <c r="F11" i="69"/>
  <c r="F62" i="69" s="1"/>
  <c r="G12" i="64"/>
  <c r="G63" i="64" s="1"/>
  <c r="F11" i="70"/>
  <c r="F62" i="70" s="1"/>
  <c r="G11" i="64"/>
  <c r="G62" i="64" s="1"/>
  <c r="I719" i="34"/>
  <c r="I660" i="34"/>
  <c r="F10" i="26"/>
  <c r="F61" i="26" s="1"/>
  <c r="G42" i="26"/>
  <c r="G94" i="26" s="1"/>
  <c r="G14" i="64"/>
  <c r="G65" i="64" s="1"/>
  <c r="F10" i="66"/>
  <c r="F61" i="66" s="1"/>
  <c r="I676" i="34"/>
  <c r="F15" i="66"/>
  <c r="F66" i="66" s="1"/>
  <c r="G13" i="26"/>
  <c r="G64" i="26" s="1"/>
  <c r="F41" i="69"/>
  <c r="F93" i="69" s="1"/>
  <c r="I655" i="34"/>
  <c r="F13" i="66"/>
  <c r="F64" i="66" s="1"/>
  <c r="F42" i="70"/>
  <c r="F94" i="70" s="1"/>
  <c r="G13" i="68"/>
  <c r="G64" i="68" s="1"/>
  <c r="G42" i="64"/>
  <c r="G94" i="64" s="1"/>
  <c r="J1127" i="34"/>
  <c r="J1123" i="34"/>
  <c r="J1129" i="34"/>
  <c r="J1125" i="34"/>
  <c r="J1124" i="34"/>
  <c r="J1128" i="34"/>
  <c r="J1126" i="34"/>
  <c r="I1123" i="34"/>
  <c r="I1128" i="34"/>
  <c r="I1126" i="34"/>
  <c r="I1127" i="34"/>
  <c r="I1129" i="34"/>
  <c r="I1125" i="34"/>
  <c r="I1124" i="34"/>
  <c r="C26" i="48"/>
  <c r="C176" i="48" s="1"/>
  <c r="V110" i="12"/>
  <c r="C19" i="48"/>
  <c r="C174" i="48" s="1"/>
  <c r="C1133" i="19"/>
  <c r="C1135" i="19" s="1"/>
  <c r="C1121" i="19"/>
  <c r="C1123" i="19" s="1"/>
  <c r="C1130" i="19"/>
  <c r="C1132" i="19" s="1"/>
  <c r="C1118" i="19"/>
  <c r="C1120" i="19" s="1"/>
  <c r="C1139" i="19"/>
  <c r="C1141" i="19" s="1"/>
  <c r="C1127" i="19"/>
  <c r="C1129" i="19" s="1"/>
  <c r="C1115" i="19"/>
  <c r="C1117" i="19" s="1"/>
  <c r="C1124" i="19"/>
  <c r="C1126" i="19" s="1"/>
  <c r="C1136" i="19"/>
  <c r="C1138" i="19" s="1"/>
  <c r="C1081" i="19"/>
  <c r="C1083" i="19" s="1"/>
  <c r="C1099" i="19"/>
  <c r="C1101" i="19" s="1"/>
  <c r="C1087" i="19"/>
  <c r="C1089" i="19" s="1"/>
  <c r="C1084" i="19"/>
  <c r="C1086" i="19" s="1"/>
  <c r="C1096" i="19"/>
  <c r="C1098" i="19" s="1"/>
  <c r="C1105" i="19"/>
  <c r="C1107" i="19" s="1"/>
  <c r="C1093" i="19"/>
  <c r="C1095" i="19" s="1"/>
  <c r="C1102" i="19"/>
  <c r="C1104" i="19" s="1"/>
  <c r="C1090" i="19"/>
  <c r="C1092" i="19" s="1"/>
  <c r="C938" i="19"/>
  <c r="C940" i="19" s="1"/>
  <c r="C962" i="19"/>
  <c r="C964" i="19" s="1"/>
  <c r="C959" i="19"/>
  <c r="C961" i="19" s="1"/>
  <c r="C947" i="19"/>
  <c r="C949" i="19" s="1"/>
  <c r="C968" i="19"/>
  <c r="C970" i="19" s="1"/>
  <c r="C956" i="19"/>
  <c r="C958" i="19" s="1"/>
  <c r="C944" i="19"/>
  <c r="C946" i="19" s="1"/>
  <c r="C965" i="19"/>
  <c r="C967" i="19" s="1"/>
  <c r="C953" i="19"/>
  <c r="C955" i="19" s="1"/>
  <c r="C941" i="19"/>
  <c r="C943" i="19" s="1"/>
  <c r="C950" i="19"/>
  <c r="C952" i="19" s="1"/>
  <c r="C898" i="19"/>
  <c r="C900" i="19" s="1"/>
  <c r="C922" i="19"/>
  <c r="C924" i="19" s="1"/>
  <c r="C910" i="19"/>
  <c r="C912" i="19" s="1"/>
  <c r="C913" i="19"/>
  <c r="C915" i="19" s="1"/>
  <c r="C919" i="19"/>
  <c r="C921" i="19" s="1"/>
  <c r="C907" i="19"/>
  <c r="C909" i="19" s="1"/>
  <c r="C925" i="19"/>
  <c r="C927" i="19" s="1"/>
  <c r="C928" i="19"/>
  <c r="C930" i="19" s="1"/>
  <c r="C916" i="19"/>
  <c r="C918" i="19" s="1"/>
  <c r="C904" i="19"/>
  <c r="C906" i="19" s="1"/>
  <c r="C901" i="19"/>
  <c r="C903" i="19" s="1"/>
  <c r="C842" i="19"/>
  <c r="C844" i="19" s="1"/>
  <c r="C830" i="19"/>
  <c r="C832" i="19" s="1"/>
  <c r="C833" i="19"/>
  <c r="C835" i="19" s="1"/>
  <c r="C851" i="19"/>
  <c r="C853" i="19" s="1"/>
  <c r="C839" i="19"/>
  <c r="C841" i="19" s="1"/>
  <c r="C827" i="19"/>
  <c r="C829" i="19" s="1"/>
  <c r="C836" i="19"/>
  <c r="C838" i="19" s="1"/>
  <c r="C845" i="19"/>
  <c r="C847" i="19" s="1"/>
  <c r="C848" i="19"/>
  <c r="C850" i="19" s="1"/>
  <c r="C793" i="19"/>
  <c r="C795" i="19" s="1"/>
  <c r="C811" i="19"/>
  <c r="C813" i="19" s="1"/>
  <c r="C799" i="19"/>
  <c r="C801" i="19" s="1"/>
  <c r="C808" i="19"/>
  <c r="C810" i="19" s="1"/>
  <c r="C796" i="19"/>
  <c r="C798" i="19" s="1"/>
  <c r="C817" i="19"/>
  <c r="C819" i="19" s="1"/>
  <c r="C805" i="19"/>
  <c r="C807" i="19" s="1"/>
  <c r="C814" i="19"/>
  <c r="C816" i="19" s="1"/>
  <c r="C802" i="19"/>
  <c r="C804" i="19" s="1"/>
  <c r="C674" i="19"/>
  <c r="C676" i="19" s="1"/>
  <c r="C662" i="19"/>
  <c r="C664" i="19" s="1"/>
  <c r="C650" i="19"/>
  <c r="C652" i="19" s="1"/>
  <c r="C656" i="19"/>
  <c r="C658" i="19" s="1"/>
  <c r="C671" i="19"/>
  <c r="C673" i="19" s="1"/>
  <c r="C659" i="19"/>
  <c r="C661" i="19" s="1"/>
  <c r="C680" i="19"/>
  <c r="C682" i="19" s="1"/>
  <c r="C668" i="19"/>
  <c r="C670" i="19" s="1"/>
  <c r="C677" i="19"/>
  <c r="C679" i="19" s="1"/>
  <c r="C665" i="19"/>
  <c r="C667" i="19" s="1"/>
  <c r="C653" i="19"/>
  <c r="C655" i="19" s="1"/>
  <c r="C610" i="19"/>
  <c r="C612" i="19" s="1"/>
  <c r="C634" i="19"/>
  <c r="C636" i="19" s="1"/>
  <c r="C622" i="19"/>
  <c r="C624" i="19" s="1"/>
  <c r="C616" i="19"/>
  <c r="C618" i="19" s="1"/>
  <c r="C631" i="19"/>
  <c r="C633" i="19" s="1"/>
  <c r="C619" i="19"/>
  <c r="C621" i="19" s="1"/>
  <c r="C628" i="19"/>
  <c r="C630" i="19" s="1"/>
  <c r="C640" i="19"/>
  <c r="C642" i="19" s="1"/>
  <c r="C637" i="19"/>
  <c r="C639" i="19" s="1"/>
  <c r="C625" i="19"/>
  <c r="C627" i="19" s="1"/>
  <c r="C613" i="19"/>
  <c r="C615" i="19" s="1"/>
  <c r="C554" i="19"/>
  <c r="C556" i="19" s="1"/>
  <c r="C539" i="19"/>
  <c r="C541" i="19" s="1"/>
  <c r="C548" i="19"/>
  <c r="C550" i="19" s="1"/>
  <c r="C560" i="19"/>
  <c r="C562" i="19" s="1"/>
  <c r="C505" i="19"/>
  <c r="C507" i="19" s="1"/>
  <c r="C520" i="19"/>
  <c r="C522" i="19" s="1"/>
  <c r="C526" i="19"/>
  <c r="C528" i="19" s="1"/>
  <c r="C514" i="19"/>
  <c r="C516" i="19" s="1"/>
  <c r="C362" i="19"/>
  <c r="C364" i="19" s="1"/>
  <c r="C374" i="19"/>
  <c r="C376" i="19" s="1"/>
  <c r="C392" i="19"/>
  <c r="C394" i="19" s="1"/>
  <c r="C389" i="19"/>
  <c r="C391" i="19" s="1"/>
  <c r="C365" i="19"/>
  <c r="C367" i="19" s="1"/>
  <c r="C383" i="19"/>
  <c r="C385" i="19" s="1"/>
  <c r="C322" i="19"/>
  <c r="C324" i="19" s="1"/>
  <c r="C334" i="19"/>
  <c r="C336" i="19" s="1"/>
  <c r="C349" i="19"/>
  <c r="C351" i="19" s="1"/>
  <c r="C325" i="19"/>
  <c r="C327" i="19" s="1"/>
  <c r="C343" i="19"/>
  <c r="C345" i="19" s="1"/>
  <c r="C352" i="19"/>
  <c r="C354" i="19" s="1"/>
  <c r="C251" i="19"/>
  <c r="C253" i="19" s="1"/>
  <c r="C266" i="19"/>
  <c r="C268" i="19" s="1"/>
  <c r="C272" i="19"/>
  <c r="C274" i="19" s="1"/>
  <c r="C260" i="19"/>
  <c r="C262" i="19" s="1"/>
  <c r="C217" i="19"/>
  <c r="C219" i="19" s="1"/>
  <c r="C226" i="19"/>
  <c r="H1035" i="34"/>
  <c r="C232" i="19"/>
  <c r="C234" i="19" s="1"/>
  <c r="C238" i="19"/>
  <c r="C240" i="19" s="1"/>
  <c r="H1027" i="34"/>
  <c r="H1039" i="34"/>
  <c r="C74" i="19"/>
  <c r="C76" i="19" s="1"/>
  <c r="C86" i="19"/>
  <c r="C88" i="19" s="1"/>
  <c r="C104" i="19"/>
  <c r="C106" i="19" s="1"/>
  <c r="C101" i="19"/>
  <c r="C103" i="19" s="1"/>
  <c r="C77" i="19"/>
  <c r="C79" i="19" s="1"/>
  <c r="C95" i="19"/>
  <c r="C97" i="19" s="1"/>
  <c r="C34" i="19"/>
  <c r="C55" i="19"/>
  <c r="C61" i="19"/>
  <c r="C64" i="19"/>
  <c r="C37" i="19"/>
  <c r="C46" i="19"/>
  <c r="H784" i="34"/>
  <c r="H783" i="34"/>
  <c r="H780" i="34"/>
  <c r="H779" i="34"/>
  <c r="H1153" i="34"/>
  <c r="H1145" i="34"/>
  <c r="H1137" i="34"/>
  <c r="H1152" i="34"/>
  <c r="H1144" i="34"/>
  <c r="H1136" i="34"/>
  <c r="H1129" i="34"/>
  <c r="H1125" i="34"/>
  <c r="H1121" i="34"/>
  <c r="H1117" i="34"/>
  <c r="H1113" i="34"/>
  <c r="H1109" i="34"/>
  <c r="H1101" i="34"/>
  <c r="H1097" i="34"/>
  <c r="H1093" i="34"/>
  <c r="H1089" i="34"/>
  <c r="H1085" i="34"/>
  <c r="H1081" i="34"/>
  <c r="H1077" i="34"/>
  <c r="H1073" i="34"/>
  <c r="H1069" i="34"/>
  <c r="H1065" i="34"/>
  <c r="H1061" i="34"/>
  <c r="H1057" i="34"/>
  <c r="H1053" i="34"/>
  <c r="H1049" i="34"/>
  <c r="H1045" i="34"/>
  <c r="H1041" i="34"/>
  <c r="H1037" i="34"/>
  <c r="H1033" i="34"/>
  <c r="H1029" i="34"/>
  <c r="H1025" i="34"/>
  <c r="H1021" i="34"/>
  <c r="H1017" i="34"/>
  <c r="H1013" i="34"/>
  <c r="H1009" i="34"/>
  <c r="H1005" i="34"/>
  <c r="H1001" i="34"/>
  <c r="H997" i="34"/>
  <c r="H993" i="34"/>
  <c r="H989" i="34"/>
  <c r="H985" i="34"/>
  <c r="H981" i="34"/>
  <c r="H977" i="34"/>
  <c r="H973" i="34"/>
  <c r="H969" i="34"/>
  <c r="H965" i="34"/>
  <c r="H961" i="34"/>
  <c r="H957" i="34"/>
  <c r="H953" i="34"/>
  <c r="H949" i="34"/>
  <c r="H945" i="34"/>
  <c r="H941" i="34"/>
  <c r="H937" i="34"/>
  <c r="H933" i="34"/>
  <c r="H929" i="34"/>
  <c r="H925" i="34"/>
  <c r="H921" i="34"/>
  <c r="H917" i="34"/>
  <c r="H913" i="34"/>
  <c r="H909" i="34"/>
  <c r="H905" i="34"/>
  <c r="H901" i="34"/>
  <c r="H897" i="34"/>
  <c r="H893" i="34"/>
  <c r="H889" i="34"/>
  <c r="H885" i="34"/>
  <c r="H881" i="34"/>
  <c r="H877" i="34"/>
  <c r="H873" i="34"/>
  <c r="H869" i="34"/>
  <c r="H865" i="34"/>
  <c r="H861" i="34"/>
  <c r="H857" i="34"/>
  <c r="H853" i="34"/>
  <c r="H849" i="34"/>
  <c r="H845" i="34"/>
  <c r="H841" i="34"/>
  <c r="H837" i="34"/>
  <c r="H833" i="34"/>
  <c r="H829" i="34"/>
  <c r="H825" i="34"/>
  <c r="H821" i="34"/>
  <c r="H817" i="34"/>
  <c r="H1151" i="34"/>
  <c r="H1143" i="34"/>
  <c r="H1135" i="34"/>
  <c r="H1150" i="34"/>
  <c r="H1142" i="34"/>
  <c r="H1134" i="34"/>
  <c r="H1128" i="34"/>
  <c r="H1120" i="34"/>
  <c r="H1116" i="34"/>
  <c r="H1112" i="34"/>
  <c r="H1108" i="34"/>
  <c r="H1104" i="34"/>
  <c r="H1096" i="34"/>
  <c r="H1092" i="34"/>
  <c r="H1088" i="34"/>
  <c r="H1084" i="34"/>
  <c r="H1080" i="34"/>
  <c r="H1076" i="34"/>
  <c r="H1072" i="34"/>
  <c r="H1068" i="34"/>
  <c r="H1064" i="34"/>
  <c r="H1060" i="34"/>
  <c r="H1056" i="34"/>
  <c r="H1052" i="34"/>
  <c r="H1048" i="34"/>
  <c r="H1044" i="34"/>
  <c r="H1040" i="34"/>
  <c r="H1036" i="34"/>
  <c r="H1032" i="34"/>
  <c r="H1028" i="34"/>
  <c r="H1024" i="34"/>
  <c r="H1020" i="34"/>
  <c r="H1016" i="34"/>
  <c r="H1012" i="34"/>
  <c r="H1008" i="34"/>
  <c r="H1004" i="34"/>
  <c r="H1000" i="34"/>
  <c r="H996" i="34"/>
  <c r="H992" i="34"/>
  <c r="H988" i="34"/>
  <c r="H984" i="34"/>
  <c r="H980" i="34"/>
  <c r="H976" i="34"/>
  <c r="H972" i="34"/>
  <c r="H968" i="34"/>
  <c r="H964" i="34"/>
  <c r="H960" i="34"/>
  <c r="H956" i="34"/>
  <c r="H952" i="34"/>
  <c r="H948" i="34"/>
  <c r="H944" i="34"/>
  <c r="H940" i="34"/>
  <c r="H936" i="34"/>
  <c r="H932" i="34"/>
  <c r="H928" i="34"/>
  <c r="H924" i="34"/>
  <c r="H920" i="34"/>
  <c r="H916" i="34"/>
  <c r="H912" i="34"/>
  <c r="H908" i="34"/>
  <c r="H904" i="34"/>
  <c r="H900" i="34"/>
  <c r="H896" i="34"/>
  <c r="H892" i="34"/>
  <c r="H888" i="34"/>
  <c r="H884" i="34"/>
  <c r="H880" i="34"/>
  <c r="H876" i="34"/>
  <c r="H872" i="34"/>
  <c r="H868" i="34"/>
  <c r="H864" i="34"/>
  <c r="H860" i="34"/>
  <c r="H856" i="34"/>
  <c r="H852" i="34"/>
  <c r="H848" i="34"/>
  <c r="H844" i="34"/>
  <c r="H840" i="34"/>
  <c r="H836" i="34"/>
  <c r="H832" i="34"/>
  <c r="H828" i="34"/>
  <c r="H824" i="34"/>
  <c r="H820" i="34"/>
  <c r="H816" i="34"/>
  <c r="H1149" i="34"/>
  <c r="H1141" i="34"/>
  <c r="H1133" i="34"/>
  <c r="H1148" i="34"/>
  <c r="H1140" i="34"/>
  <c r="H1132" i="34"/>
  <c r="H1123" i="34"/>
  <c r="H1119" i="34"/>
  <c r="H1115" i="34"/>
  <c r="H1111" i="34"/>
  <c r="H1107" i="34"/>
  <c r="H1103" i="34"/>
  <c r="H1095" i="34"/>
  <c r="H1091" i="34"/>
  <c r="H1087" i="34"/>
  <c r="H1083" i="34"/>
  <c r="H1079" i="34"/>
  <c r="H1075" i="34"/>
  <c r="H1071" i="34"/>
  <c r="H1067" i="34"/>
  <c r="H1063" i="34"/>
  <c r="H1059" i="34"/>
  <c r="H1055" i="34"/>
  <c r="H1051" i="34"/>
  <c r="H1047" i="34"/>
  <c r="H1043" i="34"/>
  <c r="H1031" i="34"/>
  <c r="H1023" i="34"/>
  <c r="H1019" i="34"/>
  <c r="H1015" i="34"/>
  <c r="H1011" i="34"/>
  <c r="H1007" i="34"/>
  <c r="H1003" i="34"/>
  <c r="H999" i="34"/>
  <c r="H995" i="34"/>
  <c r="H991" i="34"/>
  <c r="H987" i="34"/>
  <c r="H983" i="34"/>
  <c r="H979" i="34"/>
  <c r="H975" i="34"/>
  <c r="H971" i="34"/>
  <c r="H967" i="34"/>
  <c r="H963" i="34"/>
  <c r="H959" i="34"/>
  <c r="H955" i="34"/>
  <c r="H951" i="34"/>
  <c r="H947" i="34"/>
  <c r="H943" i="34"/>
  <c r="H939" i="34"/>
  <c r="H935" i="34"/>
  <c r="H931" i="34"/>
  <c r="H927" i="34"/>
  <c r="H923" i="34"/>
  <c r="H919" i="34"/>
  <c r="H915" i="34"/>
  <c r="H911" i="34"/>
  <c r="H907" i="34"/>
  <c r="H903" i="34"/>
  <c r="H899" i="34"/>
  <c r="H895" i="34"/>
  <c r="H891" i="34"/>
  <c r="H887" i="34"/>
  <c r="H883" i="34"/>
  <c r="H879" i="34"/>
  <c r="H875" i="34"/>
  <c r="H871" i="34"/>
  <c r="H867" i="34"/>
  <c r="H863" i="34"/>
  <c r="H859" i="34"/>
  <c r="H855" i="34"/>
  <c r="H851" i="34"/>
  <c r="H847" i="34"/>
  <c r="H843" i="34"/>
  <c r="H839" i="34"/>
  <c r="H835" i="34"/>
  <c r="H831" i="34"/>
  <c r="H827" i="34"/>
  <c r="H823" i="34"/>
  <c r="H819" i="34"/>
  <c r="H815" i="34"/>
  <c r="H1147" i="34"/>
  <c r="H1138" i="34"/>
  <c r="H1118" i="34"/>
  <c r="H1102" i="34"/>
  <c r="H1086" i="34"/>
  <c r="H1070" i="34"/>
  <c r="H1054" i="34"/>
  <c r="H1038" i="34"/>
  <c r="H1022" i="34"/>
  <c r="H1006" i="34"/>
  <c r="H990" i="34"/>
  <c r="H974" i="34"/>
  <c r="H958" i="34"/>
  <c r="H942" i="34"/>
  <c r="H926" i="34"/>
  <c r="H910" i="34"/>
  <c r="H894" i="34"/>
  <c r="H878" i="34"/>
  <c r="H862" i="34"/>
  <c r="H846" i="34"/>
  <c r="H830" i="34"/>
  <c r="H814" i="34"/>
  <c r="H810" i="34"/>
  <c r="H806" i="34"/>
  <c r="H802" i="34"/>
  <c r="H798" i="34"/>
  <c r="H794" i="34"/>
  <c r="H790" i="34"/>
  <c r="H786" i="34"/>
  <c r="H770" i="34"/>
  <c r="H766" i="34"/>
  <c r="H762" i="34"/>
  <c r="H758" i="34"/>
  <c r="H750" i="34"/>
  <c r="H746" i="34"/>
  <c r="H742" i="34"/>
  <c r="H738" i="34"/>
  <c r="H734" i="34"/>
  <c r="H730" i="34"/>
  <c r="H726" i="34"/>
  <c r="H722" i="34"/>
  <c r="H718" i="34"/>
  <c r="H714" i="34"/>
  <c r="H710" i="34"/>
  <c r="H706" i="34"/>
  <c r="H702" i="34"/>
  <c r="H698" i="34"/>
  <c r="H694" i="34"/>
  <c r="H690" i="34"/>
  <c r="H686" i="34"/>
  <c r="H682" i="34"/>
  <c r="H678" i="34"/>
  <c r="H674" i="34"/>
  <c r="H670" i="34"/>
  <c r="H666" i="34"/>
  <c r="H662" i="34"/>
  <c r="H658" i="34"/>
  <c r="H654" i="34"/>
  <c r="H650" i="34"/>
  <c r="H643" i="34"/>
  <c r="H635" i="34"/>
  <c r="H627" i="34"/>
  <c r="H619" i="34"/>
  <c r="H611" i="34"/>
  <c r="H596" i="34"/>
  <c r="H588" i="34"/>
  <c r="H642" i="34"/>
  <c r="H634" i="34"/>
  <c r="H626" i="34"/>
  <c r="H618" i="34"/>
  <c r="H610" i="34"/>
  <c r="H586" i="34"/>
  <c r="H574" i="34"/>
  <c r="H570" i="34"/>
  <c r="H564" i="34"/>
  <c r="H556" i="34"/>
  <c r="H550" i="34"/>
  <c r="H546" i="34"/>
  <c r="H540" i="34"/>
  <c r="H532" i="34"/>
  <c r="H526" i="34"/>
  <c r="H1139" i="34"/>
  <c r="H1130" i="34"/>
  <c r="H1114" i="34"/>
  <c r="H1098" i="34"/>
  <c r="H1082" i="34"/>
  <c r="H1066" i="34"/>
  <c r="H1050" i="34"/>
  <c r="H1034" i="34"/>
  <c r="H1018" i="34"/>
  <c r="H1002" i="34"/>
  <c r="H986" i="34"/>
  <c r="H970" i="34"/>
  <c r="H954" i="34"/>
  <c r="H938" i="34"/>
  <c r="H922" i="34"/>
  <c r="H906" i="34"/>
  <c r="H890" i="34"/>
  <c r="H874" i="34"/>
  <c r="H858" i="34"/>
  <c r="H842" i="34"/>
  <c r="H826" i="34"/>
  <c r="H813" i="34"/>
  <c r="H809" i="34"/>
  <c r="H805" i="34"/>
  <c r="H801" i="34"/>
  <c r="H797" i="34"/>
  <c r="H793" i="34"/>
  <c r="H789" i="34"/>
  <c r="H785" i="34"/>
  <c r="H769" i="34"/>
  <c r="H765" i="34"/>
  <c r="H761" i="34"/>
  <c r="H757" i="34"/>
  <c r="H749" i="34"/>
  <c r="H745" i="34"/>
  <c r="H741" i="34"/>
  <c r="H737" i="34"/>
  <c r="H733" i="34"/>
  <c r="H729" i="34"/>
  <c r="H725" i="34"/>
  <c r="H721" i="34"/>
  <c r="H717" i="34"/>
  <c r="H713" i="34"/>
  <c r="H709" i="34"/>
  <c r="H705" i="34"/>
  <c r="H701" i="34"/>
  <c r="H697" i="34"/>
  <c r="H693" i="34"/>
  <c r="H689" i="34"/>
  <c r="H685" i="34"/>
  <c r="H681" i="34"/>
  <c r="H677" i="34"/>
  <c r="H673" i="34"/>
  <c r="H669" i="34"/>
  <c r="H665" i="34"/>
  <c r="H661" i="34"/>
  <c r="H657" i="34"/>
  <c r="H653" i="34"/>
  <c r="H649" i="34"/>
  <c r="H641" i="34"/>
  <c r="H633" i="34"/>
  <c r="H625" i="34"/>
  <c r="H617" i="34"/>
  <c r="H603" i="34"/>
  <c r="H593" i="34"/>
  <c r="H648" i="34"/>
  <c r="H640" i="34"/>
  <c r="H632" i="34"/>
  <c r="H624" i="34"/>
  <c r="H616" i="34"/>
  <c r="H583" i="34"/>
  <c r="H573" i="34"/>
  <c r="H569" i="34"/>
  <c r="H562" i="34"/>
  <c r="H554" i="34"/>
  <c r="H549" i="34"/>
  <c r="H545" i="34"/>
  <c r="H538" i="34"/>
  <c r="H530" i="34"/>
  <c r="H525" i="34"/>
  <c r="H517" i="34"/>
  <c r="H513" i="34"/>
  <c r="H1131" i="34"/>
  <c r="H1126" i="34"/>
  <c r="H1110" i="34"/>
  <c r="H1094" i="34"/>
  <c r="H1078" i="34"/>
  <c r="H1062" i="34"/>
  <c r="H1046" i="34"/>
  <c r="H1030" i="34"/>
  <c r="H1014" i="34"/>
  <c r="H998" i="34"/>
  <c r="H982" i="34"/>
  <c r="H966" i="34"/>
  <c r="H950" i="34"/>
  <c r="H934" i="34"/>
  <c r="H918" i="34"/>
  <c r="H902" i="34"/>
  <c r="H886" i="34"/>
  <c r="H870" i="34"/>
  <c r="H854" i="34"/>
  <c r="H838" i="34"/>
  <c r="H822" i="34"/>
  <c r="H812" i="34"/>
  <c r="H808" i="34"/>
  <c r="H804" i="34"/>
  <c r="H800" i="34"/>
  <c r="H796" i="34"/>
  <c r="H792" i="34"/>
  <c r="H788" i="34"/>
  <c r="H772" i="34"/>
  <c r="H768" i="34"/>
  <c r="H764" i="34"/>
  <c r="H760" i="34"/>
  <c r="H752" i="34"/>
  <c r="H748" i="34"/>
  <c r="H744" i="34"/>
  <c r="H740" i="34"/>
  <c r="H736" i="34"/>
  <c r="H732" i="34"/>
  <c r="H728" i="34"/>
  <c r="H724" i="34"/>
  <c r="H720" i="34"/>
  <c r="H716" i="34"/>
  <c r="H712" i="34"/>
  <c r="H708" i="34"/>
  <c r="H704" i="34"/>
  <c r="H700" i="34"/>
  <c r="H696" i="34"/>
  <c r="H692" i="34"/>
  <c r="H688" i="34"/>
  <c r="H684" i="34"/>
  <c r="H680" i="34"/>
  <c r="H676" i="34"/>
  <c r="H672" i="34"/>
  <c r="H668" i="34"/>
  <c r="H664" i="34"/>
  <c r="H660" i="34"/>
  <c r="H656" i="34"/>
  <c r="H652" i="34"/>
  <c r="H647" i="34"/>
  <c r="H639" i="34"/>
  <c r="H631" i="34"/>
  <c r="H623" i="34"/>
  <c r="H615" i="34"/>
  <c r="H602" i="34"/>
  <c r="H590" i="34"/>
  <c r="H646" i="34"/>
  <c r="H638" i="34"/>
  <c r="H630" i="34"/>
  <c r="H622" i="34"/>
  <c r="H614" i="34"/>
  <c r="H580" i="34"/>
  <c r="H572" i="34"/>
  <c r="H568" i="34"/>
  <c r="H560" i="34"/>
  <c r="H552" i="34"/>
  <c r="H548" i="34"/>
  <c r="H544" i="34"/>
  <c r="H536" i="34"/>
  <c r="H528" i="34"/>
  <c r="H524" i="34"/>
  <c r="H1146" i="34"/>
  <c r="H1010" i="34"/>
  <c r="H882" i="34"/>
  <c r="H799" i="34"/>
  <c r="H759" i="34"/>
  <c r="H727" i="34"/>
  <c r="H511" i="34"/>
  <c r="H498" i="34"/>
  <c r="H494" i="34"/>
  <c r="H490" i="34"/>
  <c r="H486" i="34"/>
  <c r="H474" i="34"/>
  <c r="H470" i="34"/>
  <c r="H98" i="34"/>
  <c r="H94" i="34"/>
  <c r="H90" i="34"/>
  <c r="H86" i="34"/>
  <c r="H82" i="34"/>
  <c r="H78" i="34"/>
  <c r="H74" i="34"/>
  <c r="H70" i="34"/>
  <c r="H66" i="34"/>
  <c r="H62" i="34"/>
  <c r="H58" i="34"/>
  <c r="H54" i="34"/>
  <c r="H50" i="34"/>
  <c r="H46" i="34"/>
  <c r="H42" i="34"/>
  <c r="H1122" i="34"/>
  <c r="H994" i="34"/>
  <c r="H866" i="34"/>
  <c r="H795" i="34"/>
  <c r="H723" i="34"/>
  <c r="H695" i="34"/>
  <c r="H679" i="34"/>
  <c r="H663" i="34"/>
  <c r="H645" i="34"/>
  <c r="H613" i="34"/>
  <c r="H636" i="34"/>
  <c r="H571" i="34"/>
  <c r="H547" i="34"/>
  <c r="H523" i="34"/>
  <c r="H1106" i="34"/>
  <c r="H978" i="34"/>
  <c r="H850" i="34"/>
  <c r="H791" i="34"/>
  <c r="H751" i="34"/>
  <c r="H719" i="34"/>
  <c r="H505" i="34"/>
  <c r="H501" i="34"/>
  <c r="H497" i="34"/>
  <c r="H493" i="34"/>
  <c r="H489" i="34"/>
  <c r="H485" i="34"/>
  <c r="H481" i="34"/>
  <c r="H477" i="34"/>
  <c r="H473" i="34"/>
  <c r="H97" i="34"/>
  <c r="H93" i="34"/>
  <c r="H89" i="34"/>
  <c r="H85" i="34"/>
  <c r="H81" i="34"/>
  <c r="H77" i="34"/>
  <c r="H73" i="34"/>
  <c r="H69" i="34"/>
  <c r="H65" i="34"/>
  <c r="H61" i="34"/>
  <c r="H57" i="34"/>
  <c r="H53" i="34"/>
  <c r="H49" i="34"/>
  <c r="H45" i="34"/>
  <c r="H1090" i="34"/>
  <c r="H962" i="34"/>
  <c r="H834" i="34"/>
  <c r="H787" i="34"/>
  <c r="H747" i="34"/>
  <c r="H715" i="34"/>
  <c r="H691" i="34"/>
  <c r="H675" i="34"/>
  <c r="H659" i="34"/>
  <c r="H637" i="34"/>
  <c r="H599" i="34"/>
  <c r="H628" i="34"/>
  <c r="H566" i="34"/>
  <c r="H542" i="34"/>
  <c r="H509" i="34"/>
  <c r="H1074" i="34"/>
  <c r="H946" i="34"/>
  <c r="H818" i="34"/>
  <c r="H743" i="34"/>
  <c r="H711" i="34"/>
  <c r="H500" i="34"/>
  <c r="H496" i="34"/>
  <c r="H492" i="34"/>
  <c r="H488" i="34"/>
  <c r="H476" i="34"/>
  <c r="H472" i="34"/>
  <c r="H96" i="34"/>
  <c r="H92" i="34"/>
  <c r="H88" i="34"/>
  <c r="H84" i="34"/>
  <c r="H80" i="34"/>
  <c r="H76" i="34"/>
  <c r="H72" i="34"/>
  <c r="H68" i="34"/>
  <c r="H64" i="34"/>
  <c r="H60" i="34"/>
  <c r="H56" i="34"/>
  <c r="H52" i="34"/>
  <c r="H48" i="34"/>
  <c r="H44" i="34"/>
  <c r="H1058" i="34"/>
  <c r="H930" i="34"/>
  <c r="H811" i="34"/>
  <c r="H771" i="34"/>
  <c r="H739" i="34"/>
  <c r="H707" i="34"/>
  <c r="H687" i="34"/>
  <c r="H671" i="34"/>
  <c r="H655" i="34"/>
  <c r="H629" i="34"/>
  <c r="H589" i="34"/>
  <c r="H620" i="34"/>
  <c r="H587" i="34"/>
  <c r="H558" i="34"/>
  <c r="H534" i="34"/>
  <c r="H515" i="34"/>
  <c r="H1042" i="34"/>
  <c r="H914" i="34"/>
  <c r="H807" i="34"/>
  <c r="H767" i="34"/>
  <c r="H735" i="34"/>
  <c r="H703" i="34"/>
  <c r="H503" i="34"/>
  <c r="H499" i="34"/>
  <c r="H495" i="34"/>
  <c r="H491" i="34"/>
  <c r="H487" i="34"/>
  <c r="H483" i="34"/>
  <c r="H479" i="34"/>
  <c r="H475" i="34"/>
  <c r="H471" i="34"/>
  <c r="H95" i="34"/>
  <c r="H91" i="34"/>
  <c r="H87" i="34"/>
  <c r="H83" i="34"/>
  <c r="H79" i="34"/>
  <c r="H75" i="34"/>
  <c r="H71" i="34"/>
  <c r="H67" i="34"/>
  <c r="H63" i="34"/>
  <c r="H59" i="34"/>
  <c r="H55" i="34"/>
  <c r="H51" i="34"/>
  <c r="H47" i="34"/>
  <c r="H43" i="34"/>
  <c r="H1026" i="34"/>
  <c r="H651" i="34"/>
  <c r="H577" i="34"/>
  <c r="H40" i="34"/>
  <c r="H36" i="34"/>
  <c r="H32" i="34"/>
  <c r="H28" i="34"/>
  <c r="H468" i="34"/>
  <c r="H464" i="34"/>
  <c r="H460" i="34"/>
  <c r="H456" i="34"/>
  <c r="H452" i="34"/>
  <c r="H447" i="34"/>
  <c r="H443" i="34"/>
  <c r="H439" i="34"/>
  <c r="H435" i="34"/>
  <c r="H431" i="34"/>
  <c r="H427" i="34"/>
  <c r="H423" i="34"/>
  <c r="H419" i="34"/>
  <c r="H415" i="34"/>
  <c r="H411" i="34"/>
  <c r="H407" i="34"/>
  <c r="H403" i="34"/>
  <c r="H399" i="34"/>
  <c r="H395" i="34"/>
  <c r="H391" i="34"/>
  <c r="H387" i="34"/>
  <c r="H378" i="34"/>
  <c r="H374" i="34"/>
  <c r="H370" i="34"/>
  <c r="H366" i="34"/>
  <c r="H362" i="34"/>
  <c r="H357" i="34"/>
  <c r="H353" i="34"/>
  <c r="H349" i="34"/>
  <c r="H345" i="34"/>
  <c r="H341" i="34"/>
  <c r="H337" i="34"/>
  <c r="H333" i="34"/>
  <c r="H329" i="34"/>
  <c r="H325" i="34"/>
  <c r="H321" i="34"/>
  <c r="H317" i="34"/>
  <c r="H313" i="34"/>
  <c r="H309" i="34"/>
  <c r="H305" i="34"/>
  <c r="H301" i="34"/>
  <c r="H297" i="34"/>
  <c r="H291" i="34"/>
  <c r="H284" i="34"/>
  <c r="H22" i="34"/>
  <c r="H898" i="34"/>
  <c r="H621" i="34"/>
  <c r="H551" i="34"/>
  <c r="H9" i="34"/>
  <c r="H803" i="34"/>
  <c r="H644" i="34"/>
  <c r="H527" i="34"/>
  <c r="H39" i="34"/>
  <c r="H35" i="34"/>
  <c r="H31" i="34"/>
  <c r="H27" i="34"/>
  <c r="H782" i="34"/>
  <c r="H778" i="34"/>
  <c r="H467" i="34"/>
  <c r="H463" i="34"/>
  <c r="H459" i="34"/>
  <c r="H455" i="34"/>
  <c r="H450" i="34"/>
  <c r="H446" i="34"/>
  <c r="H442" i="34"/>
  <c r="H438" i="34"/>
  <c r="H434" i="34"/>
  <c r="H430" i="34"/>
  <c r="H426" i="34"/>
  <c r="H422" i="34"/>
  <c r="H418" i="34"/>
  <c r="H414" i="34"/>
  <c r="H410" i="34"/>
  <c r="H406" i="34"/>
  <c r="H402" i="34"/>
  <c r="H398" i="34"/>
  <c r="H394" i="34"/>
  <c r="H390" i="34"/>
  <c r="H384" i="34"/>
  <c r="H377" i="34"/>
  <c r="H373" i="34"/>
  <c r="H369" i="34"/>
  <c r="H365" i="34"/>
  <c r="H361" i="34"/>
  <c r="H356" i="34"/>
  <c r="H352" i="34"/>
  <c r="H348" i="34"/>
  <c r="H344" i="34"/>
  <c r="H340" i="34"/>
  <c r="H336" i="34"/>
  <c r="H332" i="34"/>
  <c r="H328" i="34"/>
  <c r="H324" i="34"/>
  <c r="H320" i="34"/>
  <c r="H316" i="34"/>
  <c r="H312" i="34"/>
  <c r="H308" i="34"/>
  <c r="H304" i="34"/>
  <c r="H300" i="34"/>
  <c r="H296" i="34"/>
  <c r="H289" i="34"/>
  <c r="H25" i="34"/>
  <c r="H21" i="34"/>
  <c r="H20" i="34"/>
  <c r="H16" i="34"/>
  <c r="H12" i="34"/>
  <c r="H8" i="34"/>
  <c r="H17" i="34"/>
  <c r="H763" i="34"/>
  <c r="H612" i="34"/>
  <c r="H13" i="34"/>
  <c r="H731" i="34"/>
  <c r="H507" i="34"/>
  <c r="H38" i="34"/>
  <c r="H34" i="34"/>
  <c r="H30" i="34"/>
  <c r="H26" i="34"/>
  <c r="H781" i="34"/>
  <c r="H777" i="34"/>
  <c r="H466" i="34"/>
  <c r="H462" i="34"/>
  <c r="H458" i="34"/>
  <c r="H454" i="34"/>
  <c r="H449" i="34"/>
  <c r="H445" i="34"/>
  <c r="H441" i="34"/>
  <c r="H437" i="34"/>
  <c r="H433" i="34"/>
  <c r="H429" i="34"/>
  <c r="H425" i="34"/>
  <c r="H421" i="34"/>
  <c r="H417" i="34"/>
  <c r="H413" i="34"/>
  <c r="H409" i="34"/>
  <c r="H405" i="34"/>
  <c r="H401" i="34"/>
  <c r="H397" i="34"/>
  <c r="H393" i="34"/>
  <c r="H389" i="34"/>
  <c r="H382" i="34"/>
  <c r="H376" i="34"/>
  <c r="H372" i="34"/>
  <c r="H368" i="34"/>
  <c r="H364" i="34"/>
  <c r="H360" i="34"/>
  <c r="H355" i="34"/>
  <c r="H351" i="34"/>
  <c r="H347" i="34"/>
  <c r="H343" i="34"/>
  <c r="H339" i="34"/>
  <c r="H335" i="34"/>
  <c r="H331" i="34"/>
  <c r="H327" i="34"/>
  <c r="H323" i="34"/>
  <c r="H319" i="34"/>
  <c r="H315" i="34"/>
  <c r="H311" i="34"/>
  <c r="H307" i="34"/>
  <c r="H303" i="34"/>
  <c r="H299" i="34"/>
  <c r="H295" i="34"/>
  <c r="H287" i="34"/>
  <c r="H24" i="34"/>
  <c r="H19" i="34"/>
  <c r="H15" i="34"/>
  <c r="H11" i="34"/>
  <c r="H4" i="34"/>
  <c r="H699" i="34"/>
  <c r="H2" i="34"/>
  <c r="H683" i="34"/>
  <c r="H41" i="34"/>
  <c r="H37" i="34"/>
  <c r="H33" i="34"/>
  <c r="H29" i="34"/>
  <c r="H469" i="34"/>
  <c r="H465" i="34"/>
  <c r="H461" i="34"/>
  <c r="H457" i="34"/>
  <c r="H453" i="34"/>
  <c r="H448" i="34"/>
  <c r="H444" i="34"/>
  <c r="H440" i="34"/>
  <c r="H436" i="34"/>
  <c r="H432" i="34"/>
  <c r="H428" i="34"/>
  <c r="H424" i="34"/>
  <c r="H420" i="34"/>
  <c r="H416" i="34"/>
  <c r="H412" i="34"/>
  <c r="H408" i="34"/>
  <c r="H404" i="34"/>
  <c r="H400" i="34"/>
  <c r="H396" i="34"/>
  <c r="H392" i="34"/>
  <c r="H388" i="34"/>
  <c r="H380" i="34"/>
  <c r="H375" i="34"/>
  <c r="H371" i="34"/>
  <c r="H367" i="34"/>
  <c r="H363" i="34"/>
  <c r="H359" i="34"/>
  <c r="H354" i="34"/>
  <c r="H350" i="34"/>
  <c r="H346" i="34"/>
  <c r="H342" i="34"/>
  <c r="H338" i="34"/>
  <c r="H334" i="34"/>
  <c r="H330" i="34"/>
  <c r="H326" i="34"/>
  <c r="H322" i="34"/>
  <c r="H318" i="34"/>
  <c r="H314" i="34"/>
  <c r="H310" i="34"/>
  <c r="H306" i="34"/>
  <c r="H302" i="34"/>
  <c r="H298" i="34"/>
  <c r="H294" i="34"/>
  <c r="H285" i="34"/>
  <c r="H23" i="34"/>
  <c r="H18" i="34"/>
  <c r="H14" i="34"/>
  <c r="H10" i="34"/>
  <c r="H3" i="34"/>
  <c r="H667" i="34"/>
  <c r="E164" i="79"/>
  <c r="E31" i="79"/>
  <c r="E15" i="79"/>
  <c r="E66" i="79"/>
  <c r="E119" i="79"/>
  <c r="E163" i="79"/>
  <c r="E120" i="79"/>
  <c r="E24" i="79"/>
  <c r="E37" i="79"/>
  <c r="E22" i="79"/>
  <c r="E169" i="79"/>
  <c r="E110" i="79"/>
  <c r="E154" i="79"/>
  <c r="E16" i="79"/>
  <c r="E32" i="79"/>
  <c r="E125" i="79"/>
  <c r="E155" i="79"/>
  <c r="E81" i="79"/>
  <c r="E156" i="79"/>
  <c r="E166" i="79"/>
  <c r="E111" i="79"/>
  <c r="E123" i="79"/>
  <c r="E67" i="79"/>
  <c r="E78" i="79"/>
  <c r="E79" i="79"/>
  <c r="E68" i="79"/>
  <c r="E122" i="79"/>
  <c r="E40" i="79"/>
  <c r="E112" i="79"/>
  <c r="E76" i="79"/>
  <c r="E34" i="79"/>
  <c r="E75" i="79"/>
  <c r="E23" i="79"/>
  <c r="E167" i="79"/>
  <c r="E35" i="79"/>
  <c r="E166" i="78"/>
  <c r="E156" i="78"/>
  <c r="E155" i="78"/>
  <c r="E167" i="78"/>
  <c r="E163" i="78"/>
  <c r="E164" i="78"/>
  <c r="E169" i="78"/>
  <c r="E154" i="78"/>
  <c r="E122" i="78"/>
  <c r="E111" i="78"/>
  <c r="E123" i="78"/>
  <c r="E119" i="78"/>
  <c r="E112" i="78"/>
  <c r="E120" i="78"/>
  <c r="E125" i="78"/>
  <c r="E110" i="78"/>
  <c r="E78" i="78"/>
  <c r="E76" i="78"/>
  <c r="E79" i="78"/>
  <c r="E68" i="78"/>
  <c r="E75" i="78"/>
  <c r="E81" i="78"/>
  <c r="E66" i="78"/>
  <c r="E67" i="78"/>
  <c r="E40" i="78"/>
  <c r="E37" i="78"/>
  <c r="E34" i="78"/>
  <c r="E35" i="78"/>
  <c r="E32" i="78"/>
  <c r="E31" i="78"/>
  <c r="E24" i="78"/>
  <c r="E23" i="78"/>
  <c r="E22" i="78"/>
  <c r="E15" i="78"/>
  <c r="E16" i="78"/>
  <c r="C226" i="41"/>
  <c r="C224" i="41"/>
  <c r="C233" i="41"/>
  <c r="C234" i="41"/>
  <c r="C235" i="41"/>
  <c r="C225" i="41"/>
  <c r="C232" i="41"/>
  <c r="C227" i="41"/>
  <c r="C510" i="16"/>
  <c r="C514" i="16"/>
  <c r="C513" i="16"/>
  <c r="C511" i="16"/>
  <c r="C358" i="16"/>
  <c r="C359" i="16"/>
  <c r="C355" i="16"/>
  <c r="C356" i="16"/>
  <c r="H756" i="34" s="1"/>
  <c r="C346" i="16"/>
  <c r="C235" i="19" s="1"/>
  <c r="C343" i="16"/>
  <c r="C58" i="19" s="1"/>
  <c r="C347" i="16"/>
  <c r="C344" i="16"/>
  <c r="C478" i="16"/>
  <c r="E47" i="68" s="1"/>
  <c r="C475" i="16"/>
  <c r="E21" i="68" s="1"/>
  <c r="C490" i="16"/>
  <c r="E47" i="69" s="1"/>
  <c r="C474" i="16"/>
  <c r="E21" i="64" s="1"/>
  <c r="C502" i="16"/>
  <c r="E47" i="70" s="1"/>
  <c r="C499" i="16"/>
  <c r="E21" i="70" s="1"/>
  <c r="C465" i="16"/>
  <c r="E47" i="26" s="1"/>
  <c r="C477" i="16"/>
  <c r="E47" i="64" s="1"/>
  <c r="C498" i="16"/>
  <c r="E21" i="66" s="1"/>
  <c r="C466" i="16"/>
  <c r="E47" i="67" s="1"/>
  <c r="C462" i="16"/>
  <c r="E21" i="26" s="1"/>
  <c r="C501" i="16"/>
  <c r="E47" i="66" s="1"/>
  <c r="C463" i="16"/>
  <c r="E21" i="67" s="1"/>
  <c r="V111" i="12"/>
  <c r="V119" i="12"/>
  <c r="E29" i="67"/>
  <c r="E35" i="67"/>
  <c r="E33" i="67"/>
  <c r="E27" i="68"/>
  <c r="C427" i="19" s="1"/>
  <c r="C429" i="19" s="1"/>
  <c r="E79" i="68" s="1"/>
  <c r="E26" i="68"/>
  <c r="C420" i="19" s="1"/>
  <c r="C422" i="19" s="1"/>
  <c r="E78" i="68" s="1"/>
  <c r="E29" i="68"/>
  <c r="C441" i="19" s="1"/>
  <c r="C443" i="19" s="1"/>
  <c r="E81" i="68" s="1"/>
  <c r="E25" i="67"/>
  <c r="E34" i="67"/>
  <c r="E28" i="67"/>
  <c r="E26" i="67"/>
  <c r="E17" i="68"/>
  <c r="E48" i="68"/>
  <c r="E22" i="68"/>
  <c r="C402" i="19" s="1"/>
  <c r="C404" i="19" s="1"/>
  <c r="E73" i="68" s="1"/>
  <c r="E27" i="67"/>
  <c r="E18" i="67"/>
  <c r="E9" i="67"/>
  <c r="E6" i="68"/>
  <c r="C297" i="19" s="1"/>
  <c r="C299" i="19" s="1"/>
  <c r="E57" i="68" s="1"/>
  <c r="E35" i="68"/>
  <c r="C474" i="19" s="1"/>
  <c r="C476" i="19" s="1"/>
  <c r="E87" i="68" s="1"/>
  <c r="E28" i="68"/>
  <c r="C434" i="19" s="1"/>
  <c r="C436" i="19" s="1"/>
  <c r="E80" i="68" s="1"/>
  <c r="E22" i="67"/>
  <c r="C114" i="19" s="1"/>
  <c r="E17" i="67"/>
  <c r="E36" i="68"/>
  <c r="E6" i="67"/>
  <c r="E48" i="67"/>
  <c r="C285" i="19" s="1"/>
  <c r="E25" i="68"/>
  <c r="E18" i="68"/>
  <c r="E36" i="67"/>
  <c r="E34" i="68"/>
  <c r="C471" i="19" s="1"/>
  <c r="C473" i="19" s="1"/>
  <c r="E86" i="68" s="1"/>
  <c r="E33" i="68"/>
  <c r="C468" i="19" s="1"/>
  <c r="E9" i="68"/>
  <c r="C318" i="19" s="1"/>
  <c r="C320" i="19" s="1"/>
  <c r="E60" i="68" s="1"/>
  <c r="E20" i="63"/>
  <c r="E53" i="63"/>
  <c r="E57" i="63"/>
  <c r="E16" i="63"/>
  <c r="E28" i="21"/>
  <c r="E102" i="21"/>
  <c r="E65" i="21"/>
  <c r="E139" i="21"/>
  <c r="E52" i="26"/>
  <c r="E52" i="67"/>
  <c r="E52" i="66"/>
  <c r="E52" i="70"/>
  <c r="E52" i="65"/>
  <c r="E52" i="69"/>
  <c r="E52" i="68"/>
  <c r="E52" i="64"/>
  <c r="E53" i="70"/>
  <c r="E53" i="69"/>
  <c r="E53" i="65"/>
  <c r="E53" i="64"/>
  <c r="E53" i="68"/>
  <c r="E53" i="66"/>
  <c r="E53" i="67"/>
  <c r="AE101" i="12"/>
  <c r="AB101" i="12"/>
  <c r="Y101" i="12"/>
  <c r="V101" i="12"/>
  <c r="Y62" i="12"/>
  <c r="AB100" i="12"/>
  <c r="Y100" i="12"/>
  <c r="Y61" i="12"/>
  <c r="V57" i="12"/>
  <c r="V56" i="12"/>
  <c r="AE100" i="12"/>
  <c r="V100" i="12"/>
  <c r="AB56" i="12"/>
  <c r="AE99" i="12"/>
  <c r="AB99" i="12"/>
  <c r="Y99" i="12"/>
  <c r="V99" i="12"/>
  <c r="V62" i="12"/>
  <c r="Y58" i="12"/>
  <c r="AE107" i="12"/>
  <c r="AE62" i="12"/>
  <c r="AE106" i="12"/>
  <c r="AE105" i="12"/>
  <c r="AE56" i="12"/>
  <c r="AE98" i="12"/>
  <c r="AB98" i="12"/>
  <c r="Y98" i="12"/>
  <c r="V98" i="12"/>
  <c r="V61" i="12"/>
  <c r="Y57" i="12"/>
  <c r="Y107" i="12"/>
  <c r="V107" i="12"/>
  <c r="Y56" i="12"/>
  <c r="AB106" i="12"/>
  <c r="AB62" i="12"/>
  <c r="V104" i="12"/>
  <c r="AB107" i="12"/>
  <c r="AE58" i="12"/>
  <c r="Y106" i="12"/>
  <c r="AE61" i="12"/>
  <c r="V105" i="12"/>
  <c r="AB104" i="12"/>
  <c r="AB58" i="12"/>
  <c r="V106" i="12"/>
  <c r="V58" i="12"/>
  <c r="AB105" i="12"/>
  <c r="Y105" i="12"/>
  <c r="AE104" i="12"/>
  <c r="Y104" i="12"/>
  <c r="AB61" i="12"/>
  <c r="AE55" i="12"/>
  <c r="AB55" i="12"/>
  <c r="Y55" i="12"/>
  <c r="V55" i="12"/>
  <c r="E73" i="71"/>
  <c r="E132" i="71"/>
  <c r="E264" i="71"/>
  <c r="E60" i="71"/>
  <c r="E72" i="71"/>
  <c r="E200" i="71"/>
  <c r="E16" i="70"/>
  <c r="E16" i="67"/>
  <c r="E16" i="66"/>
  <c r="E16" i="65"/>
  <c r="E16" i="68"/>
  <c r="E16" i="69"/>
  <c r="E16" i="64"/>
  <c r="E262" i="71"/>
  <c r="E131" i="71"/>
  <c r="E198" i="71"/>
  <c r="E59" i="71"/>
  <c r="E199" i="71"/>
  <c r="E58" i="71"/>
  <c r="E263" i="71"/>
  <c r="E130" i="71"/>
  <c r="E42" i="66"/>
  <c r="E11" i="66"/>
  <c r="E15" i="66"/>
  <c r="E45" i="66"/>
  <c r="E44" i="64"/>
  <c r="E13" i="65"/>
  <c r="E11" i="67"/>
  <c r="E41" i="65"/>
  <c r="E14" i="68"/>
  <c r="E13" i="68"/>
  <c r="E45" i="69"/>
  <c r="E14" i="70"/>
  <c r="E13" i="70"/>
  <c r="E42" i="70"/>
  <c r="E12" i="66"/>
  <c r="E11" i="70"/>
  <c r="E44" i="65"/>
  <c r="E45" i="65"/>
  <c r="E15" i="68"/>
  <c r="E10" i="68"/>
  <c r="E42" i="68"/>
  <c r="E41" i="69"/>
  <c r="E10" i="70"/>
  <c r="E42" i="69"/>
  <c r="E14" i="69"/>
  <c r="E43" i="70"/>
  <c r="E11" i="64"/>
  <c r="E11" i="65"/>
  <c r="E45" i="68"/>
  <c r="E10" i="69"/>
  <c r="E15" i="70"/>
  <c r="E15" i="69"/>
  <c r="E14" i="64"/>
  <c r="E10" i="66"/>
  <c r="E15" i="64"/>
  <c r="E12" i="65"/>
  <c r="E15" i="65"/>
  <c r="E13" i="69"/>
  <c r="E13" i="66"/>
  <c r="E14" i="66"/>
  <c r="E42" i="67"/>
  <c r="E45" i="67"/>
  <c r="E43" i="67"/>
  <c r="E42" i="64"/>
  <c r="E43" i="66"/>
  <c r="E42" i="65"/>
  <c r="E44" i="68"/>
  <c r="E11" i="69"/>
  <c r="E12" i="64"/>
  <c r="E44" i="66"/>
  <c r="E41" i="70"/>
  <c r="E43" i="64"/>
  <c r="E41" i="68"/>
  <c r="E12" i="70"/>
  <c r="E13" i="64"/>
  <c r="E41" i="66"/>
  <c r="E13" i="67"/>
  <c r="E44" i="67"/>
  <c r="E41" i="67"/>
  <c r="E14" i="67"/>
  <c r="E10" i="65"/>
  <c r="E41" i="64"/>
  <c r="E43" i="65"/>
  <c r="E10" i="64"/>
  <c r="E11" i="68"/>
  <c r="E12" i="68"/>
  <c r="E44" i="69"/>
  <c r="E12" i="69"/>
  <c r="E45" i="70"/>
  <c r="E44" i="70"/>
  <c r="E15" i="67"/>
  <c r="E12" i="67"/>
  <c r="E10" i="67"/>
  <c r="E14" i="65"/>
  <c r="E45" i="64"/>
  <c r="E43" i="68"/>
  <c r="E43" i="69"/>
  <c r="C75" i="48"/>
  <c r="C76" i="48" s="1"/>
  <c r="C49" i="48"/>
  <c r="C178" i="48" s="1"/>
  <c r="C52" i="48"/>
  <c r="E16" i="26"/>
  <c r="E42" i="26"/>
  <c r="T42" i="12" s="1"/>
  <c r="E13" i="26"/>
  <c r="T13" i="12" s="1"/>
  <c r="AM13" i="12" s="1"/>
  <c r="E45" i="26"/>
  <c r="E41" i="26"/>
  <c r="T41" i="12" s="1"/>
  <c r="E12" i="26"/>
  <c r="T12" i="12" s="1"/>
  <c r="AM12" i="12" s="1"/>
  <c r="E43" i="26"/>
  <c r="E44" i="26"/>
  <c r="T44" i="12" s="1"/>
  <c r="E15" i="26"/>
  <c r="T15" i="12" s="1"/>
  <c r="AM15" i="12" s="1"/>
  <c r="E11" i="26"/>
  <c r="T11" i="12" s="1"/>
  <c r="AM11" i="12" s="1"/>
  <c r="E10" i="26"/>
  <c r="T10" i="12" s="1"/>
  <c r="AM10" i="12" s="1"/>
  <c r="E14" i="26"/>
  <c r="T14" i="12" s="1"/>
  <c r="AM14" i="12" s="1"/>
  <c r="C834" i="16"/>
  <c r="C10" i="48"/>
  <c r="C9" i="48"/>
  <c r="C688" i="16"/>
  <c r="C542" i="16"/>
  <c r="C524" i="16"/>
  <c r="C275" i="19" s="1"/>
  <c r="C529" i="16"/>
  <c r="C528" i="16"/>
  <c r="C529" i="19" s="1"/>
  <c r="C523" i="16"/>
  <c r="C241" i="19" s="1"/>
  <c r="C243" i="19" s="1"/>
  <c r="C237" i="16"/>
  <c r="C224" i="16"/>
  <c r="C49" i="19" s="1"/>
  <c r="C236" i="16"/>
  <c r="C228" i="16"/>
  <c r="C263" i="19" s="1"/>
  <c r="C225" i="16"/>
  <c r="C89" i="19" s="1"/>
  <c r="C227" i="16"/>
  <c r="C229" i="19" s="1"/>
  <c r="C231" i="19" s="1"/>
  <c r="C240" i="16"/>
  <c r="C551" i="19" s="1"/>
  <c r="C239" i="16"/>
  <c r="C192" i="16"/>
  <c r="C167" i="16"/>
  <c r="C142" i="16"/>
  <c r="C170" i="16"/>
  <c r="C139" i="16"/>
  <c r="C127" i="16"/>
  <c r="C83" i="19" s="1"/>
  <c r="C130" i="16"/>
  <c r="C257" i="19" s="1"/>
  <c r="C109" i="16"/>
  <c r="C106" i="16"/>
  <c r="C118" i="16"/>
  <c r="C93" i="16"/>
  <c r="C542" i="19" s="1"/>
  <c r="C81" i="16"/>
  <c r="C254" i="19" s="1"/>
  <c r="C90" i="16"/>
  <c r="C78" i="16"/>
  <c r="C80" i="19" s="1"/>
  <c r="C113" i="54"/>
  <c r="C97" i="54"/>
  <c r="C105" i="54"/>
  <c r="C81" i="54"/>
  <c r="C73" i="54"/>
  <c r="C89" i="54"/>
  <c r="C57" i="54"/>
  <c r="C12" i="54"/>
  <c r="C64" i="54" s="1"/>
  <c r="C46" i="54"/>
  <c r="C112" i="54" s="1"/>
  <c r="C22" i="54"/>
  <c r="C80" i="54" s="1"/>
  <c r="C65" i="54"/>
  <c r="C41" i="54"/>
  <c r="C104" i="54" s="1"/>
  <c r="C36" i="54"/>
  <c r="C96" i="54" s="1"/>
  <c r="C31" i="54"/>
  <c r="C88" i="54" s="1"/>
  <c r="C17" i="54"/>
  <c r="C72" i="54" s="1"/>
  <c r="C7" i="54"/>
  <c r="C56" i="54" s="1"/>
  <c r="E75" i="26"/>
  <c r="C1157" i="19"/>
  <c r="E84" i="41"/>
  <c r="E34" i="41"/>
  <c r="E184" i="41"/>
  <c r="E106" i="41"/>
  <c r="V70" i="12" l="1"/>
  <c r="V69" i="12"/>
  <c r="Y70" i="12"/>
  <c r="AB70" i="12"/>
  <c r="AB69" i="12"/>
  <c r="AE70" i="12"/>
  <c r="Y69" i="12"/>
  <c r="AE69" i="12"/>
  <c r="AD16" i="12"/>
  <c r="AM42" i="12"/>
  <c r="AM44" i="12"/>
  <c r="AM41" i="12"/>
  <c r="T43" i="12"/>
  <c r="F80" i="78"/>
  <c r="D1161" i="19"/>
  <c r="F77" i="79"/>
  <c r="G121" i="79"/>
  <c r="E1170" i="19"/>
  <c r="F121" i="79"/>
  <c r="G121" i="78"/>
  <c r="G124" i="79"/>
  <c r="F168" i="78"/>
  <c r="F36" i="78"/>
  <c r="F165" i="79"/>
  <c r="F17" i="79"/>
  <c r="G54" i="70"/>
  <c r="F33" i="79"/>
  <c r="D78" i="48"/>
  <c r="D79" i="48" s="1"/>
  <c r="D11" i="48"/>
  <c r="D14" i="48" s="1"/>
  <c r="D73" i="48" s="1"/>
  <c r="G165" i="79"/>
  <c r="E280" i="16"/>
  <c r="F64" i="78"/>
  <c r="F69" i="78" s="1"/>
  <c r="E275" i="16"/>
  <c r="D684" i="16"/>
  <c r="D871" i="16" s="1"/>
  <c r="G17" i="78"/>
  <c r="E1191" i="19"/>
  <c r="D280" i="16"/>
  <c r="D241" i="19"/>
  <c r="D243" i="19" s="1"/>
  <c r="E1164" i="19"/>
  <c r="D1164" i="19"/>
  <c r="G54" i="65"/>
  <c r="F54" i="65"/>
  <c r="D567" i="16"/>
  <c r="E596" i="16"/>
  <c r="E529" i="19"/>
  <c r="E531" i="19" s="1"/>
  <c r="D1182" i="19"/>
  <c r="E1182" i="19"/>
  <c r="E801" i="16"/>
  <c r="E1145" i="19" s="1"/>
  <c r="E1147" i="19" s="1"/>
  <c r="G98" i="70" s="1"/>
  <c r="G56" i="71"/>
  <c r="G61" i="71" s="1"/>
  <c r="G124" i="78"/>
  <c r="E78" i="48"/>
  <c r="E79" i="48" s="1"/>
  <c r="F196" i="71"/>
  <c r="F201" i="71" s="1"/>
  <c r="F124" i="79"/>
  <c r="E714" i="16"/>
  <c r="G46" i="67" s="1"/>
  <c r="E1188" i="19"/>
  <c r="G33" i="78"/>
  <c r="G168" i="79"/>
  <c r="D178" i="48"/>
  <c r="D818" i="16"/>
  <c r="D869" i="16" s="1"/>
  <c r="G54" i="69"/>
  <c r="G20" i="78"/>
  <c r="G19" i="78" s="1"/>
  <c r="F36" i="79"/>
  <c r="F64" i="79"/>
  <c r="F63" i="79" s="1"/>
  <c r="F152" i="78"/>
  <c r="F151" i="78" s="1"/>
  <c r="G33" i="79"/>
  <c r="G20" i="79"/>
  <c r="G19" i="79" s="1"/>
  <c r="E550" i="16"/>
  <c r="E11" i="48"/>
  <c r="E178" i="48"/>
  <c r="G64" i="78"/>
  <c r="G9" i="69"/>
  <c r="E318" i="19"/>
  <c r="E320" i="19" s="1"/>
  <c r="G60" i="68" s="1"/>
  <c r="F22" i="69"/>
  <c r="D402" i="19"/>
  <c r="D404" i="19" s="1"/>
  <c r="F73" i="68" s="1"/>
  <c r="X22" i="12" s="1"/>
  <c r="Y22" i="12" s="1"/>
  <c r="E702" i="16"/>
  <c r="E760" i="16"/>
  <c r="D760" i="16"/>
  <c r="D801" i="16"/>
  <c r="E818" i="16"/>
  <c r="D579" i="16"/>
  <c r="E1179" i="19"/>
  <c r="E1161" i="19"/>
  <c r="D1173" i="19"/>
  <c r="G54" i="68"/>
  <c r="F54" i="64"/>
  <c r="G260" i="71"/>
  <c r="G77" i="78"/>
  <c r="F67" i="68"/>
  <c r="F19" i="68"/>
  <c r="G152" i="78"/>
  <c r="F33" i="78"/>
  <c r="D1021" i="19"/>
  <c r="D1023" i="19" s="1"/>
  <c r="F83" i="66" s="1"/>
  <c r="D445" i="19"/>
  <c r="D447" i="19" s="1"/>
  <c r="F83" i="64" s="1"/>
  <c r="G34" i="69"/>
  <c r="E471" i="19"/>
  <c r="E473" i="19" s="1"/>
  <c r="G86" i="68" s="1"/>
  <c r="F36" i="69"/>
  <c r="D477" i="19"/>
  <c r="D479" i="19" s="1"/>
  <c r="F88" i="68" s="1"/>
  <c r="F32" i="68"/>
  <c r="F33" i="69"/>
  <c r="D468" i="19"/>
  <c r="F6" i="69"/>
  <c r="D297" i="19"/>
  <c r="D299" i="19" s="1"/>
  <c r="F57" i="68" s="1"/>
  <c r="X6" i="12" s="1"/>
  <c r="F25" i="69"/>
  <c r="D413" i="19"/>
  <c r="D415" i="19" s="1"/>
  <c r="F77" i="68" s="1"/>
  <c r="G6" i="69"/>
  <c r="E297" i="19"/>
  <c r="E299" i="19" s="1"/>
  <c r="G57" i="68" s="1"/>
  <c r="E684" i="16"/>
  <c r="E871" i="16" s="1"/>
  <c r="D725" i="16"/>
  <c r="D731" i="16" s="1"/>
  <c r="D714" i="16"/>
  <c r="E92" i="19"/>
  <c r="E94" i="19" s="1"/>
  <c r="E52" i="19"/>
  <c r="E54" i="19" s="1"/>
  <c r="G54" i="64"/>
  <c r="F54" i="67"/>
  <c r="F74" i="71"/>
  <c r="F121" i="78"/>
  <c r="G108" i="78"/>
  <c r="F108" i="78"/>
  <c r="G168" i="78"/>
  <c r="G7" i="69"/>
  <c r="E304" i="19"/>
  <c r="E306" i="19" s="1"/>
  <c r="G58" i="68" s="1"/>
  <c r="F48" i="69"/>
  <c r="D573" i="19"/>
  <c r="D575" i="19" s="1"/>
  <c r="F100" i="68" s="1"/>
  <c r="F8" i="69"/>
  <c r="D311" i="19"/>
  <c r="D313" i="19" s="1"/>
  <c r="F59" i="68" s="1"/>
  <c r="G18" i="63"/>
  <c r="G30" i="67"/>
  <c r="E91" i="48" s="1"/>
  <c r="E132" i="19"/>
  <c r="E134" i="19" s="1"/>
  <c r="G78" i="67" s="1"/>
  <c r="G82" i="67" s="1"/>
  <c r="E579" i="16"/>
  <c r="G196" i="71"/>
  <c r="G32" i="67"/>
  <c r="E180" i="19"/>
  <c r="D672" i="16"/>
  <c r="E643" i="16"/>
  <c r="E626" i="16"/>
  <c r="D614" i="16"/>
  <c r="D92" i="19"/>
  <c r="D94" i="19" s="1"/>
  <c r="D1188" i="19"/>
  <c r="D1191" i="19"/>
  <c r="F54" i="68"/>
  <c r="G54" i="66"/>
  <c r="F67" i="69"/>
  <c r="F168" i="79"/>
  <c r="F80" i="79"/>
  <c r="F67" i="65"/>
  <c r="G80" i="78"/>
  <c r="G17" i="79"/>
  <c r="F67" i="64"/>
  <c r="D733" i="19"/>
  <c r="D735" i="19" s="1"/>
  <c r="F83" i="65" s="1"/>
  <c r="G36" i="69"/>
  <c r="E477" i="19"/>
  <c r="E479" i="19" s="1"/>
  <c r="G88" i="68" s="1"/>
  <c r="F18" i="63"/>
  <c r="G94" i="63"/>
  <c r="G55" i="63"/>
  <c r="D125" i="19"/>
  <c r="D127" i="19" s="1"/>
  <c r="F77" i="67" s="1"/>
  <c r="D789" i="16"/>
  <c r="F67" i="67"/>
  <c r="F70" i="67" s="1"/>
  <c r="F19" i="67"/>
  <c r="D99" i="48" s="1"/>
  <c r="G33" i="69"/>
  <c r="G32" i="68"/>
  <c r="E468" i="19"/>
  <c r="E125" i="19"/>
  <c r="E127" i="19" s="1"/>
  <c r="G77" i="67" s="1"/>
  <c r="E655" i="16"/>
  <c r="D743" i="16"/>
  <c r="F54" i="69"/>
  <c r="G54" i="26"/>
  <c r="G19" i="68"/>
  <c r="G67" i="68"/>
  <c r="F128" i="71"/>
  <c r="F108" i="79"/>
  <c r="G67" i="69"/>
  <c r="G165" i="78"/>
  <c r="G152" i="79"/>
  <c r="F17" i="78"/>
  <c r="E1021" i="19"/>
  <c r="E1023" i="19" s="1"/>
  <c r="G83" i="66" s="1"/>
  <c r="G28" i="69"/>
  <c r="E434" i="19"/>
  <c r="E436" i="19" s="1"/>
  <c r="G80" i="68" s="1"/>
  <c r="G17" i="69"/>
  <c r="G68" i="68"/>
  <c r="F7" i="69"/>
  <c r="D304" i="19"/>
  <c r="D306" i="19" s="1"/>
  <c r="F58" i="68" s="1"/>
  <c r="F68" i="68"/>
  <c r="F17" i="69"/>
  <c r="F55" i="63"/>
  <c r="F94" i="63"/>
  <c r="D275" i="16"/>
  <c r="D550" i="16"/>
  <c r="E614" i="16"/>
  <c r="E725" i="16"/>
  <c r="E731" i="16" s="1"/>
  <c r="E789" i="16"/>
  <c r="E340" i="19"/>
  <c r="E342" i="19" s="1"/>
  <c r="F54" i="66"/>
  <c r="F20" i="79"/>
  <c r="G74" i="71"/>
  <c r="F20" i="78"/>
  <c r="G67" i="26"/>
  <c r="F56" i="71"/>
  <c r="F67" i="26"/>
  <c r="G80" i="79"/>
  <c r="G36" i="79"/>
  <c r="E733" i="19"/>
  <c r="E735" i="19" s="1"/>
  <c r="G83" i="65" s="1"/>
  <c r="G22" i="69"/>
  <c r="E402" i="19"/>
  <c r="E404" i="19" s="1"/>
  <c r="G73" i="68" s="1"/>
  <c r="F30" i="68"/>
  <c r="F26" i="69"/>
  <c r="D420" i="19"/>
  <c r="D422" i="19" s="1"/>
  <c r="F78" i="68" s="1"/>
  <c r="X26" i="12" s="1"/>
  <c r="F67" i="70"/>
  <c r="F9" i="69"/>
  <c r="D318" i="19"/>
  <c r="D320" i="19" s="1"/>
  <c r="F60" i="68" s="1"/>
  <c r="X9" i="12" s="1"/>
  <c r="E743" i="16"/>
  <c r="E830" i="16"/>
  <c r="E872" i="16" s="1"/>
  <c r="D772" i="16"/>
  <c r="D655" i="16"/>
  <c r="D643" i="16"/>
  <c r="D340" i="19"/>
  <c r="D342" i="19" s="1"/>
  <c r="D1179" i="19"/>
  <c r="E1173" i="19"/>
  <c r="D1170" i="19"/>
  <c r="F54" i="70"/>
  <c r="F54" i="26"/>
  <c r="G54" i="67"/>
  <c r="G128" i="71"/>
  <c r="F67" i="66"/>
  <c r="G108" i="79"/>
  <c r="G67" i="66"/>
  <c r="F124" i="78"/>
  <c r="G64" i="79"/>
  <c r="G19" i="67"/>
  <c r="E99" i="48" s="1"/>
  <c r="G67" i="67"/>
  <c r="G70" i="67" s="1"/>
  <c r="E445" i="19"/>
  <c r="E447" i="19" s="1"/>
  <c r="G83" i="64" s="1"/>
  <c r="G26" i="69"/>
  <c r="G30" i="68"/>
  <c r="E420" i="19"/>
  <c r="E422" i="19" s="1"/>
  <c r="G78" i="68" s="1"/>
  <c r="G48" i="69"/>
  <c r="E573" i="19"/>
  <c r="E575" i="19" s="1"/>
  <c r="G100" i="68" s="1"/>
  <c r="G35" i="69"/>
  <c r="E474" i="19"/>
  <c r="E476" i="19" s="1"/>
  <c r="G87" i="68" s="1"/>
  <c r="G29" i="69"/>
  <c r="E441" i="19"/>
  <c r="E443" i="19" s="1"/>
  <c r="G81" i="68" s="1"/>
  <c r="F27" i="69"/>
  <c r="D427" i="19"/>
  <c r="D429" i="19" s="1"/>
  <c r="F79" i="68" s="1"/>
  <c r="X27" i="12" s="1"/>
  <c r="F29" i="69"/>
  <c r="D441" i="19"/>
  <c r="D443" i="19" s="1"/>
  <c r="F81" i="68" s="1"/>
  <c r="X29" i="12" s="1"/>
  <c r="F28" i="69"/>
  <c r="D434" i="19"/>
  <c r="D436" i="19" s="1"/>
  <c r="F80" i="68" s="1"/>
  <c r="X28" i="12" s="1"/>
  <c r="F32" i="67"/>
  <c r="D180" i="19"/>
  <c r="E157" i="19"/>
  <c r="E159" i="19" s="1"/>
  <c r="G83" i="26" s="1"/>
  <c r="D830" i="16"/>
  <c r="D872" i="16" s="1"/>
  <c r="E772" i="16"/>
  <c r="E672" i="16"/>
  <c r="D626" i="16"/>
  <c r="D702" i="16"/>
  <c r="F152" i="79"/>
  <c r="F260" i="71"/>
  <c r="G67" i="64"/>
  <c r="G36" i="78"/>
  <c r="F77" i="78"/>
  <c r="F165" i="78"/>
  <c r="G67" i="65"/>
  <c r="G77" i="79"/>
  <c r="G67" i="70"/>
  <c r="G69" i="68"/>
  <c r="G18" i="69"/>
  <c r="G27" i="69"/>
  <c r="E427" i="19"/>
  <c r="E429" i="19" s="1"/>
  <c r="G79" i="68" s="1"/>
  <c r="G25" i="69"/>
  <c r="E413" i="19"/>
  <c r="E415" i="19" s="1"/>
  <c r="G77" i="68" s="1"/>
  <c r="G8" i="69"/>
  <c r="E311" i="19"/>
  <c r="E313" i="19" s="1"/>
  <c r="G59" i="68" s="1"/>
  <c r="F69" i="68"/>
  <c r="F18" i="69"/>
  <c r="F35" i="69"/>
  <c r="D474" i="19"/>
  <c r="D476" i="19" s="1"/>
  <c r="F87" i="68" s="1"/>
  <c r="X35" i="12" s="1"/>
  <c r="F34" i="69"/>
  <c r="D471" i="19"/>
  <c r="D473" i="19" s="1"/>
  <c r="F86" i="68" s="1"/>
  <c r="X34" i="12" s="1"/>
  <c r="F30" i="67"/>
  <c r="D91" i="48" s="1"/>
  <c r="D132" i="19"/>
  <c r="D134" i="19" s="1"/>
  <c r="F78" i="67" s="1"/>
  <c r="F82" i="67" s="1"/>
  <c r="C1190" i="19"/>
  <c r="C1189" i="19"/>
  <c r="C1187" i="19"/>
  <c r="C1186" i="19"/>
  <c r="C1181" i="19"/>
  <c r="C1180" i="19"/>
  <c r="C1178" i="19"/>
  <c r="C1177" i="19"/>
  <c r="C1172" i="19"/>
  <c r="C1171" i="19"/>
  <c r="C1169" i="19"/>
  <c r="C1168" i="19"/>
  <c r="C1163" i="19"/>
  <c r="C1159" i="19"/>
  <c r="C1160" i="19"/>
  <c r="C237" i="19"/>
  <c r="C228" i="19"/>
  <c r="C1142" i="19"/>
  <c r="C1108" i="19"/>
  <c r="C971" i="19"/>
  <c r="C931" i="19"/>
  <c r="C854" i="19"/>
  <c r="C553" i="19"/>
  <c r="C563" i="19"/>
  <c r="C565" i="19" s="1"/>
  <c r="C544" i="19"/>
  <c r="C566" i="19"/>
  <c r="C545" i="19"/>
  <c r="C547" i="19" s="1"/>
  <c r="C557" i="19"/>
  <c r="C559" i="19" s="1"/>
  <c r="C531" i="19"/>
  <c r="C532" i="19"/>
  <c r="C523" i="19"/>
  <c r="C525" i="19" s="1"/>
  <c r="C517" i="19"/>
  <c r="C519" i="19" s="1"/>
  <c r="C395" i="19"/>
  <c r="C377" i="19"/>
  <c r="C379" i="19" s="1"/>
  <c r="C368" i="19"/>
  <c r="C370" i="19" s="1"/>
  <c r="C386" i="19"/>
  <c r="C388" i="19" s="1"/>
  <c r="C371" i="19"/>
  <c r="C373" i="19" s="1"/>
  <c r="C355" i="19"/>
  <c r="C346" i="19"/>
  <c r="C348" i="19" s="1"/>
  <c r="C337" i="19"/>
  <c r="C339" i="19" s="1"/>
  <c r="C269" i="19"/>
  <c r="C271" i="19" s="1"/>
  <c r="C278" i="19"/>
  <c r="C244" i="19"/>
  <c r="C248" i="19"/>
  <c r="C289" i="19" s="1"/>
  <c r="C1162" i="19" s="1"/>
  <c r="C107" i="19"/>
  <c r="C98" i="19"/>
  <c r="C100" i="19" s="1"/>
  <c r="C67" i="19"/>
  <c r="E67" i="66"/>
  <c r="AC16" i="12"/>
  <c r="AE16" i="12" s="1"/>
  <c r="H773" i="34"/>
  <c r="H774" i="34"/>
  <c r="H775" i="34"/>
  <c r="H755" i="34"/>
  <c r="H753" i="34"/>
  <c r="H754" i="34"/>
  <c r="H776" i="34"/>
  <c r="E80" i="79"/>
  <c r="E121" i="79"/>
  <c r="E36" i="79"/>
  <c r="E124" i="79"/>
  <c r="E33" i="79"/>
  <c r="C16" i="79"/>
  <c r="E152" i="79"/>
  <c r="E108" i="79"/>
  <c r="E165" i="79"/>
  <c r="E77" i="79"/>
  <c r="E20" i="79"/>
  <c r="E64" i="79"/>
  <c r="E168" i="79"/>
  <c r="C15" i="79"/>
  <c r="E17" i="79"/>
  <c r="E165" i="78"/>
  <c r="E152" i="78"/>
  <c r="E168" i="78"/>
  <c r="E108" i="78"/>
  <c r="E107" i="78" s="1"/>
  <c r="E121" i="78"/>
  <c r="E124" i="78"/>
  <c r="E77" i="78"/>
  <c r="E80" i="78"/>
  <c r="E64" i="78"/>
  <c r="C479" i="16"/>
  <c r="E36" i="78"/>
  <c r="E33" i="78"/>
  <c r="C52" i="64"/>
  <c r="E20" i="78"/>
  <c r="E19" i="78" s="1"/>
  <c r="T45" i="12"/>
  <c r="C16" i="78"/>
  <c r="C15" i="78"/>
  <c r="E17" i="78"/>
  <c r="C117" i="54"/>
  <c r="E228" i="41"/>
  <c r="C228" i="41" s="1"/>
  <c r="C223" i="41"/>
  <c r="E236" i="41"/>
  <c r="C236" i="41" s="1"/>
  <c r="C231" i="41"/>
  <c r="C69" i="54"/>
  <c r="C41" i="40" s="1"/>
  <c r="C289" i="40" s="1"/>
  <c r="E8" i="67" s="1"/>
  <c r="C23" i="19" s="1"/>
  <c r="C25" i="19" s="1"/>
  <c r="E59" i="67" s="1"/>
  <c r="U8" i="12" s="1"/>
  <c r="C101" i="54"/>
  <c r="C135" i="40" s="1"/>
  <c r="C299" i="40" s="1"/>
  <c r="E8" i="68" s="1"/>
  <c r="C311" i="19" s="1"/>
  <c r="C313" i="19" s="1"/>
  <c r="E59" i="68" s="1"/>
  <c r="C682" i="16"/>
  <c r="C817" i="16"/>
  <c r="C828" i="16"/>
  <c r="C674" i="16"/>
  <c r="C829" i="16"/>
  <c r="C824" i="16"/>
  <c r="C820" i="16"/>
  <c r="C813" i="16"/>
  <c r="C809" i="16"/>
  <c r="C683" i="16"/>
  <c r="C678" i="16"/>
  <c r="C663" i="16"/>
  <c r="C827" i="16"/>
  <c r="C823" i="16"/>
  <c r="C816" i="16"/>
  <c r="C812" i="16"/>
  <c r="C808" i="16"/>
  <c r="C681" i="16"/>
  <c r="C677" i="16"/>
  <c r="C670" i="16"/>
  <c r="C666" i="16"/>
  <c r="C662" i="16"/>
  <c r="C826" i="16"/>
  <c r="C822" i="16"/>
  <c r="C815" i="16"/>
  <c r="C811" i="16"/>
  <c r="C807" i="16"/>
  <c r="C680" i="16"/>
  <c r="C676" i="16"/>
  <c r="C669" i="16"/>
  <c r="C665" i="16"/>
  <c r="C661" i="16"/>
  <c r="C825" i="16"/>
  <c r="C821" i="16"/>
  <c r="C814" i="16"/>
  <c r="C810" i="16"/>
  <c r="C806" i="16"/>
  <c r="C679" i="16"/>
  <c r="C675" i="16"/>
  <c r="C668" i="16"/>
  <c r="C664" i="16"/>
  <c r="C660" i="16"/>
  <c r="C667" i="16"/>
  <c r="C671" i="16"/>
  <c r="C85" i="54"/>
  <c r="C35" i="40" s="1"/>
  <c r="C52" i="65"/>
  <c r="C518" i="16"/>
  <c r="C503" i="16"/>
  <c r="C515" i="16"/>
  <c r="C363" i="16"/>
  <c r="C470" i="16"/>
  <c r="C517" i="16"/>
  <c r="C512" i="16"/>
  <c r="C467" i="16"/>
  <c r="C351" i="16"/>
  <c r="C360" i="16"/>
  <c r="C506" i="16"/>
  <c r="C464" i="16"/>
  <c r="C469" i="16"/>
  <c r="C350" i="16"/>
  <c r="C345" i="16"/>
  <c r="C476" i="16"/>
  <c r="C481" i="16"/>
  <c r="C348" i="16"/>
  <c r="C500" i="16"/>
  <c r="C505" i="16"/>
  <c r="C362" i="16"/>
  <c r="C357" i="16"/>
  <c r="C482" i="16"/>
  <c r="C52" i="26"/>
  <c r="C16" i="63"/>
  <c r="C53" i="66"/>
  <c r="Y63" i="12"/>
  <c r="Y64" i="12" s="1"/>
  <c r="E54" i="65"/>
  <c r="C52" i="68"/>
  <c r="E63" i="67"/>
  <c r="C63" i="67" s="1"/>
  <c r="C12" i="67"/>
  <c r="U12" i="73" s="1"/>
  <c r="U12" i="12"/>
  <c r="V12" i="12" s="1"/>
  <c r="E63" i="69"/>
  <c r="C63" i="69" s="1"/>
  <c r="C12" i="69"/>
  <c r="AA12" i="73" s="1"/>
  <c r="AA12" i="12"/>
  <c r="E61" i="65"/>
  <c r="C61" i="65" s="1"/>
  <c r="Z10" i="12"/>
  <c r="C10" i="65"/>
  <c r="Z10" i="73" s="1"/>
  <c r="E93" i="66"/>
  <c r="C93" i="66" s="1"/>
  <c r="C41" i="66"/>
  <c r="AC41" i="73" s="1"/>
  <c r="AC41" i="12"/>
  <c r="E96" i="66"/>
  <c r="C96" i="66" s="1"/>
  <c r="C44" i="66"/>
  <c r="AC44" i="73" s="1"/>
  <c r="AC44" i="12"/>
  <c r="E61" i="69"/>
  <c r="C61" i="69" s="1"/>
  <c r="C10" i="69"/>
  <c r="AA10" i="73" s="1"/>
  <c r="AA10" i="12"/>
  <c r="C13" i="64"/>
  <c r="W13" i="73" s="1"/>
  <c r="E61" i="68"/>
  <c r="C61" i="68" s="1"/>
  <c r="C10" i="68"/>
  <c r="X10" i="73" s="1"/>
  <c r="X10" i="12"/>
  <c r="E64" i="65"/>
  <c r="C64" i="65" s="1"/>
  <c r="C13" i="65"/>
  <c r="Z13" i="73" s="1"/>
  <c r="Z13" i="12"/>
  <c r="C15" i="66"/>
  <c r="AC15" i="73" s="1"/>
  <c r="E66" i="66"/>
  <c r="C66" i="66" s="1"/>
  <c r="AC15" i="12"/>
  <c r="E67" i="69"/>
  <c r="AA16" i="12"/>
  <c r="E54" i="68"/>
  <c r="C53" i="68"/>
  <c r="E18" i="69"/>
  <c r="E69" i="68"/>
  <c r="C18" i="68"/>
  <c r="X18" i="73" s="1"/>
  <c r="X18" i="12"/>
  <c r="E36" i="69"/>
  <c r="C36" i="68"/>
  <c r="E48" i="69"/>
  <c r="C48" i="68"/>
  <c r="C146" i="19"/>
  <c r="C148" i="19" s="1"/>
  <c r="C28" i="67"/>
  <c r="E66" i="67"/>
  <c r="C66" i="67" s="1"/>
  <c r="C15" i="67"/>
  <c r="U15" i="73" s="1"/>
  <c r="U15" i="12"/>
  <c r="V15" i="12" s="1"/>
  <c r="E96" i="69"/>
  <c r="C96" i="69" s="1"/>
  <c r="C44" i="69"/>
  <c r="AA44" i="73" s="1"/>
  <c r="AA44" i="12"/>
  <c r="E65" i="67"/>
  <c r="C65" i="67" s="1"/>
  <c r="C14" i="67"/>
  <c r="U14" i="73" s="1"/>
  <c r="U14" i="12"/>
  <c r="V14" i="12" s="1"/>
  <c r="E64" i="64"/>
  <c r="W13" i="12"/>
  <c r="AJ13" i="12" s="1"/>
  <c r="E63" i="64"/>
  <c r="C63" i="64" s="1"/>
  <c r="W12" i="12"/>
  <c r="AJ12" i="12" s="1"/>
  <c r="C12" i="64"/>
  <c r="W12" i="73" s="1"/>
  <c r="E63" i="65"/>
  <c r="C63" i="65" s="1"/>
  <c r="C12" i="65"/>
  <c r="Z12" i="73" s="1"/>
  <c r="Z12" i="12"/>
  <c r="E97" i="68"/>
  <c r="C97" i="68" s="1"/>
  <c r="C45" i="68"/>
  <c r="X45" i="73" s="1"/>
  <c r="X45" i="12"/>
  <c r="E95" i="70"/>
  <c r="C95" i="70" s="1"/>
  <c r="C43" i="70"/>
  <c r="AD43" i="73" s="1"/>
  <c r="AD43" i="12"/>
  <c r="E66" i="68"/>
  <c r="C66" i="68" s="1"/>
  <c r="C15" i="68"/>
  <c r="X15" i="73" s="1"/>
  <c r="X15" i="12"/>
  <c r="E19" i="68"/>
  <c r="E67" i="68"/>
  <c r="X16" i="12"/>
  <c r="C20" i="63"/>
  <c r="E25" i="69"/>
  <c r="C25" i="68"/>
  <c r="E17" i="69"/>
  <c r="E68" i="68"/>
  <c r="C17" i="68"/>
  <c r="X17" i="73" s="1"/>
  <c r="X17" i="12"/>
  <c r="C183" i="19"/>
  <c r="C185" i="19" s="1"/>
  <c r="C34" i="67"/>
  <c r="E63" i="68"/>
  <c r="C63" i="68" s="1"/>
  <c r="C12" i="68"/>
  <c r="X12" i="73" s="1"/>
  <c r="X12" i="12"/>
  <c r="E93" i="67"/>
  <c r="C93" i="67" s="1"/>
  <c r="C41" i="67"/>
  <c r="U41" i="73" s="1"/>
  <c r="U41" i="12"/>
  <c r="V41" i="12" s="1"/>
  <c r="E63" i="70"/>
  <c r="C63" i="70" s="1"/>
  <c r="C12" i="70"/>
  <c r="AD12" i="73" s="1"/>
  <c r="AD12" i="12"/>
  <c r="E62" i="69"/>
  <c r="C62" i="69" s="1"/>
  <c r="C11" i="69"/>
  <c r="AA11" i="73" s="1"/>
  <c r="AA11" i="12"/>
  <c r="AC14" i="12"/>
  <c r="C14" i="66"/>
  <c r="AC14" i="73" s="1"/>
  <c r="E65" i="66"/>
  <c r="C65" i="66" s="1"/>
  <c r="E66" i="64"/>
  <c r="C66" i="64" s="1"/>
  <c r="C15" i="64"/>
  <c r="W15" i="73" s="1"/>
  <c r="W15" i="12"/>
  <c r="AJ15" i="12" s="1"/>
  <c r="E62" i="65"/>
  <c r="C62" i="65" s="1"/>
  <c r="Z11" i="12"/>
  <c r="C11" i="65"/>
  <c r="Z11" i="73" s="1"/>
  <c r="E65" i="69"/>
  <c r="C65" i="69" s="1"/>
  <c r="C14" i="69"/>
  <c r="AA14" i="73" s="1"/>
  <c r="AA14" i="12"/>
  <c r="E96" i="65"/>
  <c r="C96" i="65" s="1"/>
  <c r="C44" i="65"/>
  <c r="Z44" i="73" s="1"/>
  <c r="Z44" i="12"/>
  <c r="E94" i="70"/>
  <c r="C94" i="70" s="1"/>
  <c r="C42" i="70"/>
  <c r="AD42" i="73" s="1"/>
  <c r="AD42" i="12"/>
  <c r="E96" i="64"/>
  <c r="C96" i="64" s="1"/>
  <c r="W44" i="12"/>
  <c r="AJ44" i="12" s="1"/>
  <c r="C44" i="64"/>
  <c r="W44" i="73" s="1"/>
  <c r="E56" i="71"/>
  <c r="V68" i="12"/>
  <c r="E196" i="71"/>
  <c r="E201" i="71" s="1"/>
  <c r="AB68" i="12"/>
  <c r="E67" i="65"/>
  <c r="Z16" i="12"/>
  <c r="AB16" i="12" s="1"/>
  <c r="V63" i="12"/>
  <c r="V64" i="12" s="1"/>
  <c r="C53" i="67"/>
  <c r="E54" i="64"/>
  <c r="C53" i="64"/>
  <c r="C413" i="19"/>
  <c r="C415" i="19" s="1"/>
  <c r="E77" i="68" s="1"/>
  <c r="C30" i="19"/>
  <c r="C32" i="19" s="1"/>
  <c r="C9" i="67"/>
  <c r="C125" i="19"/>
  <c r="C127" i="19" s="1"/>
  <c r="E77" i="67" s="1"/>
  <c r="C25" i="67"/>
  <c r="E95" i="69"/>
  <c r="C95" i="69" s="1"/>
  <c r="C43" i="69"/>
  <c r="AA43" i="73" s="1"/>
  <c r="AA43" i="12"/>
  <c r="E62" i="68"/>
  <c r="C62" i="68" s="1"/>
  <c r="C11" i="68"/>
  <c r="X11" i="73" s="1"/>
  <c r="X11" i="12"/>
  <c r="E96" i="67"/>
  <c r="C96" i="67" s="1"/>
  <c r="C44" i="67"/>
  <c r="U44" i="73" s="1"/>
  <c r="U44" i="12"/>
  <c r="V44" i="12" s="1"/>
  <c r="E93" i="68"/>
  <c r="C93" i="68" s="1"/>
  <c r="C41" i="68"/>
  <c r="X41" i="73" s="1"/>
  <c r="X41" i="12"/>
  <c r="E96" i="68"/>
  <c r="C96" i="68" s="1"/>
  <c r="C44" i="68"/>
  <c r="X44" i="73" s="1"/>
  <c r="X44" i="12"/>
  <c r="E94" i="69"/>
  <c r="C94" i="69" s="1"/>
  <c r="C42" i="69"/>
  <c r="AA42" i="73" s="1"/>
  <c r="AA42" i="12"/>
  <c r="E62" i="70"/>
  <c r="C62" i="70" s="1"/>
  <c r="C11" i="70"/>
  <c r="AD11" i="73" s="1"/>
  <c r="AD11" i="12"/>
  <c r="E64" i="70"/>
  <c r="C64" i="70" s="1"/>
  <c r="C13" i="70"/>
  <c r="AD13" i="73" s="1"/>
  <c r="AD13" i="12"/>
  <c r="C45" i="66"/>
  <c r="AC45" i="73" s="1"/>
  <c r="AC45" i="12"/>
  <c r="E97" i="66"/>
  <c r="C97" i="66" s="1"/>
  <c r="E62" i="66"/>
  <c r="C62" i="66" s="1"/>
  <c r="AC11" i="12"/>
  <c r="C11" i="66"/>
  <c r="AC11" i="73" s="1"/>
  <c r="C53" i="65"/>
  <c r="C52" i="70"/>
  <c r="E54" i="70"/>
  <c r="C477" i="19"/>
  <c r="C479" i="19" s="1"/>
  <c r="E88" i="68" s="1"/>
  <c r="C189" i="19"/>
  <c r="C191" i="19" s="1"/>
  <c r="C36" i="67"/>
  <c r="E68" i="67"/>
  <c r="C68" i="67" s="1"/>
  <c r="C17" i="67"/>
  <c r="U17" i="73" s="1"/>
  <c r="U17" i="12"/>
  <c r="E69" i="67"/>
  <c r="C69" i="67" s="1"/>
  <c r="C18" i="67"/>
  <c r="U18" i="73" s="1"/>
  <c r="U18" i="12"/>
  <c r="E29" i="69"/>
  <c r="C29" i="68"/>
  <c r="E95" i="68"/>
  <c r="C95" i="68" s="1"/>
  <c r="C43" i="68"/>
  <c r="X43" i="73" s="1"/>
  <c r="X43" i="12"/>
  <c r="E61" i="64"/>
  <c r="C61" i="64" s="1"/>
  <c r="C10" i="64"/>
  <c r="W10" i="73" s="1"/>
  <c r="W10" i="12"/>
  <c r="AJ10" i="12" s="1"/>
  <c r="E64" i="67"/>
  <c r="C64" i="67" s="1"/>
  <c r="C13" i="67"/>
  <c r="U13" i="73" s="1"/>
  <c r="U13" i="12"/>
  <c r="V13" i="12" s="1"/>
  <c r="E94" i="65"/>
  <c r="C94" i="65" s="1"/>
  <c r="C42" i="65"/>
  <c r="Z42" i="73" s="1"/>
  <c r="Z42" i="12"/>
  <c r="E64" i="66"/>
  <c r="C64" i="66" s="1"/>
  <c r="AC13" i="12"/>
  <c r="C13" i="66"/>
  <c r="AC13" i="73" s="1"/>
  <c r="E65" i="70"/>
  <c r="C65" i="70" s="1"/>
  <c r="C14" i="70"/>
  <c r="AD14" i="73" s="1"/>
  <c r="AD14" i="12"/>
  <c r="E94" i="66"/>
  <c r="C94" i="66" s="1"/>
  <c r="C42" i="66"/>
  <c r="AC42" i="73" s="1"/>
  <c r="AC42" i="12"/>
  <c r="E260" i="71"/>
  <c r="E265" i="71" s="1"/>
  <c r="AE68" i="12"/>
  <c r="C52" i="66"/>
  <c r="E54" i="66"/>
  <c r="E94" i="63"/>
  <c r="C57" i="63"/>
  <c r="E9" i="69"/>
  <c r="C9" i="68"/>
  <c r="C22" i="67"/>
  <c r="C139" i="19"/>
  <c r="C141" i="19" s="1"/>
  <c r="C27" i="67"/>
  <c r="E30" i="68"/>
  <c r="E26" i="69"/>
  <c r="C26" i="68"/>
  <c r="E97" i="64"/>
  <c r="C97" i="64" s="1"/>
  <c r="W45" i="12"/>
  <c r="C45" i="64"/>
  <c r="W45" i="73" s="1"/>
  <c r="E95" i="65"/>
  <c r="C95" i="65" s="1"/>
  <c r="Z43" i="12"/>
  <c r="C43" i="65"/>
  <c r="Z43" i="73" s="1"/>
  <c r="E95" i="64"/>
  <c r="C95" i="64" s="1"/>
  <c r="C43" i="64"/>
  <c r="W43" i="73" s="1"/>
  <c r="W43" i="12"/>
  <c r="E95" i="67"/>
  <c r="C95" i="67" s="1"/>
  <c r="C43" i="67"/>
  <c r="U43" i="73" s="1"/>
  <c r="U43" i="12"/>
  <c r="E64" i="69"/>
  <c r="C64" i="69" s="1"/>
  <c r="C13" i="69"/>
  <c r="AA13" i="73" s="1"/>
  <c r="AA13" i="12"/>
  <c r="E61" i="66"/>
  <c r="C61" i="66" s="1"/>
  <c r="C10" i="66"/>
  <c r="AC10" i="73" s="1"/>
  <c r="AC10" i="12"/>
  <c r="W14" i="12"/>
  <c r="AJ14" i="12" s="1"/>
  <c r="E65" i="64"/>
  <c r="C65" i="64" s="1"/>
  <c r="C14" i="64"/>
  <c r="W14" i="73" s="1"/>
  <c r="E62" i="64"/>
  <c r="C62" i="64" s="1"/>
  <c r="W11" i="12"/>
  <c r="AJ11" i="12" s="1"/>
  <c r="C11" i="64"/>
  <c r="W11" i="73" s="1"/>
  <c r="E61" i="70"/>
  <c r="C61" i="70" s="1"/>
  <c r="C10" i="70"/>
  <c r="AD10" i="73" s="1"/>
  <c r="AD10" i="12"/>
  <c r="E97" i="69"/>
  <c r="C97" i="69" s="1"/>
  <c r="C45" i="69"/>
  <c r="AA45" i="73" s="1"/>
  <c r="AA45" i="12"/>
  <c r="V74" i="12"/>
  <c r="E74" i="71"/>
  <c r="C72" i="71"/>
  <c r="C52" i="69"/>
  <c r="E54" i="69"/>
  <c r="C52" i="67"/>
  <c r="E54" i="67"/>
  <c r="C573" i="19"/>
  <c r="C575" i="19" s="1"/>
  <c r="E100" i="68" s="1"/>
  <c r="E33" i="69"/>
  <c r="E32" i="68"/>
  <c r="C33" i="68"/>
  <c r="C48" i="67"/>
  <c r="E28" i="69"/>
  <c r="C28" i="68"/>
  <c r="E27" i="69"/>
  <c r="C27" i="68"/>
  <c r="C180" i="19"/>
  <c r="C182" i="19" s="1"/>
  <c r="E85" i="67" s="1"/>
  <c r="E32" i="67"/>
  <c r="C33" i="67"/>
  <c r="E65" i="65"/>
  <c r="C65" i="65" s="1"/>
  <c r="C14" i="65"/>
  <c r="Z14" i="73" s="1"/>
  <c r="Z14" i="12"/>
  <c r="E96" i="70"/>
  <c r="C96" i="70" s="1"/>
  <c r="C44" i="70"/>
  <c r="AD44" i="73" s="1"/>
  <c r="AD44" i="12"/>
  <c r="E93" i="70"/>
  <c r="C93" i="70" s="1"/>
  <c r="C41" i="70"/>
  <c r="AD41" i="73" s="1"/>
  <c r="AD41" i="12"/>
  <c r="E95" i="66"/>
  <c r="C95" i="66" s="1"/>
  <c r="C43" i="66"/>
  <c r="AC43" i="73" s="1"/>
  <c r="AC43" i="12"/>
  <c r="E97" i="67"/>
  <c r="C45" i="67"/>
  <c r="U45" i="73" s="1"/>
  <c r="U45" i="12"/>
  <c r="E66" i="65"/>
  <c r="C66" i="65" s="1"/>
  <c r="Z15" i="12"/>
  <c r="C15" i="65"/>
  <c r="Z15" i="73" s="1"/>
  <c r="E66" i="69"/>
  <c r="C66" i="69" s="1"/>
  <c r="C15" i="69"/>
  <c r="AA15" i="73" s="1"/>
  <c r="AA15" i="12"/>
  <c r="E93" i="69"/>
  <c r="C93" i="69" s="1"/>
  <c r="C41" i="69"/>
  <c r="AA41" i="73" s="1"/>
  <c r="AA41" i="12"/>
  <c r="E64" i="68"/>
  <c r="C64" i="68" s="1"/>
  <c r="C13" i="68"/>
  <c r="X13" i="73" s="1"/>
  <c r="X13" i="12"/>
  <c r="E93" i="65"/>
  <c r="C93" i="65" s="1"/>
  <c r="Z41" i="12"/>
  <c r="C41" i="65"/>
  <c r="Z41" i="73" s="1"/>
  <c r="E128" i="71"/>
  <c r="Y68" i="12"/>
  <c r="W16" i="12"/>
  <c r="Y16" i="12" s="1"/>
  <c r="E67" i="64"/>
  <c r="U16" i="12"/>
  <c r="E67" i="67"/>
  <c r="E19" i="67"/>
  <c r="C53" i="69"/>
  <c r="E34" i="69"/>
  <c r="C34" i="68"/>
  <c r="E35" i="69"/>
  <c r="C35" i="68"/>
  <c r="C186" i="19"/>
  <c r="C188" i="19" s="1"/>
  <c r="C35" i="67"/>
  <c r="E61" i="67"/>
  <c r="C61" i="67" s="1"/>
  <c r="C10" i="67"/>
  <c r="U10" i="73" s="1"/>
  <c r="U10" i="12"/>
  <c r="V10" i="12" s="1"/>
  <c r="E97" i="70"/>
  <c r="C97" i="70" s="1"/>
  <c r="C45" i="70"/>
  <c r="AD45" i="73" s="1"/>
  <c r="AD45" i="12"/>
  <c r="E93" i="64"/>
  <c r="C93" i="64" s="1"/>
  <c r="C41" i="64"/>
  <c r="W41" i="73" s="1"/>
  <c r="W41" i="12"/>
  <c r="AJ41" i="12" s="1"/>
  <c r="E94" i="64"/>
  <c r="C94" i="64" s="1"/>
  <c r="W42" i="12"/>
  <c r="AJ42" i="12" s="1"/>
  <c r="C42" i="64"/>
  <c r="W42" i="73" s="1"/>
  <c r="E94" i="67"/>
  <c r="C94" i="67" s="1"/>
  <c r="C42" i="67"/>
  <c r="U42" i="73" s="1"/>
  <c r="U42" i="12"/>
  <c r="V42" i="12" s="1"/>
  <c r="E66" i="70"/>
  <c r="C66" i="70" s="1"/>
  <c r="C15" i="70"/>
  <c r="AD15" i="73" s="1"/>
  <c r="AD15" i="12"/>
  <c r="E94" i="68"/>
  <c r="C94" i="68" s="1"/>
  <c r="C42" i="68"/>
  <c r="X42" i="73" s="1"/>
  <c r="X42" i="12"/>
  <c r="E97" i="65"/>
  <c r="C97" i="65" s="1"/>
  <c r="C45" i="65"/>
  <c r="Z45" i="73" s="1"/>
  <c r="Z45" i="12"/>
  <c r="E63" i="66"/>
  <c r="C63" i="66" s="1"/>
  <c r="C12" i="66"/>
  <c r="AC12" i="73" s="1"/>
  <c r="AC12" i="12"/>
  <c r="E65" i="68"/>
  <c r="C65" i="68" s="1"/>
  <c r="C14" i="68"/>
  <c r="X14" i="73" s="1"/>
  <c r="X14" i="12"/>
  <c r="E62" i="67"/>
  <c r="C62" i="67" s="1"/>
  <c r="C11" i="67"/>
  <c r="U11" i="73" s="1"/>
  <c r="U11" i="12"/>
  <c r="V11" i="12" s="1"/>
  <c r="E67" i="70"/>
  <c r="V75" i="12"/>
  <c r="C73" i="71"/>
  <c r="C53" i="70"/>
  <c r="C53" i="63"/>
  <c r="E90" i="63"/>
  <c r="C9" i="19"/>
  <c r="C11" i="19" s="1"/>
  <c r="E57" i="67" s="1"/>
  <c r="U6" i="12" s="1"/>
  <c r="C6" i="67"/>
  <c r="E6" i="69"/>
  <c r="C6" i="68"/>
  <c r="E22" i="69"/>
  <c r="C22" i="68"/>
  <c r="C132" i="19"/>
  <c r="C134" i="19" s="1"/>
  <c r="E78" i="67" s="1"/>
  <c r="C26" i="67"/>
  <c r="E30" i="67"/>
  <c r="C153" i="19"/>
  <c r="C155" i="19" s="1"/>
  <c r="C29" i="67"/>
  <c r="T16" i="12"/>
  <c r="AM16" i="12" s="1"/>
  <c r="E67" i="26"/>
  <c r="E82" i="68"/>
  <c r="C277" i="19"/>
  <c r="C265" i="19"/>
  <c r="C43" i="26"/>
  <c r="T43" i="73" s="1"/>
  <c r="E95" i="26"/>
  <c r="C95" i="26" s="1"/>
  <c r="C14" i="26"/>
  <c r="T14" i="73" s="1"/>
  <c r="E65" i="26"/>
  <c r="C65" i="26" s="1"/>
  <c r="C10" i="26"/>
  <c r="T10" i="73" s="1"/>
  <c r="E61" i="26"/>
  <c r="C61" i="26" s="1"/>
  <c r="C13" i="26"/>
  <c r="T13" i="73" s="1"/>
  <c r="E64" i="26"/>
  <c r="C64" i="26" s="1"/>
  <c r="C45" i="26"/>
  <c r="T45" i="73" s="1"/>
  <c r="E97" i="26"/>
  <c r="C11" i="26"/>
  <c r="T11" i="73" s="1"/>
  <c r="E62" i="26"/>
  <c r="C62" i="26" s="1"/>
  <c r="C12" i="26"/>
  <c r="T12" i="73" s="1"/>
  <c r="E63" i="26"/>
  <c r="C63" i="26" s="1"/>
  <c r="C42" i="26"/>
  <c r="T42" i="73" s="1"/>
  <c r="E94" i="26"/>
  <c r="C94" i="26" s="1"/>
  <c r="C44" i="26"/>
  <c r="T44" i="73" s="1"/>
  <c r="E96" i="26"/>
  <c r="C96" i="26" s="1"/>
  <c r="C15" i="26"/>
  <c r="T15" i="73" s="1"/>
  <c r="E66" i="26"/>
  <c r="C66" i="26" s="1"/>
  <c r="C41" i="26"/>
  <c r="T41" i="73" s="1"/>
  <c r="E93" i="26"/>
  <c r="C93" i="26" s="1"/>
  <c r="C259" i="19"/>
  <c r="C85" i="19"/>
  <c r="C256" i="19"/>
  <c r="C43" i="54"/>
  <c r="C44" i="54" s="1"/>
  <c r="C77" i="48"/>
  <c r="C78" i="48" s="1"/>
  <c r="C79" i="48" s="1"/>
  <c r="C11" i="48"/>
  <c r="C14" i="48" s="1"/>
  <c r="H1124" i="34" s="1"/>
  <c r="C470" i="19"/>
  <c r="E85" i="68" s="1"/>
  <c r="C91" i="19"/>
  <c r="C82" i="19"/>
  <c r="C798" i="16"/>
  <c r="C794" i="16"/>
  <c r="C797" i="16"/>
  <c r="C793" i="16"/>
  <c r="C791" i="16"/>
  <c r="C785" i="16"/>
  <c r="C781" i="16"/>
  <c r="C777" i="16"/>
  <c r="C770" i="16"/>
  <c r="C766" i="16"/>
  <c r="C796" i="16"/>
  <c r="C799" i="16"/>
  <c r="C788" i="16"/>
  <c r="C784" i="16"/>
  <c r="C780" i="16"/>
  <c r="C769" i="16"/>
  <c r="C765" i="16"/>
  <c r="C792" i="16"/>
  <c r="C787" i="16"/>
  <c r="C783" i="16"/>
  <c r="C779" i="16"/>
  <c r="C768" i="16"/>
  <c r="C764" i="16"/>
  <c r="C756" i="16"/>
  <c r="C752" i="16"/>
  <c r="C748" i="16"/>
  <c r="C778" i="16"/>
  <c r="C755" i="16"/>
  <c r="C751" i="16"/>
  <c r="C800" i="16"/>
  <c r="C786" i="16"/>
  <c r="C771" i="16"/>
  <c r="C763" i="16"/>
  <c r="C758" i="16"/>
  <c r="C754" i="16"/>
  <c r="C750" i="16"/>
  <c r="C739" i="16"/>
  <c r="C735" i="16"/>
  <c r="C757" i="16"/>
  <c r="C742" i="16"/>
  <c r="C738" i="16"/>
  <c r="C795" i="16"/>
  <c r="C767" i="16"/>
  <c r="C753" i="16"/>
  <c r="C741" i="16"/>
  <c r="C740" i="16"/>
  <c r="C737" i="16"/>
  <c r="C733" i="16"/>
  <c r="C728" i="16"/>
  <c r="C724" i="16"/>
  <c r="C782" i="16"/>
  <c r="C736" i="16"/>
  <c r="C762" i="16"/>
  <c r="C719" i="16"/>
  <c r="C712" i="16"/>
  <c r="C708" i="16"/>
  <c r="C730" i="16"/>
  <c r="C749" i="16"/>
  <c r="C729" i="16"/>
  <c r="C722" i="16"/>
  <c r="C711" i="16"/>
  <c r="C707" i="16"/>
  <c r="C710" i="16"/>
  <c r="C706" i="16"/>
  <c r="C701" i="16"/>
  <c r="C698" i="16"/>
  <c r="C694" i="16"/>
  <c r="C690" i="16"/>
  <c r="C713" i="16"/>
  <c r="C727" i="16"/>
  <c r="C699" i="16"/>
  <c r="C691" i="16"/>
  <c r="C723" i="16"/>
  <c r="C704" i="16"/>
  <c r="C697" i="16"/>
  <c r="C693" i="16"/>
  <c r="C709" i="16"/>
  <c r="C726" i="16"/>
  <c r="C700" i="16"/>
  <c r="C720" i="16"/>
  <c r="C695" i="16"/>
  <c r="C544" i="16"/>
  <c r="C654" i="16"/>
  <c r="C650" i="16"/>
  <c r="C646" i="16"/>
  <c r="C642" i="16"/>
  <c r="C645" i="16"/>
  <c r="C640" i="16"/>
  <c r="C638" i="16"/>
  <c r="C634" i="16"/>
  <c r="C652" i="16"/>
  <c r="C647" i="16"/>
  <c r="C637" i="16"/>
  <c r="C636" i="16"/>
  <c r="C625" i="16"/>
  <c r="C651" i="16"/>
  <c r="C641" i="16"/>
  <c r="C648" i="16"/>
  <c r="C635" i="16"/>
  <c r="C633" i="16"/>
  <c r="C632" i="16"/>
  <c r="C618" i="16"/>
  <c r="C612" i="16"/>
  <c r="C639" i="16"/>
  <c r="C653" i="16"/>
  <c r="C621" i="16"/>
  <c r="C617" i="16"/>
  <c r="C611" i="16"/>
  <c r="C623" i="16"/>
  <c r="C631" i="16"/>
  <c r="C620" i="16"/>
  <c r="C616" i="16"/>
  <c r="C608" i="16"/>
  <c r="C604" i="16"/>
  <c r="C622" i="16"/>
  <c r="C607" i="16"/>
  <c r="C603" i="16"/>
  <c r="C649" i="16"/>
  <c r="C619" i="16"/>
  <c r="C610" i="16"/>
  <c r="C602" i="16"/>
  <c r="C593" i="16"/>
  <c r="C583" i="16"/>
  <c r="C609" i="16"/>
  <c r="C606" i="16"/>
  <c r="C596" i="16"/>
  <c r="C592" i="16"/>
  <c r="C582" i="16"/>
  <c r="C578" i="16"/>
  <c r="C574" i="16"/>
  <c r="C605" i="16"/>
  <c r="C580" i="16"/>
  <c r="C587" i="16"/>
  <c r="C567" i="16"/>
  <c r="C563" i="16"/>
  <c r="C553" i="16"/>
  <c r="C590" i="16"/>
  <c r="C595" i="16"/>
  <c r="C566" i="16"/>
  <c r="C562" i="16"/>
  <c r="C558" i="16"/>
  <c r="C552" i="16"/>
  <c r="C63" i="19" s="1"/>
  <c r="C565" i="16"/>
  <c r="C584" i="16"/>
  <c r="C561" i="16"/>
  <c r="C591" i="16"/>
  <c r="C594" i="16"/>
  <c r="C577" i="16"/>
  <c r="C564" i="16"/>
  <c r="C581" i="16"/>
  <c r="C551" i="16"/>
  <c r="C549" i="16"/>
  <c r="C545" i="16"/>
  <c r="C39" i="19" s="1"/>
  <c r="C555" i="16"/>
  <c r="C573" i="16"/>
  <c r="C548" i="16"/>
  <c r="C554" i="16"/>
  <c r="C66" i="19" s="1"/>
  <c r="C229" i="16"/>
  <c r="C241" i="16"/>
  <c r="C232" i="16"/>
  <c r="C238" i="16"/>
  <c r="C243" i="16"/>
  <c r="C231" i="16"/>
  <c r="C226" i="16"/>
  <c r="C244" i="16"/>
  <c r="C180" i="16"/>
  <c r="C195" i="16"/>
  <c r="C177" i="16"/>
  <c r="C182" i="16"/>
  <c r="C183" i="16"/>
  <c r="C194" i="16"/>
  <c r="C189" i="16"/>
  <c r="C158" i="16"/>
  <c r="C155" i="16"/>
  <c r="C146" i="16"/>
  <c r="C169" i="16"/>
  <c r="C171" i="16" s="1"/>
  <c r="C164" i="16"/>
  <c r="C157" i="16"/>
  <c r="C152" i="16"/>
  <c r="C134" i="16"/>
  <c r="C85" i="16"/>
  <c r="C108" i="16"/>
  <c r="C110" i="16" s="1"/>
  <c r="C103" i="16"/>
  <c r="C120" i="16"/>
  <c r="C115" i="16"/>
  <c r="C121" i="16"/>
  <c r="C97" i="16"/>
  <c r="C27" i="60"/>
  <c r="C37" i="60"/>
  <c r="C64" i="60"/>
  <c r="C66" i="60" s="1"/>
  <c r="C57" i="19"/>
  <c r="C36" i="19"/>
  <c r="C60" i="19"/>
  <c r="C287" i="19"/>
  <c r="C116" i="19"/>
  <c r="E132" i="41"/>
  <c r="E170" i="41"/>
  <c r="C48" i="54"/>
  <c r="C49" i="54" s="1"/>
  <c r="C33" i="54"/>
  <c r="C34" i="54" s="1"/>
  <c r="C19" i="54"/>
  <c r="C20" i="54" s="1"/>
  <c r="C14" i="54"/>
  <c r="C15" i="54" s="1"/>
  <c r="C9" i="54"/>
  <c r="C10" i="54" s="1"/>
  <c r="C38" i="54"/>
  <c r="C39" i="54" s="1"/>
  <c r="C24" i="54"/>
  <c r="C25" i="54" s="1"/>
  <c r="V71" i="12" l="1"/>
  <c r="V72" i="12" s="1"/>
  <c r="AB71" i="12"/>
  <c r="AE71" i="12"/>
  <c r="Y71" i="12"/>
  <c r="Y72" i="12" s="1"/>
  <c r="U26" i="12"/>
  <c r="X8" i="12"/>
  <c r="X25" i="12"/>
  <c r="U25" i="12"/>
  <c r="X36" i="12"/>
  <c r="AM45" i="12"/>
  <c r="AM43" i="12"/>
  <c r="AJ43" i="12"/>
  <c r="V43" i="12"/>
  <c r="F82" i="78"/>
  <c r="F82" i="79"/>
  <c r="D1165" i="19"/>
  <c r="G126" i="78"/>
  <c r="G126" i="79"/>
  <c r="F170" i="78"/>
  <c r="F126" i="79"/>
  <c r="E1174" i="19"/>
  <c r="F38" i="78"/>
  <c r="D172" i="48"/>
  <c r="D1183" i="19"/>
  <c r="F170" i="79"/>
  <c r="F63" i="78"/>
  <c r="E1183" i="19"/>
  <c r="G46" i="70"/>
  <c r="E864" i="16"/>
  <c r="F38" i="79"/>
  <c r="C57" i="68"/>
  <c r="X6" i="73" s="1"/>
  <c r="D873" i="16"/>
  <c r="F157" i="78"/>
  <c r="G82" i="68"/>
  <c r="C60" i="68"/>
  <c r="X9" i="73" s="1"/>
  <c r="G170" i="79"/>
  <c r="D1192" i="19"/>
  <c r="C86" i="68"/>
  <c r="X34" i="73" s="1"/>
  <c r="F195" i="71"/>
  <c r="F69" i="79"/>
  <c r="C73" i="68"/>
  <c r="X22" i="73" s="1"/>
  <c r="Y22" i="73" s="1"/>
  <c r="E1192" i="19"/>
  <c r="G38" i="78"/>
  <c r="E281" i="19"/>
  <c r="E283" i="19" s="1"/>
  <c r="G98" i="67" s="1"/>
  <c r="G38" i="79"/>
  <c r="C81" i="68"/>
  <c r="X29" i="73" s="1"/>
  <c r="E1165" i="19"/>
  <c r="G19" i="69"/>
  <c r="C80" i="68"/>
  <c r="X28" i="73" s="1"/>
  <c r="D1174" i="19"/>
  <c r="E840" i="16"/>
  <c r="G82" i="78"/>
  <c r="G55" i="71"/>
  <c r="C79" i="68"/>
  <c r="X27" i="73" s="1"/>
  <c r="F82" i="68"/>
  <c r="G170" i="78"/>
  <c r="G25" i="78"/>
  <c r="G25" i="79"/>
  <c r="C87" i="68"/>
  <c r="X35" i="73" s="1"/>
  <c r="E14" i="48"/>
  <c r="E73" i="48" s="1"/>
  <c r="E172" i="48"/>
  <c r="E745" i="16"/>
  <c r="E845" i="16"/>
  <c r="E398" i="19"/>
  <c r="E400" i="19" s="1"/>
  <c r="G71" i="68" s="1"/>
  <c r="G20" i="68"/>
  <c r="G5" i="68" s="1"/>
  <c r="D745" i="16"/>
  <c r="F20" i="68"/>
  <c r="F5" i="68" s="1"/>
  <c r="D398" i="19"/>
  <c r="D400" i="19" s="1"/>
  <c r="F71" i="68" s="1"/>
  <c r="D845" i="16"/>
  <c r="F51" i="63"/>
  <c r="F47" i="63" s="1"/>
  <c r="F42" i="63"/>
  <c r="F37" i="68" s="1"/>
  <c r="D487" i="19" s="1"/>
  <c r="D489" i="19" s="1"/>
  <c r="F89" i="68" s="1"/>
  <c r="F17" i="70"/>
  <c r="F68" i="69"/>
  <c r="D569" i="19"/>
  <c r="D571" i="19" s="1"/>
  <c r="F98" i="68" s="1"/>
  <c r="F46" i="68"/>
  <c r="D848" i="16"/>
  <c r="G32" i="69"/>
  <c r="G33" i="70"/>
  <c r="E756" i="19"/>
  <c r="G42" i="63"/>
  <c r="G37" i="68" s="1"/>
  <c r="E487" i="19" s="1"/>
  <c r="E489" i="19" s="1"/>
  <c r="G89" i="68" s="1"/>
  <c r="G51" i="63"/>
  <c r="G47" i="63" s="1"/>
  <c r="D686" i="16"/>
  <c r="D868" i="16"/>
  <c r="D870" i="16" s="1"/>
  <c r="F48" i="70"/>
  <c r="D1149" i="19" s="1"/>
  <c r="D1151" i="19" s="1"/>
  <c r="F100" i="70" s="1"/>
  <c r="D861" i="19"/>
  <c r="D863" i="19" s="1"/>
  <c r="F100" i="69" s="1"/>
  <c r="F126" i="78"/>
  <c r="D480" i="19"/>
  <c r="D482" i="19" s="1"/>
  <c r="D470" i="19"/>
  <c r="F85" i="68" s="1"/>
  <c r="G259" i="71"/>
  <c r="G265" i="71"/>
  <c r="D774" i="16"/>
  <c r="D686" i="19"/>
  <c r="D688" i="19" s="1"/>
  <c r="F71" i="69" s="1"/>
  <c r="D853" i="16"/>
  <c r="F20" i="69"/>
  <c r="D657" i="16"/>
  <c r="F20" i="66"/>
  <c r="D860" i="16"/>
  <c r="D934" i="19"/>
  <c r="D936" i="19" s="1"/>
  <c r="F71" i="66" s="1"/>
  <c r="F6" i="70"/>
  <c r="D873" i="19" s="1"/>
  <c r="D875" i="19" s="1"/>
  <c r="F57" i="70" s="1"/>
  <c r="D585" i="19"/>
  <c r="D587" i="19" s="1"/>
  <c r="F57" i="69" s="1"/>
  <c r="G9" i="70"/>
  <c r="E894" i="19" s="1"/>
  <c r="E896" i="19" s="1"/>
  <c r="G60" i="70" s="1"/>
  <c r="E606" i="19"/>
  <c r="E608" i="19" s="1"/>
  <c r="G60" i="69" s="1"/>
  <c r="F35" i="70"/>
  <c r="D1050" i="19" s="1"/>
  <c r="D1052" i="19" s="1"/>
  <c r="F87" i="70" s="1"/>
  <c r="D762" i="19"/>
  <c r="D764" i="19" s="1"/>
  <c r="F87" i="69" s="1"/>
  <c r="G82" i="79"/>
  <c r="F259" i="71"/>
  <c r="F265" i="71"/>
  <c r="D716" i="16"/>
  <c r="F20" i="67"/>
  <c r="F5" i="67" s="1"/>
  <c r="D110" i="19"/>
  <c r="D112" i="19" s="1"/>
  <c r="F71" i="67" s="1"/>
  <c r="F56" i="67" s="1"/>
  <c r="D837" i="16"/>
  <c r="F46" i="66"/>
  <c r="D1111" i="19"/>
  <c r="D1113" i="19" s="1"/>
  <c r="F98" i="66" s="1"/>
  <c r="D863" i="16"/>
  <c r="F26" i="70"/>
  <c r="F30" i="69"/>
  <c r="D708" i="19"/>
  <c r="D710" i="19" s="1"/>
  <c r="F78" i="69" s="1"/>
  <c r="F25" i="78"/>
  <c r="F19" i="78"/>
  <c r="C78" i="68"/>
  <c r="X26" i="73" s="1"/>
  <c r="F18" i="70"/>
  <c r="F69" i="70" s="1"/>
  <c r="F69" i="69"/>
  <c r="G25" i="70"/>
  <c r="E701" i="19"/>
  <c r="E703" i="19" s="1"/>
  <c r="G77" i="69" s="1"/>
  <c r="F151" i="79"/>
  <c r="F157" i="79"/>
  <c r="D823" i="19"/>
  <c r="D825" i="19" s="1"/>
  <c r="F98" i="65" s="1"/>
  <c r="D855" i="16"/>
  <c r="F46" i="65"/>
  <c r="F28" i="70"/>
  <c r="D1010" i="19" s="1"/>
  <c r="D1012" i="19" s="1"/>
  <c r="F80" i="70" s="1"/>
  <c r="D722" i="19"/>
  <c r="D724" i="19" s="1"/>
  <c r="F80" i="69" s="1"/>
  <c r="G35" i="70"/>
  <c r="E1050" i="19" s="1"/>
  <c r="E1052" i="19" s="1"/>
  <c r="G87" i="70" s="1"/>
  <c r="E762" i="19"/>
  <c r="E764" i="19" s="1"/>
  <c r="G87" i="69" s="1"/>
  <c r="F9" i="70"/>
  <c r="D894" i="19" s="1"/>
  <c r="D896" i="19" s="1"/>
  <c r="F60" i="70" s="1"/>
  <c r="D606" i="19"/>
  <c r="D608" i="19" s="1"/>
  <c r="F60" i="69" s="1"/>
  <c r="G131" i="63"/>
  <c r="G129" i="63" s="1"/>
  <c r="G92" i="63"/>
  <c r="F19" i="69"/>
  <c r="E182" i="19"/>
  <c r="G85" i="67" s="1"/>
  <c r="G84" i="67" s="1"/>
  <c r="E192" i="19"/>
  <c r="E194" i="19" s="1"/>
  <c r="E873" i="16"/>
  <c r="F33" i="70"/>
  <c r="F32" i="69"/>
  <c r="D756" i="19"/>
  <c r="G69" i="78"/>
  <c r="G63" i="78"/>
  <c r="G29" i="70"/>
  <c r="E1017" i="19" s="1"/>
  <c r="E1019" i="19" s="1"/>
  <c r="G81" i="70" s="1"/>
  <c r="E729" i="19"/>
  <c r="E731" i="19" s="1"/>
  <c r="G81" i="69" s="1"/>
  <c r="F46" i="70"/>
  <c r="D864" i="16"/>
  <c r="D1145" i="19"/>
  <c r="D1147" i="19" s="1"/>
  <c r="F98" i="70" s="1"/>
  <c r="E686" i="16"/>
  <c r="E868" i="16"/>
  <c r="F46" i="69"/>
  <c r="D857" i="19"/>
  <c r="D859" i="19" s="1"/>
  <c r="F98" i="69" s="1"/>
  <c r="D856" i="16"/>
  <c r="E628" i="16"/>
  <c r="E852" i="16"/>
  <c r="E646" i="19"/>
  <c r="E648" i="19" s="1"/>
  <c r="G71" i="65" s="1"/>
  <c r="G20" i="65"/>
  <c r="F107" i="79"/>
  <c r="F113" i="79"/>
  <c r="E1111" i="19"/>
  <c r="E1113" i="19" s="1"/>
  <c r="G98" i="66" s="1"/>
  <c r="E863" i="16"/>
  <c r="G46" i="66"/>
  <c r="F5" i="63"/>
  <c r="F37" i="67" s="1"/>
  <c r="D199" i="19" s="1"/>
  <c r="D201" i="19" s="1"/>
  <c r="F89" i="67" s="1"/>
  <c r="F14" i="63"/>
  <c r="F10" i="63" s="1"/>
  <c r="G7" i="70"/>
  <c r="E880" i="19" s="1"/>
  <c r="E882" i="19" s="1"/>
  <c r="G58" i="70" s="1"/>
  <c r="E592" i="19"/>
  <c r="E594" i="19" s="1"/>
  <c r="G58" i="69" s="1"/>
  <c r="E774" i="16"/>
  <c r="E686" i="19"/>
  <c r="E688" i="19" s="1"/>
  <c r="G71" i="69" s="1"/>
  <c r="G20" i="69"/>
  <c r="E853" i="16"/>
  <c r="F92" i="63"/>
  <c r="F131" i="63"/>
  <c r="F129" i="63" s="1"/>
  <c r="G28" i="70"/>
  <c r="E1010" i="19" s="1"/>
  <c r="E1012" i="19" s="1"/>
  <c r="G80" i="70" s="1"/>
  <c r="E722" i="19"/>
  <c r="E724" i="19" s="1"/>
  <c r="G80" i="69" s="1"/>
  <c r="G27" i="70"/>
  <c r="E1003" i="19" s="1"/>
  <c r="E1005" i="19" s="1"/>
  <c r="G79" i="70" s="1"/>
  <c r="E715" i="19"/>
  <c r="E717" i="19" s="1"/>
  <c r="G79" i="69" s="1"/>
  <c r="G46" i="69"/>
  <c r="E857" i="19"/>
  <c r="E859" i="19" s="1"/>
  <c r="G98" i="69" s="1"/>
  <c r="E856" i="16"/>
  <c r="F29" i="70"/>
  <c r="D1017" i="19" s="1"/>
  <c r="D1019" i="19" s="1"/>
  <c r="F81" i="70" s="1"/>
  <c r="D729" i="19"/>
  <c r="D731" i="19" s="1"/>
  <c r="F81" i="69" s="1"/>
  <c r="G48" i="70"/>
  <c r="E1149" i="19" s="1"/>
  <c r="E1151" i="19" s="1"/>
  <c r="G100" i="70" s="1"/>
  <c r="E861" i="19"/>
  <c r="E863" i="19" s="1"/>
  <c r="G100" i="69" s="1"/>
  <c r="G63" i="79"/>
  <c r="G69" i="79"/>
  <c r="G133" i="71"/>
  <c r="G127" i="71"/>
  <c r="G22" i="70"/>
  <c r="E978" i="19" s="1"/>
  <c r="E980" i="19" s="1"/>
  <c r="G73" i="70" s="1"/>
  <c r="E690" i="19"/>
  <c r="E692" i="19" s="1"/>
  <c r="G73" i="69" s="1"/>
  <c r="F7" i="70"/>
  <c r="D880" i="19" s="1"/>
  <c r="D882" i="19" s="1"/>
  <c r="F58" i="70" s="1"/>
  <c r="D592" i="19"/>
  <c r="D594" i="19" s="1"/>
  <c r="F58" i="69" s="1"/>
  <c r="G157" i="79"/>
  <c r="G151" i="79"/>
  <c r="F127" i="71"/>
  <c r="F133" i="71"/>
  <c r="E716" i="16"/>
  <c r="E110" i="19"/>
  <c r="E112" i="19" s="1"/>
  <c r="G71" i="67" s="1"/>
  <c r="G56" i="67" s="1"/>
  <c r="G20" i="67"/>
  <c r="G5" i="67" s="1"/>
  <c r="E837" i="16"/>
  <c r="G8" i="70"/>
  <c r="E887" i="19" s="1"/>
  <c r="E889" i="19" s="1"/>
  <c r="G59" i="70" s="1"/>
  <c r="E599" i="19"/>
  <c r="E601" i="19" s="1"/>
  <c r="G59" i="69" s="1"/>
  <c r="G18" i="70"/>
  <c r="G69" i="70" s="1"/>
  <c r="G69" i="69"/>
  <c r="G46" i="68"/>
  <c r="E848" i="16"/>
  <c r="E569" i="19"/>
  <c r="E571" i="19" s="1"/>
  <c r="G98" i="68" s="1"/>
  <c r="F19" i="79"/>
  <c r="F25" i="79"/>
  <c r="G36" i="70"/>
  <c r="E1053" i="19" s="1"/>
  <c r="E1055" i="19" s="1"/>
  <c r="G88" i="70" s="1"/>
  <c r="E765" i="19"/>
  <c r="E767" i="19" s="1"/>
  <c r="G88" i="69" s="1"/>
  <c r="D628" i="16"/>
  <c r="F20" i="65"/>
  <c r="D852" i="16"/>
  <c r="D646" i="19"/>
  <c r="D648" i="19" s="1"/>
  <c r="F71" i="65" s="1"/>
  <c r="G5" i="63"/>
  <c r="G37" i="67" s="1"/>
  <c r="E199" i="19" s="1"/>
  <c r="E201" i="19" s="1"/>
  <c r="G89" i="67" s="1"/>
  <c r="G14" i="63"/>
  <c r="G10" i="63" s="1"/>
  <c r="G6" i="70"/>
  <c r="E873" i="19" s="1"/>
  <c r="E875" i="19" s="1"/>
  <c r="G57" i="70" s="1"/>
  <c r="E585" i="19"/>
  <c r="E587" i="19" s="1"/>
  <c r="G57" i="69" s="1"/>
  <c r="F25" i="70"/>
  <c r="D701" i="19"/>
  <c r="D703" i="19" s="1"/>
  <c r="F77" i="69" s="1"/>
  <c r="F36" i="70"/>
  <c r="D1053" i="19" s="1"/>
  <c r="D1055" i="19" s="1"/>
  <c r="F88" i="70" s="1"/>
  <c r="D765" i="19"/>
  <c r="D767" i="19" s="1"/>
  <c r="F88" i="69" s="1"/>
  <c r="G151" i="78"/>
  <c r="G157" i="78"/>
  <c r="G107" i="78"/>
  <c r="G113" i="78"/>
  <c r="F27" i="70"/>
  <c r="D1003" i="19" s="1"/>
  <c r="D1005" i="19" s="1"/>
  <c r="F79" i="70" s="1"/>
  <c r="D715" i="19"/>
  <c r="D717" i="19" s="1"/>
  <c r="F79" i="69" s="1"/>
  <c r="F61" i="71"/>
  <c r="F55" i="71"/>
  <c r="G17" i="70"/>
  <c r="G68" i="69"/>
  <c r="D803" i="16"/>
  <c r="F20" i="70"/>
  <c r="D974" i="19"/>
  <c r="D976" i="19" s="1"/>
  <c r="F71" i="70" s="1"/>
  <c r="D861" i="16"/>
  <c r="E855" i="16"/>
  <c r="G46" i="65"/>
  <c r="E823" i="19"/>
  <c r="E825" i="19" s="1"/>
  <c r="G98" i="65" s="1"/>
  <c r="G201" i="71"/>
  <c r="G195" i="71"/>
  <c r="F107" i="78"/>
  <c r="F113" i="78"/>
  <c r="D281" i="19"/>
  <c r="D283" i="19" s="1"/>
  <c r="F98" i="67" s="1"/>
  <c r="F46" i="67"/>
  <c r="D840" i="16"/>
  <c r="E832" i="16"/>
  <c r="E869" i="16"/>
  <c r="F22" i="70"/>
  <c r="D978" i="19" s="1"/>
  <c r="D980" i="19" s="1"/>
  <c r="F73" i="70" s="1"/>
  <c r="D690" i="19"/>
  <c r="D692" i="19" s="1"/>
  <c r="F73" i="69" s="1"/>
  <c r="G113" i="79"/>
  <c r="G107" i="79"/>
  <c r="F34" i="70"/>
  <c r="D1047" i="19" s="1"/>
  <c r="D1049" i="19" s="1"/>
  <c r="F86" i="70" s="1"/>
  <c r="D759" i="19"/>
  <c r="D761" i="19" s="1"/>
  <c r="F86" i="69" s="1"/>
  <c r="D182" i="19"/>
  <c r="F85" i="67" s="1"/>
  <c r="D192" i="19"/>
  <c r="D194" i="19" s="1"/>
  <c r="G30" i="69"/>
  <c r="G26" i="70"/>
  <c r="E708" i="19"/>
  <c r="E710" i="19" s="1"/>
  <c r="G78" i="69" s="1"/>
  <c r="D832" i="16"/>
  <c r="E803" i="16"/>
  <c r="G20" i="70"/>
  <c r="E861" i="16"/>
  <c r="E974" i="19"/>
  <c r="E976" i="19" s="1"/>
  <c r="G71" i="70" s="1"/>
  <c r="G70" i="68"/>
  <c r="E470" i="19"/>
  <c r="G85" i="68" s="1"/>
  <c r="G84" i="68" s="1"/>
  <c r="E480" i="19"/>
  <c r="E482" i="19" s="1"/>
  <c r="E657" i="16"/>
  <c r="E860" i="16"/>
  <c r="E934" i="19"/>
  <c r="E936" i="19" s="1"/>
  <c r="G71" i="66" s="1"/>
  <c r="G20" i="66"/>
  <c r="F8" i="70"/>
  <c r="D887" i="19" s="1"/>
  <c r="D889" i="19" s="1"/>
  <c r="F59" i="70" s="1"/>
  <c r="D599" i="19"/>
  <c r="D601" i="19" s="1"/>
  <c r="F59" i="69" s="1"/>
  <c r="G34" i="70"/>
  <c r="E1047" i="19" s="1"/>
  <c r="E1049" i="19" s="1"/>
  <c r="G86" i="70" s="1"/>
  <c r="E759" i="19"/>
  <c r="E761" i="19" s="1"/>
  <c r="G86" i="69" s="1"/>
  <c r="F70" i="68"/>
  <c r="C291" i="19"/>
  <c r="E53" i="26"/>
  <c r="AJ45" i="12"/>
  <c r="AJ41" i="73"/>
  <c r="AJ10" i="73"/>
  <c r="AJ12" i="73"/>
  <c r="AJ45" i="73"/>
  <c r="AJ13" i="73"/>
  <c r="AJ43" i="73"/>
  <c r="AJ11" i="73"/>
  <c r="AJ42" i="73"/>
  <c r="AJ14" i="73"/>
  <c r="AJ44" i="73"/>
  <c r="AJ15" i="73"/>
  <c r="C73" i="48"/>
  <c r="E38" i="79"/>
  <c r="E126" i="79"/>
  <c r="E82" i="79"/>
  <c r="E63" i="79"/>
  <c r="E69" i="79"/>
  <c r="E170" i="79"/>
  <c r="E107" i="79"/>
  <c r="E113" i="79"/>
  <c r="E25" i="79"/>
  <c r="E19" i="79"/>
  <c r="C17" i="79"/>
  <c r="E157" i="79"/>
  <c r="E151" i="79"/>
  <c r="E170" i="78"/>
  <c r="E151" i="78"/>
  <c r="E157" i="78"/>
  <c r="E113" i="78"/>
  <c r="E126" i="78"/>
  <c r="E82" i="78"/>
  <c r="E63" i="78"/>
  <c r="E69" i="78"/>
  <c r="E38" i="78"/>
  <c r="E25" i="78"/>
  <c r="C97" i="67"/>
  <c r="C97" i="26"/>
  <c r="V45" i="12"/>
  <c r="C17" i="78"/>
  <c r="C8" i="68"/>
  <c r="E8" i="69"/>
  <c r="C599" i="19" s="1"/>
  <c r="C601" i="19" s="1"/>
  <c r="E59" i="69" s="1"/>
  <c r="C8" i="67"/>
  <c r="C308" i="40"/>
  <c r="C288" i="40"/>
  <c r="E7" i="67" s="1"/>
  <c r="C59" i="68"/>
  <c r="X8" i="73" s="1"/>
  <c r="C32" i="68"/>
  <c r="C471" i="16"/>
  <c r="E70" i="67"/>
  <c r="C70" i="67" s="1"/>
  <c r="AB11" i="12"/>
  <c r="C364" i="16"/>
  <c r="C519" i="16"/>
  <c r="C830" i="16"/>
  <c r="C872" i="16" s="1"/>
  <c r="C818" i="16"/>
  <c r="C869" i="16" s="1"/>
  <c r="C672" i="16"/>
  <c r="C868" i="16" s="1"/>
  <c r="C684" i="16"/>
  <c r="C871" i="16" s="1"/>
  <c r="C352" i="16"/>
  <c r="C507" i="16"/>
  <c r="C483" i="16"/>
  <c r="AB45" i="73"/>
  <c r="AB45" i="12"/>
  <c r="AB42" i="12"/>
  <c r="AE12" i="73"/>
  <c r="C47" i="66"/>
  <c r="C1110" i="19"/>
  <c r="E99" i="66" s="1"/>
  <c r="C973" i="19"/>
  <c r="E72" i="70" s="1"/>
  <c r="C21" i="70"/>
  <c r="C1144" i="19"/>
  <c r="E99" i="70" s="1"/>
  <c r="C47" i="70"/>
  <c r="C21" i="66"/>
  <c r="C933" i="19"/>
  <c r="E72" i="66" s="1"/>
  <c r="C856" i="19"/>
  <c r="E99" i="69" s="1"/>
  <c r="C47" i="69"/>
  <c r="AB43" i="12"/>
  <c r="AB42" i="73"/>
  <c r="C397" i="19"/>
  <c r="E72" i="68" s="1"/>
  <c r="C21" i="68"/>
  <c r="C47" i="64"/>
  <c r="C534" i="19"/>
  <c r="C357" i="19"/>
  <c r="E72" i="64" s="1"/>
  <c r="C21" i="64"/>
  <c r="C47" i="68"/>
  <c r="C568" i="19"/>
  <c r="E99" i="68" s="1"/>
  <c r="V43" i="73"/>
  <c r="AE11" i="12"/>
  <c r="C54" i="66"/>
  <c r="C246" i="19"/>
  <c r="E99" i="26" s="1"/>
  <c r="C47" i="26"/>
  <c r="C47" i="67"/>
  <c r="C280" i="19"/>
  <c r="E99" i="67" s="1"/>
  <c r="C21" i="26"/>
  <c r="C69" i="19"/>
  <c r="E72" i="26" s="1"/>
  <c r="C109" i="19"/>
  <c r="E72" i="67" s="1"/>
  <c r="C21" i="67"/>
  <c r="Y45" i="12"/>
  <c r="C54" i="69"/>
  <c r="Y10" i="73"/>
  <c r="V44" i="73"/>
  <c r="Y45" i="73"/>
  <c r="AB44" i="73"/>
  <c r="V14" i="73"/>
  <c r="C54" i="67"/>
  <c r="AE42" i="73"/>
  <c r="V41" i="73"/>
  <c r="Y41" i="73"/>
  <c r="AE43" i="73"/>
  <c r="V42" i="73"/>
  <c r="C88" i="68"/>
  <c r="X36" i="73" s="1"/>
  <c r="AE12" i="12"/>
  <c r="C30" i="68"/>
  <c r="C32" i="67"/>
  <c r="V12" i="73"/>
  <c r="E19" i="69"/>
  <c r="AB43" i="73"/>
  <c r="V15" i="73"/>
  <c r="AE13" i="73"/>
  <c r="AB12" i="73"/>
  <c r="C54" i="65"/>
  <c r="V45" i="73"/>
  <c r="Y11" i="73"/>
  <c r="Y43" i="73"/>
  <c r="AE11" i="73"/>
  <c r="AB11" i="73"/>
  <c r="V11" i="73"/>
  <c r="Y13" i="73"/>
  <c r="AE41" i="73"/>
  <c r="AE15" i="73"/>
  <c r="AE14" i="73"/>
  <c r="AB15" i="73"/>
  <c r="AB14" i="73"/>
  <c r="Y14" i="73"/>
  <c r="Y12" i="73"/>
  <c r="AB13" i="73"/>
  <c r="AB10" i="73"/>
  <c r="V13" i="73"/>
  <c r="AE45" i="73"/>
  <c r="V10" i="73"/>
  <c r="Y42" i="73"/>
  <c r="AE44" i="73"/>
  <c r="AB41" i="73"/>
  <c r="AE10" i="73"/>
  <c r="Y44" i="73"/>
  <c r="Y15" i="73"/>
  <c r="Y41" i="12"/>
  <c r="AE43" i="12"/>
  <c r="C480" i="19"/>
  <c r="C482" i="19" s="1"/>
  <c r="E127" i="71"/>
  <c r="E133" i="71"/>
  <c r="C74" i="71"/>
  <c r="E55" i="71"/>
  <c r="E61" i="71"/>
  <c r="C64" i="64"/>
  <c r="C100" i="68"/>
  <c r="X48" i="73" s="1"/>
  <c r="Y48" i="73" s="1"/>
  <c r="C78" i="67"/>
  <c r="U26" i="73" s="1"/>
  <c r="C77" i="67"/>
  <c r="U25" i="73" s="1"/>
  <c r="C59" i="67"/>
  <c r="U8" i="73" s="1"/>
  <c r="C57" i="67"/>
  <c r="U6" i="73" s="1"/>
  <c r="AB44" i="12"/>
  <c r="Y10" i="12"/>
  <c r="AE42" i="12"/>
  <c r="C54" i="68"/>
  <c r="Y11" i="12"/>
  <c r="AB14" i="12"/>
  <c r="C54" i="70"/>
  <c r="AB15" i="12"/>
  <c r="AE13" i="12"/>
  <c r="C77" i="68"/>
  <c r="X25" i="73" s="1"/>
  <c r="X48" i="12"/>
  <c r="Y48" i="12" s="1"/>
  <c r="Y15" i="12"/>
  <c r="Y44" i="12"/>
  <c r="AB12" i="12"/>
  <c r="U19" i="12"/>
  <c r="E30" i="69"/>
  <c r="E26" i="70"/>
  <c r="C26" i="69"/>
  <c r="C708" i="19"/>
  <c r="C710" i="19" s="1"/>
  <c r="E78" i="69" s="1"/>
  <c r="E29" i="70"/>
  <c r="C29" i="69"/>
  <c r="C729" i="19"/>
  <c r="C731" i="19" s="1"/>
  <c r="E81" i="69" s="1"/>
  <c r="E22" i="70"/>
  <c r="C22" i="69"/>
  <c r="C690" i="19"/>
  <c r="C692" i="19" s="1"/>
  <c r="E73" i="69" s="1"/>
  <c r="E131" i="63"/>
  <c r="C94" i="63"/>
  <c r="AE45" i="12"/>
  <c r="AE14" i="12"/>
  <c r="E25" i="70"/>
  <c r="C25" i="69"/>
  <c r="C701" i="19"/>
  <c r="C703" i="19" s="1"/>
  <c r="E77" i="69" s="1"/>
  <c r="C69" i="68"/>
  <c r="AE15" i="12"/>
  <c r="E127" i="63"/>
  <c r="C127" i="63" s="1"/>
  <c r="C90" i="63"/>
  <c r="E34" i="70"/>
  <c r="C34" i="69"/>
  <c r="C759" i="19"/>
  <c r="C761" i="19" s="1"/>
  <c r="E86" i="69" s="1"/>
  <c r="E32" i="69"/>
  <c r="E33" i="70"/>
  <c r="C33" i="69"/>
  <c r="C756" i="19"/>
  <c r="Y14" i="12"/>
  <c r="E195" i="71"/>
  <c r="E18" i="70"/>
  <c r="E69" i="69"/>
  <c r="C18" i="69"/>
  <c r="AA18" i="73" s="1"/>
  <c r="AA18" i="12"/>
  <c r="AE41" i="12"/>
  <c r="E6" i="70"/>
  <c r="C6" i="69"/>
  <c r="C585" i="19"/>
  <c r="C587" i="19" s="1"/>
  <c r="E57" i="69" s="1"/>
  <c r="V76" i="12"/>
  <c r="AE10" i="12"/>
  <c r="Y42" i="12"/>
  <c r="E28" i="70"/>
  <c r="C28" i="69"/>
  <c r="C722" i="19"/>
  <c r="C724" i="19" s="1"/>
  <c r="E80" i="69" s="1"/>
  <c r="Y43" i="12"/>
  <c r="C54" i="64"/>
  <c r="C68" i="68"/>
  <c r="X19" i="12"/>
  <c r="Y12" i="12"/>
  <c r="E48" i="70"/>
  <c r="C48" i="69"/>
  <c r="C861" i="19"/>
  <c r="C863" i="19" s="1"/>
  <c r="E100" i="69" s="1"/>
  <c r="AB13" i="12"/>
  <c r="C30" i="67"/>
  <c r="C91" i="48"/>
  <c r="C19" i="67"/>
  <c r="U19" i="73" s="1"/>
  <c r="C99" i="48"/>
  <c r="AB41" i="12"/>
  <c r="E17" i="70"/>
  <c r="E68" i="69"/>
  <c r="C17" i="69"/>
  <c r="AA17" i="73" s="1"/>
  <c r="AA17" i="12"/>
  <c r="E70" i="68"/>
  <c r="E35" i="70"/>
  <c r="C35" i="69"/>
  <c r="C762" i="19"/>
  <c r="C764" i="19" s="1"/>
  <c r="E87" i="69" s="1"/>
  <c r="E27" i="70"/>
  <c r="C27" i="69"/>
  <c r="C715" i="19"/>
  <c r="C717" i="19" s="1"/>
  <c r="E79" i="69" s="1"/>
  <c r="E9" i="70"/>
  <c r="C9" i="69"/>
  <c r="C606" i="19"/>
  <c r="C608" i="19" s="1"/>
  <c r="E60" i="69" s="1"/>
  <c r="C19" i="68"/>
  <c r="X19" i="73" s="1"/>
  <c r="Y13" i="12"/>
  <c r="E36" i="70"/>
  <c r="C36" i="69"/>
  <c r="C765" i="19"/>
  <c r="C767" i="19" s="1"/>
  <c r="E88" i="69" s="1"/>
  <c r="AB10" i="12"/>
  <c r="C51" i="54"/>
  <c r="E259" i="71"/>
  <c r="AE44" i="12"/>
  <c r="X30" i="12"/>
  <c r="V16" i="12"/>
  <c r="E84" i="68"/>
  <c r="E100" i="67"/>
  <c r="E88" i="67"/>
  <c r="E87" i="67"/>
  <c r="E86" i="67"/>
  <c r="E81" i="67"/>
  <c r="E80" i="67"/>
  <c r="E79" i="67"/>
  <c r="U27" i="12" s="1"/>
  <c r="E73" i="67"/>
  <c r="E60" i="67"/>
  <c r="U9" i="12" s="1"/>
  <c r="C1179" i="19"/>
  <c r="C1191" i="19"/>
  <c r="C1173" i="19"/>
  <c r="C1182" i="19"/>
  <c r="C1164" i="19"/>
  <c r="C1170" i="19"/>
  <c r="C1188" i="19"/>
  <c r="C1161" i="19"/>
  <c r="C172" i="48"/>
  <c r="C51" i="19"/>
  <c r="C48" i="19"/>
  <c r="C772" i="16"/>
  <c r="C721" i="16"/>
  <c r="C789" i="16"/>
  <c r="C801" i="16"/>
  <c r="C692" i="16"/>
  <c r="C643" i="16"/>
  <c r="C655" i="16"/>
  <c r="C1111" i="19" s="1"/>
  <c r="C233" i="16"/>
  <c r="C196" i="16"/>
  <c r="C245" i="16"/>
  <c r="C184" i="16"/>
  <c r="C159" i="16"/>
  <c r="C122" i="16"/>
  <c r="C525" i="16"/>
  <c r="C530" i="16"/>
  <c r="C29" i="60"/>
  <c r="C83" i="60"/>
  <c r="H522" i="34" s="1"/>
  <c r="C76" i="60"/>
  <c r="C78" i="60" s="1"/>
  <c r="C39" i="60"/>
  <c r="C41" i="60" s="1"/>
  <c r="C34" i="60"/>
  <c r="C192" i="19"/>
  <c r="C194" i="19" s="1"/>
  <c r="C28" i="54"/>
  <c r="C27" i="54"/>
  <c r="C52" i="54"/>
  <c r="F84" i="68" l="1"/>
  <c r="X33" i="12"/>
  <c r="X32" i="12" s="1"/>
  <c r="F84" i="67"/>
  <c r="F92" i="67" s="1"/>
  <c r="F76" i="67" s="1"/>
  <c r="F6" i="31" s="1"/>
  <c r="U33" i="12"/>
  <c r="C82" i="68"/>
  <c r="E865" i="16"/>
  <c r="G92" i="68"/>
  <c r="G76" i="68" s="1"/>
  <c r="G11" i="31" s="1"/>
  <c r="E862" i="16"/>
  <c r="G40" i="68"/>
  <c r="G24" i="68" s="1"/>
  <c r="G50" i="68" s="1"/>
  <c r="X30" i="73"/>
  <c r="G82" i="69"/>
  <c r="F40" i="67"/>
  <c r="F24" i="67" s="1"/>
  <c r="F5" i="69"/>
  <c r="F95" i="79" s="1"/>
  <c r="G5" i="69"/>
  <c r="G95" i="78" s="1"/>
  <c r="D854" i="16"/>
  <c r="G40" i="67"/>
  <c r="G24" i="67" s="1"/>
  <c r="G50" i="67" s="1"/>
  <c r="E95" i="48" s="1"/>
  <c r="E103" i="48" s="1"/>
  <c r="G70" i="69"/>
  <c r="G56" i="69" s="1"/>
  <c r="G15" i="31" s="1"/>
  <c r="F40" i="68"/>
  <c r="F24" i="68" s="1"/>
  <c r="F54" i="79" s="1"/>
  <c r="G56" i="68"/>
  <c r="G10" i="31" s="1"/>
  <c r="F56" i="68"/>
  <c r="F10" i="31" s="1"/>
  <c r="D865" i="16"/>
  <c r="F70" i="69"/>
  <c r="F56" i="69" s="1"/>
  <c r="F15" i="31" s="1"/>
  <c r="D857" i="16"/>
  <c r="F51" i="78"/>
  <c r="F51" i="79"/>
  <c r="F79" i="63"/>
  <c r="F37" i="69" s="1"/>
  <c r="D775" i="19" s="1"/>
  <c r="D777" i="19" s="1"/>
  <c r="F89" i="69" s="1"/>
  <c r="F88" i="63"/>
  <c r="F84" i="63" s="1"/>
  <c r="F32" i="70"/>
  <c r="D1044" i="19"/>
  <c r="F7" i="78"/>
  <c r="F7" i="79"/>
  <c r="G51" i="78"/>
  <c r="G51" i="79"/>
  <c r="E989" i="19"/>
  <c r="E991" i="19" s="1"/>
  <c r="G77" i="70" s="1"/>
  <c r="F30" i="70"/>
  <c r="D996" i="19"/>
  <c r="D998" i="19" s="1"/>
  <c r="F78" i="70" s="1"/>
  <c r="F82" i="70" s="1"/>
  <c r="G7" i="79"/>
  <c r="G7" i="78"/>
  <c r="G30" i="70"/>
  <c r="E996" i="19"/>
  <c r="E998" i="19" s="1"/>
  <c r="G78" i="70" s="1"/>
  <c r="G82" i="70" s="1"/>
  <c r="D989" i="19"/>
  <c r="D991" i="19" s="1"/>
  <c r="F77" i="70" s="1"/>
  <c r="E870" i="16"/>
  <c r="G92" i="67"/>
  <c r="G76" i="67" s="1"/>
  <c r="G68" i="70"/>
  <c r="G70" i="70" s="1"/>
  <c r="G56" i="70" s="1"/>
  <c r="G19" i="70"/>
  <c r="G5" i="70" s="1"/>
  <c r="G32" i="70"/>
  <c r="E1044" i="19"/>
  <c r="E857" i="16"/>
  <c r="G88" i="63"/>
  <c r="G84" i="63" s="1"/>
  <c r="G79" i="63"/>
  <c r="G37" i="69" s="1"/>
  <c r="E775" i="19" s="1"/>
  <c r="E777" i="19" s="1"/>
  <c r="G89" i="69" s="1"/>
  <c r="F5" i="31"/>
  <c r="F64" i="71"/>
  <c r="F119" i="71" s="1"/>
  <c r="D10" i="75" s="1"/>
  <c r="D28" i="75" s="1"/>
  <c r="E854" i="16"/>
  <c r="D768" i="19"/>
  <c r="D770" i="19" s="1"/>
  <c r="D758" i="19"/>
  <c r="F85" i="69" s="1"/>
  <c r="F84" i="69" s="1"/>
  <c r="G116" i="63"/>
  <c r="G37" i="70" s="1"/>
  <c r="E1063" i="19" s="1"/>
  <c r="E1065" i="19" s="1"/>
  <c r="G89" i="70" s="1"/>
  <c r="G125" i="63"/>
  <c r="G121" i="63" s="1"/>
  <c r="D862" i="16"/>
  <c r="F68" i="70"/>
  <c r="F70" i="70" s="1"/>
  <c r="F56" i="70" s="1"/>
  <c r="F19" i="70"/>
  <c r="F5" i="70" s="1"/>
  <c r="G5" i="31"/>
  <c r="G64" i="71"/>
  <c r="G119" i="71" s="1"/>
  <c r="E10" i="75" s="1"/>
  <c r="E28" i="75" s="1"/>
  <c r="F116" i="63"/>
  <c r="F37" i="70" s="1"/>
  <c r="D1063" i="19" s="1"/>
  <c r="D1065" i="19" s="1"/>
  <c r="F89" i="70" s="1"/>
  <c r="F125" i="63"/>
  <c r="F121" i="63" s="1"/>
  <c r="F82" i="69"/>
  <c r="E758" i="19"/>
  <c r="G85" i="69" s="1"/>
  <c r="G84" i="69" s="1"/>
  <c r="E768" i="19"/>
  <c r="E770" i="19" s="1"/>
  <c r="C53" i="26"/>
  <c r="E46" i="70"/>
  <c r="C46" i="70" s="1"/>
  <c r="C1145" i="19"/>
  <c r="C1147" i="19" s="1"/>
  <c r="E98" i="70" s="1"/>
  <c r="E20" i="70"/>
  <c r="C20" i="70" s="1"/>
  <c r="C974" i="19"/>
  <c r="C976" i="19" s="1"/>
  <c r="E71" i="70" s="1"/>
  <c r="AD20" i="12" s="1"/>
  <c r="E20" i="66"/>
  <c r="C20" i="66" s="1"/>
  <c r="C934" i="19"/>
  <c r="C936" i="19" s="1"/>
  <c r="E71" i="66" s="1"/>
  <c r="AC20" i="12" s="1"/>
  <c r="E54" i="26"/>
  <c r="C54" i="26" s="1"/>
  <c r="E46" i="69"/>
  <c r="C46" i="69" s="1"/>
  <c r="C857" i="19"/>
  <c r="C859" i="19" s="1"/>
  <c r="E98" i="69" s="1"/>
  <c r="E46" i="66"/>
  <c r="C46" i="66" s="1"/>
  <c r="C309" i="40"/>
  <c r="E22" i="63" s="1"/>
  <c r="E18" i="63" s="1"/>
  <c r="C18" i="63" s="1"/>
  <c r="C278" i="16"/>
  <c r="C38" i="48"/>
  <c r="C8" i="69"/>
  <c r="E8" i="70"/>
  <c r="C887" i="19" s="1"/>
  <c r="C889" i="19" s="1"/>
  <c r="E59" i="70" s="1"/>
  <c r="C19" i="69"/>
  <c r="AA19" i="73" s="1"/>
  <c r="C16" i="19"/>
  <c r="C18" i="19" s="1"/>
  <c r="E58" i="67" s="1"/>
  <c r="C7" i="67"/>
  <c r="E70" i="69"/>
  <c r="E99" i="64"/>
  <c r="C99" i="64" s="1"/>
  <c r="W47" i="73" s="1"/>
  <c r="C870" i="16"/>
  <c r="C873" i="16"/>
  <c r="C832" i="16"/>
  <c r="C686" i="16"/>
  <c r="AC21" i="12"/>
  <c r="C72" i="66"/>
  <c r="AC21" i="73" s="1"/>
  <c r="AD47" i="12"/>
  <c r="C99" i="70"/>
  <c r="AD47" i="73" s="1"/>
  <c r="AD21" i="12"/>
  <c r="C72" i="70"/>
  <c r="AD21" i="73" s="1"/>
  <c r="AC47" i="12"/>
  <c r="C99" i="66"/>
  <c r="AC47" i="73" s="1"/>
  <c r="AA47" i="12"/>
  <c r="C99" i="69"/>
  <c r="AA47" i="73" s="1"/>
  <c r="C99" i="68"/>
  <c r="X47" i="73" s="1"/>
  <c r="X47" i="12"/>
  <c r="W21" i="12"/>
  <c r="C72" i="64"/>
  <c r="W21" i="73" s="1"/>
  <c r="X21" i="12"/>
  <c r="C72" i="68"/>
  <c r="X21" i="73" s="1"/>
  <c r="C99" i="67"/>
  <c r="U47" i="73" s="1"/>
  <c r="U47" i="12"/>
  <c r="T47" i="12"/>
  <c r="C99" i="26"/>
  <c r="T47" i="73" s="1"/>
  <c r="T21" i="12"/>
  <c r="AM21" i="12" s="1"/>
  <c r="C72" i="26"/>
  <c r="T21" i="73" s="1"/>
  <c r="U21" i="12"/>
  <c r="C72" i="67"/>
  <c r="U21" i="73" s="1"/>
  <c r="C70" i="68"/>
  <c r="C85" i="67"/>
  <c r="U33" i="73" s="1"/>
  <c r="AA19" i="12"/>
  <c r="C85" i="68"/>
  <c r="X33" i="73" s="1"/>
  <c r="X32" i="73" s="1"/>
  <c r="AA8" i="12"/>
  <c r="C59" i="69"/>
  <c r="AA8" i="73" s="1"/>
  <c r="C48" i="70"/>
  <c r="C1149" i="19"/>
  <c r="C1151" i="19" s="1"/>
  <c r="E100" i="70" s="1"/>
  <c r="C1010" i="19"/>
  <c r="C1012" i="19" s="1"/>
  <c r="E80" i="70" s="1"/>
  <c r="C28" i="70"/>
  <c r="C1047" i="19"/>
  <c r="C1049" i="19" s="1"/>
  <c r="E86" i="70" s="1"/>
  <c r="C34" i="70"/>
  <c r="C989" i="19"/>
  <c r="C991" i="19" s="1"/>
  <c r="E77" i="70" s="1"/>
  <c r="C25" i="70"/>
  <c r="C22" i="70"/>
  <c r="C978" i="19"/>
  <c r="C980" i="19" s="1"/>
  <c r="E73" i="70" s="1"/>
  <c r="AA26" i="12"/>
  <c r="E82" i="69"/>
  <c r="C78" i="69"/>
  <c r="AA26" i="73" s="1"/>
  <c r="C758" i="19"/>
  <c r="E85" i="69" s="1"/>
  <c r="C768" i="19"/>
  <c r="C770" i="19" s="1"/>
  <c r="E30" i="70"/>
  <c r="C26" i="70"/>
  <c r="C996" i="19"/>
  <c r="C998" i="19" s="1"/>
  <c r="E78" i="70" s="1"/>
  <c r="C88" i="69"/>
  <c r="AA36" i="73" s="1"/>
  <c r="AA36" i="12"/>
  <c r="C1053" i="19"/>
  <c r="C1055" i="19" s="1"/>
  <c r="E88" i="70" s="1"/>
  <c r="C36" i="70"/>
  <c r="C69" i="69"/>
  <c r="C81" i="69"/>
  <c r="AA29" i="73" s="1"/>
  <c r="AA29" i="12"/>
  <c r="C30" i="69"/>
  <c r="C79" i="69"/>
  <c r="AA27" i="73" s="1"/>
  <c r="AA27" i="12"/>
  <c r="E69" i="70"/>
  <c r="C69" i="70" s="1"/>
  <c r="C18" i="70"/>
  <c r="AD18" i="73" s="1"/>
  <c r="AD18" i="12"/>
  <c r="C1044" i="19"/>
  <c r="E32" i="70"/>
  <c r="C33" i="70"/>
  <c r="C1050" i="19"/>
  <c r="C1052" i="19" s="1"/>
  <c r="E87" i="70" s="1"/>
  <c r="C35" i="70"/>
  <c r="C60" i="69"/>
  <c r="AA9" i="73" s="1"/>
  <c r="AA9" i="12"/>
  <c r="C68" i="69"/>
  <c r="C57" i="69"/>
  <c r="AA6" i="73" s="1"/>
  <c r="AA6" i="12"/>
  <c r="C32" i="69"/>
  <c r="C131" i="63"/>
  <c r="C1017" i="19"/>
  <c r="C1019" i="19" s="1"/>
  <c r="E81" i="70" s="1"/>
  <c r="C29" i="70"/>
  <c r="C1003" i="19"/>
  <c r="C1005" i="19" s="1"/>
  <c r="E79" i="70" s="1"/>
  <c r="C27" i="70"/>
  <c r="E68" i="70"/>
  <c r="C17" i="70"/>
  <c r="AD17" i="73" s="1"/>
  <c r="AD17" i="12"/>
  <c r="E19" i="70"/>
  <c r="C100" i="69"/>
  <c r="AA48" i="73" s="1"/>
  <c r="AB48" i="73" s="1"/>
  <c r="AA48" i="12"/>
  <c r="AB48" i="12" s="1"/>
  <c r="C80" i="69"/>
  <c r="AA28" i="73" s="1"/>
  <c r="AA28" i="12"/>
  <c r="C86" i="69"/>
  <c r="AA34" i="73" s="1"/>
  <c r="AA34" i="12"/>
  <c r="AA25" i="12"/>
  <c r="C77" i="69"/>
  <c r="AA25" i="73" s="1"/>
  <c r="AA22" i="12"/>
  <c r="AB22" i="12" s="1"/>
  <c r="C73" i="69"/>
  <c r="AA22" i="73" s="1"/>
  <c r="AB22" i="73" s="1"/>
  <c r="C894" i="19"/>
  <c r="C896" i="19" s="1"/>
  <c r="E60" i="70" s="1"/>
  <c r="C9" i="70"/>
  <c r="C87" i="69"/>
  <c r="AA35" i="73" s="1"/>
  <c r="AA35" i="12"/>
  <c r="C873" i="19"/>
  <c r="C875" i="19" s="1"/>
  <c r="E57" i="70" s="1"/>
  <c r="C6" i="70"/>
  <c r="C86" i="67"/>
  <c r="U34" i="73" s="1"/>
  <c r="U34" i="12"/>
  <c r="C87" i="67"/>
  <c r="U35" i="73" s="1"/>
  <c r="U35" i="12"/>
  <c r="C80" i="67"/>
  <c r="U28" i="73" s="1"/>
  <c r="U28" i="12"/>
  <c r="C88" i="67"/>
  <c r="U36" i="73" s="1"/>
  <c r="U36" i="12"/>
  <c r="C81" i="67"/>
  <c r="U29" i="73" s="1"/>
  <c r="U29" i="12"/>
  <c r="C100" i="67"/>
  <c r="U48" i="73" s="1"/>
  <c r="V48" i="73" s="1"/>
  <c r="U48" i="12"/>
  <c r="V48" i="12" s="1"/>
  <c r="C73" i="67"/>
  <c r="U22" i="73" s="1"/>
  <c r="V22" i="73" s="1"/>
  <c r="U22" i="12"/>
  <c r="V22" i="12" s="1"/>
  <c r="E84" i="67"/>
  <c r="C79" i="67"/>
  <c r="U27" i="73" s="1"/>
  <c r="E82" i="67"/>
  <c r="C60" i="67"/>
  <c r="U9" i="73" s="1"/>
  <c r="C705" i="16"/>
  <c r="C714" i="16" s="1"/>
  <c r="C1183" i="19"/>
  <c r="C1174" i="19"/>
  <c r="C1192" i="19"/>
  <c r="C1165" i="19"/>
  <c r="C861" i="16"/>
  <c r="C863" i="16"/>
  <c r="C1113" i="19"/>
  <c r="E98" i="66" s="1"/>
  <c r="C734" i="16"/>
  <c r="C743" i="16" s="1"/>
  <c r="C860" i="16"/>
  <c r="C864" i="16"/>
  <c r="C856" i="16"/>
  <c r="C803" i="16"/>
  <c r="C657" i="16"/>
  <c r="C279" i="16"/>
  <c r="C380" i="19" s="1"/>
  <c r="C273" i="16"/>
  <c r="C52" i="19" s="1"/>
  <c r="C274" i="16"/>
  <c r="C92" i="19" s="1"/>
  <c r="C47" i="48"/>
  <c r="C66" i="48" s="1"/>
  <c r="C84" i="67" l="1"/>
  <c r="F92" i="68"/>
  <c r="F76" i="68" s="1"/>
  <c r="F139" i="71" s="1"/>
  <c r="F190" i="71" s="1"/>
  <c r="D45" i="75" s="1"/>
  <c r="D63" i="75" s="1"/>
  <c r="C84" i="68"/>
  <c r="AM47" i="12"/>
  <c r="F40" i="69"/>
  <c r="F24" i="69" s="1"/>
  <c r="F98" i="78" s="1"/>
  <c r="F95" i="78"/>
  <c r="G139" i="71"/>
  <c r="G190" i="71" s="1"/>
  <c r="E45" i="75" s="1"/>
  <c r="E63" i="75" s="1"/>
  <c r="F10" i="78"/>
  <c r="F50" i="67"/>
  <c r="D95" i="48" s="1"/>
  <c r="D103" i="48" s="1"/>
  <c r="F10" i="79"/>
  <c r="G95" i="79"/>
  <c r="F92" i="69"/>
  <c r="F76" i="69" s="1"/>
  <c r="F102" i="69" s="1"/>
  <c r="F210" i="71" s="1"/>
  <c r="F102" i="67"/>
  <c r="F70" i="71" s="1"/>
  <c r="F67" i="71"/>
  <c r="F122" i="71" s="1"/>
  <c r="D13" i="75" s="1"/>
  <c r="D31" i="75" s="1"/>
  <c r="D34" i="75" s="1"/>
  <c r="G10" i="79"/>
  <c r="F54" i="78"/>
  <c r="G10" i="78"/>
  <c r="G204" i="71"/>
  <c r="G251" i="71" s="1"/>
  <c r="E74" i="75" s="1"/>
  <c r="E92" i="75" s="1"/>
  <c r="F204" i="71"/>
  <c r="F251" i="71" s="1"/>
  <c r="D74" i="75" s="1"/>
  <c r="D92" i="75" s="1"/>
  <c r="F50" i="68"/>
  <c r="F57" i="78" s="1"/>
  <c r="G12" i="31"/>
  <c r="G40" i="70"/>
  <c r="G24" i="70" s="1"/>
  <c r="F136" i="71"/>
  <c r="F187" i="71" s="1"/>
  <c r="D42" i="75" s="1"/>
  <c r="D60" i="75" s="1"/>
  <c r="G136" i="71"/>
  <c r="G102" i="68"/>
  <c r="G142" i="71" s="1"/>
  <c r="G57" i="79"/>
  <c r="G57" i="78"/>
  <c r="D1056" i="19"/>
  <c r="D1058" i="19" s="1"/>
  <c r="D1046" i="19"/>
  <c r="F85" i="70" s="1"/>
  <c r="F84" i="70" s="1"/>
  <c r="F92" i="70" s="1"/>
  <c r="F76" i="70" s="1"/>
  <c r="G6" i="31"/>
  <c r="G7" i="31" s="1"/>
  <c r="G67" i="71"/>
  <c r="G122" i="71" s="1"/>
  <c r="E13" i="75" s="1"/>
  <c r="E31" i="75" s="1"/>
  <c r="E34" i="75" s="1"/>
  <c r="F139" i="79"/>
  <c r="F139" i="78"/>
  <c r="G139" i="79"/>
  <c r="G139" i="78"/>
  <c r="G40" i="69"/>
  <c r="G24" i="69" s="1"/>
  <c r="F40" i="70"/>
  <c r="F24" i="70" s="1"/>
  <c r="E1046" i="19"/>
  <c r="G85" i="70" s="1"/>
  <c r="G84" i="70" s="1"/>
  <c r="G92" i="70" s="1"/>
  <c r="G76" i="70" s="1"/>
  <c r="E1056" i="19"/>
  <c r="E1058" i="19" s="1"/>
  <c r="G102" i="67"/>
  <c r="G70" i="71" s="1"/>
  <c r="F20" i="31"/>
  <c r="F268" i="71"/>
  <c r="F311" i="71" s="1"/>
  <c r="G20" i="31"/>
  <c r="G268" i="71"/>
  <c r="G311" i="71" s="1"/>
  <c r="F7" i="31"/>
  <c r="G54" i="79"/>
  <c r="G54" i="78"/>
  <c r="G13" i="78"/>
  <c r="G13" i="79"/>
  <c r="G92" i="69"/>
  <c r="G76" i="69" s="1"/>
  <c r="C67" i="48"/>
  <c r="H1127" i="34"/>
  <c r="E46" i="68"/>
  <c r="C569" i="19"/>
  <c r="C571" i="19" s="1"/>
  <c r="E98" i="68" s="1"/>
  <c r="C340" i="19"/>
  <c r="C342" i="19" s="1"/>
  <c r="E46" i="67"/>
  <c r="C281" i="19"/>
  <c r="C283" i="19" s="1"/>
  <c r="E98" i="67" s="1"/>
  <c r="AJ21" i="12"/>
  <c r="AJ21" i="73"/>
  <c r="AJ47" i="73"/>
  <c r="C579" i="16"/>
  <c r="C22" i="63"/>
  <c r="C8" i="70"/>
  <c r="C70" i="69"/>
  <c r="W47" i="12"/>
  <c r="U7" i="12"/>
  <c r="C58" i="67"/>
  <c r="U7" i="73" s="1"/>
  <c r="Y47" i="73"/>
  <c r="AE47" i="73"/>
  <c r="AE47" i="12"/>
  <c r="AE21" i="73"/>
  <c r="AE21" i="12"/>
  <c r="Y21" i="73"/>
  <c r="Y21" i="12"/>
  <c r="V47" i="73"/>
  <c r="V47" i="12"/>
  <c r="V21" i="73"/>
  <c r="V21" i="12"/>
  <c r="U32" i="73"/>
  <c r="U30" i="73"/>
  <c r="AA30" i="73"/>
  <c r="C82" i="69"/>
  <c r="C59" i="70"/>
  <c r="AD8" i="73" s="1"/>
  <c r="AD8" i="12"/>
  <c r="AD25" i="12"/>
  <c r="C77" i="70"/>
  <c r="AD25" i="73" s="1"/>
  <c r="C60" i="70"/>
  <c r="AD9" i="73" s="1"/>
  <c r="AD9" i="12"/>
  <c r="C68" i="70"/>
  <c r="E70" i="70"/>
  <c r="C70" i="70" s="1"/>
  <c r="C86" i="70"/>
  <c r="AD34" i="73" s="1"/>
  <c r="AD34" i="12"/>
  <c r="C57" i="70"/>
  <c r="AD6" i="73" s="1"/>
  <c r="AD6" i="12"/>
  <c r="C79" i="70"/>
  <c r="AD27" i="73" s="1"/>
  <c r="AD27" i="12"/>
  <c r="AD35" i="12"/>
  <c r="C87" i="70"/>
  <c r="AD35" i="73" s="1"/>
  <c r="AD26" i="12"/>
  <c r="E82" i="70"/>
  <c r="C82" i="70" s="1"/>
  <c r="C78" i="70"/>
  <c r="AD26" i="73" s="1"/>
  <c r="AD29" i="12"/>
  <c r="C81" i="70"/>
  <c r="AD29" i="73" s="1"/>
  <c r="AA30" i="12"/>
  <c r="AD28" i="12"/>
  <c r="C80" i="70"/>
  <c r="AD28" i="73" s="1"/>
  <c r="C30" i="70"/>
  <c r="AD22" i="12"/>
  <c r="AE22" i="12" s="1"/>
  <c r="C73" i="70"/>
  <c r="AD22" i="73" s="1"/>
  <c r="AE22" i="73" s="1"/>
  <c r="C19" i="70"/>
  <c r="AD19" i="73" s="1"/>
  <c r="C32" i="70"/>
  <c r="C88" i="70"/>
  <c r="AD36" i="73" s="1"/>
  <c r="AD36" i="12"/>
  <c r="AD19" i="12"/>
  <c r="C1046" i="19"/>
  <c r="E85" i="70" s="1"/>
  <c r="C1056" i="19"/>
  <c r="C1058" i="19" s="1"/>
  <c r="AA33" i="12"/>
  <c r="AA32" i="12" s="1"/>
  <c r="C85" i="69"/>
  <c r="AA33" i="73" s="1"/>
  <c r="AA32" i="73" s="1"/>
  <c r="E84" i="69"/>
  <c r="C84" i="69" s="1"/>
  <c r="C100" i="70"/>
  <c r="AD48" i="73" s="1"/>
  <c r="AE48" i="73" s="1"/>
  <c r="AD48" i="12"/>
  <c r="AE48" i="12" s="1"/>
  <c r="C98" i="70"/>
  <c r="AD46" i="73" s="1"/>
  <c r="AD46" i="12"/>
  <c r="U30" i="12"/>
  <c r="C98" i="66"/>
  <c r="AC46" i="73" s="1"/>
  <c r="AC46" i="12"/>
  <c r="U32" i="12"/>
  <c r="AE20" i="12"/>
  <c r="C98" i="69"/>
  <c r="AA46" i="73" s="1"/>
  <c r="AA46" i="12"/>
  <c r="C71" i="70"/>
  <c r="AD20" i="73" s="1"/>
  <c r="C82" i="67"/>
  <c r="C71" i="66"/>
  <c r="AC20" i="73" s="1"/>
  <c r="C865" i="16"/>
  <c r="C280" i="16"/>
  <c r="C382" i="19"/>
  <c r="C862" i="16"/>
  <c r="C94" i="19"/>
  <c r="C840" i="16"/>
  <c r="C848" i="16"/>
  <c r="C725" i="16"/>
  <c r="C550" i="16"/>
  <c r="C696" i="16"/>
  <c r="C275" i="16"/>
  <c r="F11" i="31" l="1"/>
  <c r="F12" i="31" s="1"/>
  <c r="F102" i="68"/>
  <c r="F142" i="71" s="1"/>
  <c r="G44" i="79"/>
  <c r="G48" i="79" s="1"/>
  <c r="G41" i="79"/>
  <c r="F50" i="69"/>
  <c r="F101" i="79" s="1"/>
  <c r="F98" i="79"/>
  <c r="D66" i="75"/>
  <c r="F128" i="79" s="1"/>
  <c r="F172" i="79" s="1"/>
  <c r="F57" i="79"/>
  <c r="F13" i="78"/>
  <c r="F13" i="79"/>
  <c r="D330" i="13"/>
  <c r="F84" i="79"/>
  <c r="G142" i="79"/>
  <c r="G142" i="78"/>
  <c r="F207" i="71"/>
  <c r="F254" i="71" s="1"/>
  <c r="D77" i="75" s="1"/>
  <c r="D95" i="75" s="1"/>
  <c r="D98" i="75" s="1"/>
  <c r="F16" i="31"/>
  <c r="F17" i="31" s="1"/>
  <c r="G50" i="70"/>
  <c r="G145" i="78" s="1"/>
  <c r="G187" i="71"/>
  <c r="G84" i="79"/>
  <c r="G85" i="79" s="1"/>
  <c r="E330" i="13"/>
  <c r="G21" i="31"/>
  <c r="G22" i="31" s="1"/>
  <c r="G271" i="71"/>
  <c r="G102" i="70"/>
  <c r="G274" i="71" s="1"/>
  <c r="F142" i="79"/>
  <c r="F142" i="78"/>
  <c r="F21" i="31"/>
  <c r="F22" i="31" s="1"/>
  <c r="F271" i="71"/>
  <c r="F50" i="70"/>
  <c r="F102" i="70"/>
  <c r="F274" i="71" s="1"/>
  <c r="G16" i="31"/>
  <c r="G17" i="31" s="1"/>
  <c r="G207" i="71"/>
  <c r="G102" i="69"/>
  <c r="G210" i="71" s="1"/>
  <c r="G98" i="78"/>
  <c r="G98" i="79"/>
  <c r="G50" i="69"/>
  <c r="Y47" i="12"/>
  <c r="AJ47" i="12"/>
  <c r="AE46" i="73"/>
  <c r="AE20" i="73"/>
  <c r="AD30" i="73"/>
  <c r="AD30" i="12"/>
  <c r="AD33" i="12"/>
  <c r="AD32" i="12" s="1"/>
  <c r="E84" i="70"/>
  <c r="C84" i="70" s="1"/>
  <c r="C85" i="70"/>
  <c r="AD33" i="73" s="1"/>
  <c r="AD32" i="73" s="1"/>
  <c r="AE46" i="12"/>
  <c r="C98" i="67"/>
  <c r="U46" i="73" s="1"/>
  <c r="U46" i="12"/>
  <c r="C98" i="68"/>
  <c r="X46" i="73" s="1"/>
  <c r="X46" i="12"/>
  <c r="C46" i="67"/>
  <c r="C46" i="68"/>
  <c r="C731" i="16"/>
  <c r="C54" i="19"/>
  <c r="C702" i="16"/>
  <c r="F44" i="79" l="1"/>
  <c r="F48" i="79" s="1"/>
  <c r="F41" i="79"/>
  <c r="F85" i="79"/>
  <c r="F129" i="79"/>
  <c r="F101" i="78"/>
  <c r="D364" i="13"/>
  <c r="F88" i="79"/>
  <c r="F92" i="79" s="1"/>
  <c r="G145" i="79"/>
  <c r="D398" i="13"/>
  <c r="G88" i="79"/>
  <c r="G92" i="79" s="1"/>
  <c r="E42" i="75"/>
  <c r="F145" i="78"/>
  <c r="F145" i="79"/>
  <c r="F173" i="79" s="1"/>
  <c r="F314" i="71"/>
  <c r="G101" i="78"/>
  <c r="G101" i="79"/>
  <c r="G254" i="71"/>
  <c r="F132" i="79"/>
  <c r="F136" i="79" s="1"/>
  <c r="G314" i="71"/>
  <c r="E20" i="68"/>
  <c r="C20" i="68" s="1"/>
  <c r="C398" i="19"/>
  <c r="C400" i="19" s="1"/>
  <c r="E71" i="68" s="1"/>
  <c r="X20" i="12" s="1"/>
  <c r="E20" i="67"/>
  <c r="C20" i="67" s="1"/>
  <c r="C110" i="19"/>
  <c r="C112" i="19" s="1"/>
  <c r="E71" i="67" s="1"/>
  <c r="U20" i="12" s="1"/>
  <c r="U23" i="12" s="1"/>
  <c r="C716" i="16"/>
  <c r="C845" i="16"/>
  <c r="C745" i="16"/>
  <c r="C837" i="16"/>
  <c r="E60" i="75" l="1"/>
  <c r="E77" i="75"/>
  <c r="F176" i="79"/>
  <c r="F180" i="79" s="1"/>
  <c r="E5" i="67"/>
  <c r="E7" i="79" s="1"/>
  <c r="C7" i="79" s="1"/>
  <c r="C71" i="67"/>
  <c r="U20" i="73" s="1"/>
  <c r="U23" i="73" s="1"/>
  <c r="E56" i="67"/>
  <c r="E64" i="71" s="1"/>
  <c r="C71" i="68"/>
  <c r="X20" i="73" s="1"/>
  <c r="E66" i="75" l="1"/>
  <c r="E95" i="75"/>
  <c r="C5" i="67"/>
  <c r="E7" i="78"/>
  <c r="C7" i="78" s="1"/>
  <c r="E5" i="31"/>
  <c r="C5" i="31" s="1"/>
  <c r="C56" i="67"/>
  <c r="E364" i="13" l="1"/>
  <c r="G128" i="79"/>
  <c r="E98" i="75"/>
  <c r="E119" i="71"/>
  <c r="C10" i="75" s="1"/>
  <c r="C28" i="75" s="1"/>
  <c r="C64" i="71"/>
  <c r="G172" i="79" l="1"/>
  <c r="G173" i="79" s="1"/>
  <c r="G129" i="79"/>
  <c r="G132" i="79"/>
  <c r="G136" i="79" s="1"/>
  <c r="E398" i="13"/>
  <c r="C119" i="71"/>
  <c r="U82" i="12"/>
  <c r="G176" i="79" l="1"/>
  <c r="G180" i="79" s="1"/>
  <c r="C146" i="48" l="1"/>
  <c r="C147" i="48" l="1"/>
  <c r="V112" i="12"/>
  <c r="V113" i="12" l="1"/>
  <c r="C149" i="48"/>
  <c r="V114" i="12" l="1"/>
  <c r="C150" i="48"/>
  <c r="V115" i="12" s="1"/>
  <c r="C129" i="40"/>
  <c r="AB72" i="12"/>
  <c r="AE63" i="12"/>
  <c r="AE64" i="12" s="1"/>
  <c r="C298" i="40" l="1"/>
  <c r="E7" i="68" s="1"/>
  <c r="C312" i="40"/>
  <c r="AC4" i="12"/>
  <c r="AE72" i="12"/>
  <c r="AB63" i="12"/>
  <c r="AB64" i="12" s="1"/>
  <c r="W4" i="12"/>
  <c r="AF4" i="12" s="1"/>
  <c r="C313" i="40" l="1"/>
  <c r="E59" i="63" s="1"/>
  <c r="E55" i="63" s="1"/>
  <c r="C55" i="63" s="1"/>
  <c r="C304" i="19"/>
  <c r="C306" i="19" s="1"/>
  <c r="E58" i="68" s="1"/>
  <c r="E7" i="69"/>
  <c r="C7" i="68"/>
  <c r="E5" i="68"/>
  <c r="AE93" i="12"/>
  <c r="AB93" i="12"/>
  <c r="E96" i="63" l="1"/>
  <c r="C59" i="63"/>
  <c r="E51" i="79"/>
  <c r="C51" i="79" s="1"/>
  <c r="C5" i="68"/>
  <c r="E51" i="78"/>
  <c r="C51" i="78" s="1"/>
  <c r="C7" i="69"/>
  <c r="C592" i="19"/>
  <c r="C594" i="19" s="1"/>
  <c r="E58" i="69" s="1"/>
  <c r="E7" i="70"/>
  <c r="X7" i="12"/>
  <c r="X23" i="12" s="1"/>
  <c r="C58" i="68"/>
  <c r="X7" i="73" s="1"/>
  <c r="X23" i="73" s="1"/>
  <c r="E56" i="68"/>
  <c r="E136" i="71" s="1"/>
  <c r="E92" i="63" l="1"/>
  <c r="C92" i="63" s="1"/>
  <c r="C96" i="63"/>
  <c r="E133" i="63"/>
  <c r="E187" i="71"/>
  <c r="C136" i="71"/>
  <c r="E10" i="31"/>
  <c r="C10" i="31" s="1"/>
  <c r="C56" i="68"/>
  <c r="C880" i="19"/>
  <c r="C882" i="19" s="1"/>
  <c r="E58" i="70" s="1"/>
  <c r="C7" i="70"/>
  <c r="E5" i="70"/>
  <c r="C58" i="69"/>
  <c r="AA7" i="73" s="1"/>
  <c r="AA7" i="12"/>
  <c r="E129" i="63" l="1"/>
  <c r="C129" i="63" s="1"/>
  <c r="C133" i="63"/>
  <c r="X82" i="12"/>
  <c r="C187" i="71"/>
  <c r="C42" i="75"/>
  <c r="C60" i="75" s="1"/>
  <c r="E139" i="79"/>
  <c r="C139" i="79" s="1"/>
  <c r="C5" i="70"/>
  <c r="E139" i="78"/>
  <c r="C139" i="78" s="1"/>
  <c r="C58" i="70"/>
  <c r="AD7" i="73" s="1"/>
  <c r="AD23" i="73" s="1"/>
  <c r="AD7" i="12"/>
  <c r="AD23" i="12" s="1"/>
  <c r="E56" i="70"/>
  <c r="E268" i="71" s="1"/>
  <c r="E311" i="71" l="1"/>
  <c r="C268" i="71"/>
  <c r="C56" i="70"/>
  <c r="E20" i="31"/>
  <c r="C20" i="31" s="1"/>
  <c r="AD82" i="12" l="1"/>
  <c r="C311" i="71"/>
  <c r="C39" i="63"/>
  <c r="C39" i="21"/>
  <c r="C74" i="21"/>
  <c r="C74" i="63"/>
  <c r="C73" i="63"/>
  <c r="C73" i="21"/>
  <c r="C75" i="63"/>
  <c r="C75" i="21"/>
  <c r="C36" i="63" l="1"/>
  <c r="C36" i="21"/>
  <c r="C38" i="63"/>
  <c r="C38" i="21"/>
  <c r="C76" i="21" l="1"/>
  <c r="C76" i="63"/>
  <c r="C37" i="21"/>
  <c r="C37" i="63"/>
  <c r="C148" i="48" l="1"/>
  <c r="H190" i="34" l="1"/>
  <c r="H188" i="34"/>
  <c r="H189" i="34" l="1"/>
  <c r="H187" i="34"/>
  <c r="E16" i="21" l="1"/>
  <c r="C16" i="21" l="1"/>
  <c r="E6" i="63" l="1"/>
  <c r="C33" i="63"/>
  <c r="C107" i="63"/>
  <c r="E80" i="63"/>
  <c r="C70" i="63"/>
  <c r="E43" i="63"/>
  <c r="C144" i="63"/>
  <c r="E117" i="63"/>
  <c r="E38" i="70" l="1"/>
  <c r="C117" i="63"/>
  <c r="E38" i="68"/>
  <c r="C43" i="63"/>
  <c r="C80" i="63"/>
  <c r="E38" i="69"/>
  <c r="C6" i="63"/>
  <c r="E38" i="67"/>
  <c r="C206" i="19" l="1"/>
  <c r="C208" i="19" s="1"/>
  <c r="E90" i="67" s="1"/>
  <c r="C38" i="67"/>
  <c r="C782" i="19"/>
  <c r="C784" i="19" s="1"/>
  <c r="E90" i="69" s="1"/>
  <c r="C38" i="69"/>
  <c r="C494" i="19"/>
  <c r="C496" i="19" s="1"/>
  <c r="E90" i="68" s="1"/>
  <c r="C38" i="68"/>
  <c r="C1070" i="19"/>
  <c r="C1072" i="19" s="1"/>
  <c r="E90" i="70" s="1"/>
  <c r="C38" i="70"/>
  <c r="C105" i="21" l="1"/>
  <c r="C68" i="63"/>
  <c r="C31" i="63"/>
  <c r="C68" i="21"/>
  <c r="C105" i="63"/>
  <c r="C143" i="21"/>
  <c r="E118" i="21"/>
  <c r="X38" i="12"/>
  <c r="C90" i="68"/>
  <c r="X38" i="73" s="1"/>
  <c r="C142" i="21"/>
  <c r="E81" i="21"/>
  <c r="C106" i="21"/>
  <c r="C104" i="63"/>
  <c r="E103" i="63"/>
  <c r="C69" i="21"/>
  <c r="E44" i="21"/>
  <c r="C141" i="21"/>
  <c r="E140" i="21"/>
  <c r="C104" i="21"/>
  <c r="E103" i="21"/>
  <c r="C142" i="63"/>
  <c r="E29" i="63"/>
  <c r="C30" i="63"/>
  <c r="C141" i="63"/>
  <c r="E140" i="63"/>
  <c r="C90" i="69"/>
  <c r="AA38" i="73" s="1"/>
  <c r="AA38" i="12"/>
  <c r="E66" i="21"/>
  <c r="C67" i="21"/>
  <c r="C67" i="63"/>
  <c r="E66" i="63"/>
  <c r="C90" i="70"/>
  <c r="AD38" i="73" s="1"/>
  <c r="AD38" i="12"/>
  <c r="C90" i="67"/>
  <c r="U38" i="73" s="1"/>
  <c r="U38" i="12"/>
  <c r="E52" i="63" l="1"/>
  <c r="C66" i="63"/>
  <c r="C66" i="21"/>
  <c r="E52" i="21"/>
  <c r="C29" i="63"/>
  <c r="E15" i="63"/>
  <c r="E89" i="21"/>
  <c r="C103" i="21"/>
  <c r="C103" i="63"/>
  <c r="E89" i="63"/>
  <c r="C140" i="63"/>
  <c r="E126" i="63"/>
  <c r="E126" i="21"/>
  <c r="C140" i="21"/>
  <c r="C81" i="21"/>
  <c r="E31" i="65"/>
  <c r="C44" i="21"/>
  <c r="E31" i="64"/>
  <c r="E31" i="66"/>
  <c r="C118" i="21"/>
  <c r="E5" i="63" l="1"/>
  <c r="C15" i="63"/>
  <c r="E14" i="63"/>
  <c r="C445" i="19"/>
  <c r="C447" i="19" s="1"/>
  <c r="E83" i="64" s="1"/>
  <c r="C31" i="64"/>
  <c r="C52" i="21"/>
  <c r="C31" i="65"/>
  <c r="C733" i="19"/>
  <c r="C735" i="19" s="1"/>
  <c r="E83" i="65" s="1"/>
  <c r="E79" i="63"/>
  <c r="C89" i="63"/>
  <c r="E88" i="63"/>
  <c r="C126" i="21"/>
  <c r="C31" i="66"/>
  <c r="C1021" i="19"/>
  <c r="C1023" i="19" s="1"/>
  <c r="E83" i="66" s="1"/>
  <c r="C126" i="63"/>
  <c r="E125" i="63"/>
  <c r="E116" i="63"/>
  <c r="C89" i="21"/>
  <c r="E51" i="63"/>
  <c r="C52" i="63"/>
  <c r="E42" i="63"/>
  <c r="C42" i="63" l="1"/>
  <c r="E37" i="68"/>
  <c r="C79" i="63"/>
  <c r="E37" i="69"/>
  <c r="C51" i="63"/>
  <c r="E47" i="63"/>
  <c r="C47" i="63" s="1"/>
  <c r="AC31" i="12"/>
  <c r="C83" i="66"/>
  <c r="AC31" i="73" s="1"/>
  <c r="W31" i="12"/>
  <c r="C83" i="64"/>
  <c r="W31" i="73" s="1"/>
  <c r="Z31" i="12"/>
  <c r="C83" i="65"/>
  <c r="Z31" i="73" s="1"/>
  <c r="C14" i="63"/>
  <c r="E10" i="63"/>
  <c r="C10" i="63" s="1"/>
  <c r="E37" i="70"/>
  <c r="C116" i="63"/>
  <c r="C125" i="63"/>
  <c r="E121" i="63"/>
  <c r="C121" i="63" s="1"/>
  <c r="C88" i="63"/>
  <c r="E84" i="63"/>
  <c r="C84" i="63" s="1"/>
  <c r="E37" i="67"/>
  <c r="C5" i="63"/>
  <c r="E81" i="63" l="1"/>
  <c r="C106" i="63"/>
  <c r="C37" i="69"/>
  <c r="C775" i="19"/>
  <c r="C777" i="19" s="1"/>
  <c r="E89" i="69" s="1"/>
  <c r="E118" i="63"/>
  <c r="C143" i="63"/>
  <c r="C199" i="19"/>
  <c r="C201" i="19" s="1"/>
  <c r="E89" i="67" s="1"/>
  <c r="C37" i="67"/>
  <c r="C1063" i="19"/>
  <c r="C1065" i="19" s="1"/>
  <c r="E89" i="70" s="1"/>
  <c r="C37" i="70"/>
  <c r="C32" i="63"/>
  <c r="E7" i="63"/>
  <c r="E44" i="63"/>
  <c r="C69" i="63"/>
  <c r="C37" i="68"/>
  <c r="C487" i="19"/>
  <c r="C489" i="19" s="1"/>
  <c r="E89" i="68" s="1"/>
  <c r="C89" i="69" l="1"/>
  <c r="AA37" i="73" s="1"/>
  <c r="AA37" i="12"/>
  <c r="U37" i="12"/>
  <c r="C89" i="67"/>
  <c r="U37" i="73" s="1"/>
  <c r="C44" i="63"/>
  <c r="E31" i="68"/>
  <c r="C107" i="21"/>
  <c r="E80" i="21"/>
  <c r="C144" i="21"/>
  <c r="E117" i="21"/>
  <c r="E31" i="67"/>
  <c r="C7" i="63"/>
  <c r="C81" i="63"/>
  <c r="E31" i="69"/>
  <c r="C89" i="68"/>
  <c r="X37" i="73" s="1"/>
  <c r="X37" i="12"/>
  <c r="C89" i="70"/>
  <c r="AD37" i="73" s="1"/>
  <c r="AD37" i="12"/>
  <c r="C118" i="63"/>
  <c r="E31" i="70"/>
  <c r="C1024" i="19" l="1"/>
  <c r="C1026" i="19" s="1"/>
  <c r="E83" i="70" s="1"/>
  <c r="C31" i="70"/>
  <c r="C160" i="19"/>
  <c r="C162" i="19" s="1"/>
  <c r="E83" i="67" s="1"/>
  <c r="C31" i="67"/>
  <c r="C80" i="21"/>
  <c r="E38" i="65"/>
  <c r="C117" i="21"/>
  <c r="E38" i="66"/>
  <c r="C736" i="19"/>
  <c r="C738" i="19" s="1"/>
  <c r="E83" i="69" s="1"/>
  <c r="C31" i="69"/>
  <c r="C31" i="68"/>
  <c r="C448" i="19"/>
  <c r="C450" i="19" s="1"/>
  <c r="E83" i="68" s="1"/>
  <c r="X31" i="12" l="1"/>
  <c r="Y31" i="12" s="1"/>
  <c r="C83" i="68"/>
  <c r="X31" i="73" s="1"/>
  <c r="Y31" i="73" s="1"/>
  <c r="C83" i="67"/>
  <c r="U31" i="73" s="1"/>
  <c r="U31" i="12"/>
  <c r="C83" i="69"/>
  <c r="AA31" i="73" s="1"/>
  <c r="AB31" i="73" s="1"/>
  <c r="AA31" i="12"/>
  <c r="AB31" i="12" s="1"/>
  <c r="C1067" i="19"/>
  <c r="C1069" i="19" s="1"/>
  <c r="E90" i="66" s="1"/>
  <c r="C38" i="66"/>
  <c r="C779" i="19"/>
  <c r="C781" i="19" s="1"/>
  <c r="E90" i="65" s="1"/>
  <c r="C38" i="65"/>
  <c r="AD31" i="12"/>
  <c r="AE31" i="12" s="1"/>
  <c r="C83" i="70"/>
  <c r="AD31" i="73" s="1"/>
  <c r="AE31" i="73" s="1"/>
  <c r="C90" i="65" l="1"/>
  <c r="Z38" i="73" s="1"/>
  <c r="Z38" i="12"/>
  <c r="C90" i="66"/>
  <c r="AC38" i="73" s="1"/>
  <c r="AC38" i="12"/>
  <c r="AE38" i="12" l="1"/>
  <c r="AE38" i="73"/>
  <c r="AB38" i="12"/>
  <c r="AB38" i="73"/>
  <c r="C70" i="21" l="1"/>
  <c r="E43" i="21"/>
  <c r="E38" i="64" l="1"/>
  <c r="C43" i="21"/>
  <c r="C38" i="64" l="1"/>
  <c r="C491" i="19"/>
  <c r="C493" i="19" s="1"/>
  <c r="E90" i="64" s="1"/>
  <c r="W38" i="12" l="1"/>
  <c r="C90" i="64"/>
  <c r="W38" i="73" s="1"/>
  <c r="Y38" i="73" l="1"/>
  <c r="Y38" i="12"/>
  <c r="E6" i="21" l="1"/>
  <c r="C33" i="21"/>
  <c r="C31" i="21"/>
  <c r="C6" i="21" l="1"/>
  <c r="E38" i="26"/>
  <c r="C30" i="21"/>
  <c r="E29" i="21"/>
  <c r="C32" i="21"/>
  <c r="E7" i="21"/>
  <c r="C38" i="26" l="1"/>
  <c r="C203" i="19"/>
  <c r="C205" i="19" s="1"/>
  <c r="E90" i="26" s="1"/>
  <c r="E31" i="26"/>
  <c r="C7" i="21"/>
  <c r="E15" i="21"/>
  <c r="C29" i="21"/>
  <c r="C157" i="19" l="1"/>
  <c r="C159" i="19" s="1"/>
  <c r="E83" i="26" s="1"/>
  <c r="C31" i="26"/>
  <c r="T38" i="12"/>
  <c r="C90" i="26"/>
  <c r="T38" i="73" s="1"/>
  <c r="AJ38" i="73" s="1"/>
  <c r="C15" i="21"/>
  <c r="C71" i="63"/>
  <c r="E45" i="63"/>
  <c r="C34" i="63"/>
  <c r="E8" i="63"/>
  <c r="AJ38" i="12" l="1"/>
  <c r="AM38" i="12"/>
  <c r="E39" i="68"/>
  <c r="C45" i="63"/>
  <c r="V38" i="73"/>
  <c r="C8" i="63"/>
  <c r="E39" i="67"/>
  <c r="V38" i="12"/>
  <c r="E119" i="63"/>
  <c r="C145" i="63"/>
  <c r="E82" i="63"/>
  <c r="C108" i="63"/>
  <c r="T31" i="12"/>
  <c r="C83" i="26"/>
  <c r="T31" i="73" s="1"/>
  <c r="AM31" i="12" l="1"/>
  <c r="V31" i="12"/>
  <c r="AJ31" i="12"/>
  <c r="V31" i="73"/>
  <c r="AJ31" i="73"/>
  <c r="C213" i="19"/>
  <c r="C215" i="19" s="1"/>
  <c r="E91" i="67" s="1"/>
  <c r="C39" i="67"/>
  <c r="E40" i="67"/>
  <c r="E39" i="69"/>
  <c r="C82" i="63"/>
  <c r="C119" i="63"/>
  <c r="E39" i="70"/>
  <c r="C39" i="68"/>
  <c r="C501" i="19"/>
  <c r="C503" i="19" s="1"/>
  <c r="E91" i="68" s="1"/>
  <c r="E40" i="68"/>
  <c r="C789" i="19" l="1"/>
  <c r="C791" i="19" s="1"/>
  <c r="E91" i="69" s="1"/>
  <c r="C39" i="69"/>
  <c r="E40" i="69"/>
  <c r="E24" i="67"/>
  <c r="C40" i="67"/>
  <c r="E24" i="68"/>
  <c r="C40" i="68"/>
  <c r="C91" i="67"/>
  <c r="U39" i="73" s="1"/>
  <c r="U40" i="73" s="1"/>
  <c r="U39" i="12"/>
  <c r="U40" i="12" s="1"/>
  <c r="E92" i="67"/>
  <c r="C91" i="68"/>
  <c r="X39" i="73" s="1"/>
  <c r="X40" i="73" s="1"/>
  <c r="X49" i="73" s="1"/>
  <c r="X39" i="12"/>
  <c r="X40" i="12" s="1"/>
  <c r="E92" i="68"/>
  <c r="C1077" i="19"/>
  <c r="C1079" i="19" s="1"/>
  <c r="E91" i="70" s="1"/>
  <c r="C39" i="70"/>
  <c r="E40" i="70"/>
  <c r="X52" i="73" l="1"/>
  <c r="U49" i="73"/>
  <c r="U52" i="73" s="1"/>
  <c r="X49" i="12"/>
  <c r="X52" i="12" s="1"/>
  <c r="U49" i="12"/>
  <c r="U52" i="12" s="1"/>
  <c r="E54" i="79"/>
  <c r="C54" i="79" s="1"/>
  <c r="E10" i="79"/>
  <c r="C10" i="79" s="1"/>
  <c r="E54" i="78"/>
  <c r="C54" i="78" s="1"/>
  <c r="E10" i="78"/>
  <c r="C10" i="78" s="1"/>
  <c r="C91" i="70"/>
  <c r="AD39" i="73" s="1"/>
  <c r="AD40" i="73" s="1"/>
  <c r="AD39" i="12"/>
  <c r="AD40" i="12" s="1"/>
  <c r="E92" i="70"/>
  <c r="C24" i="68"/>
  <c r="E50" i="68"/>
  <c r="E76" i="68"/>
  <c r="E139" i="71" s="1"/>
  <c r="C92" i="68"/>
  <c r="E50" i="67"/>
  <c r="C24" i="67"/>
  <c r="C40" i="69"/>
  <c r="E24" i="69"/>
  <c r="E24" i="70"/>
  <c r="C40" i="70"/>
  <c r="E76" i="67"/>
  <c r="E67" i="71" s="1"/>
  <c r="C92" i="67"/>
  <c r="AA39" i="12"/>
  <c r="AA40" i="12" s="1"/>
  <c r="C91" i="69"/>
  <c r="AA39" i="73" s="1"/>
  <c r="AA40" i="73" s="1"/>
  <c r="E92" i="69"/>
  <c r="AD49" i="73" l="1"/>
  <c r="AD52" i="73" s="1"/>
  <c r="AA49" i="73"/>
  <c r="AD49" i="12"/>
  <c r="AD52" i="12" s="1"/>
  <c r="AA49" i="12"/>
  <c r="E190" i="71"/>
  <c r="C139" i="71"/>
  <c r="E57" i="79"/>
  <c r="E13" i="79"/>
  <c r="E41" i="79" s="1"/>
  <c r="E98" i="79"/>
  <c r="C98" i="79" s="1"/>
  <c r="E142" i="78"/>
  <c r="C142" i="78" s="1"/>
  <c r="E142" i="79"/>
  <c r="C142" i="79" s="1"/>
  <c r="E98" i="78"/>
  <c r="C98" i="78" s="1"/>
  <c r="E57" i="78"/>
  <c r="C57" i="78" s="1"/>
  <c r="E13" i="78"/>
  <c r="C13" i="78" s="1"/>
  <c r="E11" i="31"/>
  <c r="E102" i="68"/>
  <c r="C76" i="68"/>
  <c r="C50" i="68"/>
  <c r="X51" i="73" s="1"/>
  <c r="X51" i="12"/>
  <c r="E76" i="69"/>
  <c r="E207" i="71" s="1"/>
  <c r="C92" i="69"/>
  <c r="E50" i="70"/>
  <c r="C24" i="70"/>
  <c r="C24" i="69"/>
  <c r="C92" i="70"/>
  <c r="E76" i="70"/>
  <c r="E271" i="71" s="1"/>
  <c r="C50" i="67"/>
  <c r="U51" i="73" s="1"/>
  <c r="C95" i="48"/>
  <c r="C103" i="48" s="1"/>
  <c r="U51" i="12"/>
  <c r="E6" i="31"/>
  <c r="E102" i="67"/>
  <c r="E70" i="71" s="1"/>
  <c r="C76" i="67"/>
  <c r="C271" i="71" l="1"/>
  <c r="E314" i="71"/>
  <c r="E254" i="71"/>
  <c r="C207" i="71"/>
  <c r="C102" i="68"/>
  <c r="E142" i="71"/>
  <c r="C142" i="71" s="1"/>
  <c r="C190" i="71"/>
  <c r="C45" i="75"/>
  <c r="C63" i="75" s="1"/>
  <c r="C66" i="75" s="1"/>
  <c r="X83" i="12"/>
  <c r="X84" i="12" s="1"/>
  <c r="C57" i="79"/>
  <c r="C13" i="79"/>
  <c r="E44" i="79"/>
  <c r="E145" i="78"/>
  <c r="C145" i="78" s="1"/>
  <c r="E145" i="79"/>
  <c r="C50" i="70"/>
  <c r="AD51" i="73" s="1"/>
  <c r="AD51" i="12"/>
  <c r="E102" i="70"/>
  <c r="E21" i="31"/>
  <c r="C76" i="70"/>
  <c r="E16" i="31"/>
  <c r="C76" i="69"/>
  <c r="C67" i="71"/>
  <c r="E122" i="71"/>
  <c r="C70" i="71"/>
  <c r="C102" i="67"/>
  <c r="E7" i="31"/>
  <c r="C7" i="31" s="1"/>
  <c r="C6" i="31"/>
  <c r="C11" i="31"/>
  <c r="E12" i="31"/>
  <c r="C12" i="31" s="1"/>
  <c r="C102" i="70" l="1"/>
  <c r="E274" i="71"/>
  <c r="C274" i="71" s="1"/>
  <c r="C314" i="71"/>
  <c r="AD83" i="12"/>
  <c r="AD84" i="12" s="1"/>
  <c r="C77" i="75"/>
  <c r="C95" i="75" s="1"/>
  <c r="AA83" i="12"/>
  <c r="C254" i="71"/>
  <c r="E128" i="79"/>
  <c r="C364" i="13"/>
  <c r="C145" i="79"/>
  <c r="C16" i="31"/>
  <c r="C13" i="75"/>
  <c r="C31" i="75" s="1"/>
  <c r="C34" i="75" s="1"/>
  <c r="C122" i="71"/>
  <c r="U83" i="12"/>
  <c r="U84" i="12" s="1"/>
  <c r="C21" i="31"/>
  <c r="E22" i="31"/>
  <c r="C22" i="31" s="1"/>
  <c r="E172" i="79" l="1"/>
  <c r="E173" i="79" s="1"/>
  <c r="C330" i="13"/>
  <c r="E176" i="79" l="1"/>
  <c r="E8" i="21"/>
  <c r="C34" i="21"/>
  <c r="E39" i="26" l="1"/>
  <c r="C8" i="21"/>
  <c r="C39" i="26" l="1"/>
  <c r="C210" i="19"/>
  <c r="C212" i="19" s="1"/>
  <c r="E91" i="26" s="1"/>
  <c r="T39" i="12" l="1"/>
  <c r="C91" i="26"/>
  <c r="T39" i="73" s="1"/>
  <c r="AM39" i="12" l="1"/>
  <c r="V39" i="12"/>
  <c r="V39" i="73"/>
  <c r="C44" i="79" l="1"/>
  <c r="E48" i="79"/>
  <c r="E180" i="79" l="1"/>
  <c r="C176" i="79"/>
  <c r="E84" i="79" l="1"/>
  <c r="E85" i="79" s="1"/>
  <c r="E88" i="79" l="1"/>
  <c r="C88" i="79" s="1"/>
  <c r="E92" i="79" l="1"/>
  <c r="D86" i="39" l="1"/>
  <c r="D81" i="39"/>
  <c r="D82" i="39"/>
  <c r="D85" i="39"/>
  <c r="D84" i="39"/>
  <c r="D80" i="39"/>
  <c r="D137" i="39"/>
  <c r="D141" i="39"/>
  <c r="D140" i="39"/>
  <c r="D138" i="39"/>
  <c r="D107" i="39"/>
  <c r="D111" i="39"/>
  <c r="D105" i="39"/>
  <c r="D102" i="39"/>
  <c r="D104" i="39"/>
  <c r="D99" i="39"/>
  <c r="D112" i="39"/>
  <c r="D112" i="59" s="1"/>
  <c r="D110" i="39"/>
  <c r="D106" i="39"/>
  <c r="D101" i="39"/>
  <c r="D103" i="39"/>
  <c r="D100" i="39"/>
  <c r="D98" i="39"/>
  <c r="D98" i="59" s="1"/>
  <c r="I172" i="34" l="1"/>
  <c r="D86" i="59"/>
  <c r="I167" i="34"/>
  <c r="D81" i="59"/>
  <c r="I168" i="34"/>
  <c r="D82" i="59"/>
  <c r="I171" i="34"/>
  <c r="D85" i="59"/>
  <c r="I170" i="34"/>
  <c r="D84" i="59"/>
  <c r="I166" i="34"/>
  <c r="D80" i="59"/>
  <c r="I102" i="34"/>
  <c r="D137" i="59"/>
  <c r="I105" i="34"/>
  <c r="D141" i="59"/>
  <c r="I103" i="34"/>
  <c r="D140" i="59"/>
  <c r="I104" i="34"/>
  <c r="D138" i="59"/>
  <c r="I186" i="34"/>
  <c r="D107" i="59"/>
  <c r="I180" i="34"/>
  <c r="D111" i="59"/>
  <c r="I184" i="34"/>
  <c r="D105" i="59"/>
  <c r="I181" i="34"/>
  <c r="D102" i="59"/>
  <c r="I183" i="34"/>
  <c r="D104" i="59"/>
  <c r="I175" i="34"/>
  <c r="D99" i="59"/>
  <c r="I178" i="34"/>
  <c r="D110" i="59"/>
  <c r="I185" i="34"/>
  <c r="D106" i="59"/>
  <c r="I179" i="34"/>
  <c r="D101" i="59"/>
  <c r="I182" i="34"/>
  <c r="D103" i="59"/>
  <c r="I177" i="34"/>
  <c r="D100" i="59"/>
  <c r="I174" i="34"/>
  <c r="D62" i="39"/>
  <c r="D64" i="39"/>
  <c r="D63" i="39"/>
  <c r="D66" i="39"/>
  <c r="D136" i="39"/>
  <c r="D83" i="39"/>
  <c r="D65" i="39"/>
  <c r="D79" i="39"/>
  <c r="D139" i="39"/>
  <c r="D35" i="39"/>
  <c r="D35" i="59" s="1"/>
  <c r="C136" i="39"/>
  <c r="H100" i="34" s="1"/>
  <c r="C141" i="39"/>
  <c r="H105" i="34" s="1"/>
  <c r="C140" i="39"/>
  <c r="H103" i="34" s="1"/>
  <c r="C139" i="39"/>
  <c r="H101" i="34" s="1"/>
  <c r="E107" i="39"/>
  <c r="J186" i="34" s="1"/>
  <c r="C110" i="39"/>
  <c r="H178" i="34" s="1"/>
  <c r="C104" i="39"/>
  <c r="H183" i="34" s="1"/>
  <c r="C111" i="39"/>
  <c r="H180" i="34" s="1"/>
  <c r="C98" i="39"/>
  <c r="C99" i="39"/>
  <c r="H175" i="34" s="1"/>
  <c r="C103" i="39"/>
  <c r="H182" i="34" s="1"/>
  <c r="C105" i="39"/>
  <c r="H184" i="34" s="1"/>
  <c r="C100" i="39"/>
  <c r="H177" i="34" s="1"/>
  <c r="C109" i="39"/>
  <c r="H176" i="34" s="1"/>
  <c r="C101" i="39"/>
  <c r="H179" i="34" s="1"/>
  <c r="C102" i="39"/>
  <c r="H181" i="34" s="1"/>
  <c r="C112" i="39"/>
  <c r="C106" i="39"/>
  <c r="H185" i="34" s="1"/>
  <c r="E38" i="39"/>
  <c r="J107" i="34" s="1"/>
  <c r="E102" i="39"/>
  <c r="J181" i="34" s="1"/>
  <c r="E100" i="39"/>
  <c r="J177" i="34" s="1"/>
  <c r="E109" i="39"/>
  <c r="J176" i="34" s="1"/>
  <c r="E111" i="39"/>
  <c r="J180" i="34" s="1"/>
  <c r="E112" i="39"/>
  <c r="E105" i="39"/>
  <c r="J184" i="34" s="1"/>
  <c r="E104" i="39"/>
  <c r="J183" i="34" s="1"/>
  <c r="E98" i="39"/>
  <c r="E110" i="39"/>
  <c r="J178" i="34" s="1"/>
  <c r="E106" i="39"/>
  <c r="J185" i="34" s="1"/>
  <c r="E103" i="39"/>
  <c r="J182" i="34" s="1"/>
  <c r="E101" i="39"/>
  <c r="J179" i="34" s="1"/>
  <c r="E99" i="39"/>
  <c r="J175" i="34" s="1"/>
  <c r="I123" i="34" l="1"/>
  <c r="D62" i="59"/>
  <c r="I141" i="34"/>
  <c r="D64" i="59"/>
  <c r="I132" i="34"/>
  <c r="D63" i="59"/>
  <c r="I159" i="34"/>
  <c r="D66" i="59"/>
  <c r="I100" i="34"/>
  <c r="D136" i="59"/>
  <c r="I169" i="34"/>
  <c r="D83" i="59"/>
  <c r="I150" i="34"/>
  <c r="D65" i="59"/>
  <c r="I165" i="34"/>
  <c r="D79" i="59"/>
  <c r="I101" i="34"/>
  <c r="D139" i="59"/>
  <c r="J174" i="34"/>
  <c r="H174" i="34"/>
  <c r="D109" i="39"/>
  <c r="D88" i="39"/>
  <c r="D76" i="39"/>
  <c r="D89" i="39"/>
  <c r="D77" i="39"/>
  <c r="D90" i="39"/>
  <c r="D78" i="39"/>
  <c r="D38" i="39"/>
  <c r="E136" i="39"/>
  <c r="J100" i="34" s="1"/>
  <c r="E139" i="39"/>
  <c r="J101" i="34" s="1"/>
  <c r="E137" i="39"/>
  <c r="J102" i="34" s="1"/>
  <c r="E140" i="39"/>
  <c r="J103" i="34" s="1"/>
  <c r="E138" i="39"/>
  <c r="J104" i="34" s="1"/>
  <c r="C138" i="39"/>
  <c r="H104" i="34" s="1"/>
  <c r="C137" i="39"/>
  <c r="H102" i="34" s="1"/>
  <c r="E34" i="39"/>
  <c r="C108" i="39"/>
  <c r="C65" i="39"/>
  <c r="H150" i="34" s="1"/>
  <c r="C107" i="39"/>
  <c r="H186" i="34" s="1"/>
  <c r="E108" i="39"/>
  <c r="E97" i="39" s="1"/>
  <c r="E66" i="39"/>
  <c r="J159" i="34" s="1"/>
  <c r="E61" i="39"/>
  <c r="C66" i="39"/>
  <c r="H159" i="34" s="1"/>
  <c r="E63" i="39"/>
  <c r="J132" i="34" s="1"/>
  <c r="E65" i="39"/>
  <c r="J150" i="34" s="1"/>
  <c r="E62" i="39"/>
  <c r="J123" i="34" s="1"/>
  <c r="E64" i="39"/>
  <c r="J141" i="34" s="1"/>
  <c r="E37" i="39"/>
  <c r="I176" i="34" l="1"/>
  <c r="D109" i="59"/>
  <c r="F34" i="26"/>
  <c r="D167" i="19" s="1"/>
  <c r="D169" i="19" s="1"/>
  <c r="F86" i="26" s="1"/>
  <c r="D88" i="59"/>
  <c r="I162" i="34"/>
  <c r="D76" i="59"/>
  <c r="F35" i="26"/>
  <c r="D170" i="19" s="1"/>
  <c r="D172" i="19" s="1"/>
  <c r="F87" i="26" s="1"/>
  <c r="D89" i="59"/>
  <c r="I163" i="34"/>
  <c r="D77" i="59"/>
  <c r="F36" i="26"/>
  <c r="D173" i="19" s="1"/>
  <c r="D175" i="19" s="1"/>
  <c r="F88" i="26" s="1"/>
  <c r="D90" i="59"/>
  <c r="I164" i="34"/>
  <c r="D78" i="59"/>
  <c r="I107" i="34"/>
  <c r="D38" i="59"/>
  <c r="E36" i="39"/>
  <c r="J106" i="34"/>
  <c r="E60" i="39"/>
  <c r="G28" i="26" s="1"/>
  <c r="E143" i="19" s="1"/>
  <c r="E145" i="19" s="1"/>
  <c r="G80" i="26" s="1"/>
  <c r="J116" i="34"/>
  <c r="E141" i="39"/>
  <c r="J105" i="34" s="1"/>
  <c r="D108" i="39"/>
  <c r="C97" i="39"/>
  <c r="D120" i="39"/>
  <c r="D120" i="59" s="1"/>
  <c r="C34" i="39"/>
  <c r="E120" i="39"/>
  <c r="C61" i="39"/>
  <c r="C62" i="39"/>
  <c r="H123" i="34" s="1"/>
  <c r="C64" i="39"/>
  <c r="H141" i="34" s="1"/>
  <c r="C63" i="39"/>
  <c r="H132" i="34" s="1"/>
  <c r="C37" i="39"/>
  <c r="D97" i="39" l="1"/>
  <c r="D108" i="59"/>
  <c r="H106" i="34"/>
  <c r="D34" i="39"/>
  <c r="D61" i="39"/>
  <c r="D61" i="59" s="1"/>
  <c r="J99" i="34"/>
  <c r="G20" i="21"/>
  <c r="I99" i="34"/>
  <c r="F20" i="21"/>
  <c r="H116" i="34"/>
  <c r="C60" i="39"/>
  <c r="E28" i="26" s="1"/>
  <c r="E35" i="39"/>
  <c r="E33" i="39" s="1"/>
  <c r="E24" i="48"/>
  <c r="E175" i="48" s="1"/>
  <c r="G18" i="26"/>
  <c r="G69" i="26" s="1"/>
  <c r="E130" i="39"/>
  <c r="E21" i="58" s="1"/>
  <c r="C133" i="39"/>
  <c r="C94" i="58" s="1"/>
  <c r="E131" i="39"/>
  <c r="E24" i="58" s="1"/>
  <c r="E128" i="39"/>
  <c r="E127" i="39"/>
  <c r="C134" i="39"/>
  <c r="C97" i="58" s="1"/>
  <c r="C127" i="39"/>
  <c r="C131" i="39"/>
  <c r="C24" i="58" s="1"/>
  <c r="C128" i="39"/>
  <c r="D128" i="39"/>
  <c r="D128" i="59" s="1"/>
  <c r="D127" i="39"/>
  <c r="D127" i="59" s="1"/>
  <c r="D133" i="39"/>
  <c r="D58" i="39"/>
  <c r="D130" i="39"/>
  <c r="D131" i="39"/>
  <c r="D134" i="39"/>
  <c r="E133" i="39"/>
  <c r="E94" i="58" s="1"/>
  <c r="E134" i="39"/>
  <c r="E97" i="58" s="1"/>
  <c r="E85" i="39"/>
  <c r="J171" i="34" s="1"/>
  <c r="E86" i="39"/>
  <c r="J172" i="34" s="1"/>
  <c r="E80" i="39"/>
  <c r="J166" i="34" s="1"/>
  <c r="E81" i="39"/>
  <c r="J167" i="34" s="1"/>
  <c r="E84" i="39"/>
  <c r="J170" i="34" s="1"/>
  <c r="E82" i="39"/>
  <c r="J168" i="34" s="1"/>
  <c r="C35" i="39"/>
  <c r="C33" i="39" s="1"/>
  <c r="C38" i="39"/>
  <c r="H107" i="34" s="1"/>
  <c r="D33" i="39" l="1"/>
  <c r="D34" i="59"/>
  <c r="D94" i="58"/>
  <c r="D133" i="59"/>
  <c r="I149" i="34"/>
  <c r="D58" i="59"/>
  <c r="D21" i="58"/>
  <c r="I506" i="34" s="1"/>
  <c r="D130" i="59"/>
  <c r="D24" i="58"/>
  <c r="D35" i="58" s="1"/>
  <c r="D131" i="59"/>
  <c r="D97" i="58"/>
  <c r="D99" i="58" s="1"/>
  <c r="D134" i="59"/>
  <c r="E17" i="26"/>
  <c r="C17" i="48"/>
  <c r="C173" i="48" s="1"/>
  <c r="E32" i="58"/>
  <c r="E23" i="58"/>
  <c r="E28" i="58"/>
  <c r="J506" i="34"/>
  <c r="G17" i="26"/>
  <c r="E17" i="48"/>
  <c r="E173" i="48" s="1"/>
  <c r="E99" i="58"/>
  <c r="J510" i="34"/>
  <c r="E108" i="58"/>
  <c r="D32" i="58"/>
  <c r="C143" i="19"/>
  <c r="C145" i="19" s="1"/>
  <c r="E80" i="26" s="1"/>
  <c r="C120" i="39"/>
  <c r="D37" i="39"/>
  <c r="D37" i="59" s="1"/>
  <c r="J514" i="34"/>
  <c r="E35" i="58"/>
  <c r="E26" i="58"/>
  <c r="D60" i="39"/>
  <c r="F28" i="26" s="1"/>
  <c r="D143" i="19" s="1"/>
  <c r="D145" i="19" s="1"/>
  <c r="F80" i="26" s="1"/>
  <c r="I116" i="34"/>
  <c r="H502" i="34"/>
  <c r="C96" i="58"/>
  <c r="C105" i="58"/>
  <c r="C101" i="58"/>
  <c r="D17" i="48"/>
  <c r="D173" i="48" s="1"/>
  <c r="F17" i="26"/>
  <c r="E101" i="58"/>
  <c r="J502" i="34"/>
  <c r="E96" i="58"/>
  <c r="E105" i="58"/>
  <c r="H510" i="34"/>
  <c r="C108" i="58"/>
  <c r="C99" i="58"/>
  <c r="C36" i="39"/>
  <c r="H514" i="34"/>
  <c r="C35" i="58"/>
  <c r="C26" i="58"/>
  <c r="D10" i="39"/>
  <c r="D7" i="39"/>
  <c r="D11" i="39"/>
  <c r="D59" i="39"/>
  <c r="D57" i="39"/>
  <c r="D55" i="39"/>
  <c r="D56" i="39"/>
  <c r="D8" i="39"/>
  <c r="D9" i="39"/>
  <c r="C130" i="39"/>
  <c r="C21" i="58" s="1"/>
  <c r="E42" i="39"/>
  <c r="J129" i="34" s="1"/>
  <c r="E59" i="39"/>
  <c r="J158" i="34" s="1"/>
  <c r="E48" i="39"/>
  <c r="J121" i="34" s="1"/>
  <c r="E52" i="39"/>
  <c r="J157" i="34" s="1"/>
  <c r="E22" i="39"/>
  <c r="J127" i="34" s="1"/>
  <c r="E43" i="39"/>
  <c r="J138" i="34" s="1"/>
  <c r="E8" i="39"/>
  <c r="J125" i="34" s="1"/>
  <c r="E55" i="39"/>
  <c r="J122" i="34" s="1"/>
  <c r="E31" i="39"/>
  <c r="J146" i="34" s="1"/>
  <c r="E41" i="39"/>
  <c r="J120" i="34" s="1"/>
  <c r="E23" i="39"/>
  <c r="J136" i="34" s="1"/>
  <c r="E79" i="39"/>
  <c r="J165" i="34" s="1"/>
  <c r="E73" i="39"/>
  <c r="J160" i="34" s="1"/>
  <c r="E57" i="39"/>
  <c r="J140" i="34" s="1"/>
  <c r="E15" i="39"/>
  <c r="J126" i="34" s="1"/>
  <c r="E56" i="39"/>
  <c r="J131" i="34" s="1"/>
  <c r="E49" i="39"/>
  <c r="J130" i="34" s="1"/>
  <c r="E29" i="39"/>
  <c r="J128" i="34" s="1"/>
  <c r="E51" i="39"/>
  <c r="J148" i="34" s="1"/>
  <c r="E10" i="39"/>
  <c r="J143" i="34" s="1"/>
  <c r="E58" i="39"/>
  <c r="J149" i="34" s="1"/>
  <c r="E11" i="39"/>
  <c r="J152" i="34" s="1"/>
  <c r="E25" i="39"/>
  <c r="J154" i="34" s="1"/>
  <c r="E74" i="54"/>
  <c r="E75" i="54" s="1"/>
  <c r="E76" i="54" s="1"/>
  <c r="E50" i="39"/>
  <c r="J139" i="34" s="1"/>
  <c r="E71" i="39"/>
  <c r="J142" i="34" s="1"/>
  <c r="E83" i="39"/>
  <c r="J169" i="34" s="1"/>
  <c r="E24" i="39"/>
  <c r="J145" i="34" s="1"/>
  <c r="E45" i="39"/>
  <c r="J156" i="34" s="1"/>
  <c r="E72" i="39"/>
  <c r="J151" i="34" s="1"/>
  <c r="E32" i="39"/>
  <c r="J155" i="34" s="1"/>
  <c r="E70" i="39"/>
  <c r="J133" i="34" s="1"/>
  <c r="E9" i="39"/>
  <c r="J134" i="34" s="1"/>
  <c r="E7" i="39"/>
  <c r="E44" i="39"/>
  <c r="J147" i="34" s="1"/>
  <c r="E30" i="39"/>
  <c r="J137" i="34" s="1"/>
  <c r="E69" i="39"/>
  <c r="J124" i="34" s="1"/>
  <c r="C52" i="39"/>
  <c r="H157" i="34" s="1"/>
  <c r="C16" i="39"/>
  <c r="H135" i="34" s="1"/>
  <c r="C8" i="39"/>
  <c r="H125" i="34" s="1"/>
  <c r="C42" i="39"/>
  <c r="H129" i="34" s="1"/>
  <c r="C30" i="39"/>
  <c r="H137" i="34" s="1"/>
  <c r="C10" i="39"/>
  <c r="H143" i="34" s="1"/>
  <c r="C86" i="39"/>
  <c r="H172" i="34" s="1"/>
  <c r="C82" i="39"/>
  <c r="H168" i="34" s="1"/>
  <c r="C25" i="39"/>
  <c r="H154" i="34" s="1"/>
  <c r="C83" i="39"/>
  <c r="H169" i="34" s="1"/>
  <c r="C71" i="39"/>
  <c r="H142" i="34" s="1"/>
  <c r="C59" i="39"/>
  <c r="H158" i="34" s="1"/>
  <c r="C17" i="39"/>
  <c r="H144" i="34" s="1"/>
  <c r="C51" i="39"/>
  <c r="H148" i="34" s="1"/>
  <c r="C69" i="39"/>
  <c r="H124" i="34" s="1"/>
  <c r="C85" i="39"/>
  <c r="H171" i="34" s="1"/>
  <c r="C15" i="39"/>
  <c r="H126" i="34" s="1"/>
  <c r="C50" i="39"/>
  <c r="H139" i="34" s="1"/>
  <c r="E18" i="39"/>
  <c r="J153" i="34" s="1"/>
  <c r="C56" i="39"/>
  <c r="H131" i="34" s="1"/>
  <c r="C84" i="39"/>
  <c r="H170" i="34" s="1"/>
  <c r="C80" i="39"/>
  <c r="H166" i="34" s="1"/>
  <c r="C11" i="39"/>
  <c r="H152" i="34" s="1"/>
  <c r="C29" i="39"/>
  <c r="H128" i="34" s="1"/>
  <c r="C43" i="39"/>
  <c r="H138" i="34" s="1"/>
  <c r="C44" i="39"/>
  <c r="H147" i="34" s="1"/>
  <c r="C45" i="39"/>
  <c r="H156" i="34" s="1"/>
  <c r="C49" i="39"/>
  <c r="H130" i="34" s="1"/>
  <c r="C74" i="54"/>
  <c r="C75" i="54" s="1"/>
  <c r="C76" i="54" s="1"/>
  <c r="C73" i="39"/>
  <c r="H160" i="34" s="1"/>
  <c r="C22" i="39"/>
  <c r="H127" i="34" s="1"/>
  <c r="C7" i="39"/>
  <c r="C9" i="39"/>
  <c r="H134" i="34" s="1"/>
  <c r="C81" i="39"/>
  <c r="H167" i="34" s="1"/>
  <c r="C23" i="39"/>
  <c r="H136" i="34" s="1"/>
  <c r="C18" i="39"/>
  <c r="H153" i="34" s="1"/>
  <c r="C79" i="39"/>
  <c r="H165" i="34" s="1"/>
  <c r="C70" i="39"/>
  <c r="H133" i="34" s="1"/>
  <c r="C58" i="39"/>
  <c r="H149" i="34" s="1"/>
  <c r="C48" i="39"/>
  <c r="H121" i="34" s="1"/>
  <c r="E17" i="39"/>
  <c r="J144" i="34" s="1"/>
  <c r="C55" i="39"/>
  <c r="H122" i="34" s="1"/>
  <c r="C41" i="39"/>
  <c r="H120" i="34" s="1"/>
  <c r="C57" i="39"/>
  <c r="H140" i="34" s="1"/>
  <c r="C58" i="54"/>
  <c r="C59" i="54" s="1"/>
  <c r="C60" i="54" s="1"/>
  <c r="C24" i="39"/>
  <c r="H145" i="34" s="1"/>
  <c r="E16" i="39"/>
  <c r="J135" i="34" s="1"/>
  <c r="E28" i="39"/>
  <c r="J119" i="34" s="1"/>
  <c r="C31" i="39"/>
  <c r="H146" i="34" s="1"/>
  <c r="C72" i="39"/>
  <c r="H151" i="34" s="1"/>
  <c r="C32" i="39"/>
  <c r="H155" i="34" s="1"/>
  <c r="I502" i="34" l="1"/>
  <c r="D105" i="58"/>
  <c r="D107" i="58" s="1"/>
  <c r="D28" i="58"/>
  <c r="I514" i="34"/>
  <c r="D26" i="58"/>
  <c r="D96" i="58"/>
  <c r="I510" i="34"/>
  <c r="D108" i="58"/>
  <c r="D80" i="16" s="1"/>
  <c r="D101" i="58"/>
  <c r="D157" i="58" s="1"/>
  <c r="D23" i="58"/>
  <c r="I143" i="34"/>
  <c r="D10" i="59"/>
  <c r="D7" i="59"/>
  <c r="I152" i="34"/>
  <c r="D11" i="59"/>
  <c r="I158" i="34"/>
  <c r="D59" i="59"/>
  <c r="I140" i="34"/>
  <c r="D57" i="59"/>
  <c r="I122" i="34"/>
  <c r="D55" i="59"/>
  <c r="I131" i="34"/>
  <c r="D56" i="59"/>
  <c r="I125" i="34"/>
  <c r="D8" i="59"/>
  <c r="I134" i="34"/>
  <c r="D9" i="59"/>
  <c r="F68" i="26"/>
  <c r="C37" i="58"/>
  <c r="C129" i="16"/>
  <c r="C157" i="58"/>
  <c r="C103" i="58"/>
  <c r="D36" i="39"/>
  <c r="I106" i="34"/>
  <c r="E110" i="58"/>
  <c r="E80" i="16"/>
  <c r="C24" i="48"/>
  <c r="C175" i="48" s="1"/>
  <c r="E18" i="26"/>
  <c r="C107" i="58"/>
  <c r="C112" i="58"/>
  <c r="C114" i="58" s="1"/>
  <c r="C77" i="16"/>
  <c r="E157" i="58"/>
  <c r="E103" i="58"/>
  <c r="H506" i="34"/>
  <c r="C32" i="58"/>
  <c r="C28" i="58"/>
  <c r="C23" i="58"/>
  <c r="C110" i="58"/>
  <c r="C80" i="16"/>
  <c r="H99" i="34"/>
  <c r="E20" i="21"/>
  <c r="C20" i="21" s="1"/>
  <c r="G68" i="26"/>
  <c r="G70" i="26" s="1"/>
  <c r="G19" i="26"/>
  <c r="E98" i="48" s="1"/>
  <c r="E100" i="48" s="1"/>
  <c r="C28" i="26"/>
  <c r="D129" i="16"/>
  <c r="D37" i="58"/>
  <c r="C80" i="26"/>
  <c r="T28" i="73" s="1"/>
  <c r="T28" i="12"/>
  <c r="E156" i="58"/>
  <c r="E30" i="58"/>
  <c r="E158" i="58" s="1"/>
  <c r="C62" i="54"/>
  <c r="C61" i="54"/>
  <c r="C21" i="39" s="1"/>
  <c r="H478" i="34"/>
  <c r="E129" i="16"/>
  <c r="E37" i="58"/>
  <c r="C77" i="54"/>
  <c r="C14" i="39" s="1"/>
  <c r="C78" i="54"/>
  <c r="H482" i="34"/>
  <c r="J118" i="34"/>
  <c r="I118" i="34"/>
  <c r="E107" i="58"/>
  <c r="E77" i="16"/>
  <c r="E112" i="58"/>
  <c r="E114" i="58" s="1"/>
  <c r="E126" i="16"/>
  <c r="E34" i="58"/>
  <c r="E39" i="58"/>
  <c r="E41" i="58" s="1"/>
  <c r="D156" i="58"/>
  <c r="D30" i="58"/>
  <c r="D158" i="58" s="1"/>
  <c r="H118" i="34"/>
  <c r="E77" i="54"/>
  <c r="E14" i="39" s="1"/>
  <c r="E78" i="54"/>
  <c r="J482" i="34"/>
  <c r="D126" i="16"/>
  <c r="D39" i="58"/>
  <c r="D41" i="58" s="1"/>
  <c r="D34" i="58"/>
  <c r="T17" i="12"/>
  <c r="C17" i="26"/>
  <c r="T17" i="73" s="1"/>
  <c r="E68" i="26"/>
  <c r="D70" i="39"/>
  <c r="D24" i="39"/>
  <c r="D23" i="39"/>
  <c r="D43" i="39"/>
  <c r="D29" i="39"/>
  <c r="D72" i="39"/>
  <c r="D42" i="39"/>
  <c r="D44" i="39"/>
  <c r="D25" i="39"/>
  <c r="D30" i="39"/>
  <c r="D58" i="54"/>
  <c r="D69" i="39"/>
  <c r="D41" i="39"/>
  <c r="D49" i="39"/>
  <c r="D45" i="39"/>
  <c r="D52" i="39"/>
  <c r="D73" i="39"/>
  <c r="D15" i="39"/>
  <c r="D31" i="39"/>
  <c r="D32" i="39"/>
  <c r="D48" i="39"/>
  <c r="D71" i="39"/>
  <c r="D16" i="39"/>
  <c r="D17" i="39"/>
  <c r="D51" i="39"/>
  <c r="D22" i="39"/>
  <c r="D50" i="39"/>
  <c r="D28" i="39"/>
  <c r="D18" i="39"/>
  <c r="C27" i="39"/>
  <c r="E58" i="54"/>
  <c r="E59" i="54" s="1"/>
  <c r="E60" i="54" s="1"/>
  <c r="D77" i="16" l="1"/>
  <c r="D84" i="16" s="1"/>
  <c r="D86" i="16" s="1"/>
  <c r="D103" i="58"/>
  <c r="D112" i="58"/>
  <c r="D114" i="58" s="1"/>
  <c r="D110" i="58"/>
  <c r="I133" i="34"/>
  <c r="D70" i="59"/>
  <c r="I145" i="34"/>
  <c r="D24" i="59"/>
  <c r="I136" i="34"/>
  <c r="D23" i="59"/>
  <c r="I138" i="34"/>
  <c r="D43" i="59"/>
  <c r="I128" i="34"/>
  <c r="D29" i="59"/>
  <c r="I151" i="34"/>
  <c r="D72" i="59"/>
  <c r="I129" i="34"/>
  <c r="D42" i="59"/>
  <c r="I147" i="34"/>
  <c r="D44" i="59"/>
  <c r="I154" i="34"/>
  <c r="D25" i="59"/>
  <c r="I137" i="34"/>
  <c r="D30" i="59"/>
  <c r="D59" i="54"/>
  <c r="D60" i="54" s="1"/>
  <c r="D62" i="54" s="1"/>
  <c r="D90" i="54"/>
  <c r="I124" i="34"/>
  <c r="D69" i="59"/>
  <c r="I120" i="34"/>
  <c r="D41" i="59"/>
  <c r="I130" i="34"/>
  <c r="D49" i="59"/>
  <c r="I156" i="34"/>
  <c r="D45" i="59"/>
  <c r="I157" i="34"/>
  <c r="D52" i="59"/>
  <c r="I160" i="34"/>
  <c r="D73" i="59"/>
  <c r="I126" i="34"/>
  <c r="D15" i="59"/>
  <c r="I146" i="34"/>
  <c r="D31" i="59"/>
  <c r="I155" i="34"/>
  <c r="D32" i="59"/>
  <c r="I121" i="34"/>
  <c r="D48" i="59"/>
  <c r="I142" i="34"/>
  <c r="D71" i="59"/>
  <c r="I135" i="34"/>
  <c r="D16" i="59"/>
  <c r="I144" i="34"/>
  <c r="D17" i="59"/>
  <c r="I148" i="34"/>
  <c r="D51" i="59"/>
  <c r="I127" i="34"/>
  <c r="D22" i="59"/>
  <c r="I139" i="34"/>
  <c r="D50" i="59"/>
  <c r="I119" i="34"/>
  <c r="D28" i="59"/>
  <c r="I153" i="34"/>
  <c r="D18" i="59"/>
  <c r="D79" i="16"/>
  <c r="D40" i="19"/>
  <c r="D42" i="19" s="1"/>
  <c r="D546" i="16"/>
  <c r="E547" i="16"/>
  <c r="E133" i="16"/>
  <c r="E135" i="16" s="1"/>
  <c r="E128" i="16"/>
  <c r="E43" i="19"/>
  <c r="E45" i="19" s="1"/>
  <c r="C220" i="19"/>
  <c r="C222" i="19" s="1"/>
  <c r="C82" i="16"/>
  <c r="C559" i="16"/>
  <c r="E82" i="16"/>
  <c r="E559" i="16"/>
  <c r="E220" i="19"/>
  <c r="E222" i="19" s="1"/>
  <c r="E546" i="16"/>
  <c r="E79" i="16"/>
  <c r="E40" i="19"/>
  <c r="E42" i="19" s="1"/>
  <c r="E84" i="16"/>
  <c r="E86" i="16" s="1"/>
  <c r="E54" i="48"/>
  <c r="J521" i="34"/>
  <c r="F18" i="26"/>
  <c r="C18" i="26" s="1"/>
  <c r="T18" i="73" s="1"/>
  <c r="D24" i="48"/>
  <c r="D175" i="48" s="1"/>
  <c r="E40" i="48"/>
  <c r="J520" i="34"/>
  <c r="C156" i="58"/>
  <c r="C30" i="58"/>
  <c r="C158" i="58" s="1"/>
  <c r="AM28" i="12"/>
  <c r="V28" i="12"/>
  <c r="C34" i="58"/>
  <c r="C126" i="16"/>
  <c r="C39" i="58"/>
  <c r="C41" i="58" s="1"/>
  <c r="H518" i="34"/>
  <c r="C42" i="48"/>
  <c r="E159" i="58"/>
  <c r="C223" i="19"/>
  <c r="C225" i="19" s="1"/>
  <c r="C131" i="16"/>
  <c r="C560" i="16"/>
  <c r="D133" i="16"/>
  <c r="D135" i="16" s="1"/>
  <c r="D128" i="16"/>
  <c r="D43" i="19"/>
  <c r="D45" i="19" s="1"/>
  <c r="D547" i="16"/>
  <c r="D131" i="16"/>
  <c r="D223" i="19"/>
  <c r="D225" i="19" s="1"/>
  <c r="D560" i="16"/>
  <c r="E42" i="48"/>
  <c r="J518" i="34"/>
  <c r="C68" i="26"/>
  <c r="D54" i="48"/>
  <c r="I521" i="34"/>
  <c r="C40" i="19"/>
  <c r="C42" i="19" s="1"/>
  <c r="C84" i="16"/>
  <c r="C86" i="16" s="1"/>
  <c r="C79" i="16"/>
  <c r="C546" i="16"/>
  <c r="E560" i="16"/>
  <c r="E223" i="19"/>
  <c r="E225" i="19" s="1"/>
  <c r="E131" i="16"/>
  <c r="V17" i="73"/>
  <c r="D40" i="48"/>
  <c r="I520" i="34"/>
  <c r="D82" i="16"/>
  <c r="D220" i="19"/>
  <c r="D222" i="19" s="1"/>
  <c r="D559" i="16"/>
  <c r="V28" i="73"/>
  <c r="E61" i="54"/>
  <c r="E21" i="39" s="1"/>
  <c r="E62" i="54"/>
  <c r="J478" i="34"/>
  <c r="AM17" i="12"/>
  <c r="V17" i="12"/>
  <c r="D42" i="48"/>
  <c r="I518" i="34"/>
  <c r="H112" i="34"/>
  <c r="D159" i="58"/>
  <c r="E19" i="26"/>
  <c r="T18" i="12"/>
  <c r="T19" i="12" s="1"/>
  <c r="E69" i="26"/>
  <c r="E70" i="26" s="1"/>
  <c r="D95" i="39"/>
  <c r="I173" i="34" s="1"/>
  <c r="D74" i="54"/>
  <c r="E20" i="39"/>
  <c r="J111" i="34" s="1"/>
  <c r="C54" i="39"/>
  <c r="C28" i="39"/>
  <c r="H119" i="34" s="1"/>
  <c r="E47" i="39"/>
  <c r="C47" i="39"/>
  <c r="C40" i="39"/>
  <c r="C20" i="39"/>
  <c r="E40" i="39"/>
  <c r="E27" i="39"/>
  <c r="C6" i="39"/>
  <c r="E13" i="39"/>
  <c r="E6" i="39"/>
  <c r="E54" i="39"/>
  <c r="C13" i="39"/>
  <c r="I478" i="34" l="1"/>
  <c r="D61" i="54"/>
  <c r="D21" i="39" s="1"/>
  <c r="D75" i="54"/>
  <c r="D76" i="54" s="1"/>
  <c r="D106" i="54"/>
  <c r="C568" i="16"/>
  <c r="C247" i="19" s="1"/>
  <c r="C249" i="19" s="1"/>
  <c r="E98" i="26" s="1"/>
  <c r="C26" i="39"/>
  <c r="D556" i="16"/>
  <c r="D836" i="16" s="1"/>
  <c r="D838" i="16" s="1"/>
  <c r="E5" i="39"/>
  <c r="G6" i="26" s="1"/>
  <c r="J109" i="34"/>
  <c r="H109" i="34"/>
  <c r="C5" i="39"/>
  <c r="E6" i="26" s="1"/>
  <c r="AM19" i="12"/>
  <c r="V19" i="12"/>
  <c r="E56" i="48"/>
  <c r="E60" i="48" s="1"/>
  <c r="J519" i="34"/>
  <c r="F69" i="26"/>
  <c r="F70" i="26" s="1"/>
  <c r="C70" i="26" s="1"/>
  <c r="F19" i="26"/>
  <c r="D98" i="48" s="1"/>
  <c r="D100" i="48" s="1"/>
  <c r="H521" i="34"/>
  <c r="C54" i="48"/>
  <c r="D6" i="39"/>
  <c r="C43" i="19"/>
  <c r="C45" i="19" s="1"/>
  <c r="C128" i="16"/>
  <c r="C547" i="16"/>
  <c r="C556" i="16" s="1"/>
  <c r="C133" i="16"/>
  <c r="C135" i="16" s="1"/>
  <c r="V18" i="73"/>
  <c r="H520" i="34"/>
  <c r="C40" i="48"/>
  <c r="E26" i="39"/>
  <c r="J112" i="34"/>
  <c r="H114" i="34"/>
  <c r="C46" i="39"/>
  <c r="E26" i="26" s="1"/>
  <c r="D40" i="39"/>
  <c r="D40" i="59" s="1"/>
  <c r="E46" i="39"/>
  <c r="G26" i="26" s="1"/>
  <c r="J114" i="34"/>
  <c r="D47" i="39"/>
  <c r="D47" i="59" s="1"/>
  <c r="E19" i="39"/>
  <c r="G8" i="26" s="1"/>
  <c r="E20" i="19" s="1"/>
  <c r="E22" i="19" s="1"/>
  <c r="G59" i="26" s="1"/>
  <c r="E12" i="39"/>
  <c r="J110" i="34"/>
  <c r="AM18" i="12"/>
  <c r="V18" i="12"/>
  <c r="E556" i="16"/>
  <c r="H110" i="34"/>
  <c r="C12" i="39"/>
  <c r="E7" i="26" s="1"/>
  <c r="C98" i="48"/>
  <c r="C100" i="48" s="1"/>
  <c r="E117" i="39"/>
  <c r="E39" i="39"/>
  <c r="G25" i="26" s="1"/>
  <c r="E122" i="19" s="1"/>
  <c r="E124" i="19" s="1"/>
  <c r="G77" i="26" s="1"/>
  <c r="J113" i="34"/>
  <c r="D20" i="39"/>
  <c r="H111" i="34"/>
  <c r="C19" i="39"/>
  <c r="E8" i="26" s="1"/>
  <c r="E53" i="39"/>
  <c r="G27" i="26" s="1"/>
  <c r="E136" i="19" s="1"/>
  <c r="E138" i="19" s="1"/>
  <c r="G79" i="26" s="1"/>
  <c r="J115" i="34"/>
  <c r="H113" i="34"/>
  <c r="C39" i="39"/>
  <c r="E25" i="26" s="1"/>
  <c r="H115" i="34"/>
  <c r="C53" i="39"/>
  <c r="E27" i="26" s="1"/>
  <c r="D56" i="48"/>
  <c r="D60" i="48" s="1"/>
  <c r="I519" i="34"/>
  <c r="D568" i="16"/>
  <c r="C159" i="58"/>
  <c r="E568" i="16"/>
  <c r="C117" i="39"/>
  <c r="D87" i="39"/>
  <c r="D78" i="54" l="1"/>
  <c r="D77" i="54"/>
  <c r="D14" i="39" s="1"/>
  <c r="D117" i="39" s="1"/>
  <c r="I482" i="34"/>
  <c r="E9" i="26"/>
  <c r="C35" i="48"/>
  <c r="D6" i="59"/>
  <c r="I111" i="34"/>
  <c r="D20" i="59"/>
  <c r="F33" i="26"/>
  <c r="D164" i="19" s="1"/>
  <c r="D87" i="59"/>
  <c r="C69" i="26"/>
  <c r="E46" i="26"/>
  <c r="D70" i="19"/>
  <c r="D72" i="19" s="1"/>
  <c r="F71" i="26" s="1"/>
  <c r="C839" i="16"/>
  <c r="C841" i="16" s="1"/>
  <c r="C19" i="26"/>
  <c r="T19" i="73" s="1"/>
  <c r="F20" i="26"/>
  <c r="D19" i="39"/>
  <c r="D68" i="39"/>
  <c r="D68" i="59" s="1"/>
  <c r="E247" i="19"/>
  <c r="E249" i="19" s="1"/>
  <c r="G98" i="26" s="1"/>
  <c r="G46" i="26"/>
  <c r="E839" i="16"/>
  <c r="E841" i="16" s="1"/>
  <c r="C20" i="19"/>
  <c r="C22" i="19" s="1"/>
  <c r="E59" i="26" s="1"/>
  <c r="G9" i="26"/>
  <c r="E164" i="48" s="1"/>
  <c r="E35" i="48"/>
  <c r="D5" i="39"/>
  <c r="F6" i="26" s="1"/>
  <c r="I109" i="34"/>
  <c r="H519" i="34"/>
  <c r="C56" i="48"/>
  <c r="C60" i="48" s="1"/>
  <c r="C6" i="19"/>
  <c r="C8" i="19" s="1"/>
  <c r="E57" i="26" s="1"/>
  <c r="C129" i="19"/>
  <c r="C131" i="19" s="1"/>
  <c r="E78" i="26" s="1"/>
  <c r="D839" i="16"/>
  <c r="D841" i="16" s="1"/>
  <c r="D247" i="19"/>
  <c r="D249" i="19" s="1"/>
  <c r="F98" i="26" s="1"/>
  <c r="T46" i="12" s="1"/>
  <c r="F46" i="26"/>
  <c r="G7" i="26"/>
  <c r="E13" i="19" s="1"/>
  <c r="E15" i="19" s="1"/>
  <c r="G58" i="26" s="1"/>
  <c r="D570" i="16"/>
  <c r="C122" i="19"/>
  <c r="C124" i="19" s="1"/>
  <c r="E77" i="26" s="1"/>
  <c r="D27" i="39"/>
  <c r="E6" i="19"/>
  <c r="E8" i="19" s="1"/>
  <c r="G57" i="26" s="1"/>
  <c r="E70" i="19"/>
  <c r="E72" i="19" s="1"/>
  <c r="G71" i="26" s="1"/>
  <c r="E570" i="16"/>
  <c r="G20" i="26"/>
  <c r="E836" i="16"/>
  <c r="E838" i="16" s="1"/>
  <c r="D46" i="39"/>
  <c r="F26" i="26" s="1"/>
  <c r="C26" i="26" s="1"/>
  <c r="I114" i="34"/>
  <c r="D54" i="39"/>
  <c r="D54" i="59" s="1"/>
  <c r="D75" i="39"/>
  <c r="D75" i="59" s="1"/>
  <c r="E20" i="26"/>
  <c r="C570" i="16"/>
  <c r="C70" i="19"/>
  <c r="C72" i="19" s="1"/>
  <c r="E71" i="26" s="1"/>
  <c r="C836" i="16"/>
  <c r="C838" i="16" s="1"/>
  <c r="D13" i="39"/>
  <c r="C136" i="19"/>
  <c r="C138" i="19" s="1"/>
  <c r="E79" i="26" s="1"/>
  <c r="E129" i="19"/>
  <c r="E131" i="19" s="1"/>
  <c r="G78" i="26" s="1"/>
  <c r="C13" i="19"/>
  <c r="C15" i="19" s="1"/>
  <c r="E58" i="26" s="1"/>
  <c r="D39" i="39"/>
  <c r="F25" i="26" s="1"/>
  <c r="D122" i="19" s="1"/>
  <c r="D124" i="19" s="1"/>
  <c r="F77" i="26" s="1"/>
  <c r="I113" i="34"/>
  <c r="C27" i="19" l="1"/>
  <c r="C29" i="19" s="1"/>
  <c r="E60" i="26" s="1"/>
  <c r="E56" i="26" s="1"/>
  <c r="C164" i="48"/>
  <c r="C165" i="48" s="1"/>
  <c r="F32" i="26"/>
  <c r="C46" i="48"/>
  <c r="C63" i="48" s="1"/>
  <c r="C177" i="48"/>
  <c r="C179" i="48" s="1"/>
  <c r="D116" i="39"/>
  <c r="D118" i="39" s="1"/>
  <c r="D27" i="59"/>
  <c r="I110" i="34"/>
  <c r="D13" i="59"/>
  <c r="F8" i="26"/>
  <c r="E166" i="48"/>
  <c r="V19" i="73"/>
  <c r="D12" i="39"/>
  <c r="C46" i="26"/>
  <c r="E177" i="48"/>
  <c r="E179" i="48" s="1"/>
  <c r="E46" i="48"/>
  <c r="E63" i="48" s="1"/>
  <c r="D6" i="19"/>
  <c r="D8" i="19" s="1"/>
  <c r="F57" i="26" s="1"/>
  <c r="E27" i="19"/>
  <c r="E29" i="19" s="1"/>
  <c r="G60" i="26" s="1"/>
  <c r="G56" i="26" s="1"/>
  <c r="E165" i="48"/>
  <c r="AM46" i="12"/>
  <c r="V46" i="12"/>
  <c r="C71" i="26"/>
  <c r="T20" i="73" s="1"/>
  <c r="T20" i="12"/>
  <c r="D26" i="39"/>
  <c r="I112" i="34"/>
  <c r="D129" i="19"/>
  <c r="D131" i="19" s="1"/>
  <c r="F78" i="26" s="1"/>
  <c r="T26" i="12" s="1"/>
  <c r="D53" i="39"/>
  <c r="F27" i="26" s="1"/>
  <c r="I115" i="34"/>
  <c r="D176" i="19"/>
  <c r="D178" i="19" s="1"/>
  <c r="D166" i="19"/>
  <c r="F85" i="26" s="1"/>
  <c r="F84" i="26" s="1"/>
  <c r="C20" i="26"/>
  <c r="E5" i="26"/>
  <c r="D67" i="39"/>
  <c r="F29" i="26" s="1"/>
  <c r="D150" i="19" s="1"/>
  <c r="D152" i="19" s="1"/>
  <c r="F81" i="26" s="1"/>
  <c r="I117" i="34"/>
  <c r="C98" i="26"/>
  <c r="T46" i="73" s="1"/>
  <c r="D91" i="39"/>
  <c r="D74" i="39"/>
  <c r="I161" i="34"/>
  <c r="G5" i="26"/>
  <c r="T25" i="12"/>
  <c r="C77" i="26"/>
  <c r="T25" i="73" s="1"/>
  <c r="C6" i="26"/>
  <c r="C25" i="26"/>
  <c r="C166" i="48" l="1"/>
  <c r="E167" i="48"/>
  <c r="C57" i="26"/>
  <c r="T6" i="73" s="1"/>
  <c r="V6" i="73" s="1"/>
  <c r="T6" i="12"/>
  <c r="D20" i="19"/>
  <c r="D22" i="19" s="1"/>
  <c r="F59" i="26" s="1"/>
  <c r="C8" i="26"/>
  <c r="F7" i="26"/>
  <c r="F22" i="21"/>
  <c r="F18" i="21" s="1"/>
  <c r="C167" i="48"/>
  <c r="G5" i="30"/>
  <c r="G63" i="71"/>
  <c r="AM20" i="12"/>
  <c r="V20" i="12"/>
  <c r="V25" i="73"/>
  <c r="V20" i="73"/>
  <c r="E6" i="79"/>
  <c r="E6" i="78"/>
  <c r="AM25" i="12"/>
  <c r="V25" i="12"/>
  <c r="G6" i="79"/>
  <c r="G8" i="79" s="1"/>
  <c r="G6" i="78"/>
  <c r="G8" i="78" s="1"/>
  <c r="D136" i="19"/>
  <c r="D138" i="19" s="1"/>
  <c r="F79" i="26" s="1"/>
  <c r="C27" i="26"/>
  <c r="C64" i="48"/>
  <c r="C68" i="48" s="1"/>
  <c r="C71" i="48"/>
  <c r="F9" i="26"/>
  <c r="D35" i="48"/>
  <c r="F30" i="26"/>
  <c r="AM26" i="12"/>
  <c r="V26" i="12"/>
  <c r="C78" i="26"/>
  <c r="T26" i="73" s="1"/>
  <c r="E64" i="48"/>
  <c r="E68" i="48" s="1"/>
  <c r="E71" i="48"/>
  <c r="D93" i="39"/>
  <c r="V46" i="73"/>
  <c r="E5" i="30"/>
  <c r="E63" i="71"/>
  <c r="E95" i="39"/>
  <c r="J173" i="34" s="1"/>
  <c r="C68" i="39"/>
  <c r="AM6" i="12" l="1"/>
  <c r="V6" i="12"/>
  <c r="C59" i="26"/>
  <c r="T8" i="73" s="1"/>
  <c r="V8" i="73" s="1"/>
  <c r="T8" i="12"/>
  <c r="C79" i="26"/>
  <c r="T27" i="73" s="1"/>
  <c r="V27" i="73" s="1"/>
  <c r="T27" i="12"/>
  <c r="D13" i="19"/>
  <c r="D15" i="19" s="1"/>
  <c r="F58" i="26" s="1"/>
  <c r="C7" i="26"/>
  <c r="F5" i="21"/>
  <c r="F37" i="26" s="1"/>
  <c r="F14" i="21"/>
  <c r="F10" i="21" s="1"/>
  <c r="E72" i="48"/>
  <c r="E81" i="48"/>
  <c r="E82" i="48" s="1"/>
  <c r="C81" i="48"/>
  <c r="C72" i="48"/>
  <c r="D27" i="19"/>
  <c r="D29" i="19" s="1"/>
  <c r="F60" i="26" s="1"/>
  <c r="T9" i="12" s="1"/>
  <c r="C9" i="26"/>
  <c r="F5" i="26"/>
  <c r="D164" i="48"/>
  <c r="D177" i="48"/>
  <c r="D179" i="48" s="1"/>
  <c r="D46" i="48"/>
  <c r="D63" i="48" s="1"/>
  <c r="E65" i="71"/>
  <c r="H117" i="34"/>
  <c r="C67" i="39"/>
  <c r="E29" i="26" s="1"/>
  <c r="C116" i="39"/>
  <c r="C118" i="39" s="1"/>
  <c r="E22" i="21" s="1"/>
  <c r="V26" i="73"/>
  <c r="E8" i="78"/>
  <c r="E8" i="79"/>
  <c r="G65" i="71"/>
  <c r="G118" i="71"/>
  <c r="F82" i="26"/>
  <c r="D90" i="48"/>
  <c r="D92" i="48" s="1"/>
  <c r="V8" i="12" l="1"/>
  <c r="AM8" i="12"/>
  <c r="V27" i="12"/>
  <c r="AM27" i="12"/>
  <c r="C58" i="26"/>
  <c r="T7" i="73" s="1"/>
  <c r="V7" i="73" s="1"/>
  <c r="T7" i="12"/>
  <c r="V9" i="12"/>
  <c r="AM9" i="12"/>
  <c r="D196" i="19"/>
  <c r="D198" i="19" s="1"/>
  <c r="F89" i="26" s="1"/>
  <c r="F92" i="26" s="1"/>
  <c r="F76" i="26" s="1"/>
  <c r="F40" i="26"/>
  <c r="F24" i="26" s="1"/>
  <c r="F50" i="26" s="1"/>
  <c r="D166" i="48"/>
  <c r="F6" i="79"/>
  <c r="F6" i="78"/>
  <c r="C5" i="26"/>
  <c r="E18" i="21"/>
  <c r="C150" i="19"/>
  <c r="C152" i="19" s="1"/>
  <c r="E81" i="26" s="1"/>
  <c r="E30" i="26"/>
  <c r="D165" i="48"/>
  <c r="D71" i="48"/>
  <c r="D64" i="48"/>
  <c r="D68" i="48" s="1"/>
  <c r="C60" i="26"/>
  <c r="T9" i="73" s="1"/>
  <c r="F56" i="26"/>
  <c r="C86" i="48"/>
  <c r="C87" i="48" s="1"/>
  <c r="C129" i="48" s="1"/>
  <c r="C82" i="48"/>
  <c r="C83" i="48" s="1"/>
  <c r="E9" i="75"/>
  <c r="G120" i="71"/>
  <c r="E83" i="48"/>
  <c r="C95" i="39"/>
  <c r="H173" i="34" s="1"/>
  <c r="E68" i="39"/>
  <c r="T23" i="12" l="1"/>
  <c r="V7" i="12"/>
  <c r="AM7" i="12"/>
  <c r="F9" i="78"/>
  <c r="F11" i="78" s="1"/>
  <c r="F9" i="79"/>
  <c r="F11" i="79" s="1"/>
  <c r="D167" i="48"/>
  <c r="T29" i="12"/>
  <c r="E82" i="26"/>
  <c r="C90" i="48"/>
  <c r="C92" i="48" s="1"/>
  <c r="E5" i="21"/>
  <c r="E14" i="21"/>
  <c r="E27" i="75"/>
  <c r="E11" i="75"/>
  <c r="E67" i="39"/>
  <c r="J117" i="34"/>
  <c r="E116" i="39"/>
  <c r="E118" i="39" s="1"/>
  <c r="G22" i="21" s="1"/>
  <c r="F63" i="71"/>
  <c r="F102" i="26"/>
  <c r="F69" i="71" s="1"/>
  <c r="F71" i="71" s="1"/>
  <c r="F5" i="30"/>
  <c r="C56" i="26"/>
  <c r="D94" i="48"/>
  <c r="F12" i="78"/>
  <c r="F12" i="79"/>
  <c r="F8" i="78"/>
  <c r="C8" i="78" s="1"/>
  <c r="C6" i="78"/>
  <c r="V9" i="73"/>
  <c r="T23" i="73"/>
  <c r="F8" i="79"/>
  <c r="C8" i="79" s="1"/>
  <c r="C6" i="79"/>
  <c r="D72" i="48"/>
  <c r="D81" i="48"/>
  <c r="D82" i="48" s="1"/>
  <c r="F66" i="71"/>
  <c r="F6" i="30"/>
  <c r="V23" i="12" l="1"/>
  <c r="AM23" i="12"/>
  <c r="D83" i="48"/>
  <c r="E10" i="21"/>
  <c r="E37" i="26"/>
  <c r="F68" i="71"/>
  <c r="F121" i="71"/>
  <c r="F14" i="79"/>
  <c r="F27" i="79" s="1"/>
  <c r="F28" i="79" s="1"/>
  <c r="F42" i="79"/>
  <c r="E29" i="75"/>
  <c r="F14" i="78"/>
  <c r="F27" i="78" s="1"/>
  <c r="F28" i="78" s="1"/>
  <c r="F44" i="78"/>
  <c r="F48" i="78" s="1"/>
  <c r="F41" i="78"/>
  <c r="F42" i="78" s="1"/>
  <c r="D102" i="48"/>
  <c r="D104" i="48" s="1"/>
  <c r="D162" i="48" s="1"/>
  <c r="D96" i="48"/>
  <c r="F7" i="30"/>
  <c r="C5" i="30"/>
  <c r="F76" i="71"/>
  <c r="F78" i="71"/>
  <c r="F118" i="71"/>
  <c r="F65" i="71"/>
  <c r="C65" i="71" s="1"/>
  <c r="C63" i="71"/>
  <c r="V23" i="73"/>
  <c r="G18" i="21"/>
  <c r="C22" i="21"/>
  <c r="G29" i="26"/>
  <c r="AM29" i="12"/>
  <c r="V29" i="12"/>
  <c r="T30" i="12"/>
  <c r="D163" i="48" l="1"/>
  <c r="AM30" i="12"/>
  <c r="V30" i="12"/>
  <c r="G59" i="79"/>
  <c r="G144" i="71"/>
  <c r="G59" i="78"/>
  <c r="F120" i="71"/>
  <c r="D9" i="75"/>
  <c r="F79" i="71"/>
  <c r="F88" i="71" s="1"/>
  <c r="F77" i="71"/>
  <c r="D12" i="75"/>
  <c r="F123" i="71"/>
  <c r="E150" i="19"/>
  <c r="E152" i="19" s="1"/>
  <c r="G81" i="26" s="1"/>
  <c r="G30" i="26"/>
  <c r="C29" i="26"/>
  <c r="C196" i="19"/>
  <c r="C198" i="19" s="1"/>
  <c r="E89" i="26" s="1"/>
  <c r="G14" i="21"/>
  <c r="G5" i="21"/>
  <c r="C18" i="21"/>
  <c r="C75" i="39"/>
  <c r="F124" i="71" l="1"/>
  <c r="G37" i="26"/>
  <c r="C5" i="21"/>
  <c r="G10" i="21"/>
  <c r="C10" i="21" s="1"/>
  <c r="C14" i="21"/>
  <c r="D27" i="75"/>
  <c r="D11" i="75"/>
  <c r="T37" i="12"/>
  <c r="E151" i="13"/>
  <c r="H161" i="34"/>
  <c r="E90" i="48"/>
  <c r="E92" i="48" s="1"/>
  <c r="C30" i="26"/>
  <c r="D14" i="75"/>
  <c r="D30" i="75"/>
  <c r="D32" i="75" s="1"/>
  <c r="G82" i="26"/>
  <c r="C81" i="26"/>
  <c r="T29" i="73" s="1"/>
  <c r="E88" i="39"/>
  <c r="G34" i="26" s="1"/>
  <c r="E167" i="19" s="1"/>
  <c r="E169" i="19" s="1"/>
  <c r="G86" i="26" s="1"/>
  <c r="E90" i="39"/>
  <c r="G36" i="26" s="1"/>
  <c r="E173" i="19" s="1"/>
  <c r="E175" i="19" s="1"/>
  <c r="G88" i="26" s="1"/>
  <c r="E75" i="39"/>
  <c r="E89" i="39"/>
  <c r="G35" i="26" s="1"/>
  <c r="E170" i="19" s="1"/>
  <c r="E172" i="19" s="1"/>
  <c r="G87" i="26" s="1"/>
  <c r="E77" i="39"/>
  <c r="J163" i="34" s="1"/>
  <c r="C87" i="39"/>
  <c r="E33" i="26" s="1"/>
  <c r="F153" i="63" l="1"/>
  <c r="D15" i="75"/>
  <c r="F60" i="78"/>
  <c r="F60" i="79"/>
  <c r="F145" i="71"/>
  <c r="D152" i="13" s="1"/>
  <c r="J161" i="34"/>
  <c r="AM37" i="12"/>
  <c r="V37" i="12"/>
  <c r="D29" i="75"/>
  <c r="D33" i="75"/>
  <c r="C164" i="19"/>
  <c r="V29" i="73"/>
  <c r="T30" i="73"/>
  <c r="C82" i="26"/>
  <c r="E196" i="19"/>
  <c r="E198" i="19" s="1"/>
  <c r="G89" i="26" s="1"/>
  <c r="C37" i="26"/>
  <c r="E76" i="39"/>
  <c r="J162" i="34" s="1"/>
  <c r="E78" i="39"/>
  <c r="J164" i="34" s="1"/>
  <c r="E87" i="39"/>
  <c r="G33" i="26" s="1"/>
  <c r="C88" i="39"/>
  <c r="E34" i="26" s="1"/>
  <c r="C76" i="39"/>
  <c r="C90" i="39"/>
  <c r="E36" i="26" s="1"/>
  <c r="C78" i="39"/>
  <c r="H164" i="34" s="1"/>
  <c r="C89" i="39"/>
  <c r="E35" i="26" s="1"/>
  <c r="C77" i="39"/>
  <c r="H163" i="34" s="1"/>
  <c r="D110" i="48" l="1"/>
  <c r="F153" i="21"/>
  <c r="F59" i="78"/>
  <c r="F144" i="71"/>
  <c r="F59" i="79"/>
  <c r="E164" i="19"/>
  <c r="G32" i="26"/>
  <c r="G40" i="26" s="1"/>
  <c r="G24" i="26" s="1"/>
  <c r="D35" i="75"/>
  <c r="F84" i="78"/>
  <c r="D329" i="13"/>
  <c r="C89" i="26"/>
  <c r="T37" i="73" s="1"/>
  <c r="C170" i="19"/>
  <c r="C172" i="19" s="1"/>
  <c r="E87" i="26" s="1"/>
  <c r="C35" i="26"/>
  <c r="E74" i="39"/>
  <c r="V30" i="73"/>
  <c r="E91" i="39"/>
  <c r="C173" i="19"/>
  <c r="C175" i="19" s="1"/>
  <c r="E88" i="26" s="1"/>
  <c r="C36" i="26"/>
  <c r="H162" i="34"/>
  <c r="C74" i="39"/>
  <c r="C91" i="39"/>
  <c r="C167" i="19"/>
  <c r="C169" i="19" s="1"/>
  <c r="E86" i="26" s="1"/>
  <c r="C34" i="26"/>
  <c r="E32" i="26"/>
  <c r="C33" i="26"/>
  <c r="C166" i="19"/>
  <c r="E85" i="26" s="1"/>
  <c r="F156" i="21" l="1"/>
  <c r="D118" i="48" s="1"/>
  <c r="F156" i="63"/>
  <c r="D119" i="48" s="1"/>
  <c r="F157" i="63"/>
  <c r="D122" i="48" s="1"/>
  <c r="F157" i="21"/>
  <c r="D121" i="48" s="1"/>
  <c r="D109" i="48"/>
  <c r="D111" i="48" s="1"/>
  <c r="C176" i="19"/>
  <c r="C178" i="19" s="1"/>
  <c r="T33" i="12"/>
  <c r="E84" i="26"/>
  <c r="C87" i="26"/>
  <c r="T35" i="73" s="1"/>
  <c r="T35" i="12"/>
  <c r="C32" i="26"/>
  <c r="E40" i="26"/>
  <c r="V37" i="73"/>
  <c r="D331" i="13"/>
  <c r="D340" i="13" s="1"/>
  <c r="E93" i="39"/>
  <c r="G9" i="79"/>
  <c r="G11" i="79" s="1"/>
  <c r="G9" i="78"/>
  <c r="G11" i="78" s="1"/>
  <c r="G50" i="26"/>
  <c r="E166" i="19"/>
  <c r="G85" i="26" s="1"/>
  <c r="G84" i="26" s="1"/>
  <c r="G92" i="26" s="1"/>
  <c r="G76" i="26" s="1"/>
  <c r="E176" i="19"/>
  <c r="E178" i="19" s="1"/>
  <c r="T36" i="12"/>
  <c r="C88" i="26"/>
  <c r="T36" i="73" s="1"/>
  <c r="F61" i="79"/>
  <c r="F146" i="71"/>
  <c r="D151" i="13"/>
  <c r="D153" i="13" s="1"/>
  <c r="D157" i="13" s="1"/>
  <c r="C86" i="26"/>
  <c r="T34" i="73" s="1"/>
  <c r="T34" i="12"/>
  <c r="F61" i="78"/>
  <c r="C93" i="39"/>
  <c r="F154" i="63" l="1"/>
  <c r="D113" i="48" s="1"/>
  <c r="F155" i="63"/>
  <c r="D116" i="48" s="1"/>
  <c r="D123" i="48"/>
  <c r="F154" i="21"/>
  <c r="D120" i="48"/>
  <c r="D334" i="13"/>
  <c r="D337" i="13"/>
  <c r="V36" i="73"/>
  <c r="AM36" i="12"/>
  <c r="V36" i="12"/>
  <c r="D338" i="13"/>
  <c r="D332" i="13"/>
  <c r="G6" i="30"/>
  <c r="G7" i="30" s="1"/>
  <c r="G66" i="71"/>
  <c r="G102" i="26"/>
  <c r="G69" i="71" s="1"/>
  <c r="G71" i="71" s="1"/>
  <c r="E94" i="48"/>
  <c r="G12" i="78"/>
  <c r="G12" i="79"/>
  <c r="C40" i="26"/>
  <c r="E24" i="26"/>
  <c r="AM34" i="12"/>
  <c r="V34" i="12"/>
  <c r="AM35" i="12"/>
  <c r="V35" i="12"/>
  <c r="V35" i="73"/>
  <c r="V34" i="73"/>
  <c r="C85" i="26"/>
  <c r="T33" i="73" s="1"/>
  <c r="D159" i="13"/>
  <c r="D239" i="13" s="1"/>
  <c r="D454" i="13" s="1"/>
  <c r="D456" i="13" s="1"/>
  <c r="D185" i="13"/>
  <c r="D186" i="13" s="1"/>
  <c r="C84" i="26"/>
  <c r="E92" i="26"/>
  <c r="D335" i="13"/>
  <c r="AM33" i="12"/>
  <c r="V33" i="12"/>
  <c r="T32" i="12"/>
  <c r="F155" i="21" l="1"/>
  <c r="D112" i="48"/>
  <c r="D114" i="48" s="1"/>
  <c r="F158" i="63"/>
  <c r="D339" i="13"/>
  <c r="D342" i="13" s="1"/>
  <c r="D336" i="13"/>
  <c r="D341" i="13" s="1"/>
  <c r="G76" i="71"/>
  <c r="G78" i="71"/>
  <c r="E96" i="48"/>
  <c r="E102" i="48"/>
  <c r="E104" i="48" s="1"/>
  <c r="E162" i="48" s="1"/>
  <c r="G121" i="71"/>
  <c r="G68" i="71"/>
  <c r="G44" i="78"/>
  <c r="G48" i="78" s="1"/>
  <c r="G41" i="78"/>
  <c r="G42" i="78" s="1"/>
  <c r="G14" i="78"/>
  <c r="G27" i="78" s="1"/>
  <c r="G28" i="78" s="1"/>
  <c r="AM32" i="12"/>
  <c r="V32" i="12"/>
  <c r="T40" i="12"/>
  <c r="V33" i="73"/>
  <c r="T32" i="73"/>
  <c r="C92" i="26"/>
  <c r="E76" i="26"/>
  <c r="E9" i="79"/>
  <c r="E9" i="78"/>
  <c r="C24" i="26"/>
  <c r="E50" i="26"/>
  <c r="D246" i="13"/>
  <c r="D244" i="13"/>
  <c r="D248" i="13"/>
  <c r="D255" i="13" s="1"/>
  <c r="D251" i="13"/>
  <c r="D355" i="13"/>
  <c r="G14" i="79"/>
  <c r="G27" i="79" s="1"/>
  <c r="G28" i="79" s="1"/>
  <c r="G42" i="79"/>
  <c r="D115" i="48" l="1"/>
  <c r="D117" i="48" s="1"/>
  <c r="D125" i="48" s="1"/>
  <c r="F158" i="21"/>
  <c r="E163" i="48"/>
  <c r="D344" i="13"/>
  <c r="D345" i="13" s="1"/>
  <c r="E12" i="79"/>
  <c r="E12" i="78"/>
  <c r="C94" i="48"/>
  <c r="C50" i="26"/>
  <c r="T51" i="73" s="1"/>
  <c r="T51" i="12"/>
  <c r="C9" i="78"/>
  <c r="E11" i="78"/>
  <c r="C11" i="78" s="1"/>
  <c r="E66" i="71"/>
  <c r="E6" i="30"/>
  <c r="C76" i="26"/>
  <c r="E102" i="26"/>
  <c r="G123" i="71"/>
  <c r="G124" i="71" s="1"/>
  <c r="E12" i="75"/>
  <c r="V32" i="73"/>
  <c r="T40" i="73"/>
  <c r="G79" i="71"/>
  <c r="G88" i="71" s="1"/>
  <c r="G77" i="71"/>
  <c r="E11" i="79"/>
  <c r="C11" i="79" s="1"/>
  <c r="C9" i="79"/>
  <c r="V40" i="12"/>
  <c r="AM40" i="12"/>
  <c r="T49" i="12"/>
  <c r="E30" i="75" l="1"/>
  <c r="E14" i="75"/>
  <c r="E15" i="75" s="1"/>
  <c r="AM49" i="12"/>
  <c r="V49" i="12"/>
  <c r="V52" i="12" s="1"/>
  <c r="V73" i="12" s="1"/>
  <c r="T52" i="12"/>
  <c r="C6" i="30"/>
  <c r="E7" i="30"/>
  <c r="C7" i="30" s="1"/>
  <c r="C96" i="48"/>
  <c r="C102" i="48"/>
  <c r="C104" i="48" s="1"/>
  <c r="C12" i="78"/>
  <c r="E14" i="78"/>
  <c r="E41" i="78"/>
  <c r="E42" i="78" s="1"/>
  <c r="E44" i="78"/>
  <c r="C102" i="26"/>
  <c r="E69" i="71"/>
  <c r="E68" i="71"/>
  <c r="C68" i="71" s="1"/>
  <c r="C66" i="71"/>
  <c r="V51" i="12"/>
  <c r="V51" i="73"/>
  <c r="T49" i="73"/>
  <c r="V40" i="73"/>
  <c r="C12" i="79"/>
  <c r="E42" i="79"/>
  <c r="E14" i="79"/>
  <c r="G153" i="63" l="1"/>
  <c r="E27" i="78"/>
  <c r="E28" i="78" s="1"/>
  <c r="C14" i="78"/>
  <c r="E48" i="78"/>
  <c r="C44" i="78"/>
  <c r="V49" i="73"/>
  <c r="V52" i="73" s="1"/>
  <c r="T52" i="73"/>
  <c r="C162" i="48"/>
  <c r="C106" i="48"/>
  <c r="C130" i="48" s="1"/>
  <c r="AM52" i="12"/>
  <c r="V77" i="12"/>
  <c r="V79" i="12"/>
  <c r="E71" i="71"/>
  <c r="C69" i="71"/>
  <c r="E27" i="79"/>
  <c r="E28" i="79" s="1"/>
  <c r="C14" i="79"/>
  <c r="E32" i="75"/>
  <c r="E33" i="75"/>
  <c r="E110" i="48" l="1"/>
  <c r="G153" i="21"/>
  <c r="C163" i="48"/>
  <c r="G84" i="78"/>
  <c r="E35" i="75"/>
  <c r="E329" i="13"/>
  <c r="G145" i="71"/>
  <c r="G60" i="78"/>
  <c r="G61" i="78" s="1"/>
  <c r="G60" i="79"/>
  <c r="G61" i="79" s="1"/>
  <c r="E78" i="71"/>
  <c r="C78" i="71" s="1"/>
  <c r="C71" i="71"/>
  <c r="E76" i="71"/>
  <c r="V80" i="12"/>
  <c r="G156" i="63" l="1"/>
  <c r="E119" i="48" s="1"/>
  <c r="G157" i="63"/>
  <c r="E122" i="48" s="1"/>
  <c r="G154" i="63"/>
  <c r="G157" i="21"/>
  <c r="E121" i="48" s="1"/>
  <c r="E109" i="48"/>
  <c r="E111" i="48" s="1"/>
  <c r="G156" i="21"/>
  <c r="E118" i="48" s="1"/>
  <c r="E152" i="13"/>
  <c r="E153" i="13" s="1"/>
  <c r="E157" i="13" s="1"/>
  <c r="G146" i="71"/>
  <c r="E331" i="13"/>
  <c r="E338" i="13" s="1"/>
  <c r="E77" i="71"/>
  <c r="E79" i="71"/>
  <c r="E85" i="71" s="1"/>
  <c r="E123" i="48" l="1"/>
  <c r="E120" i="48"/>
  <c r="G154" i="21"/>
  <c r="E113" i="48"/>
  <c r="E82" i="71"/>
  <c r="E90" i="71" s="1"/>
  <c r="C85" i="71"/>
  <c r="E87" i="71"/>
  <c r="C87" i="71" s="1"/>
  <c r="E104" i="71"/>
  <c r="E121" i="71"/>
  <c r="E337" i="13"/>
  <c r="E339" i="13" s="1"/>
  <c r="E342" i="13" s="1"/>
  <c r="E340" i="13"/>
  <c r="E334" i="13"/>
  <c r="E335" i="13"/>
  <c r="E332" i="13"/>
  <c r="C79" i="71"/>
  <c r="E159" i="13"/>
  <c r="E239" i="13" s="1"/>
  <c r="E454" i="13" s="1"/>
  <c r="E456" i="13" s="1"/>
  <c r="E185" i="13"/>
  <c r="E186" i="13" s="1"/>
  <c r="G155" i="21" l="1"/>
  <c r="E118" i="71"/>
  <c r="C118" i="71" s="1"/>
  <c r="E84" i="71"/>
  <c r="C84" i="71" s="1"/>
  <c r="C82" i="71"/>
  <c r="G155" i="63"/>
  <c r="E112" i="48"/>
  <c r="E114" i="48" s="1"/>
  <c r="C12" i="75"/>
  <c r="E123" i="71"/>
  <c r="C123" i="71" s="1"/>
  <c r="C121" i="71"/>
  <c r="T83" i="12"/>
  <c r="V83" i="12" s="1"/>
  <c r="V90" i="12" s="1"/>
  <c r="E109" i="71"/>
  <c r="C109" i="71" s="1"/>
  <c r="C104" i="71"/>
  <c r="E95" i="71"/>
  <c r="C95" i="71" s="1"/>
  <c r="C90" i="71"/>
  <c r="E336" i="13"/>
  <c r="E341" i="13" s="1"/>
  <c r="E246" i="13"/>
  <c r="E355" i="13"/>
  <c r="E248" i="13"/>
  <c r="E255" i="13" s="1"/>
  <c r="E251" i="13"/>
  <c r="E244" i="13"/>
  <c r="E115" i="48" l="1"/>
  <c r="G158" i="21"/>
  <c r="E120" i="71"/>
  <c r="T82" i="12"/>
  <c r="C9" i="75"/>
  <c r="C11" i="75" s="1"/>
  <c r="E88" i="71"/>
  <c r="C88" i="71" s="1"/>
  <c r="E153" i="63"/>
  <c r="E116" i="48"/>
  <c r="G158" i="63"/>
  <c r="E153" i="21"/>
  <c r="C30" i="75"/>
  <c r="C32" i="75" s="1"/>
  <c r="C14" i="75"/>
  <c r="E344" i="13"/>
  <c r="E345" i="13" s="1"/>
  <c r="E117" i="48" l="1"/>
  <c r="E125" i="48" s="1"/>
  <c r="C120" i="71"/>
  <c r="E124" i="71"/>
  <c r="C124" i="71" s="1"/>
  <c r="V82" i="12"/>
  <c r="V89" i="12" s="1"/>
  <c r="V91" i="12" s="1"/>
  <c r="AM91" i="12" s="1"/>
  <c r="T84" i="12"/>
  <c r="V84" i="12" s="1"/>
  <c r="C27" i="75"/>
  <c r="C29" i="75" s="1"/>
  <c r="E156" i="21"/>
  <c r="E156" i="63"/>
  <c r="E154" i="63"/>
  <c r="C153" i="63"/>
  <c r="C110" i="48"/>
  <c r="C109" i="48"/>
  <c r="C153" i="21"/>
  <c r="E157" i="63"/>
  <c r="E157" i="21"/>
  <c r="E154" i="21"/>
  <c r="C15" i="75"/>
  <c r="E145" i="71"/>
  <c r="C145" i="71" s="1"/>
  <c r="E60" i="79"/>
  <c r="C60" i="79" s="1"/>
  <c r="E60" i="78"/>
  <c r="C60" i="78" s="1"/>
  <c r="AM84" i="12" l="1"/>
  <c r="V85" i="12"/>
  <c r="C33" i="75"/>
  <c r="C111" i="48"/>
  <c r="E155" i="63"/>
  <c r="C154" i="63"/>
  <c r="C113" i="48"/>
  <c r="C154" i="21"/>
  <c r="C112" i="48"/>
  <c r="E155" i="21"/>
  <c r="C119" i="48"/>
  <c r="C156" i="63"/>
  <c r="C157" i="63"/>
  <c r="C122" i="48"/>
  <c r="C156" i="21"/>
  <c r="C118" i="48"/>
  <c r="C121" i="48"/>
  <c r="C157" i="21"/>
  <c r="C152" i="13"/>
  <c r="Y75" i="12"/>
  <c r="E59" i="79"/>
  <c r="E59" i="78"/>
  <c r="E144" i="71"/>
  <c r="C144" i="71" s="1"/>
  <c r="C114" i="48" l="1"/>
  <c r="C329" i="13"/>
  <c r="C331" i="13" s="1"/>
  <c r="C334" i="13" s="1"/>
  <c r="C35" i="75"/>
  <c r="E84" i="78"/>
  <c r="C155" i="21"/>
  <c r="C115" i="48"/>
  <c r="C123" i="48"/>
  <c r="C116" i="48"/>
  <c r="C155" i="63"/>
  <c r="C120" i="48"/>
  <c r="E158" i="21"/>
  <c r="C158" i="21" s="1"/>
  <c r="E158" i="63"/>
  <c r="C158" i="63" s="1"/>
  <c r="C151" i="13"/>
  <c r="C153" i="13" s="1"/>
  <c r="C157" i="13" s="1"/>
  <c r="Y74" i="12"/>
  <c r="Y76" i="12" s="1"/>
  <c r="E146" i="71"/>
  <c r="C59" i="79"/>
  <c r="E61" i="79"/>
  <c r="C59" i="78"/>
  <c r="E61" i="78"/>
  <c r="I144" i="71" l="1"/>
  <c r="I145" i="71"/>
  <c r="C117" i="48"/>
  <c r="C125" i="48" s="1"/>
  <c r="C126" i="48" s="1"/>
  <c r="C131" i="48" s="1"/>
  <c r="C132" i="48" s="1"/>
  <c r="C335" i="13"/>
  <c r="C336" i="13" s="1"/>
  <c r="C341" i="13" s="1"/>
  <c r="C338" i="13"/>
  <c r="C337" i="13"/>
  <c r="C61" i="78"/>
  <c r="C61" i="79"/>
  <c r="C340" i="13"/>
  <c r="C332" i="13"/>
  <c r="C146" i="71"/>
  <c r="AB57" i="12"/>
  <c r="C185" i="13"/>
  <c r="C186" i="13" s="1"/>
  <c r="C159" i="13"/>
  <c r="C239" i="13" s="1"/>
  <c r="C454" i="13" s="1"/>
  <c r="C456" i="13" s="1"/>
  <c r="C136" i="48" l="1"/>
  <c r="C137" i="48" s="1"/>
  <c r="V120" i="12"/>
  <c r="C339" i="13"/>
  <c r="C342" i="13" s="1"/>
  <c r="C355" i="13"/>
  <c r="C248" i="13"/>
  <c r="C255" i="13" s="1"/>
  <c r="C244" i="13"/>
  <c r="C246" i="13"/>
  <c r="C251" i="13"/>
  <c r="C344" i="13" l="1"/>
  <c r="C345" i="13" s="1"/>
  <c r="V121" i="12"/>
  <c r="C138" i="48"/>
  <c r="C140" i="48" s="1"/>
  <c r="C141" i="48" s="1"/>
  <c r="C156" i="48"/>
  <c r="V126" i="12" s="1"/>
  <c r="C155" i="48"/>
  <c r="C153" i="48" l="1"/>
  <c r="V129" i="12" s="1"/>
  <c r="C157" i="48"/>
  <c r="V125" i="12"/>
  <c r="V122" i="12"/>
  <c r="C139" i="48"/>
  <c r="C158" i="48" l="1"/>
  <c r="V127" i="12"/>
  <c r="C125" i="59" l="1"/>
  <c r="C123" i="59"/>
  <c r="H283" i="34" l="1"/>
  <c r="I283" i="34"/>
  <c r="H281" i="34"/>
  <c r="C136" i="59"/>
  <c r="H192" i="34" s="1"/>
  <c r="C141" i="59"/>
  <c r="H197" i="34" s="1"/>
  <c r="C140" i="59"/>
  <c r="H195" i="34" s="1"/>
  <c r="C139" i="59"/>
  <c r="H193" i="34" s="1"/>
  <c r="C124" i="59"/>
  <c r="I279" i="34"/>
  <c r="C110" i="59"/>
  <c r="C104" i="59"/>
  <c r="H276" i="34" s="1"/>
  <c r="C111" i="59"/>
  <c r="C122" i="59"/>
  <c r="C98" i="59"/>
  <c r="C99" i="59"/>
  <c r="H267" i="34" s="1"/>
  <c r="C103" i="59"/>
  <c r="H275" i="34" s="1"/>
  <c r="C105" i="59"/>
  <c r="H277" i="34" s="1"/>
  <c r="C100" i="59"/>
  <c r="H269" i="34" s="1"/>
  <c r="C109" i="59"/>
  <c r="C101" i="59"/>
  <c r="H271" i="34" s="1"/>
  <c r="C102" i="59"/>
  <c r="H273" i="34" s="1"/>
  <c r="C112" i="59"/>
  <c r="C106" i="59"/>
  <c r="H278" i="34" s="1"/>
  <c r="I199" i="34"/>
  <c r="I273" i="34"/>
  <c r="I269" i="34"/>
  <c r="I277" i="34"/>
  <c r="I276" i="34"/>
  <c r="I278" i="34"/>
  <c r="I275" i="34"/>
  <c r="I271" i="34"/>
  <c r="I267" i="34"/>
  <c r="E125" i="59"/>
  <c r="I268" i="34" l="1"/>
  <c r="I270" i="34"/>
  <c r="H274" i="34"/>
  <c r="J283" i="34"/>
  <c r="H268" i="34"/>
  <c r="H272" i="34"/>
  <c r="I282" i="34"/>
  <c r="H282" i="34"/>
  <c r="I274" i="34"/>
  <c r="I281" i="34"/>
  <c r="I272" i="34"/>
  <c r="H270" i="34"/>
  <c r="I280" i="34"/>
  <c r="F53" i="21"/>
  <c r="F90" i="21" s="1"/>
  <c r="F127" i="21" s="1"/>
  <c r="H266" i="34"/>
  <c r="H280" i="34"/>
  <c r="E53" i="21"/>
  <c r="I266" i="34"/>
  <c r="I197" i="34"/>
  <c r="I192" i="34"/>
  <c r="I193" i="34"/>
  <c r="I194" i="34"/>
  <c r="I195" i="34"/>
  <c r="I196" i="34"/>
  <c r="C138" i="59"/>
  <c r="H196" i="34" s="1"/>
  <c r="C137" i="59"/>
  <c r="H194" i="34" s="1"/>
  <c r="C108" i="59"/>
  <c r="C65" i="59"/>
  <c r="H242" i="34" s="1"/>
  <c r="C107" i="59"/>
  <c r="H279" i="34" s="1"/>
  <c r="D97" i="59"/>
  <c r="I251" i="34"/>
  <c r="C66" i="59"/>
  <c r="H251" i="34" s="1"/>
  <c r="I224" i="34"/>
  <c r="I242" i="34"/>
  <c r="I215" i="34"/>
  <c r="I233" i="34"/>
  <c r="E123" i="59"/>
  <c r="E122" i="59"/>
  <c r="E124" i="59"/>
  <c r="F145" i="21" l="1"/>
  <c r="F108" i="21"/>
  <c r="F71" i="21"/>
  <c r="C120" i="59"/>
  <c r="J282" i="34"/>
  <c r="J281" i="34"/>
  <c r="D60" i="59"/>
  <c r="I208" i="34"/>
  <c r="E90" i="21"/>
  <c r="D36" i="59"/>
  <c r="I198" i="34"/>
  <c r="J280" i="34"/>
  <c r="G53" i="21"/>
  <c r="G90" i="21" s="1"/>
  <c r="G127" i="21" s="1"/>
  <c r="C97" i="59"/>
  <c r="E141" i="59"/>
  <c r="J197" i="34" s="1"/>
  <c r="E137" i="59"/>
  <c r="J194" i="34" s="1"/>
  <c r="E136" i="59"/>
  <c r="J192" i="34" s="1"/>
  <c r="E140" i="59"/>
  <c r="J195" i="34" s="1"/>
  <c r="E139" i="59"/>
  <c r="J193" i="34" s="1"/>
  <c r="E138" i="59"/>
  <c r="J196" i="34" s="1"/>
  <c r="C127" i="59"/>
  <c r="C128" i="59"/>
  <c r="C133" i="59"/>
  <c r="C130" i="58" s="1"/>
  <c r="C134" i="59"/>
  <c r="C133" i="58" s="1"/>
  <c r="C131" i="59"/>
  <c r="C60" i="58" s="1"/>
  <c r="E107" i="59"/>
  <c r="J279" i="34" s="1"/>
  <c r="C61" i="59"/>
  <c r="C62" i="59"/>
  <c r="H215" i="34" s="1"/>
  <c r="C64" i="59"/>
  <c r="H233" i="34" s="1"/>
  <c r="C63" i="59"/>
  <c r="H224" i="34" s="1"/>
  <c r="D60" i="58"/>
  <c r="E106" i="59"/>
  <c r="J278" i="34" s="1"/>
  <c r="E105" i="59"/>
  <c r="J277" i="34" s="1"/>
  <c r="E104" i="59"/>
  <c r="J276" i="34" s="1"/>
  <c r="E98" i="59"/>
  <c r="E100" i="59"/>
  <c r="J269" i="34" s="1"/>
  <c r="E112" i="59"/>
  <c r="C34" i="59"/>
  <c r="E99" i="59"/>
  <c r="J267" i="34" s="1"/>
  <c r="E111" i="59"/>
  <c r="E110" i="59"/>
  <c r="E101" i="59"/>
  <c r="J271" i="34" s="1"/>
  <c r="D130" i="58"/>
  <c r="E102" i="59"/>
  <c r="J273" i="34" s="1"/>
  <c r="E109" i="59"/>
  <c r="E103" i="59"/>
  <c r="J275" i="34" s="1"/>
  <c r="D57" i="58"/>
  <c r="E145" i="21" l="1"/>
  <c r="E71" i="21"/>
  <c r="E108" i="21"/>
  <c r="F28" i="64"/>
  <c r="F18" i="64"/>
  <c r="C37" i="59"/>
  <c r="H198" i="34" s="1"/>
  <c r="D133" i="58"/>
  <c r="D144" i="58" s="1"/>
  <c r="J270" i="34"/>
  <c r="J268" i="34"/>
  <c r="J274" i="34"/>
  <c r="C53" i="21"/>
  <c r="J272" i="34"/>
  <c r="F45" i="21"/>
  <c r="F39" i="64" s="1"/>
  <c r="D498" i="19" s="1"/>
  <c r="D500" i="19" s="1"/>
  <c r="F91" i="64" s="1"/>
  <c r="F119" i="21"/>
  <c r="F39" i="66" s="1"/>
  <c r="D1074" i="19" s="1"/>
  <c r="D1076" i="19" s="1"/>
  <c r="F91" i="66" s="1"/>
  <c r="F82" i="21"/>
  <c r="F39" i="65" s="1"/>
  <c r="D786" i="19" s="1"/>
  <c r="D788" i="19" s="1"/>
  <c r="F91" i="65" s="1"/>
  <c r="H191" i="34"/>
  <c r="E57" i="21"/>
  <c r="E127" i="21"/>
  <c r="C127" i="21" s="1"/>
  <c r="C90" i="21"/>
  <c r="D33" i="59"/>
  <c r="J266" i="34"/>
  <c r="H512" i="34"/>
  <c r="C144" i="58"/>
  <c r="C135" i="58"/>
  <c r="H516" i="34"/>
  <c r="C62" i="58"/>
  <c r="C71" i="58"/>
  <c r="H208" i="34"/>
  <c r="C60" i="59"/>
  <c r="E28" i="64" s="1"/>
  <c r="I508" i="34"/>
  <c r="D64" i="58"/>
  <c r="D66" i="58" s="1"/>
  <c r="D59" i="58"/>
  <c r="D68" i="58"/>
  <c r="I504" i="34"/>
  <c r="D132" i="58"/>
  <c r="D141" i="58"/>
  <c r="H504" i="34"/>
  <c r="C141" i="58"/>
  <c r="C132" i="58"/>
  <c r="C137" i="58"/>
  <c r="C139" i="58" s="1"/>
  <c r="I516" i="34"/>
  <c r="D62" i="58"/>
  <c r="D71" i="58"/>
  <c r="C35" i="59"/>
  <c r="C33" i="59" s="1"/>
  <c r="E17" i="64" s="1"/>
  <c r="E131" i="59"/>
  <c r="E60" i="58" s="1"/>
  <c r="E108" i="59"/>
  <c r="E97" i="59" s="1"/>
  <c r="C38" i="59"/>
  <c r="H199" i="34" s="1"/>
  <c r="E134" i="59"/>
  <c r="E133" i="58" s="1"/>
  <c r="E128" i="59"/>
  <c r="E127" i="59"/>
  <c r="E34" i="59"/>
  <c r="E37" i="59"/>
  <c r="E133" i="59"/>
  <c r="E130" i="58" s="1"/>
  <c r="D431" i="19" l="1"/>
  <c r="D433" i="19" s="1"/>
  <c r="F80" i="64" s="1"/>
  <c r="F28" i="65"/>
  <c r="F18" i="65"/>
  <c r="F69" i="64"/>
  <c r="F17" i="64"/>
  <c r="W17" i="12" s="1"/>
  <c r="F57" i="21"/>
  <c r="F94" i="21" s="1"/>
  <c r="E120" i="59"/>
  <c r="I191" i="34"/>
  <c r="I512" i="34"/>
  <c r="D137" i="58"/>
  <c r="D139" i="58" s="1"/>
  <c r="D135" i="58"/>
  <c r="E45" i="21"/>
  <c r="E119" i="21"/>
  <c r="E82" i="21"/>
  <c r="I263" i="34"/>
  <c r="I260" i="34"/>
  <c r="I259" i="34"/>
  <c r="I262" i="34"/>
  <c r="I258" i="34"/>
  <c r="I264" i="34"/>
  <c r="E17" i="65"/>
  <c r="E68" i="64"/>
  <c r="J516" i="34"/>
  <c r="E71" i="58"/>
  <c r="E62" i="58"/>
  <c r="D70" i="58"/>
  <c r="D75" i="58"/>
  <c r="D77" i="58" s="1"/>
  <c r="D138" i="16"/>
  <c r="C36" i="59"/>
  <c r="E18" i="64" s="1"/>
  <c r="E19" i="64" s="1"/>
  <c r="D73" i="58"/>
  <c r="D141" i="16"/>
  <c r="E28" i="65"/>
  <c r="C431" i="19"/>
  <c r="C433" i="19" s="1"/>
  <c r="E80" i="64" s="1"/>
  <c r="J512" i="34"/>
  <c r="E135" i="58"/>
  <c r="E144" i="58"/>
  <c r="C89" i="16"/>
  <c r="C143" i="58"/>
  <c r="C148" i="58"/>
  <c r="C150" i="58" s="1"/>
  <c r="J504" i="34"/>
  <c r="E141" i="58"/>
  <c r="E132" i="58"/>
  <c r="E137" i="58"/>
  <c r="E139" i="58" s="1"/>
  <c r="J198" i="34"/>
  <c r="C73" i="58"/>
  <c r="C141" i="16"/>
  <c r="D89" i="16"/>
  <c r="D143" i="58"/>
  <c r="D148" i="58"/>
  <c r="D150" i="58" s="1"/>
  <c r="E94" i="21"/>
  <c r="D146" i="58"/>
  <c r="D92" i="16"/>
  <c r="C146" i="58"/>
  <c r="C92" i="16"/>
  <c r="C130" i="59"/>
  <c r="C57" i="58" s="1"/>
  <c r="I221" i="34"/>
  <c r="I250" i="34"/>
  <c r="I213" i="34"/>
  <c r="I249" i="34"/>
  <c r="I219" i="34"/>
  <c r="I230" i="34"/>
  <c r="I217" i="34"/>
  <c r="I214" i="34"/>
  <c r="I238" i="34"/>
  <c r="I212" i="34"/>
  <c r="I228" i="34"/>
  <c r="I252" i="34"/>
  <c r="I232" i="34"/>
  <c r="I218" i="34"/>
  <c r="I223" i="34"/>
  <c r="I222" i="34"/>
  <c r="I220" i="34"/>
  <c r="I240" i="34"/>
  <c r="I235" i="34"/>
  <c r="I241" i="34"/>
  <c r="I244" i="34"/>
  <c r="I246" i="34"/>
  <c r="D107" i="54"/>
  <c r="D108" i="54" s="1"/>
  <c r="I231" i="34"/>
  <c r="I234" i="34"/>
  <c r="I237" i="34"/>
  <c r="I248" i="34"/>
  <c r="I243" i="34"/>
  <c r="I247" i="34"/>
  <c r="I225" i="34"/>
  <c r="I226" i="34"/>
  <c r="I239" i="34"/>
  <c r="I229" i="34"/>
  <c r="I216" i="34"/>
  <c r="C52" i="59"/>
  <c r="H249" i="34" s="1"/>
  <c r="C16" i="59"/>
  <c r="H227" i="34" s="1"/>
  <c r="C8" i="59"/>
  <c r="H217" i="34" s="1"/>
  <c r="C42" i="59"/>
  <c r="H221" i="34" s="1"/>
  <c r="C30" i="59"/>
  <c r="H229" i="34" s="1"/>
  <c r="C10" i="59"/>
  <c r="H235" i="34" s="1"/>
  <c r="C86" i="59"/>
  <c r="C82" i="59"/>
  <c r="C25" i="59"/>
  <c r="H246" i="34" s="1"/>
  <c r="C83" i="59"/>
  <c r="C71" i="59"/>
  <c r="H234" i="34" s="1"/>
  <c r="C59" i="59"/>
  <c r="H250" i="34" s="1"/>
  <c r="C17" i="59"/>
  <c r="H236" i="34" s="1"/>
  <c r="C51" i="59"/>
  <c r="H240" i="34" s="1"/>
  <c r="C69" i="59"/>
  <c r="H216" i="34" s="1"/>
  <c r="C85" i="59"/>
  <c r="C15" i="59"/>
  <c r="H218" i="34" s="1"/>
  <c r="C50" i="59"/>
  <c r="H231" i="34" s="1"/>
  <c r="I245" i="34"/>
  <c r="C56" i="59"/>
  <c r="H223" i="34" s="1"/>
  <c r="C84" i="59"/>
  <c r="C80" i="59"/>
  <c r="C11" i="59"/>
  <c r="H244" i="34" s="1"/>
  <c r="C29" i="59"/>
  <c r="H220" i="34" s="1"/>
  <c r="C43" i="59"/>
  <c r="H230" i="34" s="1"/>
  <c r="C44" i="59"/>
  <c r="H239" i="34" s="1"/>
  <c r="C45" i="59"/>
  <c r="H248" i="34" s="1"/>
  <c r="C49" i="59"/>
  <c r="H222" i="34" s="1"/>
  <c r="C106" i="54"/>
  <c r="C107" i="54" s="1"/>
  <c r="C108" i="54" s="1"/>
  <c r="C73" i="59"/>
  <c r="H252" i="34" s="1"/>
  <c r="C22" i="59"/>
  <c r="H219" i="34" s="1"/>
  <c r="C7" i="59"/>
  <c r="C9" i="59"/>
  <c r="H226" i="34" s="1"/>
  <c r="C81" i="59"/>
  <c r="C23" i="59"/>
  <c r="H228" i="34" s="1"/>
  <c r="C18" i="59"/>
  <c r="H245" i="34" s="1"/>
  <c r="C79" i="59"/>
  <c r="C70" i="59"/>
  <c r="H225" i="34" s="1"/>
  <c r="C58" i="59"/>
  <c r="H241" i="34" s="1"/>
  <c r="C48" i="59"/>
  <c r="H213" i="34" s="1"/>
  <c r="I236" i="34"/>
  <c r="C55" i="59"/>
  <c r="H214" i="34" s="1"/>
  <c r="C41" i="59"/>
  <c r="H212" i="34" s="1"/>
  <c r="C57" i="59"/>
  <c r="H232" i="34" s="1"/>
  <c r="C90" i="54"/>
  <c r="C91" i="54" s="1"/>
  <c r="C92" i="54" s="1"/>
  <c r="C24" i="59"/>
  <c r="H237" i="34" s="1"/>
  <c r="I227" i="34"/>
  <c r="I211" i="34"/>
  <c r="C31" i="59"/>
  <c r="H238" i="34" s="1"/>
  <c r="C72" i="59"/>
  <c r="H243" i="34" s="1"/>
  <c r="C32" i="59"/>
  <c r="H247" i="34" s="1"/>
  <c r="E38" i="59"/>
  <c r="J199" i="34" s="1"/>
  <c r="E35" i="59"/>
  <c r="E33" i="59" s="1"/>
  <c r="G17" i="64" s="1"/>
  <c r="G71" i="21" l="1"/>
  <c r="G145" i="21"/>
  <c r="G108" i="21"/>
  <c r="D719" i="19"/>
  <c r="D721" i="19" s="1"/>
  <c r="F80" i="65" s="1"/>
  <c r="F28" i="66"/>
  <c r="D1007" i="19" s="1"/>
  <c r="D1009" i="19" s="1"/>
  <c r="F80" i="66" s="1"/>
  <c r="F18" i="66"/>
  <c r="F69" i="66" s="1"/>
  <c r="F69" i="65"/>
  <c r="F17" i="65"/>
  <c r="Z17" i="12" s="1"/>
  <c r="F68" i="64"/>
  <c r="F70" i="64" s="1"/>
  <c r="F19" i="64"/>
  <c r="G57" i="21"/>
  <c r="G94" i="21" s="1"/>
  <c r="C94" i="21" s="1"/>
  <c r="J191" i="34"/>
  <c r="H264" i="34"/>
  <c r="H257" i="34"/>
  <c r="H262" i="34"/>
  <c r="E39" i="64"/>
  <c r="H259" i="34"/>
  <c r="I257" i="34"/>
  <c r="E39" i="65"/>
  <c r="H258" i="34"/>
  <c r="I261" i="34"/>
  <c r="H263" i="34"/>
  <c r="H261" i="34"/>
  <c r="H260" i="34"/>
  <c r="E39" i="66"/>
  <c r="G17" i="65"/>
  <c r="G68" i="64"/>
  <c r="C17" i="64"/>
  <c r="W17" i="73" s="1"/>
  <c r="C94" i="54"/>
  <c r="H480" i="34"/>
  <c r="C93" i="54"/>
  <c r="C21" i="59" s="1"/>
  <c r="D96" i="16"/>
  <c r="D98" i="16" s="1"/>
  <c r="D91" i="16"/>
  <c r="D328" i="19"/>
  <c r="D330" i="19" s="1"/>
  <c r="D575" i="16"/>
  <c r="C511" i="19"/>
  <c r="C513" i="19" s="1"/>
  <c r="C143" i="16"/>
  <c r="C589" i="16"/>
  <c r="E18" i="65"/>
  <c r="E19" i="65" s="1"/>
  <c r="E69" i="64"/>
  <c r="E70" i="64" s="1"/>
  <c r="W18" i="12"/>
  <c r="C508" i="19"/>
  <c r="C510" i="19" s="1"/>
  <c r="C94" i="16"/>
  <c r="C588" i="16"/>
  <c r="F131" i="21"/>
  <c r="E146" i="58"/>
  <c r="E92" i="16"/>
  <c r="D140" i="16"/>
  <c r="D145" i="16"/>
  <c r="D147" i="16" s="1"/>
  <c r="D576" i="16"/>
  <c r="D331" i="19"/>
  <c r="D333" i="19" s="1"/>
  <c r="E36" i="59"/>
  <c r="G18" i="64" s="1"/>
  <c r="G19" i="64" s="1"/>
  <c r="D94" i="16"/>
  <c r="D588" i="16"/>
  <c r="D508" i="19"/>
  <c r="D510" i="19" s="1"/>
  <c r="W28" i="12"/>
  <c r="E73" i="58"/>
  <c r="E141" i="16"/>
  <c r="H508" i="34"/>
  <c r="C68" i="58"/>
  <c r="C59" i="58"/>
  <c r="C64" i="58"/>
  <c r="C66" i="58" s="1"/>
  <c r="E89" i="16"/>
  <c r="E143" i="58"/>
  <c r="E148" i="58"/>
  <c r="E150" i="58" s="1"/>
  <c r="C719" i="19"/>
  <c r="C721" i="19" s="1"/>
  <c r="E80" i="65" s="1"/>
  <c r="E28" i="66"/>
  <c r="I210" i="34"/>
  <c r="Y17" i="12"/>
  <c r="AJ17" i="12"/>
  <c r="H210" i="34"/>
  <c r="H484" i="34"/>
  <c r="C109" i="54"/>
  <c r="C14" i="59" s="1"/>
  <c r="C110" i="54"/>
  <c r="E131" i="21"/>
  <c r="C328" i="19"/>
  <c r="C330" i="19" s="1"/>
  <c r="C91" i="16"/>
  <c r="C96" i="16"/>
  <c r="C98" i="16" s="1"/>
  <c r="C575" i="16"/>
  <c r="D143" i="16"/>
  <c r="D511" i="19"/>
  <c r="D513" i="19" s="1"/>
  <c r="D589" i="16"/>
  <c r="D109" i="54"/>
  <c r="D14" i="59" s="1"/>
  <c r="D110" i="54"/>
  <c r="I484" i="34"/>
  <c r="E17" i="66"/>
  <c r="E68" i="65"/>
  <c r="E130" i="59"/>
  <c r="E57" i="58" s="1"/>
  <c r="C27" i="59"/>
  <c r="D91" i="54"/>
  <c r="D92" i="54" s="1"/>
  <c r="C17" i="65" l="1"/>
  <c r="Z17" i="73" s="1"/>
  <c r="AB17" i="73" s="1"/>
  <c r="C68" i="64"/>
  <c r="C19" i="64"/>
  <c r="W19" i="73" s="1"/>
  <c r="F68" i="65"/>
  <c r="F70" i="65" s="1"/>
  <c r="F17" i="66"/>
  <c r="F19" i="65"/>
  <c r="C57" i="21"/>
  <c r="D585" i="16"/>
  <c r="D844" i="16" s="1"/>
  <c r="D846" i="16" s="1"/>
  <c r="G119" i="21"/>
  <c r="D597" i="16"/>
  <c r="D535" i="19" s="1"/>
  <c r="D537" i="19" s="1"/>
  <c r="F98" i="64" s="1"/>
  <c r="C108" i="21"/>
  <c r="C597" i="16"/>
  <c r="C847" i="16" s="1"/>
  <c r="C849" i="16" s="1"/>
  <c r="C18" i="64"/>
  <c r="W18" i="73" s="1"/>
  <c r="Y18" i="73" s="1"/>
  <c r="C786" i="19"/>
  <c r="C788" i="19" s="1"/>
  <c r="E91" i="65" s="1"/>
  <c r="C1074" i="19"/>
  <c r="C1076" i="19" s="1"/>
  <c r="E91" i="66" s="1"/>
  <c r="C498" i="19"/>
  <c r="C500" i="19" s="1"/>
  <c r="E91" i="64" s="1"/>
  <c r="AC17" i="12"/>
  <c r="E68" i="66"/>
  <c r="H204" i="34"/>
  <c r="AB17" i="12"/>
  <c r="Y28" i="12"/>
  <c r="AJ28" i="12"/>
  <c r="Y18" i="12"/>
  <c r="AJ18" i="12"/>
  <c r="Z28" i="12"/>
  <c r="AB28" i="12" s="1"/>
  <c r="G18" i="65"/>
  <c r="G19" i="65" s="1"/>
  <c r="G69" i="64"/>
  <c r="C69" i="64" s="1"/>
  <c r="Z18" i="12"/>
  <c r="AB18" i="12" s="1"/>
  <c r="E69" i="65"/>
  <c r="E70" i="65" s="1"/>
  <c r="E18" i="66"/>
  <c r="E96" i="16"/>
  <c r="E98" i="16" s="1"/>
  <c r="E91" i="16"/>
  <c r="E328" i="19"/>
  <c r="E330" i="19" s="1"/>
  <c r="E575" i="16"/>
  <c r="D93" i="54"/>
  <c r="D21" i="59" s="1"/>
  <c r="D94" i="54"/>
  <c r="I480" i="34"/>
  <c r="Y17" i="73"/>
  <c r="AJ17" i="73"/>
  <c r="J508" i="34"/>
  <c r="E64" i="58"/>
  <c r="E66" i="58" s="1"/>
  <c r="E59" i="58"/>
  <c r="E68" i="58"/>
  <c r="C1007" i="19"/>
  <c r="C1009" i="19" s="1"/>
  <c r="E80" i="66" s="1"/>
  <c r="C138" i="16"/>
  <c r="C70" i="58"/>
  <c r="C75" i="58"/>
  <c r="C77" i="58" s="1"/>
  <c r="E94" i="16"/>
  <c r="E588" i="16"/>
  <c r="E508" i="19"/>
  <c r="E510" i="19" s="1"/>
  <c r="W19" i="12"/>
  <c r="E143" i="16"/>
  <c r="E511" i="19"/>
  <c r="E513" i="19" s="1"/>
  <c r="E589" i="16"/>
  <c r="G131" i="21"/>
  <c r="C131" i="21" s="1"/>
  <c r="G17" i="66"/>
  <c r="G68" i="65"/>
  <c r="I203" i="34"/>
  <c r="C54" i="59"/>
  <c r="C28" i="59"/>
  <c r="H211" i="34" s="1"/>
  <c r="C47" i="59"/>
  <c r="C40" i="59"/>
  <c r="C20" i="59"/>
  <c r="C6" i="59"/>
  <c r="I202" i="34"/>
  <c r="C13" i="59"/>
  <c r="F19" i="66" l="1"/>
  <c r="F68" i="66"/>
  <c r="F70" i="66" s="1"/>
  <c r="C68" i="65"/>
  <c r="Y19" i="73"/>
  <c r="AJ19" i="73"/>
  <c r="D358" i="19"/>
  <c r="D360" i="19" s="1"/>
  <c r="F71" i="64" s="1"/>
  <c r="F20" i="64"/>
  <c r="F46" i="64"/>
  <c r="D847" i="16"/>
  <c r="D849" i="16" s="1"/>
  <c r="D599" i="16"/>
  <c r="C535" i="19"/>
  <c r="C537" i="19" s="1"/>
  <c r="E98" i="64" s="1"/>
  <c r="W46" i="12" s="1"/>
  <c r="E46" i="64"/>
  <c r="G70" i="64"/>
  <c r="C70" i="64" s="1"/>
  <c r="C145" i="21"/>
  <c r="AJ18" i="73"/>
  <c r="G82" i="21"/>
  <c r="C82" i="21" s="1"/>
  <c r="E597" i="16"/>
  <c r="E535" i="19" s="1"/>
  <c r="E537" i="19" s="1"/>
  <c r="G98" i="64" s="1"/>
  <c r="Z19" i="12"/>
  <c r="AB19" i="12" s="1"/>
  <c r="G39" i="66"/>
  <c r="C119" i="21"/>
  <c r="AC39" i="12"/>
  <c r="AE39" i="12" s="1"/>
  <c r="Z39" i="12"/>
  <c r="AB39" i="12" s="1"/>
  <c r="W39" i="12"/>
  <c r="G45" i="21"/>
  <c r="C71" i="21"/>
  <c r="C19" i="65"/>
  <c r="Z19" i="73" s="1"/>
  <c r="AB19" i="73" s="1"/>
  <c r="Y19" i="12"/>
  <c r="AJ19" i="12"/>
  <c r="C26" i="59"/>
  <c r="E9" i="64" s="1"/>
  <c r="H206" i="34"/>
  <c r="C46" i="59"/>
  <c r="E26" i="64" s="1"/>
  <c r="D46" i="59"/>
  <c r="I206" i="34"/>
  <c r="D12" i="59"/>
  <c r="D19" i="59"/>
  <c r="D117" i="59"/>
  <c r="G68" i="66"/>
  <c r="AC28" i="12"/>
  <c r="AE28" i="12" s="1"/>
  <c r="G18" i="66"/>
  <c r="G69" i="66" s="1"/>
  <c r="G69" i="65"/>
  <c r="C69" i="65" s="1"/>
  <c r="H201" i="34"/>
  <c r="C5" i="59"/>
  <c r="E6" i="64" s="1"/>
  <c r="D26" i="59"/>
  <c r="I204" i="34"/>
  <c r="D39" i="59"/>
  <c r="I205" i="34"/>
  <c r="H202" i="34"/>
  <c r="C12" i="59"/>
  <c r="E7" i="64" s="1"/>
  <c r="H203" i="34"/>
  <c r="C19" i="59"/>
  <c r="E8" i="64" s="1"/>
  <c r="D53" i="59"/>
  <c r="I207" i="34"/>
  <c r="E69" i="66"/>
  <c r="E70" i="66" s="1"/>
  <c r="AC18" i="12"/>
  <c r="AE18" i="12" s="1"/>
  <c r="C17" i="66"/>
  <c r="AC17" i="73" s="1"/>
  <c r="AE17" i="73" s="1"/>
  <c r="H205" i="34"/>
  <c r="C39" i="59"/>
  <c r="E25" i="64" s="1"/>
  <c r="H207" i="34"/>
  <c r="C53" i="59"/>
  <c r="E27" i="64" s="1"/>
  <c r="C331" i="19"/>
  <c r="C333" i="19" s="1"/>
  <c r="C140" i="16"/>
  <c r="C576" i="16"/>
  <c r="C585" i="16" s="1"/>
  <c r="C145" i="16"/>
  <c r="C147" i="16" s="1"/>
  <c r="C18" i="65"/>
  <c r="Z18" i="73" s="1"/>
  <c r="AB18" i="73" s="1"/>
  <c r="D5" i="59"/>
  <c r="I201" i="34"/>
  <c r="E19" i="66"/>
  <c r="AE17" i="12"/>
  <c r="E70" i="58"/>
  <c r="E75" i="58"/>
  <c r="E77" i="58" s="1"/>
  <c r="E138" i="16"/>
  <c r="C117" i="59"/>
  <c r="C68" i="66" l="1"/>
  <c r="F27" i="64"/>
  <c r="F26" i="64"/>
  <c r="F25" i="64"/>
  <c r="F9" i="64"/>
  <c r="F8" i="64"/>
  <c r="F7" i="64"/>
  <c r="C98" i="64"/>
  <c r="W46" i="73" s="1"/>
  <c r="G39" i="65"/>
  <c r="E847" i="16"/>
  <c r="E849" i="16" s="1"/>
  <c r="G46" i="64"/>
  <c r="C46" i="64" s="1"/>
  <c r="G70" i="65"/>
  <c r="C70" i="65" s="1"/>
  <c r="AJ39" i="12"/>
  <c r="Y39" i="12"/>
  <c r="E1074" i="19"/>
  <c r="E1076" i="19" s="1"/>
  <c r="G91" i="66" s="1"/>
  <c r="C91" i="66" s="1"/>
  <c r="AC39" i="73" s="1"/>
  <c r="AE39" i="73" s="1"/>
  <c r="C39" i="66"/>
  <c r="G39" i="64"/>
  <c r="C45" i="21"/>
  <c r="E140" i="16"/>
  <c r="E145" i="16"/>
  <c r="E147" i="16" s="1"/>
  <c r="E331" i="19"/>
  <c r="E333" i="19" s="1"/>
  <c r="E576" i="16"/>
  <c r="E585" i="16" s="1"/>
  <c r="E20" i="64"/>
  <c r="C358" i="19"/>
  <c r="C360" i="19" s="1"/>
  <c r="E71" i="64" s="1"/>
  <c r="C844" i="16"/>
  <c r="C846" i="16" s="1"/>
  <c r="C599" i="16"/>
  <c r="AC19" i="12"/>
  <c r="AE19" i="12" s="1"/>
  <c r="E8" i="65"/>
  <c r="C308" i="19"/>
  <c r="C310" i="19" s="1"/>
  <c r="E59" i="64" s="1"/>
  <c r="C294" i="19"/>
  <c r="C296" i="19" s="1"/>
  <c r="E57" i="64" s="1"/>
  <c r="E6" i="65"/>
  <c r="E26" i="65"/>
  <c r="C417" i="19"/>
  <c r="C419" i="19" s="1"/>
  <c r="E78" i="64" s="1"/>
  <c r="E27" i="65"/>
  <c r="C424" i="19"/>
  <c r="C426" i="19" s="1"/>
  <c r="E79" i="64" s="1"/>
  <c r="C315" i="19"/>
  <c r="C317" i="19" s="1"/>
  <c r="E60" i="64" s="1"/>
  <c r="E9" i="65"/>
  <c r="C410" i="19"/>
  <c r="C412" i="19" s="1"/>
  <c r="E77" i="64" s="1"/>
  <c r="E25" i="65"/>
  <c r="Y46" i="12"/>
  <c r="AJ46" i="12"/>
  <c r="G70" i="66"/>
  <c r="C70" i="66" s="1"/>
  <c r="C18" i="66"/>
  <c r="AC18" i="73" s="1"/>
  <c r="AE18" i="73" s="1"/>
  <c r="C69" i="66"/>
  <c r="C301" i="19"/>
  <c r="C303" i="19" s="1"/>
  <c r="E58" i="64" s="1"/>
  <c r="E7" i="65"/>
  <c r="F6" i="64"/>
  <c r="G19" i="66"/>
  <c r="C19" i="66" s="1"/>
  <c r="AC19" i="73" s="1"/>
  <c r="AE19" i="73" s="1"/>
  <c r="F27" i="65" l="1"/>
  <c r="D424" i="19"/>
  <c r="D426" i="19" s="1"/>
  <c r="F79" i="64" s="1"/>
  <c r="W27" i="12" s="1"/>
  <c r="F26" i="65"/>
  <c r="D417" i="19"/>
  <c r="D419" i="19" s="1"/>
  <c r="F78" i="64" s="1"/>
  <c r="W26" i="12" s="1"/>
  <c r="D410" i="19"/>
  <c r="D412" i="19" s="1"/>
  <c r="F77" i="64" s="1"/>
  <c r="W25" i="12" s="1"/>
  <c r="F25" i="65"/>
  <c r="F9" i="65"/>
  <c r="D315" i="19"/>
  <c r="D317" i="19" s="1"/>
  <c r="F60" i="64" s="1"/>
  <c r="W9" i="12" s="1"/>
  <c r="D308" i="19"/>
  <c r="D310" i="19" s="1"/>
  <c r="F59" i="64" s="1"/>
  <c r="W8" i="12" s="1"/>
  <c r="F8" i="65"/>
  <c r="D301" i="19"/>
  <c r="D303" i="19" s="1"/>
  <c r="F58" i="64" s="1"/>
  <c r="W7" i="12" s="1"/>
  <c r="F7" i="65"/>
  <c r="Y46" i="73"/>
  <c r="AJ46" i="73"/>
  <c r="E786" i="19"/>
  <c r="E788" i="19" s="1"/>
  <c r="G91" i="65" s="1"/>
  <c r="C91" i="65" s="1"/>
  <c r="Z39" i="73" s="1"/>
  <c r="AB39" i="73" s="1"/>
  <c r="C39" i="65"/>
  <c r="E498" i="19"/>
  <c r="E500" i="19" s="1"/>
  <c r="G91" i="64" s="1"/>
  <c r="C91" i="64" s="1"/>
  <c r="W39" i="73" s="1"/>
  <c r="C39" i="64"/>
  <c r="C705" i="19"/>
  <c r="C707" i="19" s="1"/>
  <c r="E78" i="65" s="1"/>
  <c r="E26" i="66"/>
  <c r="E25" i="66"/>
  <c r="C698" i="19"/>
  <c r="C700" i="19" s="1"/>
  <c r="E77" i="65" s="1"/>
  <c r="E5" i="64"/>
  <c r="E7" i="66"/>
  <c r="C589" i="19"/>
  <c r="C591" i="19" s="1"/>
  <c r="E58" i="65" s="1"/>
  <c r="E9" i="66"/>
  <c r="C603" i="19"/>
  <c r="C605" i="19" s="1"/>
  <c r="E60" i="65" s="1"/>
  <c r="C582" i="19"/>
  <c r="C584" i="19" s="1"/>
  <c r="E57" i="65" s="1"/>
  <c r="E6" i="66"/>
  <c r="E27" i="66"/>
  <c r="C712" i="19"/>
  <c r="C714" i="19" s="1"/>
  <c r="E79" i="65" s="1"/>
  <c r="C596" i="19"/>
  <c r="C598" i="19" s="1"/>
  <c r="E59" i="65" s="1"/>
  <c r="E8" i="66"/>
  <c r="W20" i="12"/>
  <c r="E56" i="64"/>
  <c r="E358" i="19"/>
  <c r="E360" i="19" s="1"/>
  <c r="G71" i="64" s="1"/>
  <c r="E599" i="16"/>
  <c r="E844" i="16"/>
  <c r="E846" i="16" s="1"/>
  <c r="G20" i="64"/>
  <c r="D294" i="19"/>
  <c r="D296" i="19" s="1"/>
  <c r="F57" i="64" s="1"/>
  <c r="F6" i="65"/>
  <c r="F5" i="64"/>
  <c r="F27" i="66" l="1"/>
  <c r="D1000" i="19" s="1"/>
  <c r="D1002" i="19" s="1"/>
  <c r="F79" i="66" s="1"/>
  <c r="D712" i="19"/>
  <c r="D714" i="19" s="1"/>
  <c r="F79" i="65" s="1"/>
  <c r="Z27" i="12" s="1"/>
  <c r="AB27" i="12" s="1"/>
  <c r="D705" i="19"/>
  <c r="D707" i="19" s="1"/>
  <c r="F78" i="65" s="1"/>
  <c r="Z26" i="12" s="1"/>
  <c r="F26" i="66"/>
  <c r="D993" i="19" s="1"/>
  <c r="D995" i="19" s="1"/>
  <c r="F78" i="66" s="1"/>
  <c r="F25" i="66"/>
  <c r="D986" i="19" s="1"/>
  <c r="D988" i="19" s="1"/>
  <c r="F77" i="66" s="1"/>
  <c r="D698" i="19"/>
  <c r="D700" i="19" s="1"/>
  <c r="F77" i="65" s="1"/>
  <c r="Z25" i="12" s="1"/>
  <c r="AB25" i="12" s="1"/>
  <c r="F56" i="64"/>
  <c r="F9" i="66"/>
  <c r="D891" i="19" s="1"/>
  <c r="D893" i="19" s="1"/>
  <c r="F60" i="66" s="1"/>
  <c r="D603" i="19"/>
  <c r="D605" i="19" s="1"/>
  <c r="F60" i="65" s="1"/>
  <c r="Z9" i="12" s="1"/>
  <c r="AB9" i="12" s="1"/>
  <c r="F8" i="66"/>
  <c r="D884" i="19" s="1"/>
  <c r="D886" i="19" s="1"/>
  <c r="F59" i="66" s="1"/>
  <c r="D596" i="19"/>
  <c r="D598" i="19" s="1"/>
  <c r="F59" i="65" s="1"/>
  <c r="Z8" i="12" s="1"/>
  <c r="AB8" i="12" s="1"/>
  <c r="F7" i="66"/>
  <c r="D877" i="19" s="1"/>
  <c r="D879" i="19" s="1"/>
  <c r="F58" i="66" s="1"/>
  <c r="D589" i="19"/>
  <c r="D591" i="19" s="1"/>
  <c r="F58" i="65" s="1"/>
  <c r="W6" i="12"/>
  <c r="Y6" i="12" s="1"/>
  <c r="AJ39" i="73"/>
  <c r="Y39" i="73"/>
  <c r="Z7" i="12"/>
  <c r="AB7" i="12" s="1"/>
  <c r="Y8" i="12"/>
  <c r="AJ8" i="12"/>
  <c r="F50" i="78"/>
  <c r="F52" i="78" s="1"/>
  <c r="F50" i="79"/>
  <c r="F52" i="79" s="1"/>
  <c r="C877" i="19"/>
  <c r="C879" i="19" s="1"/>
  <c r="E58" i="66" s="1"/>
  <c r="F6" i="66"/>
  <c r="D582" i="19"/>
  <c r="D584" i="19" s="1"/>
  <c r="F57" i="65" s="1"/>
  <c r="F5" i="65"/>
  <c r="C986" i="19"/>
  <c r="C988" i="19" s="1"/>
  <c r="E77" i="66" s="1"/>
  <c r="Y27" i="12"/>
  <c r="AJ27" i="12"/>
  <c r="Y26" i="12"/>
  <c r="AJ26" i="12"/>
  <c r="Y20" i="12"/>
  <c r="AJ20" i="12"/>
  <c r="Y25" i="12"/>
  <c r="AJ25" i="12"/>
  <c r="C884" i="19"/>
  <c r="C886" i="19" s="1"/>
  <c r="E59" i="66" s="1"/>
  <c r="E5" i="66"/>
  <c r="C870" i="19"/>
  <c r="C872" i="19" s="1"/>
  <c r="E57" i="66" s="1"/>
  <c r="C993" i="19"/>
  <c r="C995" i="19" s="1"/>
  <c r="E78" i="66" s="1"/>
  <c r="C891" i="19"/>
  <c r="C893" i="19" s="1"/>
  <c r="E60" i="66" s="1"/>
  <c r="Y9" i="12"/>
  <c r="AJ9" i="12"/>
  <c r="E50" i="79"/>
  <c r="E50" i="78"/>
  <c r="Y7" i="12"/>
  <c r="AJ7" i="12"/>
  <c r="C20" i="64"/>
  <c r="E135" i="71"/>
  <c r="E10" i="30"/>
  <c r="C1000" i="19"/>
  <c r="C1002" i="19" s="1"/>
  <c r="E79" i="66" s="1"/>
  <c r="C71" i="64"/>
  <c r="W20" i="73" s="1"/>
  <c r="D95" i="59"/>
  <c r="C68" i="59"/>
  <c r="I265" i="34" l="1"/>
  <c r="F56" i="65"/>
  <c r="F10" i="30"/>
  <c r="F135" i="71"/>
  <c r="W23" i="12"/>
  <c r="AJ6" i="12"/>
  <c r="Z6" i="12"/>
  <c r="AC8" i="12"/>
  <c r="AE8" i="12" s="1"/>
  <c r="AC27" i="12"/>
  <c r="AE27" i="12" s="1"/>
  <c r="E138" i="79"/>
  <c r="E138" i="78"/>
  <c r="H209" i="34"/>
  <c r="C67" i="59"/>
  <c r="E29" i="64" s="1"/>
  <c r="C116" i="59"/>
  <c r="AB26" i="12"/>
  <c r="F94" i="79"/>
  <c r="F96" i="79" s="1"/>
  <c r="F94" i="78"/>
  <c r="F96" i="78" s="1"/>
  <c r="E52" i="79"/>
  <c r="E56" i="66"/>
  <c r="E137" i="71"/>
  <c r="AC9" i="12"/>
  <c r="AE9" i="12" s="1"/>
  <c r="D870" i="19"/>
  <c r="D872" i="19" s="1"/>
  <c r="F57" i="66" s="1"/>
  <c r="F56" i="66" s="1"/>
  <c r="F5" i="66"/>
  <c r="AC7" i="12"/>
  <c r="AE7" i="12" s="1"/>
  <c r="AC25" i="12"/>
  <c r="AE25" i="12" s="1"/>
  <c r="AC26" i="12"/>
  <c r="E52" i="78"/>
  <c r="Y20" i="73"/>
  <c r="AJ20" i="73"/>
  <c r="Y23" i="12" l="1"/>
  <c r="F15" i="30"/>
  <c r="F203" i="71"/>
  <c r="F186" i="71"/>
  <c r="F137" i="71"/>
  <c r="AJ23" i="12"/>
  <c r="AB6" i="12"/>
  <c r="AC6" i="12"/>
  <c r="AE6" i="12" s="1"/>
  <c r="C118" i="59"/>
  <c r="E59" i="21" s="1"/>
  <c r="E96" i="21" s="1"/>
  <c r="F267" i="71"/>
  <c r="F20" i="30"/>
  <c r="E140" i="78"/>
  <c r="E140" i="79"/>
  <c r="F138" i="79"/>
  <c r="F140" i="79" s="1"/>
  <c r="F138" i="78"/>
  <c r="F140" i="78" s="1"/>
  <c r="AE26" i="12"/>
  <c r="E29" i="65"/>
  <c r="C438" i="19"/>
  <c r="C440" i="19" s="1"/>
  <c r="E81" i="64" s="1"/>
  <c r="E30" i="64"/>
  <c r="E20" i="30"/>
  <c r="E267" i="71"/>
  <c r="C95" i="59"/>
  <c r="H265" i="34" s="1"/>
  <c r="F250" i="71" l="1"/>
  <c r="F205" i="71"/>
  <c r="D41" i="75"/>
  <c r="F188" i="71"/>
  <c r="AC23" i="12"/>
  <c r="AE23" i="12" s="1"/>
  <c r="E55" i="21"/>
  <c r="E29" i="66"/>
  <c r="C726" i="19"/>
  <c r="C728" i="19" s="1"/>
  <c r="E81" i="65" s="1"/>
  <c r="E30" i="65"/>
  <c r="E82" i="64"/>
  <c r="D67" i="59"/>
  <c r="I209" i="34"/>
  <c r="D116" i="59"/>
  <c r="E269" i="71"/>
  <c r="E310" i="71"/>
  <c r="E92" i="21"/>
  <c r="E133" i="21"/>
  <c r="F310" i="71"/>
  <c r="F312" i="71" s="1"/>
  <c r="F269" i="71"/>
  <c r="E95" i="59"/>
  <c r="J265" i="34" s="1"/>
  <c r="F252" i="71" l="1"/>
  <c r="D73" i="75"/>
  <c r="D59" i="75"/>
  <c r="D61" i="75" s="1"/>
  <c r="D43" i="75"/>
  <c r="E51" i="21"/>
  <c r="E47" i="21" s="1"/>
  <c r="E42" i="21"/>
  <c r="E37" i="64" s="1"/>
  <c r="D118" i="59"/>
  <c r="F29" i="64"/>
  <c r="E129" i="21"/>
  <c r="E88" i="21"/>
  <c r="E79" i="21"/>
  <c r="E312" i="71"/>
  <c r="AC82" i="12"/>
  <c r="E82" i="65"/>
  <c r="C1014" i="19"/>
  <c r="C1016" i="19" s="1"/>
  <c r="E81" i="66" s="1"/>
  <c r="E30" i="66"/>
  <c r="D75" i="75" l="1"/>
  <c r="D91" i="75"/>
  <c r="D93" i="75" s="1"/>
  <c r="F59" i="21"/>
  <c r="E37" i="65"/>
  <c r="F212" i="71"/>
  <c r="F103" i="78"/>
  <c r="F103" i="79"/>
  <c r="E84" i="21"/>
  <c r="C484" i="19"/>
  <c r="C486" i="19" s="1"/>
  <c r="E89" i="64" s="1"/>
  <c r="AE82" i="12"/>
  <c r="AE89" i="12" s="1"/>
  <c r="E82" i="66"/>
  <c r="E116" i="21"/>
  <c r="E125" i="21"/>
  <c r="D438" i="19"/>
  <c r="D440" i="19" s="1"/>
  <c r="F81" i="64" s="1"/>
  <c r="W29" i="12" s="1"/>
  <c r="F29" i="65"/>
  <c r="F30" i="64"/>
  <c r="C75" i="59"/>
  <c r="F55" i="21" l="1"/>
  <c r="F96" i="21"/>
  <c r="W30" i="12"/>
  <c r="AJ29" i="12"/>
  <c r="Y29" i="12"/>
  <c r="C772" i="19"/>
  <c r="C774" i="19" s="1"/>
  <c r="E89" i="65" s="1"/>
  <c r="F147" i="78"/>
  <c r="F276" i="71"/>
  <c r="F147" i="79"/>
  <c r="E121" i="21"/>
  <c r="E37" i="66"/>
  <c r="D162" i="13"/>
  <c r="H253" i="34"/>
  <c r="D726" i="19"/>
  <c r="D728" i="19" s="1"/>
  <c r="F81" i="65" s="1"/>
  <c r="Z29" i="12" s="1"/>
  <c r="F29" i="66"/>
  <c r="F30" i="65"/>
  <c r="F82" i="64"/>
  <c r="F34" i="64"/>
  <c r="F36" i="64"/>
  <c r="F35" i="64"/>
  <c r="C87" i="59"/>
  <c r="E33" i="64" s="1"/>
  <c r="F133" i="21" l="1"/>
  <c r="F129" i="21" s="1"/>
  <c r="F92" i="21"/>
  <c r="F51" i="21"/>
  <c r="F47" i="21" s="1"/>
  <c r="F42" i="21"/>
  <c r="F37" i="64" s="1"/>
  <c r="D484" i="19" s="1"/>
  <c r="D486" i="19" s="1"/>
  <c r="F89" i="64" s="1"/>
  <c r="W37" i="12" s="1"/>
  <c r="Y37" i="12" s="1"/>
  <c r="Z30" i="12"/>
  <c r="AB30" i="12" s="1"/>
  <c r="AB29" i="12"/>
  <c r="Y30" i="12"/>
  <c r="AJ30" i="12"/>
  <c r="I255" i="34"/>
  <c r="F34" i="65"/>
  <c r="D455" i="19"/>
  <c r="D457" i="19" s="1"/>
  <c r="F86" i="64" s="1"/>
  <c r="C1060" i="19"/>
  <c r="C1062" i="19" s="1"/>
  <c r="E89" i="66" s="1"/>
  <c r="D1014" i="19"/>
  <c r="D1016" i="19" s="1"/>
  <c r="F81" i="66" s="1"/>
  <c r="AC29" i="12" s="1"/>
  <c r="F30" i="66"/>
  <c r="F82" i="65"/>
  <c r="F36" i="65"/>
  <c r="D461" i="19"/>
  <c r="D463" i="19" s="1"/>
  <c r="F88" i="64" s="1"/>
  <c r="E33" i="65"/>
  <c r="C452" i="19"/>
  <c r="F35" i="65"/>
  <c r="D458" i="19"/>
  <c r="D460" i="19" s="1"/>
  <c r="F87" i="64" s="1"/>
  <c r="I253" i="34"/>
  <c r="F33" i="64"/>
  <c r="C88" i="59"/>
  <c r="E34" i="64" s="1"/>
  <c r="C76" i="59"/>
  <c r="C90" i="59"/>
  <c r="E36" i="64" s="1"/>
  <c r="C78" i="59"/>
  <c r="C89" i="59"/>
  <c r="E35" i="64" s="1"/>
  <c r="C77" i="59"/>
  <c r="F116" i="21" l="1"/>
  <c r="F37" i="66" s="1"/>
  <c r="F125" i="21"/>
  <c r="F121" i="21" s="1"/>
  <c r="F88" i="21"/>
  <c r="F84" i="21" s="1"/>
  <c r="F79" i="21"/>
  <c r="F37" i="65" s="1"/>
  <c r="D772" i="19" s="1"/>
  <c r="D774" i="19" s="1"/>
  <c r="F89" i="65" s="1"/>
  <c r="Z37" i="12" s="1"/>
  <c r="AB37" i="12" s="1"/>
  <c r="AE29" i="12"/>
  <c r="AC30" i="12"/>
  <c r="AE30" i="12" s="1"/>
  <c r="AJ37" i="12"/>
  <c r="I256" i="34"/>
  <c r="I254" i="34"/>
  <c r="H255" i="34"/>
  <c r="H256" i="34"/>
  <c r="D452" i="19"/>
  <c r="F32" i="64"/>
  <c r="F40" i="64" s="1"/>
  <c r="F24" i="64" s="1"/>
  <c r="F33" i="65"/>
  <c r="D74" i="59"/>
  <c r="D91" i="59"/>
  <c r="C458" i="19"/>
  <c r="C460" i="19" s="1"/>
  <c r="E87" i="64" s="1"/>
  <c r="E35" i="65"/>
  <c r="F35" i="66"/>
  <c r="D1034" i="19" s="1"/>
  <c r="D1036" i="19" s="1"/>
  <c r="F87" i="66" s="1"/>
  <c r="D746" i="19"/>
  <c r="D748" i="19" s="1"/>
  <c r="F87" i="65" s="1"/>
  <c r="E32" i="64"/>
  <c r="F82" i="66"/>
  <c r="C461" i="19"/>
  <c r="C463" i="19" s="1"/>
  <c r="E88" i="64" s="1"/>
  <c r="E36" i="65"/>
  <c r="H254" i="34"/>
  <c r="C91" i="59"/>
  <c r="C74" i="59"/>
  <c r="C455" i="19"/>
  <c r="C457" i="19" s="1"/>
  <c r="E86" i="64" s="1"/>
  <c r="C454" i="19"/>
  <c r="E85" i="64" s="1"/>
  <c r="F36" i="66"/>
  <c r="D1037" i="19" s="1"/>
  <c r="D1039" i="19" s="1"/>
  <c r="F88" i="66" s="1"/>
  <c r="D749" i="19"/>
  <c r="D751" i="19" s="1"/>
  <c r="F88" i="65" s="1"/>
  <c r="E33" i="66"/>
  <c r="C740" i="19"/>
  <c r="F34" i="66"/>
  <c r="D1031" i="19" s="1"/>
  <c r="D1033" i="19" s="1"/>
  <c r="F86" i="66" s="1"/>
  <c r="D743" i="19"/>
  <c r="D745" i="19" s="1"/>
  <c r="F86" i="65" s="1"/>
  <c r="C464" i="19" l="1"/>
  <c r="C466" i="19" s="1"/>
  <c r="E32" i="65"/>
  <c r="E40" i="65" s="1"/>
  <c r="W34" i="12"/>
  <c r="E40" i="64"/>
  <c r="C743" i="19"/>
  <c r="C745" i="19" s="1"/>
  <c r="E86" i="65" s="1"/>
  <c r="D1060" i="19"/>
  <c r="D1062" i="19" s="1"/>
  <c r="F89" i="66" s="1"/>
  <c r="AC37" i="12" s="1"/>
  <c r="AE37" i="12" s="1"/>
  <c r="E35" i="66"/>
  <c r="C746" i="19"/>
  <c r="C748" i="19" s="1"/>
  <c r="E87" i="65" s="1"/>
  <c r="C742" i="19"/>
  <c r="E85" i="65" s="1"/>
  <c r="W35" i="12"/>
  <c r="F32" i="65"/>
  <c r="F40" i="65" s="1"/>
  <c r="F24" i="65" s="1"/>
  <c r="F33" i="66"/>
  <c r="D740" i="19"/>
  <c r="C749" i="19"/>
  <c r="C751" i="19" s="1"/>
  <c r="E88" i="65" s="1"/>
  <c r="E36" i="66"/>
  <c r="C1028" i="19"/>
  <c r="W36" i="12"/>
  <c r="F53" i="78"/>
  <c r="F55" i="78" s="1"/>
  <c r="F53" i="79"/>
  <c r="F55" i="79" s="1"/>
  <c r="F50" i="64"/>
  <c r="E84" i="64"/>
  <c r="D464" i="19"/>
  <c r="D466" i="19" s="1"/>
  <c r="D454" i="19"/>
  <c r="F85" i="64" s="1"/>
  <c r="F84" i="64" s="1"/>
  <c r="F92" i="64" s="1"/>
  <c r="F76" i="64" s="1"/>
  <c r="W33" i="12" l="1"/>
  <c r="W32" i="12" s="1"/>
  <c r="F32" i="66"/>
  <c r="F40" i="66" s="1"/>
  <c r="F24" i="66" s="1"/>
  <c r="D1028" i="19"/>
  <c r="D752" i="19"/>
  <c r="D754" i="19" s="1"/>
  <c r="D742" i="19"/>
  <c r="F85" i="65" s="1"/>
  <c r="E92" i="64"/>
  <c r="F97" i="78"/>
  <c r="F99" i="78" s="1"/>
  <c r="F97" i="79"/>
  <c r="F99" i="79" s="1"/>
  <c r="F50" i="65"/>
  <c r="F56" i="79"/>
  <c r="F56" i="78"/>
  <c r="Y35" i="12"/>
  <c r="AJ35" i="12"/>
  <c r="C752" i="19"/>
  <c r="C754" i="19" s="1"/>
  <c r="E84" i="65"/>
  <c r="Z34" i="12"/>
  <c r="AB34" i="12" s="1"/>
  <c r="Y36" i="12"/>
  <c r="AJ36" i="12"/>
  <c r="C1031" i="19"/>
  <c r="C1033" i="19" s="1"/>
  <c r="E86" i="66" s="1"/>
  <c r="E32" i="66"/>
  <c r="Z35" i="12"/>
  <c r="AB35" i="12" s="1"/>
  <c r="E24" i="64"/>
  <c r="F11" i="30"/>
  <c r="F12" i="30" s="1"/>
  <c r="F138" i="71"/>
  <c r="F102" i="64"/>
  <c r="F141" i="71" s="1"/>
  <c r="F143" i="71" s="1"/>
  <c r="C1030" i="19"/>
  <c r="E85" i="66" s="1"/>
  <c r="C1034" i="19"/>
  <c r="C1036" i="19" s="1"/>
  <c r="E87" i="66" s="1"/>
  <c r="C1037" i="19"/>
  <c r="C1039" i="19" s="1"/>
  <c r="E88" i="66" s="1"/>
  <c r="Y34" i="12"/>
  <c r="AJ34" i="12"/>
  <c r="Z36" i="12"/>
  <c r="AB36" i="12" s="1"/>
  <c r="F84" i="65" l="1"/>
  <c r="F92" i="65" s="1"/>
  <c r="F76" i="65" s="1"/>
  <c r="Z33" i="12"/>
  <c r="AJ33" i="12"/>
  <c r="Y33" i="12"/>
  <c r="AC34" i="12"/>
  <c r="AE34" i="12" s="1"/>
  <c r="F86" i="79"/>
  <c r="F58" i="79"/>
  <c r="F71" i="79" s="1"/>
  <c r="F72" i="79" s="1"/>
  <c r="F100" i="79"/>
  <c r="F100" i="78"/>
  <c r="E40" i="66"/>
  <c r="AC35" i="12"/>
  <c r="AE35" i="12" s="1"/>
  <c r="C1040" i="19"/>
  <c r="C1042" i="19" s="1"/>
  <c r="E76" i="64"/>
  <c r="E84" i="66"/>
  <c r="F148" i="71"/>
  <c r="F150" i="71"/>
  <c r="F189" i="71"/>
  <c r="F140" i="71"/>
  <c r="E92" i="65"/>
  <c r="E53" i="79"/>
  <c r="E53" i="78"/>
  <c r="E50" i="64"/>
  <c r="D1040" i="19"/>
  <c r="D1042" i="19" s="1"/>
  <c r="D1030" i="19"/>
  <c r="F85" i="66" s="1"/>
  <c r="F84" i="66" s="1"/>
  <c r="F92" i="66" s="1"/>
  <c r="F76" i="66" s="1"/>
  <c r="F141" i="78"/>
  <c r="F143" i="78" s="1"/>
  <c r="F141" i="79"/>
  <c r="F143" i="79" s="1"/>
  <c r="F50" i="66"/>
  <c r="AC36" i="12"/>
  <c r="AE36" i="12" s="1"/>
  <c r="F58" i="78"/>
  <c r="F71" i="78" s="1"/>
  <c r="F72" i="78" s="1"/>
  <c r="F88" i="78"/>
  <c r="F92" i="78" s="1"/>
  <c r="F85" i="78"/>
  <c r="F86" i="78" s="1"/>
  <c r="Y32" i="12"/>
  <c r="AJ32" i="12"/>
  <c r="W40" i="12"/>
  <c r="F206" i="71" l="1"/>
  <c r="F16" i="30"/>
  <c r="F17" i="30" s="1"/>
  <c r="F102" i="65"/>
  <c r="F209" i="71" s="1"/>
  <c r="F211" i="71" s="1"/>
  <c r="AB33" i="12"/>
  <c r="Z32" i="12"/>
  <c r="AC33" i="12"/>
  <c r="AE33" i="12" s="1"/>
  <c r="F102" i="66"/>
  <c r="F273" i="71" s="1"/>
  <c r="F275" i="71" s="1"/>
  <c r="F21" i="30"/>
  <c r="F22" i="30" s="1"/>
  <c r="F270" i="71"/>
  <c r="F191" i="71"/>
  <c r="F192" i="71" s="1"/>
  <c r="D44" i="75"/>
  <c r="E24" i="66"/>
  <c r="Y40" i="12"/>
  <c r="AJ40" i="12"/>
  <c r="W49" i="12"/>
  <c r="E56" i="79"/>
  <c r="E56" i="78"/>
  <c r="W51" i="12"/>
  <c r="F102" i="78"/>
  <c r="E55" i="78"/>
  <c r="F130" i="79"/>
  <c r="F102" i="79"/>
  <c r="E92" i="66"/>
  <c r="F144" i="79"/>
  <c r="F144" i="78"/>
  <c r="E138" i="71"/>
  <c r="E11" i="30"/>
  <c r="E102" i="64"/>
  <c r="E55" i="79"/>
  <c r="F151" i="71"/>
  <c r="F160" i="71" s="1"/>
  <c r="F149" i="71"/>
  <c r="G308" i="16" l="1"/>
  <c r="I306" i="16" s="1"/>
  <c r="I307" i="16"/>
  <c r="AB32" i="12"/>
  <c r="Z40" i="12"/>
  <c r="F253" i="71"/>
  <c r="F208" i="71"/>
  <c r="AC32" i="12"/>
  <c r="AE32" i="12" s="1"/>
  <c r="E58" i="78"/>
  <c r="E85" i="78"/>
  <c r="E86" i="78" s="1"/>
  <c r="E88" i="78"/>
  <c r="F146" i="78"/>
  <c r="D46" i="75"/>
  <c r="D47" i="75" s="1"/>
  <c r="D62" i="75"/>
  <c r="Y51" i="12"/>
  <c r="AJ51" i="12"/>
  <c r="E141" i="71"/>
  <c r="E58" i="79"/>
  <c r="E86" i="79"/>
  <c r="E12" i="30"/>
  <c r="Y49" i="12"/>
  <c r="Y52" i="12" s="1"/>
  <c r="Y73" i="12" s="1"/>
  <c r="AJ49" i="12"/>
  <c r="W52" i="12"/>
  <c r="AJ52" i="12" s="1"/>
  <c r="E140" i="71"/>
  <c r="E141" i="79"/>
  <c r="E141" i="78"/>
  <c r="E50" i="66"/>
  <c r="F174" i="79"/>
  <c r="F146" i="79"/>
  <c r="E76" i="66"/>
  <c r="F313" i="71"/>
  <c r="F315" i="71" s="1"/>
  <c r="F316" i="71" s="1"/>
  <c r="F272" i="71"/>
  <c r="E43" i="59"/>
  <c r="J230" i="34" s="1"/>
  <c r="E50" i="59"/>
  <c r="J231" i="34" s="1"/>
  <c r="E42" i="59"/>
  <c r="J221" i="34" s="1"/>
  <c r="E29" i="59"/>
  <c r="J220" i="34" s="1"/>
  <c r="E51" i="59"/>
  <c r="J240" i="34" s="1"/>
  <c r="E64" i="59"/>
  <c r="J233" i="34" s="1"/>
  <c r="E79" i="59"/>
  <c r="E82" i="59"/>
  <c r="E32" i="59"/>
  <c r="J247" i="34" s="1"/>
  <c r="E55" i="59"/>
  <c r="J214" i="34" s="1"/>
  <c r="E84" i="59"/>
  <c r="E45" i="59"/>
  <c r="J248" i="34" s="1"/>
  <c r="E80" i="59"/>
  <c r="E83" i="59"/>
  <c r="E72" i="59"/>
  <c r="J243" i="34" s="1"/>
  <c r="E44" i="59"/>
  <c r="J239" i="34" s="1"/>
  <c r="E24" i="59"/>
  <c r="J237" i="34" s="1"/>
  <c r="E10" i="59"/>
  <c r="J235" i="34" s="1"/>
  <c r="E69" i="59"/>
  <c r="J216" i="34" s="1"/>
  <c r="E31" i="59"/>
  <c r="J238" i="34" s="1"/>
  <c r="E56" i="59"/>
  <c r="J223" i="34" s="1"/>
  <c r="E66" i="59"/>
  <c r="J251" i="34" s="1"/>
  <c r="E9" i="59"/>
  <c r="J226" i="34" s="1"/>
  <c r="E73" i="59"/>
  <c r="J252" i="34" s="1"/>
  <c r="E58" i="59"/>
  <c r="J241" i="34" s="1"/>
  <c r="E59" i="59"/>
  <c r="J250" i="34" s="1"/>
  <c r="E63" i="59"/>
  <c r="J224" i="34" s="1"/>
  <c r="E41" i="59"/>
  <c r="J212" i="34" s="1"/>
  <c r="E65" i="59"/>
  <c r="J242" i="34" s="1"/>
  <c r="E23" i="59"/>
  <c r="J228" i="34" s="1"/>
  <c r="E8" i="59"/>
  <c r="J217" i="34" s="1"/>
  <c r="E52" i="59"/>
  <c r="J249" i="34" s="1"/>
  <c r="E62" i="59"/>
  <c r="J215" i="34" s="1"/>
  <c r="E71" i="59"/>
  <c r="J234" i="34" s="1"/>
  <c r="E28" i="59"/>
  <c r="J211" i="34" s="1"/>
  <c r="E70" i="59"/>
  <c r="J225" i="34" s="1"/>
  <c r="E25" i="59"/>
  <c r="J246" i="34" s="1"/>
  <c r="E106" i="54"/>
  <c r="E107" i="54" s="1"/>
  <c r="E108" i="54" s="1"/>
  <c r="E22" i="59"/>
  <c r="J219" i="34" s="1"/>
  <c r="E81" i="59"/>
  <c r="I308" i="16" l="1"/>
  <c r="AB40" i="12"/>
  <c r="D76" i="75"/>
  <c r="F255" i="71"/>
  <c r="F256" i="71" s="1"/>
  <c r="AC40" i="12"/>
  <c r="AE40" i="12" s="1"/>
  <c r="J261" i="34"/>
  <c r="J258" i="34"/>
  <c r="J259" i="34"/>
  <c r="J262" i="34"/>
  <c r="J260" i="34"/>
  <c r="J257" i="34"/>
  <c r="E143" i="71"/>
  <c r="E270" i="71"/>
  <c r="E21" i="30"/>
  <c r="E102" i="66"/>
  <c r="E109" i="54"/>
  <c r="E14" i="59" s="1"/>
  <c r="E110" i="54"/>
  <c r="J484" i="34"/>
  <c r="Y79" i="12"/>
  <c r="Y77" i="12"/>
  <c r="E92" i="78"/>
  <c r="E71" i="78"/>
  <c r="E72" i="78" s="1"/>
  <c r="E144" i="79"/>
  <c r="E144" i="78"/>
  <c r="AC51" i="12"/>
  <c r="AE51" i="12" s="1"/>
  <c r="E71" i="79"/>
  <c r="E72" i="79" s="1"/>
  <c r="E143" i="78"/>
  <c r="E143" i="79"/>
  <c r="D64" i="75"/>
  <c r="D65" i="75"/>
  <c r="E47" i="59"/>
  <c r="E13" i="59"/>
  <c r="J202" i="34" s="1"/>
  <c r="E75" i="59"/>
  <c r="E76" i="59"/>
  <c r="E27" i="59"/>
  <c r="E20" i="59"/>
  <c r="J203" i="34" s="1"/>
  <c r="E7" i="59"/>
  <c r="Y80" i="12" l="1"/>
  <c r="D94" i="75"/>
  <c r="D78" i="75"/>
  <c r="D79" i="75" s="1"/>
  <c r="AC49" i="12"/>
  <c r="AC52" i="12" s="1"/>
  <c r="J254" i="34"/>
  <c r="E22" i="30"/>
  <c r="F104" i="79"/>
  <c r="F105" i="79" s="1"/>
  <c r="F115" i="79" s="1"/>
  <c r="F116" i="79" s="1"/>
  <c r="F213" i="71"/>
  <c r="F104" i="78"/>
  <c r="F105" i="78" s="1"/>
  <c r="F115" i="78" s="1"/>
  <c r="F116" i="78" s="1"/>
  <c r="J206" i="34"/>
  <c r="D67" i="75"/>
  <c r="F128" i="78"/>
  <c r="F172" i="78" s="1"/>
  <c r="D363" i="13"/>
  <c r="E273" i="71"/>
  <c r="E146" i="78"/>
  <c r="J204" i="34"/>
  <c r="E150" i="71"/>
  <c r="E148" i="71"/>
  <c r="J210" i="34"/>
  <c r="E313" i="71"/>
  <c r="E272" i="71"/>
  <c r="E174" i="79"/>
  <c r="E146" i="79"/>
  <c r="J253" i="34"/>
  <c r="E85" i="59"/>
  <c r="E16" i="59"/>
  <c r="J227" i="34" s="1"/>
  <c r="E15" i="59"/>
  <c r="J218" i="34" s="1"/>
  <c r="E86" i="59"/>
  <c r="E78" i="59"/>
  <c r="E77" i="59"/>
  <c r="E49" i="59"/>
  <c r="J222" i="34" s="1"/>
  <c r="E18" i="59"/>
  <c r="J245" i="34" s="1"/>
  <c r="E6" i="59"/>
  <c r="E54" i="59"/>
  <c r="E57" i="59"/>
  <c r="J232" i="34" s="1"/>
  <c r="E61" i="59"/>
  <c r="E30" i="59"/>
  <c r="J229" i="34" s="1"/>
  <c r="E88" i="59"/>
  <c r="G34" i="64" s="1"/>
  <c r="E89" i="59"/>
  <c r="G35" i="64" s="1"/>
  <c r="E68" i="59"/>
  <c r="E17" i="59"/>
  <c r="J236" i="34" s="1"/>
  <c r="E90" i="54"/>
  <c r="E91" i="54" s="1"/>
  <c r="E92" i="54" s="1"/>
  <c r="E48" i="59"/>
  <c r="J213" i="34" s="1"/>
  <c r="E40" i="59"/>
  <c r="E11" i="59"/>
  <c r="J244" i="34" s="1"/>
  <c r="D96" i="75" l="1"/>
  <c r="D97" i="75"/>
  <c r="AE49" i="12"/>
  <c r="AE52" i="12" s="1"/>
  <c r="AE73" i="12" s="1"/>
  <c r="J256" i="34"/>
  <c r="J263" i="34"/>
  <c r="J264" i="34"/>
  <c r="J255" i="34"/>
  <c r="E93" i="54"/>
  <c r="E21" i="59" s="1"/>
  <c r="E94" i="54"/>
  <c r="J480" i="34"/>
  <c r="E53" i="59"/>
  <c r="G27" i="64" s="1"/>
  <c r="J207" i="34"/>
  <c r="E26" i="59"/>
  <c r="G9" i="64" s="1"/>
  <c r="E46" i="59"/>
  <c r="G26" i="64" s="1"/>
  <c r="E5" i="59"/>
  <c r="E116" i="59"/>
  <c r="J201" i="34"/>
  <c r="E67" i="59"/>
  <c r="G29" i="64" s="1"/>
  <c r="J209" i="34"/>
  <c r="E39" i="59"/>
  <c r="G25" i="64" s="1"/>
  <c r="J205" i="34"/>
  <c r="E12" i="59"/>
  <c r="G7" i="64" s="1"/>
  <c r="E74" i="59"/>
  <c r="G35" i="65"/>
  <c r="E458" i="19"/>
  <c r="E460" i="19" s="1"/>
  <c r="G87" i="64" s="1"/>
  <c r="C87" i="64" s="1"/>
  <c r="W35" i="73" s="1"/>
  <c r="C35" i="64"/>
  <c r="E315" i="71"/>
  <c r="AC83" i="12"/>
  <c r="E275" i="71"/>
  <c r="E455" i="19"/>
  <c r="E457" i="19" s="1"/>
  <c r="G86" i="64" s="1"/>
  <c r="C86" i="64" s="1"/>
  <c r="W34" i="73" s="1"/>
  <c r="G34" i="65"/>
  <c r="C34" i="64"/>
  <c r="E149" i="71"/>
  <c r="E151" i="71"/>
  <c r="D163" i="13"/>
  <c r="D164" i="13" s="1"/>
  <c r="D168" i="13" s="1"/>
  <c r="F214" i="71"/>
  <c r="D365" i="13"/>
  <c r="D371" i="13" s="1"/>
  <c r="E60" i="59"/>
  <c r="G28" i="64" s="1"/>
  <c r="J208" i="34"/>
  <c r="F132" i="78"/>
  <c r="F136" i="78" s="1"/>
  <c r="F129" i="78"/>
  <c r="F130" i="78" s="1"/>
  <c r="E90" i="59"/>
  <c r="G36" i="64" s="1"/>
  <c r="E87" i="59"/>
  <c r="E154" i="71" l="1"/>
  <c r="E163" i="71" s="1"/>
  <c r="E157" i="71"/>
  <c r="E175" i="71" s="1"/>
  <c r="F148" i="79"/>
  <c r="F149" i="79" s="1"/>
  <c r="F159" i="79" s="1"/>
  <c r="F160" i="79" s="1"/>
  <c r="F148" i="78"/>
  <c r="F149" i="78" s="1"/>
  <c r="F159" i="78" s="1"/>
  <c r="F160" i="78" s="1"/>
  <c r="F277" i="71"/>
  <c r="F278" i="71" s="1"/>
  <c r="D99" i="75"/>
  <c r="D397" i="13"/>
  <c r="D399" i="13" s="1"/>
  <c r="D403" i="13" s="1"/>
  <c r="D374" i="13"/>
  <c r="D368" i="13"/>
  <c r="D369" i="13"/>
  <c r="G9" i="65"/>
  <c r="E315" i="19"/>
  <c r="E317" i="19" s="1"/>
  <c r="G60" i="64" s="1"/>
  <c r="C60" i="64" s="1"/>
  <c r="W9" i="73" s="1"/>
  <c r="C9" i="64"/>
  <c r="AE83" i="12"/>
  <c r="AE90" i="12" s="1"/>
  <c r="AE91" i="12" s="1"/>
  <c r="AC84" i="12"/>
  <c r="AE84" i="12" s="1"/>
  <c r="G25" i="65"/>
  <c r="E410" i="19"/>
  <c r="E412" i="19" s="1"/>
  <c r="G77" i="64" s="1"/>
  <c r="C25" i="64"/>
  <c r="G36" i="65"/>
  <c r="E461" i="19"/>
  <c r="E463" i="19" s="1"/>
  <c r="G88" i="64" s="1"/>
  <c r="C88" i="64" s="1"/>
  <c r="W36" i="73" s="1"/>
  <c r="C36" i="64"/>
  <c r="E316" i="71"/>
  <c r="G7" i="65"/>
  <c r="E301" i="19"/>
  <c r="E303" i="19" s="1"/>
  <c r="G58" i="64" s="1"/>
  <c r="C58" i="64" s="1"/>
  <c r="W7" i="73" s="1"/>
  <c r="C7" i="64"/>
  <c r="E424" i="19"/>
  <c r="E426" i="19" s="1"/>
  <c r="G79" i="64" s="1"/>
  <c r="C79" i="64" s="1"/>
  <c r="W27" i="73" s="1"/>
  <c r="G27" i="65"/>
  <c r="C27" i="64"/>
  <c r="E431" i="19"/>
  <c r="E433" i="19" s="1"/>
  <c r="G80" i="64" s="1"/>
  <c r="C80" i="64" s="1"/>
  <c r="W28" i="73" s="1"/>
  <c r="G28" i="65"/>
  <c r="C28" i="64"/>
  <c r="F216" i="71"/>
  <c r="F218" i="71"/>
  <c r="F173" i="78"/>
  <c r="F174" i="78" s="1"/>
  <c r="F176" i="78"/>
  <c r="F180" i="78" s="1"/>
  <c r="Y35" i="73"/>
  <c r="AJ35" i="73"/>
  <c r="G35" i="66"/>
  <c r="E746" i="19"/>
  <c r="E748" i="19" s="1"/>
  <c r="G87" i="65" s="1"/>
  <c r="C87" i="65" s="1"/>
  <c r="Z35" i="73" s="1"/>
  <c r="AB35" i="73" s="1"/>
  <c r="C35" i="65"/>
  <c r="Y34" i="73"/>
  <c r="AJ34" i="73"/>
  <c r="D170" i="13"/>
  <c r="D260" i="13" s="1"/>
  <c r="D458" i="13" s="1"/>
  <c r="D460" i="13" s="1"/>
  <c r="D2" i="13" s="1"/>
  <c r="D190" i="13"/>
  <c r="D191" i="13" s="1"/>
  <c r="G29" i="65"/>
  <c r="E438" i="19"/>
  <c r="E440" i="19" s="1"/>
  <c r="G81" i="64" s="1"/>
  <c r="C81" i="64" s="1"/>
  <c r="W29" i="73" s="1"/>
  <c r="C29" i="64"/>
  <c r="G33" i="64"/>
  <c r="E91" i="59"/>
  <c r="G6" i="64"/>
  <c r="D372" i="13"/>
  <c r="D373" i="13" s="1"/>
  <c r="D366" i="13"/>
  <c r="G34" i="66"/>
  <c r="E743" i="19"/>
  <c r="E745" i="19" s="1"/>
  <c r="G86" i="65" s="1"/>
  <c r="C86" i="65" s="1"/>
  <c r="Z34" i="73" s="1"/>
  <c r="AB34" i="73" s="1"/>
  <c r="C34" i="65"/>
  <c r="G26" i="65"/>
  <c r="G30" i="64"/>
  <c r="C30" i="64" s="1"/>
  <c r="E417" i="19"/>
  <c r="E419" i="19" s="1"/>
  <c r="G78" i="64" s="1"/>
  <c r="C26" i="64"/>
  <c r="E19" i="59"/>
  <c r="G8" i="64" s="1"/>
  <c r="E117" i="59"/>
  <c r="E186" i="71" l="1"/>
  <c r="E188" i="71" s="1"/>
  <c r="E162" i="71"/>
  <c r="E156" i="71"/>
  <c r="C156" i="71" s="1"/>
  <c r="C175" i="71"/>
  <c r="E362" i="71"/>
  <c r="H1105" i="34"/>
  <c r="C169" i="71"/>
  <c r="E172" i="71"/>
  <c r="C172" i="71" s="1"/>
  <c r="E358" i="71"/>
  <c r="H1100" i="34"/>
  <c r="C154" i="71"/>
  <c r="C163" i="71"/>
  <c r="E354" i="71"/>
  <c r="H1099" i="34"/>
  <c r="C157" i="71"/>
  <c r="E174" i="71"/>
  <c r="E159" i="71"/>
  <c r="E189" i="71"/>
  <c r="F282" i="71"/>
  <c r="F280" i="71"/>
  <c r="D405" i="13"/>
  <c r="D370" i="13"/>
  <c r="D375" i="13" s="1"/>
  <c r="D406" i="13"/>
  <c r="D402" i="13"/>
  <c r="D404" i="13" s="1"/>
  <c r="D409" i="13" s="1"/>
  <c r="D408" i="13"/>
  <c r="E118" i="59"/>
  <c r="G59" i="21" s="1"/>
  <c r="G96" i="21" s="1"/>
  <c r="D376" i="13"/>
  <c r="G33" i="65"/>
  <c r="G32" i="64"/>
  <c r="E452" i="19"/>
  <c r="C33" i="64"/>
  <c r="E1034" i="19"/>
  <c r="E1036" i="19" s="1"/>
  <c r="G87" i="66" s="1"/>
  <c r="C87" i="66" s="1"/>
  <c r="AC35" i="73" s="1"/>
  <c r="AE35" i="73" s="1"/>
  <c r="C35" i="66"/>
  <c r="Y28" i="73"/>
  <c r="AJ28" i="73"/>
  <c r="G28" i="66"/>
  <c r="E719" i="19"/>
  <c r="E721" i="19" s="1"/>
  <c r="G80" i="65" s="1"/>
  <c r="C80" i="65" s="1"/>
  <c r="Z28" i="73" s="1"/>
  <c r="AB28" i="73" s="1"/>
  <c r="C28" i="65"/>
  <c r="Y29" i="73"/>
  <c r="AJ29" i="73"/>
  <c r="G6" i="65"/>
  <c r="E294" i="19"/>
  <c r="E296" i="19" s="1"/>
  <c r="G57" i="64" s="1"/>
  <c r="C6" i="64"/>
  <c r="G5" i="64"/>
  <c r="G29" i="66"/>
  <c r="E726" i="19"/>
  <c r="E728" i="19" s="1"/>
  <c r="G81" i="65" s="1"/>
  <c r="C81" i="65" s="1"/>
  <c r="Z29" i="73" s="1"/>
  <c r="AB29" i="73" s="1"/>
  <c r="C29" i="65"/>
  <c r="G27" i="66"/>
  <c r="E712" i="19"/>
  <c r="E714" i="19" s="1"/>
  <c r="G79" i="65" s="1"/>
  <c r="C79" i="65" s="1"/>
  <c r="Z27" i="73" s="1"/>
  <c r="AB27" i="73" s="1"/>
  <c r="C27" i="65"/>
  <c r="C77" i="64"/>
  <c r="W25" i="73" s="1"/>
  <c r="Y27" i="73"/>
  <c r="AJ27" i="73"/>
  <c r="D272" i="13"/>
  <c r="D269" i="13"/>
  <c r="D276" i="13" s="1"/>
  <c r="D389" i="13"/>
  <c r="D267" i="13"/>
  <c r="D265" i="13"/>
  <c r="Y7" i="73"/>
  <c r="AJ7" i="73"/>
  <c r="G7" i="66"/>
  <c r="E589" i="19"/>
  <c r="E591" i="19" s="1"/>
  <c r="G58" i="65" s="1"/>
  <c r="C58" i="65" s="1"/>
  <c r="Z7" i="73" s="1"/>
  <c r="AB7" i="73" s="1"/>
  <c r="C7" i="65"/>
  <c r="G8" i="65"/>
  <c r="E308" i="19"/>
  <c r="E310" i="19" s="1"/>
  <c r="G59" i="64" s="1"/>
  <c r="C59" i="64" s="1"/>
  <c r="W8" i="73" s="1"/>
  <c r="C8" i="64"/>
  <c r="G82" i="64"/>
  <c r="C82" i="64" s="1"/>
  <c r="C78" i="64"/>
  <c r="W26" i="73" s="1"/>
  <c r="G30" i="65"/>
  <c r="C30" i="65" s="1"/>
  <c r="E705" i="19"/>
  <c r="E707" i="19" s="1"/>
  <c r="G78" i="65" s="1"/>
  <c r="G26" i="66"/>
  <c r="C26" i="65"/>
  <c r="Y9" i="73"/>
  <c r="AJ9" i="73"/>
  <c r="E698" i="19"/>
  <c r="E700" i="19" s="1"/>
  <c r="G77" i="65" s="1"/>
  <c r="G25" i="66"/>
  <c r="C25" i="65"/>
  <c r="Y36" i="73"/>
  <c r="AJ36" i="73"/>
  <c r="E1031" i="19"/>
  <c r="E1033" i="19" s="1"/>
  <c r="G86" i="66" s="1"/>
  <c r="C86" i="66" s="1"/>
  <c r="AC34" i="73" s="1"/>
  <c r="AE34" i="73" s="1"/>
  <c r="C34" i="66"/>
  <c r="F219" i="71"/>
  <c r="F228" i="71" s="1"/>
  <c r="F217" i="71"/>
  <c r="G36" i="66"/>
  <c r="E749" i="19"/>
  <c r="E751" i="19" s="1"/>
  <c r="G88" i="65" s="1"/>
  <c r="C88" i="65" s="1"/>
  <c r="Z36" i="73" s="1"/>
  <c r="AB36" i="73" s="1"/>
  <c r="C36" i="65"/>
  <c r="E603" i="19"/>
  <c r="E605" i="19" s="1"/>
  <c r="G60" i="65" s="1"/>
  <c r="C60" i="65" s="1"/>
  <c r="Z9" i="73" s="1"/>
  <c r="AB9" i="73" s="1"/>
  <c r="G9" i="66"/>
  <c r="C9" i="65"/>
  <c r="C162" i="71" l="1"/>
  <c r="E166" i="71"/>
  <c r="C166" i="71" s="1"/>
  <c r="C41" i="75"/>
  <c r="C43" i="75" s="1"/>
  <c r="W82" i="12"/>
  <c r="Y82" i="12" s="1"/>
  <c r="Y89" i="12" s="1"/>
  <c r="C362" i="71"/>
  <c r="E363" i="71"/>
  <c r="E359" i="71"/>
  <c r="C358" i="71"/>
  <c r="E355" i="71"/>
  <c r="C354" i="71"/>
  <c r="C44" i="75"/>
  <c r="E191" i="71"/>
  <c r="E192" i="71" s="1"/>
  <c r="W83" i="12"/>
  <c r="Y83" i="12" s="1"/>
  <c r="Y90" i="12" s="1"/>
  <c r="C159" i="71"/>
  <c r="E160" i="71"/>
  <c r="E178" i="71"/>
  <c r="C178" i="71" s="1"/>
  <c r="C174" i="71"/>
  <c r="F281" i="71"/>
  <c r="F283" i="71"/>
  <c r="F292" i="71" s="1"/>
  <c r="D407" i="13"/>
  <c r="D410" i="13" s="1"/>
  <c r="D378" i="13"/>
  <c r="D379" i="13" s="1"/>
  <c r="C59" i="21"/>
  <c r="G55" i="21"/>
  <c r="G42" i="21" s="1"/>
  <c r="G8" i="66"/>
  <c r="E596" i="19"/>
  <c r="E598" i="19" s="1"/>
  <c r="G59" i="65" s="1"/>
  <c r="C59" i="65" s="1"/>
  <c r="Z8" i="73" s="1"/>
  <c r="AB8" i="73" s="1"/>
  <c r="C8" i="65"/>
  <c r="C57" i="64"/>
  <c r="W6" i="73" s="1"/>
  <c r="G56" i="64"/>
  <c r="E986" i="19"/>
  <c r="E988" i="19" s="1"/>
  <c r="G77" i="66" s="1"/>
  <c r="C25" i="66"/>
  <c r="G6" i="66"/>
  <c r="E582" i="19"/>
  <c r="E584" i="19" s="1"/>
  <c r="G57" i="65" s="1"/>
  <c r="G5" i="65"/>
  <c r="C6" i="65"/>
  <c r="E454" i="19"/>
  <c r="G85" i="64" s="1"/>
  <c r="E464" i="19"/>
  <c r="E466" i="19" s="1"/>
  <c r="E1037" i="19"/>
  <c r="E1039" i="19" s="1"/>
  <c r="G88" i="66" s="1"/>
  <c r="C88" i="66" s="1"/>
  <c r="AC36" i="73" s="1"/>
  <c r="AE36" i="73" s="1"/>
  <c r="C36" i="66"/>
  <c r="C32" i="64"/>
  <c r="G82" i="65"/>
  <c r="C82" i="65" s="1"/>
  <c r="C78" i="65"/>
  <c r="Z26" i="73" s="1"/>
  <c r="E877" i="19"/>
  <c r="E879" i="19" s="1"/>
  <c r="G58" i="66" s="1"/>
  <c r="C58" i="66" s="1"/>
  <c r="AC7" i="73" s="1"/>
  <c r="AE7" i="73" s="1"/>
  <c r="C7" i="66"/>
  <c r="G33" i="66"/>
  <c r="G32" i="65"/>
  <c r="E740" i="19"/>
  <c r="C33" i="65"/>
  <c r="Y25" i="73"/>
  <c r="AJ25" i="73"/>
  <c r="C77" i="65"/>
  <c r="Z25" i="73" s="1"/>
  <c r="AB25" i="73" s="1"/>
  <c r="E993" i="19"/>
  <c r="E995" i="19" s="1"/>
  <c r="G78" i="66" s="1"/>
  <c r="G30" i="66"/>
  <c r="C30" i="66" s="1"/>
  <c r="C26" i="66"/>
  <c r="E891" i="19"/>
  <c r="E893" i="19" s="1"/>
  <c r="G60" i="66" s="1"/>
  <c r="C60" i="66" s="1"/>
  <c r="AC9" i="73" s="1"/>
  <c r="AE9" i="73" s="1"/>
  <c r="C9" i="66"/>
  <c r="G50" i="78"/>
  <c r="G50" i="79"/>
  <c r="C5" i="64"/>
  <c r="E1014" i="19"/>
  <c r="E1016" i="19" s="1"/>
  <c r="G81" i="66" s="1"/>
  <c r="C81" i="66" s="1"/>
  <c r="AC29" i="73" s="1"/>
  <c r="AE29" i="73" s="1"/>
  <c r="C29" i="66"/>
  <c r="E1000" i="19"/>
  <c r="E1002" i="19" s="1"/>
  <c r="G79" i="66" s="1"/>
  <c r="C79" i="66" s="1"/>
  <c r="AC27" i="73" s="1"/>
  <c r="AE27" i="73" s="1"/>
  <c r="C27" i="66"/>
  <c r="E1007" i="19"/>
  <c r="E1009" i="19" s="1"/>
  <c r="G80" i="66" s="1"/>
  <c r="C80" i="66" s="1"/>
  <c r="AC28" i="73" s="1"/>
  <c r="AE28" i="73" s="1"/>
  <c r="C28" i="66"/>
  <c r="Y8" i="73"/>
  <c r="AJ8" i="73"/>
  <c r="Y26" i="73"/>
  <c r="W30" i="73"/>
  <c r="AJ26" i="73"/>
  <c r="G133" i="21"/>
  <c r="G92" i="21"/>
  <c r="C96" i="21"/>
  <c r="C59" i="75" l="1"/>
  <c r="E370" i="71"/>
  <c r="C370" i="71" s="1"/>
  <c r="C363" i="71"/>
  <c r="C489" i="16"/>
  <c r="C359" i="71"/>
  <c r="C487" i="16"/>
  <c r="C355" i="71"/>
  <c r="E369" i="71"/>
  <c r="C486" i="16"/>
  <c r="C62" i="75"/>
  <c r="C64" i="75" s="1"/>
  <c r="C46" i="75"/>
  <c r="C47" i="75" s="1"/>
  <c r="W84" i="12"/>
  <c r="Y84" i="12" s="1"/>
  <c r="Y85" i="12" s="1"/>
  <c r="Y91" i="12"/>
  <c r="C61" i="75"/>
  <c r="D412" i="13"/>
  <c r="D413" i="13" s="1"/>
  <c r="G51" i="21"/>
  <c r="G47" i="21" s="1"/>
  <c r="C47" i="21" s="1"/>
  <c r="C55" i="21"/>
  <c r="G82" i="66"/>
  <c r="C82" i="66" s="1"/>
  <c r="C78" i="66"/>
  <c r="AC26" i="73" s="1"/>
  <c r="E870" i="19"/>
  <c r="E872" i="19" s="1"/>
  <c r="G57" i="66" s="1"/>
  <c r="G5" i="66"/>
  <c r="C6" i="66"/>
  <c r="G56" i="65"/>
  <c r="C57" i="65"/>
  <c r="Z6" i="73" s="1"/>
  <c r="C77" i="66"/>
  <c r="AC25" i="73" s="1"/>
  <c r="AE25" i="73" s="1"/>
  <c r="G10" i="30"/>
  <c r="C10" i="30" s="1"/>
  <c r="G135" i="71"/>
  <c r="C56" i="64"/>
  <c r="Y30" i="73"/>
  <c r="AJ30" i="73"/>
  <c r="AB26" i="73"/>
  <c r="Z30" i="73"/>
  <c r="AB30" i="73" s="1"/>
  <c r="G94" i="79"/>
  <c r="G94" i="78"/>
  <c r="E752" i="19"/>
  <c r="E754" i="19" s="1"/>
  <c r="E742" i="19"/>
  <c r="G85" i="65" s="1"/>
  <c r="W23" i="73"/>
  <c r="Y6" i="73"/>
  <c r="AJ6" i="73"/>
  <c r="G37" i="64"/>
  <c r="C42" i="21"/>
  <c r="C32" i="65"/>
  <c r="G79" i="21"/>
  <c r="G88" i="21"/>
  <c r="C92" i="21"/>
  <c r="G52" i="79"/>
  <c r="C52" i="79" s="1"/>
  <c r="C50" i="79"/>
  <c r="E1028" i="19"/>
  <c r="G32" i="66"/>
  <c r="C33" i="66"/>
  <c r="G129" i="21"/>
  <c r="C133" i="21"/>
  <c r="G52" i="78"/>
  <c r="C52" i="78" s="1"/>
  <c r="C50" i="78"/>
  <c r="G84" i="64"/>
  <c r="C85" i="64"/>
  <c r="W33" i="73" s="1"/>
  <c r="E884" i="19"/>
  <c r="E886" i="19" s="1"/>
  <c r="G59" i="66" s="1"/>
  <c r="C59" i="66" s="1"/>
  <c r="AC8" i="73" s="1"/>
  <c r="AE8" i="73" s="1"/>
  <c r="C8" i="66"/>
  <c r="E47" i="65" l="1"/>
  <c r="C47" i="65" s="1"/>
  <c r="C624" i="16"/>
  <c r="C626" i="16" s="1"/>
  <c r="C820" i="19"/>
  <c r="C822" i="19" s="1"/>
  <c r="E99" i="65" s="1"/>
  <c r="C491" i="16"/>
  <c r="E21" i="69"/>
  <c r="C21" i="69" s="1"/>
  <c r="C494" i="16"/>
  <c r="C759" i="16"/>
  <c r="C760" i="16" s="1"/>
  <c r="C683" i="19"/>
  <c r="C685" i="19" s="1"/>
  <c r="E72" i="69" s="1"/>
  <c r="E21" i="65"/>
  <c r="C21" i="65" s="1"/>
  <c r="C643" i="19"/>
  <c r="C645" i="19" s="1"/>
  <c r="E72" i="65" s="1"/>
  <c r="C488" i="16"/>
  <c r="C613" i="16"/>
  <c r="C614" i="16" s="1"/>
  <c r="C493" i="16"/>
  <c r="C369" i="71"/>
  <c r="E371" i="71"/>
  <c r="C371" i="71" s="1"/>
  <c r="C65" i="75"/>
  <c r="C67" i="75" s="1"/>
  <c r="E213" i="71"/>
  <c r="E104" i="79"/>
  <c r="E104" i="78"/>
  <c r="E103" i="79"/>
  <c r="E212" i="71"/>
  <c r="E103" i="78"/>
  <c r="C51" i="21"/>
  <c r="G37" i="65"/>
  <c r="C79" i="21"/>
  <c r="C84" i="64"/>
  <c r="Y33" i="73"/>
  <c r="W32" i="73"/>
  <c r="AJ33" i="73"/>
  <c r="AB6" i="73"/>
  <c r="G15" i="30"/>
  <c r="G203" i="71"/>
  <c r="G125" i="21"/>
  <c r="G116" i="21"/>
  <c r="C129" i="21"/>
  <c r="G96" i="79"/>
  <c r="G96" i="78"/>
  <c r="C32" i="66"/>
  <c r="G138" i="78"/>
  <c r="G138" i="79"/>
  <c r="C5" i="66"/>
  <c r="G56" i="66"/>
  <c r="C57" i="66"/>
  <c r="AC6" i="73" s="1"/>
  <c r="E484" i="19"/>
  <c r="E486" i="19" s="1"/>
  <c r="G89" i="64" s="1"/>
  <c r="C89" i="64" s="1"/>
  <c r="W37" i="73" s="1"/>
  <c r="C37" i="64"/>
  <c r="G40" i="64"/>
  <c r="AE26" i="73"/>
  <c r="AC30" i="73"/>
  <c r="AE30" i="73" s="1"/>
  <c r="Y23" i="73"/>
  <c r="AJ23" i="73"/>
  <c r="G84" i="21"/>
  <c r="C84" i="21" s="1"/>
  <c r="C88" i="21"/>
  <c r="E1040" i="19"/>
  <c r="E1042" i="19" s="1"/>
  <c r="E1030" i="19"/>
  <c r="G85" i="66" s="1"/>
  <c r="G84" i="65"/>
  <c r="C85" i="65"/>
  <c r="Z33" i="73" s="1"/>
  <c r="G186" i="71"/>
  <c r="G137" i="71"/>
  <c r="C137" i="71" s="1"/>
  <c r="C135" i="71"/>
  <c r="C99" i="65" l="1"/>
  <c r="Z47" i="73" s="1"/>
  <c r="AB47" i="73" s="1"/>
  <c r="Z47" i="12"/>
  <c r="AB47" i="12" s="1"/>
  <c r="C823" i="19"/>
  <c r="C825" i="19" s="1"/>
  <c r="E98" i="65" s="1"/>
  <c r="C855" i="16"/>
  <c r="C857" i="16" s="1"/>
  <c r="E46" i="65"/>
  <c r="C363" i="13"/>
  <c r="C365" i="13" s="1"/>
  <c r="C368" i="13" s="1"/>
  <c r="C774" i="16"/>
  <c r="C853" i="16"/>
  <c r="C686" i="19"/>
  <c r="C688" i="19" s="1"/>
  <c r="E71" i="69" s="1"/>
  <c r="E20" i="69"/>
  <c r="E128" i="78"/>
  <c r="E172" i="78" s="1"/>
  <c r="C72" i="69"/>
  <c r="AA21" i="73" s="1"/>
  <c r="AA21" i="12"/>
  <c r="C495" i="16"/>
  <c r="C646" i="19"/>
  <c r="C648" i="19" s="1"/>
  <c r="E71" i="65" s="1"/>
  <c r="C852" i="16"/>
  <c r="C628" i="16"/>
  <c r="E20" i="65"/>
  <c r="E105" i="79"/>
  <c r="C72" i="65"/>
  <c r="Z21" i="73" s="1"/>
  <c r="Z21" i="12"/>
  <c r="E105" i="78"/>
  <c r="C163" i="13"/>
  <c r="AB75" i="12"/>
  <c r="C162" i="13"/>
  <c r="AB74" i="12"/>
  <c r="E214" i="71"/>
  <c r="G140" i="78"/>
  <c r="C140" i="78" s="1"/>
  <c r="C138" i="78"/>
  <c r="G250" i="71"/>
  <c r="G205" i="71"/>
  <c r="AB33" i="73"/>
  <c r="Z32" i="73"/>
  <c r="AB32" i="73" s="1"/>
  <c r="C40" i="64"/>
  <c r="G24" i="64"/>
  <c r="Y32" i="73"/>
  <c r="AJ32" i="73"/>
  <c r="E41" i="75"/>
  <c r="G188" i="71"/>
  <c r="C186" i="71"/>
  <c r="Y37" i="73"/>
  <c r="W40" i="73"/>
  <c r="AJ37" i="73"/>
  <c r="AC23" i="73"/>
  <c r="AE6" i="73"/>
  <c r="G92" i="64"/>
  <c r="G140" i="79"/>
  <c r="C140" i="79" s="1"/>
  <c r="C138" i="79"/>
  <c r="G20" i="30"/>
  <c r="G267" i="71"/>
  <c r="C56" i="66"/>
  <c r="G121" i="21"/>
  <c r="C121" i="21" s="1"/>
  <c r="C125" i="21"/>
  <c r="C84" i="65"/>
  <c r="G84" i="66"/>
  <c r="C85" i="66"/>
  <c r="AC33" i="73" s="1"/>
  <c r="G37" i="66"/>
  <c r="C116" i="21"/>
  <c r="E772" i="19"/>
  <c r="E774" i="19" s="1"/>
  <c r="G89" i="65" s="1"/>
  <c r="C89" i="65" s="1"/>
  <c r="Z37" i="73" s="1"/>
  <c r="C37" i="65"/>
  <c r="G40" i="65"/>
  <c r="AB21" i="12" l="1"/>
  <c r="C854" i="16"/>
  <c r="C46" i="65"/>
  <c r="E24" i="65"/>
  <c r="C98" i="65"/>
  <c r="Z46" i="73" s="1"/>
  <c r="AB46" i="73" s="1"/>
  <c r="Z46" i="12"/>
  <c r="E76" i="65"/>
  <c r="AB21" i="73"/>
  <c r="C20" i="69"/>
  <c r="E5" i="69"/>
  <c r="AA20" i="12"/>
  <c r="AA23" i="12" s="1"/>
  <c r="AA52" i="12" s="1"/>
  <c r="C71" i="69"/>
  <c r="AA20" i="73" s="1"/>
  <c r="AA23" i="73" s="1"/>
  <c r="AA52" i="73" s="1"/>
  <c r="E56" i="69"/>
  <c r="C20" i="65"/>
  <c r="E5" i="65"/>
  <c r="Z20" i="12"/>
  <c r="C71" i="65"/>
  <c r="Z20" i="73" s="1"/>
  <c r="E56" i="65"/>
  <c r="C372" i="13"/>
  <c r="AB76" i="12"/>
  <c r="C371" i="13"/>
  <c r="C164" i="13"/>
  <c r="C168" i="13" s="1"/>
  <c r="AE57" i="12" s="1"/>
  <c r="C369" i="13"/>
  <c r="C370" i="13" s="1"/>
  <c r="E173" i="78"/>
  <c r="E174" i="78" s="1"/>
  <c r="E176" i="78"/>
  <c r="E180" i="78" s="1"/>
  <c r="C374" i="13"/>
  <c r="E1060" i="19"/>
  <c r="E1062" i="19" s="1"/>
  <c r="G89" i="66" s="1"/>
  <c r="C89" i="66" s="1"/>
  <c r="AC37" i="73" s="1"/>
  <c r="C37" i="66"/>
  <c r="G40" i="66"/>
  <c r="AE33" i="73"/>
  <c r="AC32" i="73"/>
  <c r="AE32" i="73" s="1"/>
  <c r="AE23" i="73"/>
  <c r="C84" i="66"/>
  <c r="AB37" i="73"/>
  <c r="Z40" i="73"/>
  <c r="W49" i="73"/>
  <c r="Y40" i="73"/>
  <c r="AJ40" i="73"/>
  <c r="G53" i="79"/>
  <c r="G53" i="78"/>
  <c r="C24" i="64"/>
  <c r="G50" i="64"/>
  <c r="G92" i="65"/>
  <c r="G310" i="71"/>
  <c r="G269" i="71"/>
  <c r="C269" i="71" s="1"/>
  <c r="C267" i="71"/>
  <c r="C188" i="71"/>
  <c r="G252" i="71"/>
  <c r="E73" i="75"/>
  <c r="C20" i="30"/>
  <c r="E59" i="75"/>
  <c r="E43" i="75"/>
  <c r="C92" i="64"/>
  <c r="G76" i="64"/>
  <c r="C40" i="65"/>
  <c r="G24" i="65"/>
  <c r="C373" i="13" l="1"/>
  <c r="E206" i="71"/>
  <c r="E16" i="30"/>
  <c r="AB46" i="12"/>
  <c r="Z49" i="12"/>
  <c r="AB49" i="12" s="1"/>
  <c r="E97" i="79"/>
  <c r="E99" i="79" s="1"/>
  <c r="E97" i="78"/>
  <c r="E99" i="78" s="1"/>
  <c r="E95" i="78"/>
  <c r="C95" i="78" s="1"/>
  <c r="C5" i="69"/>
  <c r="E95" i="79"/>
  <c r="C95" i="79" s="1"/>
  <c r="E50" i="69"/>
  <c r="E204" i="71"/>
  <c r="C56" i="69"/>
  <c r="E15" i="31"/>
  <c r="E102" i="69"/>
  <c r="C170" i="13"/>
  <c r="C260" i="13" s="1"/>
  <c r="C458" i="13" s="1"/>
  <c r="C460" i="13" s="1"/>
  <c r="C2" i="13" s="1"/>
  <c r="C190" i="13"/>
  <c r="C191" i="13" s="1"/>
  <c r="C272" i="13" s="1"/>
  <c r="AB20" i="12"/>
  <c r="Z23" i="12"/>
  <c r="E15" i="30"/>
  <c r="E203" i="71"/>
  <c r="E102" i="65"/>
  <c r="E209" i="71" s="1"/>
  <c r="C56" i="65"/>
  <c r="AB20" i="73"/>
  <c r="Z23" i="73"/>
  <c r="AB23" i="73" s="1"/>
  <c r="E94" i="79"/>
  <c r="E94" i="78"/>
  <c r="E50" i="65"/>
  <c r="C5" i="65"/>
  <c r="C366" i="13"/>
  <c r="C375" i="13"/>
  <c r="G92" i="66"/>
  <c r="C92" i="66" s="1"/>
  <c r="G312" i="71"/>
  <c r="C312" i="71" s="1"/>
  <c r="C310" i="71"/>
  <c r="C92" i="65"/>
  <c r="G76" i="65"/>
  <c r="Z49" i="73"/>
  <c r="AB40" i="73"/>
  <c r="G97" i="78"/>
  <c r="G97" i="79"/>
  <c r="C24" i="65"/>
  <c r="G50" i="65"/>
  <c r="G11" i="30"/>
  <c r="G138" i="71"/>
  <c r="C76" i="64"/>
  <c r="G102" i="64"/>
  <c r="G56" i="78"/>
  <c r="G56" i="79"/>
  <c r="C50" i="64"/>
  <c r="W51" i="73" s="1"/>
  <c r="G55" i="78"/>
  <c r="C55" i="78" s="1"/>
  <c r="C53" i="78"/>
  <c r="C40" i="66"/>
  <c r="G24" i="66"/>
  <c r="Y49" i="73"/>
  <c r="Y52" i="73" s="1"/>
  <c r="AJ49" i="73"/>
  <c r="W52" i="73"/>
  <c r="AJ52" i="73" s="1"/>
  <c r="E61" i="75"/>
  <c r="G55" i="79"/>
  <c r="C55" i="79" s="1"/>
  <c r="C53" i="79"/>
  <c r="E91" i="75"/>
  <c r="E75" i="75"/>
  <c r="AE37" i="73"/>
  <c r="AC40" i="73"/>
  <c r="C376" i="13" l="1"/>
  <c r="C378" i="13"/>
  <c r="C379" i="13" s="1"/>
  <c r="C265" i="13"/>
  <c r="C269" i="13"/>
  <c r="C276" i="13" s="1"/>
  <c r="E208" i="71"/>
  <c r="E253" i="71"/>
  <c r="C267" i="13"/>
  <c r="C102" i="69"/>
  <c r="E210" i="71"/>
  <c r="C210" i="71" s="1"/>
  <c r="C15" i="31"/>
  <c r="E17" i="31"/>
  <c r="C17" i="31" s="1"/>
  <c r="E101" i="78"/>
  <c r="C101" i="78" s="1"/>
  <c r="E101" i="79"/>
  <c r="C50" i="69"/>
  <c r="AA51" i="73" s="1"/>
  <c r="AA51" i="12"/>
  <c r="C389" i="13"/>
  <c r="E251" i="71"/>
  <c r="C204" i="71"/>
  <c r="E250" i="71"/>
  <c r="E205" i="71"/>
  <c r="C205" i="71" s="1"/>
  <c r="C203" i="71"/>
  <c r="Z51" i="12"/>
  <c r="E100" i="78"/>
  <c r="E100" i="79"/>
  <c r="E17" i="30"/>
  <c r="C15" i="30"/>
  <c r="E96" i="78"/>
  <c r="C96" i="78" s="1"/>
  <c r="C94" i="78"/>
  <c r="AB23" i="12"/>
  <c r="AB52" i="12" s="1"/>
  <c r="AB73" i="12" s="1"/>
  <c r="Z52" i="12"/>
  <c r="E96" i="79"/>
  <c r="C96" i="79" s="1"/>
  <c r="C94" i="79"/>
  <c r="G76" i="66"/>
  <c r="C76" i="66" s="1"/>
  <c r="G99" i="79"/>
  <c r="C99" i="79" s="1"/>
  <c r="C97" i="79"/>
  <c r="G141" i="78"/>
  <c r="G141" i="79"/>
  <c r="C24" i="66"/>
  <c r="G50" i="66"/>
  <c r="G99" i="78"/>
  <c r="C99" i="78" s="1"/>
  <c r="C97" i="78"/>
  <c r="G189" i="71"/>
  <c r="G140" i="71"/>
  <c r="C140" i="71" s="1"/>
  <c r="C138" i="71"/>
  <c r="AB49" i="73"/>
  <c r="AB52" i="73" s="1"/>
  <c r="Z52" i="73"/>
  <c r="G16" i="30"/>
  <c r="G206" i="71"/>
  <c r="C76" i="65"/>
  <c r="G102" i="65"/>
  <c r="Y51" i="73"/>
  <c r="AJ51" i="73"/>
  <c r="G58" i="79"/>
  <c r="G86" i="79"/>
  <c r="C56" i="79"/>
  <c r="G12" i="30"/>
  <c r="C12" i="30" s="1"/>
  <c r="C11" i="30"/>
  <c r="AC49" i="73"/>
  <c r="AE40" i="73"/>
  <c r="G58" i="78"/>
  <c r="G88" i="78"/>
  <c r="G85" i="78"/>
  <c r="G86" i="78" s="1"/>
  <c r="C56" i="78"/>
  <c r="G100" i="78"/>
  <c r="G100" i="79"/>
  <c r="C50" i="65"/>
  <c r="Z51" i="73" s="1"/>
  <c r="G141" i="71"/>
  <c r="C102" i="64"/>
  <c r="E93" i="75"/>
  <c r="G103" i="78"/>
  <c r="G103" i="79"/>
  <c r="G212" i="71"/>
  <c r="E211" i="71" l="1"/>
  <c r="C76" i="75"/>
  <c r="E255" i="71"/>
  <c r="Z83" i="12"/>
  <c r="AB83" i="12" s="1"/>
  <c r="AB90" i="12" s="1"/>
  <c r="C101" i="79"/>
  <c r="E132" i="79"/>
  <c r="E129" i="79"/>
  <c r="E130" i="79" s="1"/>
  <c r="E102" i="79"/>
  <c r="E115" i="79" s="1"/>
  <c r="E116" i="79" s="1"/>
  <c r="AB51" i="73"/>
  <c r="AB51" i="12"/>
  <c r="C74" i="75"/>
  <c r="C92" i="75" s="1"/>
  <c r="C98" i="75" s="1"/>
  <c r="C398" i="13" s="1"/>
  <c r="C251" i="71"/>
  <c r="AA82" i="12"/>
  <c r="AA84" i="12" s="1"/>
  <c r="E102" i="78"/>
  <c r="E115" i="78" s="1"/>
  <c r="E116" i="78" s="1"/>
  <c r="E132" i="78"/>
  <c r="E136" i="78" s="1"/>
  <c r="E129" i="78"/>
  <c r="E130" i="78" s="1"/>
  <c r="AB77" i="12"/>
  <c r="AB80" i="12" s="1"/>
  <c r="AB79" i="12"/>
  <c r="E252" i="71"/>
  <c r="Z82" i="12"/>
  <c r="C73" i="75"/>
  <c r="C250" i="71"/>
  <c r="G270" i="71"/>
  <c r="C270" i="71" s="1"/>
  <c r="G21" i="30"/>
  <c r="G22" i="30" s="1"/>
  <c r="C22" i="30" s="1"/>
  <c r="G102" i="66"/>
  <c r="G273" i="71" s="1"/>
  <c r="G92" i="78"/>
  <c r="C88" i="78"/>
  <c r="C16" i="30"/>
  <c r="G17" i="30"/>
  <c r="C17" i="30" s="1"/>
  <c r="G71" i="78"/>
  <c r="G72" i="78" s="1"/>
  <c r="C58" i="78"/>
  <c r="G144" i="79"/>
  <c r="G144" i="78"/>
  <c r="C50" i="66"/>
  <c r="AC51" i="73" s="1"/>
  <c r="AE51" i="73" s="1"/>
  <c r="G143" i="71"/>
  <c r="C141" i="71"/>
  <c r="C103" i="78"/>
  <c r="G143" i="79"/>
  <c r="C143" i="79" s="1"/>
  <c r="C141" i="79"/>
  <c r="E44" i="75"/>
  <c r="G191" i="71"/>
  <c r="C189" i="71"/>
  <c r="G143" i="78"/>
  <c r="C143" i="78" s="1"/>
  <c r="C141" i="78"/>
  <c r="AE49" i="73"/>
  <c r="AE52" i="73" s="1"/>
  <c r="AC52" i="73"/>
  <c r="G71" i="79"/>
  <c r="G72" i="79" s="1"/>
  <c r="C58" i="79"/>
  <c r="E162" i="13"/>
  <c r="C212" i="71"/>
  <c r="G276" i="71"/>
  <c r="G147" i="78"/>
  <c r="G147" i="79"/>
  <c r="G102" i="79"/>
  <c r="G130" i="79"/>
  <c r="C100" i="79"/>
  <c r="G102" i="78"/>
  <c r="C100" i="78"/>
  <c r="G209" i="71"/>
  <c r="C102" i="65"/>
  <c r="C103" i="79"/>
  <c r="G253" i="71"/>
  <c r="G208" i="71"/>
  <c r="C208" i="71" s="1"/>
  <c r="C206" i="71"/>
  <c r="C102" i="79" l="1"/>
  <c r="C102" i="78"/>
  <c r="E216" i="71"/>
  <c r="E218" i="71"/>
  <c r="C94" i="75"/>
  <c r="C96" i="75" s="1"/>
  <c r="C78" i="75"/>
  <c r="E136" i="79"/>
  <c r="C132" i="79"/>
  <c r="C91" i="75"/>
  <c r="C75" i="75"/>
  <c r="AB82" i="12"/>
  <c r="AB89" i="12" s="1"/>
  <c r="AB91" i="12" s="1"/>
  <c r="Z84" i="12"/>
  <c r="AB84" i="12" s="1"/>
  <c r="E256" i="71"/>
  <c r="C252" i="71"/>
  <c r="C102" i="66"/>
  <c r="G272" i="71"/>
  <c r="C272" i="71" s="1"/>
  <c r="C21" i="30"/>
  <c r="G313" i="71"/>
  <c r="G315" i="71" s="1"/>
  <c r="G148" i="71"/>
  <c r="G150" i="71"/>
  <c r="C150" i="71" s="1"/>
  <c r="C143" i="71"/>
  <c r="G146" i="78"/>
  <c r="C146" i="78" s="1"/>
  <c r="C144" i="78"/>
  <c r="G146" i="79"/>
  <c r="C146" i="79" s="1"/>
  <c r="G174" i="79"/>
  <c r="C144" i="79"/>
  <c r="C191" i="71"/>
  <c r="G192" i="71"/>
  <c r="C192" i="71" s="1"/>
  <c r="E46" i="75"/>
  <c r="E47" i="75" s="1"/>
  <c r="E62" i="75"/>
  <c r="E76" i="75"/>
  <c r="G255" i="71"/>
  <c r="C253" i="71"/>
  <c r="G211" i="71"/>
  <c r="C209" i="71"/>
  <c r="G275" i="71"/>
  <c r="C273" i="71"/>
  <c r="E219" i="71" l="1"/>
  <c r="E228" i="71" s="1"/>
  <c r="E217" i="71"/>
  <c r="C79" i="75"/>
  <c r="E277" i="71"/>
  <c r="AE75" i="12" s="1"/>
  <c r="E148" i="79"/>
  <c r="E148" i="78"/>
  <c r="C93" i="75"/>
  <c r="C97" i="75"/>
  <c r="C313" i="71"/>
  <c r="C275" i="71"/>
  <c r="C211" i="71"/>
  <c r="G316" i="71"/>
  <c r="C316" i="71" s="1"/>
  <c r="C315" i="71"/>
  <c r="G256" i="71"/>
  <c r="C256" i="71" s="1"/>
  <c r="C255" i="71"/>
  <c r="E64" i="75"/>
  <c r="E65" i="75"/>
  <c r="E94" i="75"/>
  <c r="E78" i="75"/>
  <c r="E79" i="75" s="1"/>
  <c r="G151" i="71"/>
  <c r="G149" i="71"/>
  <c r="C397" i="13" l="1"/>
  <c r="C99" i="75"/>
  <c r="E147" i="79"/>
  <c r="E147" i="78"/>
  <c r="E276" i="71"/>
  <c r="E363" i="13"/>
  <c r="G128" i="78"/>
  <c r="G172" i="78" s="1"/>
  <c r="E67" i="75"/>
  <c r="E96" i="75"/>
  <c r="E97" i="75"/>
  <c r="G104" i="79"/>
  <c r="G104" i="78"/>
  <c r="G213" i="71"/>
  <c r="G160" i="71"/>
  <c r="C160" i="71" s="1"/>
  <c r="C151" i="71"/>
  <c r="AE74" i="12" l="1"/>
  <c r="AE76" i="12" s="1"/>
  <c r="E278" i="71"/>
  <c r="C276" i="71"/>
  <c r="E149" i="78"/>
  <c r="E159" i="78" s="1"/>
  <c r="E160" i="78" s="1"/>
  <c r="C147" i="78"/>
  <c r="E149" i="79"/>
  <c r="E159" i="79" s="1"/>
  <c r="E160" i="79" s="1"/>
  <c r="C147" i="79"/>
  <c r="C399" i="13"/>
  <c r="C402" i="13" s="1"/>
  <c r="E163" i="13"/>
  <c r="E164" i="13" s="1"/>
  <c r="E168" i="13" s="1"/>
  <c r="C213" i="71"/>
  <c r="G214" i="71"/>
  <c r="C104" i="78"/>
  <c r="G105" i="78"/>
  <c r="C104" i="79"/>
  <c r="G105" i="79"/>
  <c r="E397" i="13"/>
  <c r="E99" i="75"/>
  <c r="G277" i="71"/>
  <c r="G148" i="79"/>
  <c r="G148" i="78"/>
  <c r="G132" i="78"/>
  <c r="G129" i="78"/>
  <c r="G130" i="78" s="1"/>
  <c r="E365" i="13"/>
  <c r="E374" i="13" s="1"/>
  <c r="C403" i="13" l="1"/>
  <c r="C404" i="13" s="1"/>
  <c r="C408" i="13"/>
  <c r="C405" i="13"/>
  <c r="E282" i="71"/>
  <c r="E280" i="71"/>
  <c r="C406" i="13"/>
  <c r="AE79" i="12"/>
  <c r="AE77" i="12"/>
  <c r="AE80" i="12" s="1"/>
  <c r="E369" i="13"/>
  <c r="E368" i="13"/>
  <c r="E372" i="13"/>
  <c r="G149" i="79"/>
  <c r="C148" i="79"/>
  <c r="G278" i="71"/>
  <c r="C277" i="71"/>
  <c r="G149" i="78"/>
  <c r="C148" i="78"/>
  <c r="G176" i="78"/>
  <c r="G173" i="78"/>
  <c r="G174" i="78" s="1"/>
  <c r="E399" i="13"/>
  <c r="E406" i="13" s="1"/>
  <c r="G115" i="79"/>
  <c r="G116" i="79" s="1"/>
  <c r="C105" i="79"/>
  <c r="G115" i="78"/>
  <c r="G116" i="78" s="1"/>
  <c r="C105" i="78"/>
  <c r="C214" i="71"/>
  <c r="G216" i="71"/>
  <c r="G218" i="71"/>
  <c r="C218" i="71" s="1"/>
  <c r="G136" i="78"/>
  <c r="C132" i="78"/>
  <c r="E371" i="13"/>
  <c r="E366" i="13"/>
  <c r="E170" i="13"/>
  <c r="E260" i="13" s="1"/>
  <c r="E458" i="13" s="1"/>
  <c r="E460" i="13" s="1"/>
  <c r="E2" i="13" s="1"/>
  <c r="E190" i="13"/>
  <c r="E191" i="13" s="1"/>
  <c r="E281" i="71" l="1"/>
  <c r="E283" i="71"/>
  <c r="E292" i="71" s="1"/>
  <c r="C407" i="13"/>
  <c r="C410" i="13" s="1"/>
  <c r="C409" i="13"/>
  <c r="E370" i="13"/>
  <c r="E375" i="13" s="1"/>
  <c r="E373" i="13"/>
  <c r="E376" i="13" s="1"/>
  <c r="E405" i="13"/>
  <c r="E407" i="13" s="1"/>
  <c r="E410" i="13" s="1"/>
  <c r="E408" i="13"/>
  <c r="E402" i="13"/>
  <c r="E403" i="13"/>
  <c r="G219" i="71"/>
  <c r="G217" i="71"/>
  <c r="G180" i="78"/>
  <c r="C176" i="78"/>
  <c r="G159" i="78"/>
  <c r="G160" i="78" s="1"/>
  <c r="C149" i="78"/>
  <c r="C278" i="71"/>
  <c r="G282" i="71"/>
  <c r="C282" i="71" s="1"/>
  <c r="G280" i="71"/>
  <c r="E265" i="13"/>
  <c r="E272" i="13"/>
  <c r="E267" i="13"/>
  <c r="E269" i="13"/>
  <c r="E276" i="13" s="1"/>
  <c r="E389" i="13"/>
  <c r="G159" i="79"/>
  <c r="G160" i="79" s="1"/>
  <c r="C149" i="79"/>
  <c r="C412" i="13" l="1"/>
  <c r="C413" i="13" s="1"/>
  <c r="E378" i="13"/>
  <c r="E379" i="13" s="1"/>
  <c r="E404" i="13"/>
  <c r="E409" i="13" s="1"/>
  <c r="G283" i="71"/>
  <c r="G281" i="71"/>
  <c r="G228" i="71"/>
  <c r="C228" i="71" s="1"/>
  <c r="C219" i="71"/>
  <c r="E412" i="13" l="1"/>
  <c r="E413" i="13" s="1"/>
  <c r="G292" i="71"/>
  <c r="C292" i="71" s="1"/>
  <c r="C283" i="71"/>
  <c r="E108" i="13"/>
  <c r="D108" i="13"/>
  <c r="C108" i="13"/>
  <c r="E106" i="13"/>
  <c r="D106" i="13"/>
  <c r="C106" i="13"/>
  <c r="E94" i="13"/>
  <c r="D94" i="13"/>
  <c r="C94" i="13"/>
  <c r="E92" i="13"/>
  <c r="D92" i="13"/>
  <c r="C92" i="13"/>
  <c r="E90" i="13"/>
  <c r="D90" i="13"/>
  <c r="C90" i="13"/>
  <c r="E88" i="13"/>
  <c r="D88" i="13"/>
  <c r="C88" i="13"/>
  <c r="E82" i="13"/>
  <c r="D82" i="13"/>
  <c r="C82" i="13"/>
  <c r="E80" i="13"/>
  <c r="D80" i="13"/>
  <c r="C80" i="13"/>
  <c r="E68" i="13"/>
  <c r="D68" i="13"/>
  <c r="C68" i="13"/>
  <c r="E66" i="13"/>
  <c r="D66" i="13"/>
  <c r="C66" i="13"/>
  <c r="E64" i="13"/>
  <c r="D64" i="13"/>
  <c r="C64" i="13"/>
  <c r="E62" i="13"/>
  <c r="D62" i="13"/>
  <c r="C62" i="13"/>
  <c r="E56" i="13"/>
  <c r="D56" i="13"/>
  <c r="C56" i="13"/>
  <c r="E54" i="13"/>
  <c r="D54" i="13"/>
  <c r="C54" i="13"/>
  <c r="E40" i="13"/>
  <c r="D40" i="13"/>
  <c r="C40" i="13"/>
  <c r="E36" i="13"/>
  <c r="D36" i="13"/>
  <c r="C36" i="13"/>
  <c r="E30" i="13"/>
  <c r="D30" i="13"/>
  <c r="C30" i="13"/>
  <c r="E28" i="13"/>
  <c r="D28" i="13"/>
  <c r="C28" i="13"/>
  <c r="E16" i="13"/>
  <c r="D16" i="13"/>
  <c r="C16" i="13"/>
  <c r="E14" i="13"/>
  <c r="D14" i="13"/>
  <c r="C14" i="13"/>
  <c r="E12" i="13"/>
  <c r="D12" i="13"/>
  <c r="C12" i="13"/>
  <c r="E10" i="13"/>
  <c r="D10" i="13"/>
  <c r="C10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<sst xmlns="http://schemas.openxmlformats.org/spreadsheetml/2006/main" count="20999" uniqueCount="8813">
  <si>
    <t>TOTALE</t>
  </si>
  <si>
    <r>
      <t xml:space="preserve">Costi dell’attività di raccolta e trasporto dei rifiuti urbani indifferenziati –&gt;  </t>
    </r>
    <r>
      <rPr>
        <b/>
        <sz val="8"/>
        <color theme="1"/>
        <rFont val="Tahoma"/>
        <family val="2"/>
      </rPr>
      <t>CRT</t>
    </r>
  </si>
  <si>
    <t>G</t>
  </si>
  <si>
    <r>
      <t xml:space="preserve">Costi dell’attività di trattamento e smaltimento dei rifiuti urbani –&gt; </t>
    </r>
    <r>
      <rPr>
        <b/>
        <sz val="8"/>
        <color theme="1"/>
        <rFont val="Tahoma"/>
        <family val="2"/>
      </rPr>
      <t>CTS</t>
    </r>
  </si>
  <si>
    <r>
      <t xml:space="preserve">Costi dell’attività di trattamento e recupero dei rifiuti urbani –&gt; </t>
    </r>
    <r>
      <rPr>
        <b/>
        <sz val="8"/>
        <color theme="1"/>
        <rFont val="Tahoma"/>
        <family val="2"/>
      </rPr>
      <t>CTR</t>
    </r>
  </si>
  <si>
    <r>
      <t xml:space="preserve">Costi dell’attività di raccolta e trasporto delle frazioni differenziate –&gt; </t>
    </r>
    <r>
      <rPr>
        <b/>
        <sz val="8"/>
        <color theme="1"/>
        <rFont val="Tahoma"/>
        <family val="2"/>
      </rPr>
      <t>CRD</t>
    </r>
  </si>
  <si>
    <r>
      <t xml:space="preserve">Proventi della vendita di materiale ed energia derivante da rifiuti –&gt; </t>
    </r>
    <r>
      <rPr>
        <b/>
        <sz val="8"/>
        <color theme="1"/>
        <rFont val="Tahoma"/>
        <family val="2"/>
      </rPr>
      <t>AR</t>
    </r>
  </si>
  <si>
    <r>
      <t xml:space="preserve">Fattore di Sharing  –&gt; </t>
    </r>
    <r>
      <rPr>
        <b/>
        <i/>
        <sz val="8"/>
        <rFont val="Tahoma"/>
        <family val="2"/>
      </rPr>
      <t>b</t>
    </r>
  </si>
  <si>
    <t>E</t>
  </si>
  <si>
    <t>C</t>
  </si>
  <si>
    <t xml:space="preserve">Oneri relativi all'IVA e altre imposte </t>
  </si>
  <si>
    <r>
      <t xml:space="preserve">Costi dell’attività di spazzamento e di lavaggio –&gt; </t>
    </r>
    <r>
      <rPr>
        <b/>
        <sz val="8"/>
        <color theme="1"/>
        <rFont val="Tahoma"/>
        <family val="2"/>
      </rPr>
      <t>CSL</t>
    </r>
  </si>
  <si>
    <r>
      <t xml:space="preserve">Costi comuni –&gt; </t>
    </r>
    <r>
      <rPr>
        <b/>
        <sz val="8"/>
        <color theme="1"/>
        <rFont val="Tahoma"/>
        <family val="2"/>
      </rPr>
      <t>CC</t>
    </r>
  </si>
  <si>
    <r>
      <t xml:space="preserve">Costi per l’attività di gestione delle tariffe e dei rapporti con gli utenti –&gt; </t>
    </r>
    <r>
      <rPr>
        <b/>
        <sz val="8"/>
        <color theme="1"/>
        <rFont val="Tahoma"/>
        <family val="2"/>
      </rPr>
      <t>CARC</t>
    </r>
  </si>
  <si>
    <r>
      <t xml:space="preserve">Costi generali di gestione –&gt; </t>
    </r>
    <r>
      <rPr>
        <b/>
        <sz val="8"/>
        <color theme="1"/>
        <rFont val="Tahoma"/>
        <family val="2"/>
      </rPr>
      <t>CGG</t>
    </r>
  </si>
  <si>
    <r>
      <t xml:space="preserve">Costi relativi alla quota di crediti inesigibili –&gt; </t>
    </r>
    <r>
      <rPr>
        <b/>
        <sz val="8"/>
        <color theme="1"/>
        <rFont val="Tahoma"/>
        <family val="2"/>
      </rPr>
      <t>CCD</t>
    </r>
  </si>
  <si>
    <r>
      <t xml:space="preserve">Altri costi –&gt; </t>
    </r>
    <r>
      <rPr>
        <b/>
        <sz val="8"/>
        <color theme="1"/>
        <rFont val="Tahoma"/>
        <family val="2"/>
      </rPr>
      <t>CO</t>
    </r>
    <r>
      <rPr>
        <b/>
        <vertAlign val="subscript"/>
        <sz val="8"/>
        <color theme="1"/>
        <rFont val="Tahoma"/>
        <family val="2"/>
      </rPr>
      <t>AL</t>
    </r>
  </si>
  <si>
    <r>
      <t>Costi d'uso del capitale –&gt;</t>
    </r>
    <r>
      <rPr>
        <b/>
        <sz val="8"/>
        <color theme="1"/>
        <rFont val="Tahoma"/>
        <family val="2"/>
      </rPr>
      <t xml:space="preserve"> CK </t>
    </r>
  </si>
  <si>
    <r>
      <t xml:space="preserve">Ammortamenti –&gt; </t>
    </r>
    <r>
      <rPr>
        <b/>
        <sz val="8"/>
        <color theme="1"/>
        <rFont val="Tahoma"/>
        <family val="2"/>
      </rPr>
      <t>Amm</t>
    </r>
  </si>
  <si>
    <r>
      <t xml:space="preserve">Accantonamenti –&gt; </t>
    </r>
    <r>
      <rPr>
        <b/>
        <sz val="8"/>
        <color theme="1"/>
        <rFont val="Tahoma"/>
        <family val="2"/>
      </rPr>
      <t>Acc</t>
    </r>
  </si>
  <si>
    <t xml:space="preserve">                        - di cui costi di gestione post-operativa delle discariche</t>
  </si>
  <si>
    <t xml:space="preserve">                        - di cui per crediti</t>
  </si>
  <si>
    <t xml:space="preserve">                        - di cui per rischi e oneri previsti da normativa di settore e/o dal contratto di affidamento</t>
  </si>
  <si>
    <t xml:space="preserve">                        - di cui per altri non in eccesso rispetto a norme tributarie</t>
  </si>
  <si>
    <r>
      <t>Remunerazione del capitale investito netto –&gt;</t>
    </r>
    <r>
      <rPr>
        <b/>
        <sz val="8"/>
        <color theme="1"/>
        <rFont val="Tahoma"/>
        <family val="2"/>
      </rPr>
      <t xml:space="preserve"> R</t>
    </r>
  </si>
  <si>
    <r>
      <t xml:space="preserve">Remunerazione delle immobilizzazioni in corso –&gt; </t>
    </r>
    <r>
      <rPr>
        <b/>
        <sz val="8"/>
        <color theme="1"/>
        <rFont val="Tahoma"/>
        <family val="2"/>
      </rPr>
      <t>R</t>
    </r>
    <r>
      <rPr>
        <b/>
        <vertAlign val="subscript"/>
        <sz val="8"/>
        <color theme="1"/>
        <rFont val="Tahoma"/>
        <family val="2"/>
      </rPr>
      <t>LIC</t>
    </r>
  </si>
  <si>
    <r>
      <t xml:space="preserve">Componente a conguaglio relativa ai costi fissi –&gt; </t>
    </r>
    <r>
      <rPr>
        <b/>
        <sz val="8"/>
        <color theme="1"/>
        <rFont val="Tahoma"/>
        <family val="2"/>
      </rPr>
      <t>RC</t>
    </r>
    <r>
      <rPr>
        <b/>
        <vertAlign val="subscript"/>
        <sz val="8"/>
        <color theme="1"/>
        <rFont val="Tahoma"/>
        <family val="2"/>
      </rPr>
      <t>TF</t>
    </r>
  </si>
  <si>
    <t>Componenti costi operativi</t>
  </si>
  <si>
    <t>CRT_B.6</t>
  </si>
  <si>
    <t>CRT_B.7</t>
  </si>
  <si>
    <t>CRT_B.8</t>
  </si>
  <si>
    <t>CRT_B.9</t>
  </si>
  <si>
    <t>CRT_B.11</t>
  </si>
  <si>
    <t>CRT_B.14</t>
  </si>
  <si>
    <t>CTS_B.6</t>
  </si>
  <si>
    <t>CTS_B.7</t>
  </si>
  <si>
    <t>CTS_B.8</t>
  </si>
  <si>
    <t>CTS_B.9</t>
  </si>
  <si>
    <t>CTS_B.11</t>
  </si>
  <si>
    <t>CTS_B.14</t>
  </si>
  <si>
    <t>CTR_B.6</t>
  </si>
  <si>
    <t>CTR_B.7</t>
  </si>
  <si>
    <t>CTR_B.8</t>
  </si>
  <si>
    <t>CTR_B.9</t>
  </si>
  <si>
    <t>CTR_B.11</t>
  </si>
  <si>
    <t>CTR_B.14</t>
  </si>
  <si>
    <t>CRD_B.6</t>
  </si>
  <si>
    <t>CRD_B.7</t>
  </si>
  <si>
    <t>CRD_B.8</t>
  </si>
  <si>
    <t>CRD_B.9</t>
  </si>
  <si>
    <t>CRD_B.11</t>
  </si>
  <si>
    <t>CRD_B.14</t>
  </si>
  <si>
    <r>
      <t xml:space="preserve">Ricavi derivanti dai sistemi collettivi di </t>
    </r>
    <r>
      <rPr>
        <i/>
        <sz val="8"/>
        <color theme="1"/>
        <rFont val="Tahoma"/>
        <family val="2"/>
      </rPr>
      <t>compliance</t>
    </r>
    <r>
      <rPr>
        <sz val="8"/>
        <color theme="1"/>
        <rFont val="Tahoma"/>
        <family val="2"/>
      </rPr>
      <t xml:space="preserve"> -&gt; </t>
    </r>
    <r>
      <rPr>
        <b/>
        <sz val="8"/>
        <color theme="1"/>
        <rFont val="Tahoma"/>
        <family val="2"/>
      </rPr>
      <t>AR SC</t>
    </r>
  </si>
  <si>
    <t>CSL_B.6</t>
  </si>
  <si>
    <t>CSL_B.7</t>
  </si>
  <si>
    <t>CSL_B.8</t>
  </si>
  <si>
    <t>CSL_B.9</t>
  </si>
  <si>
    <t>CSL_B.11</t>
  </si>
  <si>
    <t>CSL_B.14</t>
  </si>
  <si>
    <t>CARC_B.6</t>
  </si>
  <si>
    <t>CARC_B.7</t>
  </si>
  <si>
    <t>CARC_B.8</t>
  </si>
  <si>
    <t>CARC_B.9</t>
  </si>
  <si>
    <t>CARC_B.11</t>
  </si>
  <si>
    <t>CARC_B.14</t>
  </si>
  <si>
    <t>CGG_B.6</t>
  </si>
  <si>
    <t>CGG_B.7</t>
  </si>
  <si>
    <t>CGG_B.8</t>
  </si>
  <si>
    <t>CGG_B.9</t>
  </si>
  <si>
    <t>CGG_B.11</t>
  </si>
  <si>
    <t>CGG_B.14</t>
  </si>
  <si>
    <t>CCD_B.6</t>
  </si>
  <si>
    <t>CCD_B.7</t>
  </si>
  <si>
    <t>CCD_B.8</t>
  </si>
  <si>
    <t>CCD_B.9</t>
  </si>
  <si>
    <t>CCD_B.11</t>
  </si>
  <si>
    <t>CCD_B.14</t>
  </si>
  <si>
    <t>COAL_B.6</t>
  </si>
  <si>
    <t>COAL_B.7</t>
  </si>
  <si>
    <t>COAL_B.8</t>
  </si>
  <si>
    <t>COAL_B.9</t>
  </si>
  <si>
    <t>COAL_B.11</t>
  </si>
  <si>
    <t>COAL_B.14</t>
  </si>
  <si>
    <t>ACC_B.10.d</t>
  </si>
  <si>
    <t>Check Accantonamenti</t>
  </si>
  <si>
    <t>Check componenti costi operativi</t>
  </si>
  <si>
    <r>
      <t xml:space="preserve">Poste Rettificative -&gt; </t>
    </r>
    <r>
      <rPr>
        <b/>
        <sz val="8"/>
        <rFont val="Tahoma"/>
        <family val="2"/>
      </rPr>
      <t>PR</t>
    </r>
  </si>
  <si>
    <t>PR.a</t>
  </si>
  <si>
    <t>PR.b</t>
  </si>
  <si>
    <t>PR.c</t>
  </si>
  <si>
    <t>PR.d</t>
  </si>
  <si>
    <t>PR.e</t>
  </si>
  <si>
    <t>PR.f</t>
  </si>
  <si>
    <t>PR.g</t>
  </si>
  <si>
    <t>PR.h</t>
  </si>
  <si>
    <t>PR.i</t>
  </si>
  <si>
    <t>Canone, mutuo, Leasing</t>
  </si>
  <si>
    <t>PR.j</t>
  </si>
  <si>
    <t>PR.k</t>
  </si>
  <si>
    <t>PR.l</t>
  </si>
  <si>
    <t>PR.m</t>
  </si>
  <si>
    <r>
      <t xml:space="preserve">Ricavi derivanti dai corrispettivi riconosciuti dai sistemi collettivi di compliance -&gt; </t>
    </r>
    <r>
      <rPr>
        <b/>
        <sz val="8"/>
        <color theme="1"/>
        <rFont val="Tahoma"/>
        <family val="2"/>
      </rPr>
      <t>AR</t>
    </r>
    <r>
      <rPr>
        <b/>
        <vertAlign val="subscript"/>
        <sz val="8"/>
        <color theme="1"/>
        <rFont val="Tahoma"/>
        <family val="2"/>
      </rPr>
      <t>sc</t>
    </r>
  </si>
  <si>
    <r>
      <t xml:space="preserve">Componente a conguaglio relativa ai costi variabili –&gt; </t>
    </r>
    <r>
      <rPr>
        <b/>
        <sz val="8"/>
        <color theme="1"/>
        <rFont val="Tahoma"/>
        <family val="2"/>
      </rPr>
      <t>RCtot</t>
    </r>
    <r>
      <rPr>
        <b/>
        <vertAlign val="subscript"/>
        <sz val="8"/>
        <color theme="1"/>
        <rFont val="Tahoma"/>
        <family val="2"/>
      </rPr>
      <t>TV</t>
    </r>
  </si>
  <si>
    <t>Codice</t>
  </si>
  <si>
    <t>Comune</t>
  </si>
  <si>
    <t>-</t>
  </si>
  <si>
    <t>Costi del/i gestore/i diverso/i dal Comune</t>
  </si>
  <si>
    <t>Costi 
del/i Comune/i</t>
  </si>
  <si>
    <t>Ciclo integrato
 RU (TOT PEF)</t>
  </si>
  <si>
    <t>Oneri relativi all'IVA indetraibile</t>
  </si>
  <si>
    <t>∑Ta= ∑TVa + ∑TFa    prima delle detrazioni di cui al. Art. 4.6 Del. 363/2021/R/Rif</t>
  </si>
  <si>
    <t>∑Ta= ∑TVa + ∑TFa    dopo le detrazioni di cui al. Art. 4.6 Del. 363/2021/R/Rif</t>
  </si>
  <si>
    <t xml:space="preserve">Grandezze fisico-tecniche </t>
  </si>
  <si>
    <t>Benchmark di riferimento [cent€/kg] (fabbisogno standard/costo medio settore)</t>
  </si>
  <si>
    <t>Coefficiente di gradualità</t>
  </si>
  <si>
    <t>Totale    ɣ</t>
  </si>
  <si>
    <t>Verifica del limite di crescita</t>
  </si>
  <si>
    <t>(1+r)</t>
  </si>
  <si>
    <t xml:space="preserve">TVa dopo distribuzione delta (∑Ta-∑Tmax) </t>
  </si>
  <si>
    <t xml:space="preserve">TFa dopo distribuzione delta (∑Ta-∑Tmax) </t>
  </si>
  <si>
    <t xml:space="preserve">Ta=TVa+TFa dopo distribuzione delta (∑Ta-∑Tmax) </t>
  </si>
  <si>
    <t xml:space="preserve">Attività esterne Ciclo integrato RU </t>
  </si>
  <si>
    <r>
      <t>rpi</t>
    </r>
    <r>
      <rPr>
        <i/>
        <vertAlign val="subscript"/>
        <sz val="8"/>
        <rFont val="Tahoma"/>
        <family val="2"/>
      </rPr>
      <t>a</t>
    </r>
  </si>
  <si>
    <t>Check limite massimo</t>
  </si>
  <si>
    <t>Inflazione</t>
  </si>
  <si>
    <t>CO116_TV_24_GEST</t>
  </si>
  <si>
    <t>CO116_TV_24_COM</t>
  </si>
  <si>
    <t>CO116_TF_24_GEST</t>
  </si>
  <si>
    <t>CO116_TF_24_COM</t>
  </si>
  <si>
    <t>CO116_TV_25_GEST</t>
  </si>
  <si>
    <t>CO116_TV_25_COM</t>
  </si>
  <si>
    <t>CO116_TF_25_GEST</t>
  </si>
  <si>
    <t>CO116_TF_25_COM</t>
  </si>
  <si>
    <t>CQ_TV_24_GEST</t>
  </si>
  <si>
    <t>CQ_TV_24_COM</t>
  </si>
  <si>
    <t>CQ_TF_24_GEST</t>
  </si>
  <si>
    <t>CQ_TF_24_COM</t>
  </si>
  <si>
    <t>CQ_TV_25_GEST</t>
  </si>
  <si>
    <t>CQ_TV_25_COM</t>
  </si>
  <si>
    <t>CQ_TF_25_GEST</t>
  </si>
  <si>
    <t>CQ_TF_25_COM</t>
  </si>
  <si>
    <t>COI_TV_24_GEST</t>
  </si>
  <si>
    <t>COI_TV_24_COM</t>
  </si>
  <si>
    <t>COI_TF_24_GEST</t>
  </si>
  <si>
    <t>COI_TF_24_COM</t>
  </si>
  <si>
    <t>COI_TV_25_GEST</t>
  </si>
  <si>
    <t>COI_TV_25_COM</t>
  </si>
  <si>
    <t>COI_TF_25_GEST</t>
  </si>
  <si>
    <t>COI_TF_25_COM</t>
  </si>
  <si>
    <t>B_25</t>
  </si>
  <si>
    <t>IMN Post2018</t>
  </si>
  <si>
    <t>IMN Ante2018</t>
  </si>
  <si>
    <r>
      <t xml:space="preserve">Poste rettificate capitale –&gt; </t>
    </r>
    <r>
      <rPr>
        <b/>
        <sz val="8"/>
        <color theme="1"/>
        <rFont val="Tahoma"/>
        <family val="2"/>
      </rPr>
      <t>PR</t>
    </r>
    <r>
      <rPr>
        <b/>
        <vertAlign val="subscript"/>
        <sz val="8"/>
        <color theme="1"/>
        <rFont val="Tahoma"/>
        <family val="2"/>
      </rPr>
      <t>2022</t>
    </r>
  </si>
  <si>
    <t>WACC - Post2018</t>
  </si>
  <si>
    <t>WACC - Ante2018</t>
  </si>
  <si>
    <r>
      <t>S</t>
    </r>
    <r>
      <rPr>
        <vertAlign val="subscript"/>
        <sz val="8"/>
        <color theme="1"/>
        <rFont val="Tahoma"/>
        <family val="2"/>
      </rPr>
      <t xml:space="preserve">LIC </t>
    </r>
    <r>
      <rPr>
        <sz val="8"/>
        <color theme="1"/>
        <rFont val="Tahoma"/>
        <family val="2"/>
      </rPr>
      <t>- 1° anno</t>
    </r>
  </si>
  <si>
    <r>
      <t>S</t>
    </r>
    <r>
      <rPr>
        <vertAlign val="subscript"/>
        <sz val="8"/>
        <color theme="1"/>
        <rFont val="Tahoma"/>
        <family val="2"/>
      </rPr>
      <t xml:space="preserve">LIC </t>
    </r>
    <r>
      <rPr>
        <sz val="8"/>
        <color theme="1"/>
        <rFont val="Tahoma"/>
        <family val="2"/>
      </rPr>
      <t>- 2° anno</t>
    </r>
  </si>
  <si>
    <r>
      <t>S</t>
    </r>
    <r>
      <rPr>
        <vertAlign val="subscript"/>
        <sz val="8"/>
        <color theme="1"/>
        <rFont val="Tahoma"/>
        <family val="2"/>
      </rPr>
      <t xml:space="preserve">LIC </t>
    </r>
    <r>
      <rPr>
        <sz val="8"/>
        <color theme="1"/>
        <rFont val="Tahoma"/>
        <family val="2"/>
      </rPr>
      <t>- 3° anno</t>
    </r>
  </si>
  <si>
    <r>
      <t>S</t>
    </r>
    <r>
      <rPr>
        <vertAlign val="subscript"/>
        <sz val="8"/>
        <color theme="1"/>
        <rFont val="Tahoma"/>
        <family val="2"/>
      </rPr>
      <t xml:space="preserve">LIC </t>
    </r>
    <r>
      <rPr>
        <sz val="8"/>
        <color theme="1"/>
        <rFont val="Tahoma"/>
        <family val="2"/>
      </rPr>
      <t>- 4° anno</t>
    </r>
  </si>
  <si>
    <r>
      <t>Ricavi</t>
    </r>
    <r>
      <rPr>
        <b/>
        <vertAlign val="subscript"/>
        <sz val="8"/>
        <color theme="1"/>
        <rFont val="Tahoma"/>
        <family val="2"/>
      </rPr>
      <t>2022</t>
    </r>
  </si>
  <si>
    <r>
      <t>Costi</t>
    </r>
    <r>
      <rPr>
        <b/>
        <vertAlign val="superscript"/>
        <sz val="8"/>
        <color theme="1"/>
        <rFont val="Tahoma"/>
        <family val="2"/>
      </rPr>
      <t>B6,B7</t>
    </r>
    <r>
      <rPr>
        <b/>
        <vertAlign val="subscript"/>
        <sz val="8"/>
        <color theme="1"/>
        <rFont val="Tahoma"/>
        <family val="2"/>
      </rPr>
      <t>2022</t>
    </r>
  </si>
  <si>
    <r>
      <t>I</t>
    </r>
    <r>
      <rPr>
        <b/>
        <vertAlign val="superscript"/>
        <sz val="8"/>
        <color theme="1"/>
        <rFont val="Tahoma"/>
        <family val="2"/>
      </rPr>
      <t>2023</t>
    </r>
  </si>
  <si>
    <r>
      <t xml:space="preserve">Poste rettificate capitale –&gt; </t>
    </r>
    <r>
      <rPr>
        <b/>
        <sz val="8"/>
        <color theme="1"/>
        <rFont val="Tahoma"/>
        <family val="2"/>
      </rPr>
      <t>PR</t>
    </r>
    <r>
      <rPr>
        <b/>
        <vertAlign val="subscript"/>
        <sz val="8"/>
        <color theme="1"/>
        <rFont val="Tahoma"/>
        <family val="2"/>
      </rPr>
      <t>2023</t>
    </r>
  </si>
  <si>
    <r>
      <t>Ricavi</t>
    </r>
    <r>
      <rPr>
        <b/>
        <vertAlign val="subscript"/>
        <sz val="8"/>
        <color theme="1"/>
        <rFont val="Tahoma"/>
        <family val="2"/>
      </rPr>
      <t>2023</t>
    </r>
  </si>
  <si>
    <r>
      <t>Costi</t>
    </r>
    <r>
      <rPr>
        <b/>
        <vertAlign val="superscript"/>
        <sz val="8"/>
        <color theme="1"/>
        <rFont val="Tahoma"/>
        <family val="2"/>
      </rPr>
      <t>B6,B7</t>
    </r>
    <r>
      <rPr>
        <b/>
        <vertAlign val="subscript"/>
        <sz val="8"/>
        <color theme="1"/>
        <rFont val="Tahoma"/>
        <family val="2"/>
      </rPr>
      <t>2023</t>
    </r>
  </si>
  <si>
    <r>
      <t xml:space="preserve">Remunerazione del CIN  –&gt; </t>
    </r>
    <r>
      <rPr>
        <b/>
        <sz val="8"/>
        <rFont val="Tahoma"/>
        <family val="2"/>
      </rPr>
      <t>R</t>
    </r>
    <r>
      <rPr>
        <b/>
        <vertAlign val="subscript"/>
        <sz val="8"/>
        <rFont val="Tahoma"/>
        <family val="2"/>
      </rPr>
      <t>2024</t>
    </r>
  </si>
  <si>
    <r>
      <t xml:space="preserve">Remunerazione del LIC  –&gt; </t>
    </r>
    <r>
      <rPr>
        <b/>
        <sz val="8"/>
        <rFont val="Tahoma"/>
        <family val="2"/>
      </rPr>
      <t>R</t>
    </r>
    <r>
      <rPr>
        <b/>
        <vertAlign val="subscript"/>
        <sz val="8"/>
        <rFont val="Tahoma"/>
        <family val="2"/>
      </rPr>
      <t>LIC2024</t>
    </r>
  </si>
  <si>
    <r>
      <t xml:space="preserve">Ammortamenti e Canoni –&gt; </t>
    </r>
    <r>
      <rPr>
        <b/>
        <sz val="8"/>
        <rFont val="Tahoma"/>
        <family val="2"/>
      </rPr>
      <t>Amm</t>
    </r>
    <r>
      <rPr>
        <b/>
        <vertAlign val="subscript"/>
        <sz val="8"/>
        <rFont val="Tahoma"/>
        <family val="2"/>
      </rPr>
      <t>2024</t>
    </r>
  </si>
  <si>
    <r>
      <t xml:space="preserve">Costi d'uso del capitale di cui all'art. 13.11 -&gt; </t>
    </r>
    <r>
      <rPr>
        <b/>
        <sz val="8"/>
        <rFont val="Tahoma"/>
        <family val="2"/>
      </rPr>
      <t>CK</t>
    </r>
    <r>
      <rPr>
        <b/>
        <vertAlign val="subscript"/>
        <sz val="8"/>
        <rFont val="Tahoma"/>
        <family val="2"/>
      </rPr>
      <t>proprietari 2024</t>
    </r>
  </si>
  <si>
    <r>
      <t>WACC</t>
    </r>
    <r>
      <rPr>
        <vertAlign val="subscript"/>
        <sz val="8"/>
        <color theme="1"/>
        <rFont val="Tahoma"/>
        <family val="2"/>
      </rPr>
      <t>2024</t>
    </r>
    <r>
      <rPr>
        <sz val="8"/>
        <color theme="1"/>
        <rFont val="Tahoma"/>
        <family val="2"/>
      </rPr>
      <t xml:space="preserve"> - Post2018</t>
    </r>
  </si>
  <si>
    <r>
      <t>WACC</t>
    </r>
    <r>
      <rPr>
        <vertAlign val="subscript"/>
        <sz val="8"/>
        <color theme="1"/>
        <rFont val="Tahoma"/>
        <family val="2"/>
      </rPr>
      <t>2024</t>
    </r>
    <r>
      <rPr>
        <sz val="8"/>
        <color theme="1"/>
        <rFont val="Tahoma"/>
        <family val="2"/>
      </rPr>
      <t xml:space="preserve"> - Ante2018</t>
    </r>
  </si>
  <si>
    <r>
      <t>CIN</t>
    </r>
    <r>
      <rPr>
        <b/>
        <vertAlign val="subscript"/>
        <sz val="8"/>
        <color theme="1"/>
        <rFont val="Tahoma"/>
        <family val="2"/>
      </rPr>
      <t>2024</t>
    </r>
  </si>
  <si>
    <r>
      <t>IMN</t>
    </r>
    <r>
      <rPr>
        <b/>
        <vertAlign val="subscript"/>
        <sz val="8"/>
        <color theme="1"/>
        <rFont val="Tahoma"/>
        <family val="2"/>
      </rPr>
      <t>2024</t>
    </r>
  </si>
  <si>
    <r>
      <t xml:space="preserve">Capitale circolante netto –&gt; </t>
    </r>
    <r>
      <rPr>
        <b/>
        <sz val="8"/>
        <color theme="1"/>
        <rFont val="Tahoma"/>
        <family val="2"/>
      </rPr>
      <t>CCN</t>
    </r>
    <r>
      <rPr>
        <b/>
        <vertAlign val="subscript"/>
        <sz val="8"/>
        <color theme="1"/>
        <rFont val="Tahoma"/>
        <family val="2"/>
      </rPr>
      <t>2024</t>
    </r>
  </si>
  <si>
    <r>
      <t>AMM</t>
    </r>
    <r>
      <rPr>
        <b/>
        <vertAlign val="subscript"/>
        <sz val="8"/>
        <color theme="1"/>
        <rFont val="Tahoma"/>
        <family val="2"/>
      </rPr>
      <t>2024</t>
    </r>
  </si>
  <si>
    <r>
      <t>CK</t>
    </r>
    <r>
      <rPr>
        <b/>
        <vertAlign val="subscript"/>
        <sz val="8"/>
        <color theme="1"/>
        <rFont val="Tahoma"/>
        <family val="2"/>
      </rPr>
      <t>proprietari 2024</t>
    </r>
  </si>
  <si>
    <r>
      <t xml:space="preserve">Remunerazione del CIN  –&gt; </t>
    </r>
    <r>
      <rPr>
        <b/>
        <sz val="8"/>
        <rFont val="Tahoma"/>
        <family val="2"/>
      </rPr>
      <t>R</t>
    </r>
    <r>
      <rPr>
        <b/>
        <vertAlign val="subscript"/>
        <sz val="8"/>
        <rFont val="Tahoma"/>
        <family val="2"/>
      </rPr>
      <t>2025</t>
    </r>
  </si>
  <si>
    <r>
      <t xml:space="preserve">Remunerazione del LIC  –&gt; </t>
    </r>
    <r>
      <rPr>
        <b/>
        <sz val="8"/>
        <rFont val="Tahoma"/>
        <family val="2"/>
      </rPr>
      <t>R</t>
    </r>
    <r>
      <rPr>
        <b/>
        <vertAlign val="subscript"/>
        <sz val="8"/>
        <rFont val="Tahoma"/>
        <family val="2"/>
      </rPr>
      <t>LIC2025</t>
    </r>
  </si>
  <si>
    <r>
      <t xml:space="preserve">Ammortamenti e Canoni –&gt; </t>
    </r>
    <r>
      <rPr>
        <b/>
        <sz val="8"/>
        <rFont val="Tahoma"/>
        <family val="2"/>
      </rPr>
      <t>Amm</t>
    </r>
    <r>
      <rPr>
        <b/>
        <vertAlign val="subscript"/>
        <sz val="8"/>
        <rFont val="Tahoma"/>
        <family val="2"/>
      </rPr>
      <t>2025</t>
    </r>
  </si>
  <si>
    <r>
      <t xml:space="preserve">Costi d'uso del capitale di cui all'art. 13.11 -&gt; </t>
    </r>
    <r>
      <rPr>
        <b/>
        <sz val="8"/>
        <rFont val="Tahoma"/>
        <family val="2"/>
      </rPr>
      <t>CK</t>
    </r>
    <r>
      <rPr>
        <b/>
        <vertAlign val="subscript"/>
        <sz val="8"/>
        <rFont val="Tahoma"/>
        <family val="2"/>
      </rPr>
      <t>proprietari 2025</t>
    </r>
  </si>
  <si>
    <r>
      <t>CIN</t>
    </r>
    <r>
      <rPr>
        <b/>
        <vertAlign val="subscript"/>
        <sz val="8"/>
        <color theme="1"/>
        <rFont val="Tahoma"/>
        <family val="2"/>
      </rPr>
      <t>2025</t>
    </r>
  </si>
  <si>
    <r>
      <t>WACC</t>
    </r>
    <r>
      <rPr>
        <vertAlign val="subscript"/>
        <sz val="8"/>
        <color theme="1"/>
        <rFont val="Tahoma"/>
        <family val="2"/>
      </rPr>
      <t>2025</t>
    </r>
    <r>
      <rPr>
        <sz val="8"/>
        <color theme="1"/>
        <rFont val="Tahoma"/>
        <family val="2"/>
      </rPr>
      <t xml:space="preserve"> - Post2018</t>
    </r>
  </si>
  <si>
    <r>
      <t>WACC</t>
    </r>
    <r>
      <rPr>
        <vertAlign val="subscript"/>
        <sz val="8"/>
        <color theme="1"/>
        <rFont val="Tahoma"/>
        <family val="2"/>
      </rPr>
      <t>2025</t>
    </r>
    <r>
      <rPr>
        <sz val="8"/>
        <color theme="1"/>
        <rFont val="Tahoma"/>
        <family val="2"/>
      </rPr>
      <t xml:space="preserve"> - Ante2018</t>
    </r>
  </si>
  <si>
    <r>
      <t>IMN</t>
    </r>
    <r>
      <rPr>
        <b/>
        <vertAlign val="subscript"/>
        <sz val="8"/>
        <color theme="1"/>
        <rFont val="Tahoma"/>
        <family val="2"/>
      </rPr>
      <t>2025</t>
    </r>
  </si>
  <si>
    <r>
      <t xml:space="preserve">Capitale circolante netto –&gt; </t>
    </r>
    <r>
      <rPr>
        <b/>
        <sz val="8"/>
        <color theme="1"/>
        <rFont val="Tahoma"/>
        <family val="2"/>
      </rPr>
      <t>CCN</t>
    </r>
    <r>
      <rPr>
        <b/>
        <vertAlign val="subscript"/>
        <sz val="8"/>
        <color theme="1"/>
        <rFont val="Tahoma"/>
        <family val="2"/>
      </rPr>
      <t>2025</t>
    </r>
  </si>
  <si>
    <r>
      <t>Ricavi</t>
    </r>
    <r>
      <rPr>
        <b/>
        <vertAlign val="subscript"/>
        <sz val="8"/>
        <color theme="1"/>
        <rFont val="Tahoma"/>
        <family val="2"/>
      </rPr>
      <t>2025</t>
    </r>
  </si>
  <si>
    <r>
      <t>Costi</t>
    </r>
    <r>
      <rPr>
        <b/>
        <vertAlign val="superscript"/>
        <sz val="8"/>
        <color theme="1"/>
        <rFont val="Tahoma"/>
        <family val="2"/>
      </rPr>
      <t>B6,B7</t>
    </r>
    <r>
      <rPr>
        <b/>
        <vertAlign val="subscript"/>
        <sz val="8"/>
        <color theme="1"/>
        <rFont val="Tahoma"/>
        <family val="2"/>
      </rPr>
      <t>2025</t>
    </r>
  </si>
  <si>
    <r>
      <t>AMM</t>
    </r>
    <r>
      <rPr>
        <b/>
        <vertAlign val="subscript"/>
        <sz val="8"/>
        <color theme="1"/>
        <rFont val="Tahoma"/>
        <family val="2"/>
      </rPr>
      <t>2025</t>
    </r>
  </si>
  <si>
    <r>
      <t>CK</t>
    </r>
    <r>
      <rPr>
        <b/>
        <vertAlign val="subscript"/>
        <sz val="8"/>
        <color theme="1"/>
        <rFont val="Tahoma"/>
        <family val="2"/>
      </rPr>
      <t>proprietari 2025</t>
    </r>
  </si>
  <si>
    <t>Componenti per il calcolo del CIN</t>
  </si>
  <si>
    <t>di cui TFR</t>
  </si>
  <si>
    <t>di cui fondi rischi e oneri</t>
  </si>
  <si>
    <t>di cui fondi per il ripristino di beni di  terzi</t>
  </si>
  <si>
    <t>B.6</t>
  </si>
  <si>
    <t>B.7</t>
  </si>
  <si>
    <t>Costi B.6 e B.7</t>
  </si>
  <si>
    <t>Ricavi A.1</t>
  </si>
  <si>
    <t>Poste rettificative del capitale</t>
  </si>
  <si>
    <t>CRT_24_COM</t>
  </si>
  <si>
    <t>CTS_24_COM</t>
  </si>
  <si>
    <t>CTR_24_COM</t>
  </si>
  <si>
    <t>CRD_24_COM</t>
  </si>
  <si>
    <t>CSL_24_COM</t>
  </si>
  <si>
    <t>CARC_24_COM</t>
  </si>
  <si>
    <t>CGG_24_COM</t>
  </si>
  <si>
    <t>CCD_24_COM</t>
  </si>
  <si>
    <t>COAL_24_COM</t>
  </si>
  <si>
    <t>CRT_25_COM</t>
  </si>
  <si>
    <t>CTS_25_COM</t>
  </si>
  <si>
    <t>CTR_25_COM</t>
  </si>
  <si>
    <t>CRD_25_COM</t>
  </si>
  <si>
    <t>AR_25_COM</t>
  </si>
  <si>
    <t>ARSC_25_COM</t>
  </si>
  <si>
    <t>CSL_25_COM</t>
  </si>
  <si>
    <t>CARC_25_COM</t>
  </si>
  <si>
    <t>CGG_25_COM</t>
  </si>
  <si>
    <t>CCD_25_COM</t>
  </si>
  <si>
    <t>COAL_25_COM</t>
  </si>
  <si>
    <t>Superamento del limite?</t>
  </si>
  <si>
    <t>SI</t>
  </si>
  <si>
    <t>Istanza di superamento del limite art. 4.6 MTR-2?</t>
  </si>
  <si>
    <t>NO</t>
  </si>
  <si>
    <t>Convalida dati</t>
  </si>
  <si>
    <t>TV_24_DEF</t>
  </si>
  <si>
    <t>TF_24_DEF</t>
  </si>
  <si>
    <t>T_24_DEF</t>
  </si>
  <si>
    <r>
      <t xml:space="preserve">Delta </t>
    </r>
    <r>
      <rPr>
        <b/>
        <vertAlign val="subscript"/>
        <sz val="8"/>
        <rFont val="Tahoma"/>
        <family val="2"/>
      </rPr>
      <t>2024</t>
    </r>
    <r>
      <rPr>
        <b/>
        <sz val="8"/>
        <rFont val="Tahoma"/>
        <family val="2"/>
      </rPr>
      <t xml:space="preserve"> - Parte fissa - Gestore - Da Recuperare</t>
    </r>
  </si>
  <si>
    <r>
      <t xml:space="preserve">Delta </t>
    </r>
    <r>
      <rPr>
        <b/>
        <vertAlign val="subscript"/>
        <sz val="8"/>
        <rFont val="Tahoma"/>
        <family val="2"/>
      </rPr>
      <t>2024</t>
    </r>
    <r>
      <rPr>
        <b/>
        <sz val="8"/>
        <rFont val="Tahoma"/>
        <family val="2"/>
      </rPr>
      <t xml:space="preserve"> - Parte fissa - Comune - Da Recuperare</t>
    </r>
  </si>
  <si>
    <t>TV_25_DEF</t>
  </si>
  <si>
    <t>TF_25_DEF</t>
  </si>
  <si>
    <t>T_25_DEF</t>
  </si>
  <si>
    <r>
      <t xml:space="preserve">raccolta differenziata   </t>
    </r>
    <r>
      <rPr>
        <i/>
        <sz val="8"/>
        <color theme="1"/>
        <rFont val="Tahoma"/>
        <family val="2"/>
      </rPr>
      <t>%</t>
    </r>
  </si>
  <si>
    <r>
      <t xml:space="preserve">costo unitario effettivo - Cueff   </t>
    </r>
    <r>
      <rPr>
        <i/>
        <sz val="8"/>
        <color theme="1"/>
        <rFont val="Tahoma"/>
        <family val="2"/>
      </rPr>
      <t>€cent/kg</t>
    </r>
  </si>
  <si>
    <r>
      <t xml:space="preserve">valutazione rispetto agli obiettivi di raccolta differenziata   </t>
    </r>
    <r>
      <rPr>
        <b/>
        <i/>
        <sz val="8"/>
        <color theme="1"/>
        <rFont val="Tahoma"/>
        <family val="2"/>
      </rPr>
      <t>ɣ</t>
    </r>
    <r>
      <rPr>
        <b/>
        <i/>
        <vertAlign val="subscript"/>
        <sz val="8"/>
        <color theme="1"/>
        <rFont val="Tahoma"/>
        <family val="2"/>
      </rPr>
      <t>1</t>
    </r>
    <r>
      <rPr>
        <sz val="8"/>
        <color theme="1"/>
        <rFont val="Tahoma"/>
        <family val="2"/>
      </rPr>
      <t xml:space="preserve"> </t>
    </r>
  </si>
  <si>
    <r>
      <t xml:space="preserve">valutazione rispetto all' efficacia dell' attività di preparazione per il riutilizzo e riciclo   </t>
    </r>
    <r>
      <rPr>
        <b/>
        <i/>
        <sz val="8"/>
        <color theme="1"/>
        <rFont val="Tahoma"/>
        <family val="2"/>
      </rPr>
      <t>ɣ</t>
    </r>
    <r>
      <rPr>
        <b/>
        <i/>
        <vertAlign val="subscript"/>
        <sz val="8"/>
        <color theme="1"/>
        <rFont val="Tahoma"/>
        <family val="2"/>
      </rPr>
      <t>2</t>
    </r>
    <r>
      <rPr>
        <sz val="8"/>
        <color theme="1"/>
        <rFont val="Tahoma"/>
        <family val="2"/>
      </rPr>
      <t xml:space="preserve"> </t>
    </r>
  </si>
  <si>
    <r>
      <t xml:space="preserve">Coefficiente di gradualità   </t>
    </r>
    <r>
      <rPr>
        <b/>
        <i/>
        <sz val="8"/>
        <color theme="0"/>
        <rFont val="Tahoma"/>
        <family val="2"/>
      </rPr>
      <t>(1+ ɣ)</t>
    </r>
  </si>
  <si>
    <r>
      <t>rpi</t>
    </r>
    <r>
      <rPr>
        <i/>
        <vertAlign val="subscript"/>
        <sz val="8"/>
        <color theme="1"/>
        <rFont val="Tahoma"/>
        <family val="2"/>
      </rPr>
      <t>a</t>
    </r>
  </si>
  <si>
    <r>
      <t xml:space="preserve">coefficiente di recupero di produttività   </t>
    </r>
    <r>
      <rPr>
        <b/>
        <i/>
        <sz val="8"/>
        <color theme="1"/>
        <rFont val="Tahoma"/>
        <family val="2"/>
      </rPr>
      <t>X</t>
    </r>
    <r>
      <rPr>
        <i/>
        <vertAlign val="subscript"/>
        <sz val="8"/>
        <color theme="1"/>
        <rFont val="Tahoma"/>
        <family val="2"/>
      </rPr>
      <t>a</t>
    </r>
    <r>
      <rPr>
        <sz val="8"/>
        <color theme="1"/>
        <rFont val="Tahoma"/>
        <family val="2"/>
      </rPr>
      <t xml:space="preserve"> </t>
    </r>
  </si>
  <si>
    <r>
      <t xml:space="preserve"> </t>
    </r>
    <r>
      <rPr>
        <i/>
        <sz val="8"/>
        <color theme="0"/>
        <rFont val="Tahoma"/>
        <family val="2"/>
      </rPr>
      <t>∑T</t>
    </r>
    <r>
      <rPr>
        <i/>
        <vertAlign val="subscript"/>
        <sz val="8"/>
        <color theme="0"/>
        <rFont val="Tahoma"/>
        <family val="2"/>
      </rPr>
      <t>a</t>
    </r>
  </si>
  <si>
    <r>
      <t xml:space="preserve"> </t>
    </r>
    <r>
      <rPr>
        <i/>
        <sz val="8"/>
        <color theme="1"/>
        <rFont val="Tahoma"/>
        <family val="2"/>
      </rPr>
      <t>∑TV</t>
    </r>
    <r>
      <rPr>
        <i/>
        <vertAlign val="subscript"/>
        <sz val="8"/>
        <color theme="1"/>
        <rFont val="Tahoma"/>
        <family val="2"/>
      </rPr>
      <t>a-1</t>
    </r>
  </si>
  <si>
    <r>
      <t xml:space="preserve"> </t>
    </r>
    <r>
      <rPr>
        <i/>
        <sz val="8"/>
        <color theme="1"/>
        <rFont val="Tahoma"/>
        <family val="2"/>
      </rPr>
      <t>∑TF</t>
    </r>
    <r>
      <rPr>
        <i/>
        <vertAlign val="subscript"/>
        <sz val="8"/>
        <color theme="1"/>
        <rFont val="Tahoma"/>
        <family val="2"/>
      </rPr>
      <t>a-1</t>
    </r>
  </si>
  <si>
    <r>
      <t xml:space="preserve"> </t>
    </r>
    <r>
      <rPr>
        <i/>
        <sz val="8"/>
        <color theme="0"/>
        <rFont val="Tahoma"/>
        <family val="2"/>
      </rPr>
      <t>∑T</t>
    </r>
    <r>
      <rPr>
        <i/>
        <vertAlign val="subscript"/>
        <sz val="8"/>
        <color theme="0"/>
        <rFont val="Tahoma"/>
        <family val="2"/>
      </rPr>
      <t>a-1</t>
    </r>
  </si>
  <si>
    <r>
      <t xml:space="preserve"> </t>
    </r>
    <r>
      <rPr>
        <b/>
        <i/>
        <sz val="8"/>
        <color theme="0"/>
        <rFont val="Tahoma"/>
        <family val="2"/>
      </rPr>
      <t>∑T</t>
    </r>
    <r>
      <rPr>
        <b/>
        <i/>
        <vertAlign val="subscript"/>
        <sz val="8"/>
        <color theme="0"/>
        <rFont val="Tahoma"/>
        <family val="2"/>
      </rPr>
      <t>a</t>
    </r>
    <r>
      <rPr>
        <b/>
        <i/>
        <sz val="8"/>
        <color theme="0"/>
        <rFont val="Tahoma"/>
        <family val="2"/>
      </rPr>
      <t>/ ∑T</t>
    </r>
    <r>
      <rPr>
        <b/>
        <i/>
        <vertAlign val="subscript"/>
        <sz val="8"/>
        <color theme="0"/>
        <rFont val="Tahoma"/>
        <family val="2"/>
      </rPr>
      <t>a-1</t>
    </r>
  </si>
  <si>
    <r>
      <t>∑T</t>
    </r>
    <r>
      <rPr>
        <b/>
        <vertAlign val="subscript"/>
        <sz val="8"/>
        <color theme="0"/>
        <rFont val="Tahoma"/>
        <family val="2"/>
      </rPr>
      <t>max</t>
    </r>
    <r>
      <rPr>
        <b/>
        <sz val="8"/>
        <color theme="0"/>
        <rFont val="Tahoma"/>
        <family val="2"/>
      </rPr>
      <t xml:space="preserve">  (entrate tariffarie massime applicabili nel rispetto del limite di crescita)</t>
    </r>
  </si>
  <si>
    <r>
      <t>delta (∑T</t>
    </r>
    <r>
      <rPr>
        <b/>
        <vertAlign val="subscript"/>
        <sz val="8"/>
        <color theme="0"/>
        <rFont val="Tahoma"/>
        <family val="2"/>
      </rPr>
      <t>a</t>
    </r>
    <r>
      <rPr>
        <b/>
        <sz val="8"/>
        <color theme="0"/>
        <rFont val="Tahoma"/>
        <family val="2"/>
      </rPr>
      <t>-∑T</t>
    </r>
    <r>
      <rPr>
        <b/>
        <vertAlign val="subscript"/>
        <sz val="8"/>
        <color theme="0"/>
        <rFont val="Tahoma"/>
        <family val="2"/>
      </rPr>
      <t>max</t>
    </r>
    <r>
      <rPr>
        <b/>
        <sz val="8"/>
        <color theme="0"/>
        <rFont val="Tahoma"/>
        <family val="2"/>
      </rPr>
      <t>)</t>
    </r>
  </si>
  <si>
    <t>%RD_24</t>
  </si>
  <si>
    <t>%RD_25</t>
  </si>
  <si>
    <t>FONTE</t>
  </si>
  <si>
    <r>
      <rPr>
        <i/>
        <sz val="8"/>
        <color theme="4" tint="-0.499984740745262"/>
        <rFont val="Tahoma"/>
        <family val="2"/>
      </rPr>
      <t>PEF GEST</t>
    </r>
    <r>
      <rPr>
        <i/>
        <sz val="8"/>
        <color theme="0" tint="-0.499984740745262"/>
        <rFont val="Tahoma"/>
        <family val="2"/>
      </rPr>
      <t xml:space="preserve"> - </t>
    </r>
    <r>
      <rPr>
        <i/>
        <sz val="8"/>
        <color rgb="FF00B050"/>
        <rFont val="Tahoma"/>
        <family val="2"/>
      </rPr>
      <t>PEF COM</t>
    </r>
  </si>
  <si>
    <t>PEF COM</t>
  </si>
  <si>
    <t>RIEPILOGO GESTORE</t>
  </si>
  <si>
    <t>T_25_GEST_DEF</t>
  </si>
  <si>
    <t>RIEPILOGO COMUNE</t>
  </si>
  <si>
    <t>T_25_COM_DEF</t>
  </si>
  <si>
    <t>AR_A.1</t>
  </si>
  <si>
    <t>AR_A.5</t>
  </si>
  <si>
    <t>AR SC_A.1</t>
  </si>
  <si>
    <t>AR SC_A.5</t>
  </si>
  <si>
    <r>
      <t>q</t>
    </r>
    <r>
      <rPr>
        <i/>
        <vertAlign val="subscript"/>
        <sz val="8"/>
        <color theme="1"/>
        <rFont val="Tahoma"/>
        <family val="2"/>
      </rPr>
      <t>a-2</t>
    </r>
    <r>
      <rPr>
        <i/>
        <sz val="8"/>
        <color theme="1"/>
        <rFont val="Tahoma"/>
        <family val="2"/>
      </rPr>
      <t xml:space="preserve">  </t>
    </r>
    <r>
      <rPr>
        <i/>
        <sz val="8"/>
        <rFont val="Tahoma"/>
        <family val="2"/>
      </rPr>
      <t xml:space="preserve"> ton</t>
    </r>
  </si>
  <si>
    <t>ACC_B.10.a</t>
  </si>
  <si>
    <t>ACC_B.10.b</t>
  </si>
  <si>
    <t>ACC_B.10.c</t>
  </si>
  <si>
    <t>ACC_B.12.a</t>
  </si>
  <si>
    <t>ACC_B.12.b</t>
  </si>
  <si>
    <t>ACC_B.12.c</t>
  </si>
  <si>
    <t>ACC_B.12.d</t>
  </si>
  <si>
    <t>ACC_B.13.a</t>
  </si>
  <si>
    <t>ACC_B.13.b</t>
  </si>
  <si>
    <t>ACC_B.13.c</t>
  </si>
  <si>
    <t>ACC_B.13.d</t>
  </si>
  <si>
    <t>ACC_Dett_a</t>
  </si>
  <si>
    <t>ACC_Dett_b</t>
  </si>
  <si>
    <t>ACC_Dett_c</t>
  </si>
  <si>
    <t>ACC_Dett_d</t>
  </si>
  <si>
    <t>Costi attribuiti alle attività capitalizzate</t>
  </si>
  <si>
    <t>SODDISFACENTE</t>
  </si>
  <si>
    <t>NON SODDISFACENTE</t>
  </si>
  <si>
    <t>SONO PREVISTE […]?</t>
  </si>
  <si>
    <t>Valutazione in merito al […]</t>
  </si>
  <si>
    <t>Ambito tariffario</t>
  </si>
  <si>
    <t>Nome Gestore:</t>
  </si>
  <si>
    <t>Foglio_TOOL</t>
  </si>
  <si>
    <t>Indirizzo_TOOL</t>
  </si>
  <si>
    <t>Descrizione</t>
  </si>
  <si>
    <t>D6</t>
  </si>
  <si>
    <t>Gestore 1</t>
  </si>
  <si>
    <t>D9</t>
  </si>
  <si>
    <t>D11</t>
  </si>
  <si>
    <t>D12</t>
  </si>
  <si>
    <t>F44</t>
  </si>
  <si>
    <t>Foglio Modello</t>
  </si>
  <si>
    <t>Codice Modello</t>
  </si>
  <si>
    <t>R18</t>
  </si>
  <si>
    <t>R19</t>
  </si>
  <si>
    <t>AA39</t>
  </si>
  <si>
    <t>C7</t>
  </si>
  <si>
    <t>C10</t>
  </si>
  <si>
    <t>C11</t>
  </si>
  <si>
    <t>C18</t>
  </si>
  <si>
    <t>C22</t>
  </si>
  <si>
    <t>C23</t>
  </si>
  <si>
    <t>C24</t>
  </si>
  <si>
    <t>C25</t>
  </si>
  <si>
    <t>C26</t>
  </si>
  <si>
    <t>C27</t>
  </si>
  <si>
    <t>D25</t>
  </si>
  <si>
    <t>D27</t>
  </si>
  <si>
    <t>E24</t>
  </si>
  <si>
    <t>E25</t>
  </si>
  <si>
    <t>E26</t>
  </si>
  <si>
    <t>E27</t>
  </si>
  <si>
    <t>F24</t>
  </si>
  <si>
    <t>F25</t>
  </si>
  <si>
    <t>F26</t>
  </si>
  <si>
    <t>F27</t>
  </si>
  <si>
    <t>G22</t>
  </si>
  <si>
    <t>G23</t>
  </si>
  <si>
    <t>G24</t>
  </si>
  <si>
    <t>G25</t>
  </si>
  <si>
    <t>G26</t>
  </si>
  <si>
    <t>G27</t>
  </si>
  <si>
    <t>H22</t>
  </si>
  <si>
    <t>H23</t>
  </si>
  <si>
    <t>H25</t>
  </si>
  <si>
    <t>H26</t>
  </si>
  <si>
    <t>H27</t>
  </si>
  <si>
    <t>I25</t>
  </si>
  <si>
    <t>I26</t>
  </si>
  <si>
    <t>I27</t>
  </si>
  <si>
    <t>J24</t>
  </si>
  <si>
    <t>J25</t>
  </si>
  <si>
    <t>J26</t>
  </si>
  <si>
    <t>J27</t>
  </si>
  <si>
    <t>K25</t>
  </si>
  <si>
    <t>K26</t>
  </si>
  <si>
    <t>K27</t>
  </si>
  <si>
    <t>C32</t>
  </si>
  <si>
    <t>C33</t>
  </si>
  <si>
    <t>C34</t>
  </si>
  <si>
    <t>F33</t>
  </si>
  <si>
    <t>F34</t>
  </si>
  <si>
    <t>C38</t>
  </si>
  <si>
    <t>C40</t>
  </si>
  <si>
    <t>C41</t>
  </si>
  <si>
    <t>C42</t>
  </si>
  <si>
    <t>C43</t>
  </si>
  <si>
    <t>C44</t>
  </si>
  <si>
    <t>C45</t>
  </si>
  <si>
    <t>C46</t>
  </si>
  <si>
    <t>C47</t>
  </si>
  <si>
    <t>C48</t>
  </si>
  <si>
    <t>F41</t>
  </si>
  <si>
    <t>F42</t>
  </si>
  <si>
    <t>F43</t>
  </si>
  <si>
    <t>C57</t>
  </si>
  <si>
    <t>C58</t>
  </si>
  <si>
    <t>C59</t>
  </si>
  <si>
    <t>C8</t>
  </si>
  <si>
    <t>C9</t>
  </si>
  <si>
    <t>C13</t>
  </si>
  <si>
    <t>C14</t>
  </si>
  <si>
    <t>C15</t>
  </si>
  <si>
    <t>G8</t>
  </si>
  <si>
    <t>G9</t>
  </si>
  <si>
    <t>G13</t>
  </si>
  <si>
    <t>G14</t>
  </si>
  <si>
    <t>G15</t>
  </si>
  <si>
    <t>C30</t>
  </si>
  <si>
    <t>G30</t>
  </si>
  <si>
    <t>C37</t>
  </si>
  <si>
    <t>G37</t>
  </si>
  <si>
    <t>G38</t>
  </si>
  <si>
    <t>G41</t>
  </si>
  <si>
    <t>H9</t>
  </si>
  <si>
    <t>M7</t>
  </si>
  <si>
    <t>M8</t>
  </si>
  <si>
    <t>M9</t>
  </si>
  <si>
    <t>Q7</t>
  </si>
  <si>
    <t>Q8</t>
  </si>
  <si>
    <t>Q9</t>
  </si>
  <si>
    <t>M14</t>
  </si>
  <si>
    <t>M15</t>
  </si>
  <si>
    <t>Q14</t>
  </si>
  <si>
    <t>Q15</t>
  </si>
  <si>
    <t>M23</t>
  </si>
  <si>
    <t>M30</t>
  </si>
  <si>
    <t>Q23</t>
  </si>
  <si>
    <t>Q30</t>
  </si>
  <si>
    <t>R7</t>
  </si>
  <si>
    <t>R8</t>
  </si>
  <si>
    <t>R9</t>
  </si>
  <si>
    <t>V7</t>
  </si>
  <si>
    <t>V8</t>
  </si>
  <si>
    <t>V9</t>
  </si>
  <si>
    <t>R23</t>
  </si>
  <si>
    <t>R30</t>
  </si>
  <si>
    <t>V23</t>
  </si>
  <si>
    <t>V30</t>
  </si>
  <si>
    <t>G10</t>
  </si>
  <si>
    <t>C31</t>
  </si>
  <si>
    <t>H10</t>
  </si>
  <si>
    <t>M10</t>
  </si>
  <si>
    <t>M31</t>
  </si>
  <si>
    <t>R10</t>
  </si>
  <si>
    <t>V10</t>
  </si>
  <si>
    <t>G42</t>
  </si>
  <si>
    <t>M43</t>
  </si>
  <si>
    <t>M44</t>
  </si>
  <si>
    <t>M45</t>
  </si>
  <si>
    <t>M51</t>
  </si>
  <si>
    <t>M52</t>
  </si>
  <si>
    <t>M53</t>
  </si>
  <si>
    <t>M54</t>
  </si>
  <si>
    <t>M55</t>
  </si>
  <si>
    <t>Q43</t>
  </si>
  <si>
    <t>Q44</t>
  </si>
  <si>
    <t>Q45</t>
  </si>
  <si>
    <t>Q47</t>
  </si>
  <si>
    <t>Q51</t>
  </si>
  <si>
    <t>Q52</t>
  </si>
  <si>
    <t>Q53</t>
  </si>
  <si>
    <t>Q54</t>
  </si>
  <si>
    <t>Q55</t>
  </si>
  <si>
    <t>R43</t>
  </si>
  <si>
    <t>R44</t>
  </si>
  <si>
    <t>R45</t>
  </si>
  <si>
    <t>R51</t>
  </si>
  <si>
    <t>R52</t>
  </si>
  <si>
    <t>R53</t>
  </si>
  <si>
    <t>R54</t>
  </si>
  <si>
    <t>R55</t>
  </si>
  <si>
    <t>V43</t>
  </si>
  <si>
    <t>V44</t>
  </si>
  <si>
    <t>V45</t>
  </si>
  <si>
    <t>V51</t>
  </si>
  <si>
    <t>V52</t>
  </si>
  <si>
    <t>V53</t>
  </si>
  <si>
    <t>V54</t>
  </si>
  <si>
    <t>V55</t>
  </si>
  <si>
    <t>IN_Rimd</t>
  </si>
  <si>
    <t>M21</t>
  </si>
  <si>
    <t>M22</t>
  </si>
  <si>
    <t>Q21</t>
  </si>
  <si>
    <t>Q22</t>
  </si>
  <si>
    <t>R21</t>
  </si>
  <si>
    <t>R22</t>
  </si>
  <si>
    <t>V21</t>
  </si>
  <si>
    <t>V22</t>
  </si>
  <si>
    <t>Si usufruisce della deroga di cui al comma 1.11 det. 2/DRIF/2021?</t>
  </si>
  <si>
    <t>Q10</t>
  </si>
  <si>
    <t>AMM</t>
  </si>
  <si>
    <t>Verifica range</t>
  </si>
  <si>
    <t>Range Gamma1</t>
  </si>
  <si>
    <t>Valore min</t>
  </si>
  <si>
    <t>Valore max</t>
  </si>
  <si>
    <t>-0,2&lt;ɣ1≤0</t>
  </si>
  <si>
    <t>-0,4≤ɣ1≤-0,2</t>
  </si>
  <si>
    <t>Range Gamma2</t>
  </si>
  <si>
    <t>-0,15&lt;ɣ2≤0</t>
  </si>
  <si>
    <t>-0,3≤ɣ2≤-0,15</t>
  </si>
  <si>
    <t>Codici</t>
  </si>
  <si>
    <t>IMN_POST_18</t>
  </si>
  <si>
    <t>IMN_PRE_18</t>
  </si>
  <si>
    <t>CK_PROPR</t>
  </si>
  <si>
    <t>R_LIC</t>
  </si>
  <si>
    <t>Collegato a file Elaborazione CK</t>
  </si>
  <si>
    <r>
      <t>RLIC</t>
    </r>
    <r>
      <rPr>
        <b/>
        <vertAlign val="subscript"/>
        <sz val="8"/>
        <color theme="1"/>
        <rFont val="Tahoma"/>
        <family val="2"/>
      </rPr>
      <t>2024</t>
    </r>
  </si>
  <si>
    <r>
      <t>RLIC</t>
    </r>
    <r>
      <rPr>
        <b/>
        <vertAlign val="subscript"/>
        <sz val="8"/>
        <color theme="1"/>
        <rFont val="Tahoma"/>
        <family val="2"/>
      </rPr>
      <t>2025</t>
    </r>
  </si>
  <si>
    <t>CTS_24_GEST_B.7</t>
  </si>
  <si>
    <t>CTR_24_GEST_B.7</t>
  </si>
  <si>
    <t>ACC_24_GEST_B.10.a</t>
  </si>
  <si>
    <t>ACC_24_GEST_B.10.b</t>
  </si>
  <si>
    <t>ACC_24_GEST_B.10.c</t>
  </si>
  <si>
    <t>ACC_24_GEST_B.10.d</t>
  </si>
  <si>
    <t>ACC_24_GEST_B.12.a</t>
  </si>
  <si>
    <t>ACC_24_GEST_B.12.b</t>
  </si>
  <si>
    <t>ACC_24_GEST_B.12.c</t>
  </si>
  <si>
    <t>ACC_24_GEST_B.12.d</t>
  </si>
  <si>
    <t>ACC_24_GEST_B.13.a</t>
  </si>
  <si>
    <t>ACC_24_GEST_B.13.b</t>
  </si>
  <si>
    <t>ACC_24_GEST_B.13.c</t>
  </si>
  <si>
    <t>ACC_24_GEST_B.13.d</t>
  </si>
  <si>
    <t>CTS_25_GEST_B.7</t>
  </si>
  <si>
    <t>CTR_25_GEST_B.7</t>
  </si>
  <si>
    <t>ACC_25_GEST_B.10.a</t>
  </si>
  <si>
    <t>ACC_25_GEST_B.10.b</t>
  </si>
  <si>
    <t>ACC_25_GEST_B.10.c</t>
  </si>
  <si>
    <t>ACC_25_GEST_B.10.d</t>
  </si>
  <si>
    <t>ACC_25_GEST_B.12.a</t>
  </si>
  <si>
    <t>ACC_25_GEST_B.12.b</t>
  </si>
  <si>
    <t>ACC_25_GEST_B.12.c</t>
  </si>
  <si>
    <t>ACC_25_GEST_B.12.d</t>
  </si>
  <si>
    <t>ACC_25_GEST_B.13.a</t>
  </si>
  <si>
    <t>ACC_25_GEST_B.13.b</t>
  </si>
  <si>
    <t>ACC_25_GEST_B.13.c</t>
  </si>
  <si>
    <t>ACC_25_GEST_B.13.d</t>
  </si>
  <si>
    <t>CTS_24_COM_B.7</t>
  </si>
  <si>
    <t>CTR_24_COM_B.7</t>
  </si>
  <si>
    <t>CTS_25_COM_B.7</t>
  </si>
  <si>
    <t>CTR_25_COM_B.7</t>
  </si>
  <si>
    <t>B.6_24_COM</t>
  </si>
  <si>
    <t>B.7_24_COM</t>
  </si>
  <si>
    <t>B.6+B.7_24_COM</t>
  </si>
  <si>
    <t>B.6_25_COM</t>
  </si>
  <si>
    <t>B.7_25_COM</t>
  </si>
  <si>
    <t>B.6+B.7_25_COM</t>
  </si>
  <si>
    <t>Range</t>
  </si>
  <si>
    <t>Anno ultima movimentazione -&gt; 2021</t>
  </si>
  <si>
    <t>Anno ultima movimentazione -&gt; 2020</t>
  </si>
  <si>
    <t>Anno ultima movimentazione -&gt; 2019</t>
  </si>
  <si>
    <t>Check R LIC</t>
  </si>
  <si>
    <r>
      <t>I</t>
    </r>
    <r>
      <rPr>
        <b/>
        <vertAlign val="superscript"/>
        <sz val="8"/>
        <color theme="1"/>
        <rFont val="Tahoma"/>
        <family val="2"/>
      </rPr>
      <t>2024</t>
    </r>
  </si>
  <si>
    <r>
      <t>I</t>
    </r>
    <r>
      <rPr>
        <b/>
        <vertAlign val="superscript"/>
        <sz val="8"/>
        <color theme="1"/>
        <rFont val="Tahoma"/>
        <family val="2"/>
      </rPr>
      <t>2025</t>
    </r>
  </si>
  <si>
    <t>ID CLASSE</t>
  </si>
  <si>
    <t>Classe</t>
  </si>
  <si>
    <t>Obiettivi</t>
  </si>
  <si>
    <t>A</t>
  </si>
  <si>
    <t>Mantenimento</t>
  </si>
  <si>
    <t>B</t>
  </si>
  <si>
    <r>
      <t>H</t>
    </r>
    <r>
      <rPr>
        <vertAlign val="subscript"/>
        <sz val="8"/>
        <color theme="1"/>
        <rFont val="Tahoma"/>
        <family val="2"/>
      </rPr>
      <t>a+1</t>
    </r>
    <r>
      <rPr>
        <sz val="8"/>
        <color theme="1"/>
        <rFont val="Tahoma"/>
        <family val="2"/>
      </rPr>
      <t xml:space="preserve"> = H</t>
    </r>
    <r>
      <rPr>
        <vertAlign val="subscript"/>
        <sz val="8"/>
        <color theme="1"/>
        <rFont val="Tahoma"/>
        <family val="2"/>
      </rPr>
      <t>a</t>
    </r>
    <r>
      <rPr>
        <sz val="8"/>
        <color theme="1"/>
        <rFont val="Tahoma"/>
        <family val="2"/>
      </rPr>
      <t xml:space="preserve"> + 0,010</t>
    </r>
  </si>
  <si>
    <r>
      <t>H</t>
    </r>
    <r>
      <rPr>
        <vertAlign val="subscript"/>
        <sz val="8"/>
        <color theme="1"/>
        <rFont val="Tahoma"/>
        <family val="2"/>
      </rPr>
      <t>a+1</t>
    </r>
    <r>
      <rPr>
        <sz val="8"/>
        <color theme="1"/>
        <rFont val="Tahoma"/>
        <family val="2"/>
      </rPr>
      <t xml:space="preserve"> = H</t>
    </r>
    <r>
      <rPr>
        <vertAlign val="subscript"/>
        <sz val="8"/>
        <color theme="1"/>
        <rFont val="Tahoma"/>
        <family val="2"/>
      </rPr>
      <t>a</t>
    </r>
    <r>
      <rPr>
        <sz val="8"/>
        <color theme="1"/>
        <rFont val="Tahoma"/>
        <family val="2"/>
      </rPr>
      <t xml:space="preserve"> + 0,015</t>
    </r>
  </si>
  <si>
    <t>D</t>
  </si>
  <si>
    <r>
      <t>H</t>
    </r>
    <r>
      <rPr>
        <vertAlign val="subscript"/>
        <sz val="8"/>
        <color theme="1"/>
        <rFont val="Tahoma"/>
        <family val="2"/>
      </rPr>
      <t>a+1</t>
    </r>
    <r>
      <rPr>
        <sz val="8"/>
        <color theme="1"/>
        <rFont val="Tahoma"/>
        <family val="2"/>
      </rPr>
      <t xml:space="preserve"> = H</t>
    </r>
    <r>
      <rPr>
        <vertAlign val="subscript"/>
        <sz val="8"/>
        <color theme="1"/>
        <rFont val="Tahoma"/>
        <family val="2"/>
      </rPr>
      <t>a</t>
    </r>
    <r>
      <rPr>
        <sz val="8"/>
        <color theme="1"/>
        <rFont val="Tahoma"/>
        <family val="2"/>
      </rPr>
      <t xml:space="preserve"> + 0,020</t>
    </r>
  </si>
  <si>
    <r>
      <t>H</t>
    </r>
    <r>
      <rPr>
        <vertAlign val="subscript"/>
        <sz val="8"/>
        <color theme="1"/>
        <rFont val="Tahoma"/>
        <family val="2"/>
      </rPr>
      <t>a+1</t>
    </r>
    <r>
      <rPr>
        <sz val="8"/>
        <color theme="1"/>
        <rFont val="Tahoma"/>
        <family val="2"/>
      </rPr>
      <t xml:space="preserve"> = H</t>
    </r>
    <r>
      <rPr>
        <vertAlign val="subscript"/>
        <sz val="8"/>
        <color theme="1"/>
        <rFont val="Tahoma"/>
        <family val="2"/>
      </rPr>
      <t>a</t>
    </r>
    <r>
      <rPr>
        <sz val="8"/>
        <color theme="1"/>
        <rFont val="Tahoma"/>
        <family val="2"/>
      </rPr>
      <t xml:space="preserve"> + 0,025</t>
    </r>
  </si>
  <si>
    <t>F</t>
  </si>
  <si>
    <r>
      <t>H</t>
    </r>
    <r>
      <rPr>
        <vertAlign val="subscript"/>
        <sz val="8"/>
        <color theme="1"/>
        <rFont val="Tahoma"/>
        <family val="2"/>
      </rPr>
      <t>a+1</t>
    </r>
    <r>
      <rPr>
        <sz val="8"/>
        <color theme="1"/>
        <rFont val="Tahoma"/>
        <family val="2"/>
      </rPr>
      <t xml:space="preserve"> = H</t>
    </r>
    <r>
      <rPr>
        <vertAlign val="subscript"/>
        <sz val="8"/>
        <color theme="1"/>
        <rFont val="Tahoma"/>
        <family val="2"/>
      </rPr>
      <t>a</t>
    </r>
    <r>
      <rPr>
        <sz val="8"/>
        <color theme="1"/>
        <rFont val="Tahoma"/>
        <family val="2"/>
      </rPr>
      <t xml:space="preserve"> + 0,030</t>
    </r>
  </si>
  <si>
    <r>
      <t>H</t>
    </r>
    <r>
      <rPr>
        <vertAlign val="subscript"/>
        <sz val="8"/>
        <color theme="1"/>
        <rFont val="Tahoma"/>
        <family val="2"/>
      </rPr>
      <t>a+1</t>
    </r>
    <r>
      <rPr>
        <sz val="8"/>
        <color theme="1"/>
        <rFont val="Tahoma"/>
        <family val="2"/>
      </rPr>
      <t xml:space="preserve"> = H</t>
    </r>
    <r>
      <rPr>
        <vertAlign val="subscript"/>
        <sz val="8"/>
        <color theme="1"/>
        <rFont val="Tahoma"/>
        <family val="2"/>
      </rPr>
      <t>a</t>
    </r>
    <r>
      <rPr>
        <sz val="8"/>
        <color theme="1"/>
        <rFont val="Tahoma"/>
        <family val="2"/>
      </rPr>
      <t xml:space="preserve"> + 0,035</t>
    </r>
  </si>
  <si>
    <t>H</t>
  </si>
  <si>
    <r>
      <t>H</t>
    </r>
    <r>
      <rPr>
        <vertAlign val="subscript"/>
        <sz val="8"/>
        <color theme="1"/>
        <rFont val="Tahoma"/>
        <family val="2"/>
      </rPr>
      <t>a+1</t>
    </r>
    <r>
      <rPr>
        <sz val="8"/>
        <color theme="1"/>
        <rFont val="Tahoma"/>
        <family val="2"/>
      </rPr>
      <t xml:space="preserve"> = H</t>
    </r>
    <r>
      <rPr>
        <vertAlign val="subscript"/>
        <sz val="8"/>
        <color theme="1"/>
        <rFont val="Tahoma"/>
        <family val="2"/>
      </rPr>
      <t>a</t>
    </r>
    <r>
      <rPr>
        <sz val="8"/>
        <color theme="1"/>
        <rFont val="Tahoma"/>
        <family val="2"/>
      </rPr>
      <t xml:space="preserve"> + 0,040</t>
    </r>
  </si>
  <si>
    <t>I</t>
  </si>
  <si>
    <r>
      <t>H</t>
    </r>
    <r>
      <rPr>
        <vertAlign val="subscript"/>
        <sz val="8"/>
        <color theme="1"/>
        <rFont val="Tahoma"/>
        <family val="2"/>
      </rPr>
      <t>a+1</t>
    </r>
    <r>
      <rPr>
        <sz val="8"/>
        <color theme="1"/>
        <rFont val="Tahoma"/>
        <family val="2"/>
      </rPr>
      <t xml:space="preserve"> = H</t>
    </r>
    <r>
      <rPr>
        <vertAlign val="subscript"/>
        <sz val="8"/>
        <color theme="1"/>
        <rFont val="Tahoma"/>
        <family val="2"/>
      </rPr>
      <t>a</t>
    </r>
    <r>
      <rPr>
        <sz val="8"/>
        <color theme="1"/>
        <rFont val="Tahoma"/>
        <family val="2"/>
      </rPr>
      <t xml:space="preserve"> + 0,050</t>
    </r>
  </si>
  <si>
    <t>AR_AGG_SC_SI_24</t>
  </si>
  <si>
    <t>Deflatori</t>
  </si>
  <si>
    <t>Partita IVA:</t>
  </si>
  <si>
    <t>ID ARERA:</t>
  </si>
  <si>
    <t>Obiettivo legato ai COI raggiunto?</t>
  </si>
  <si>
    <t>COI a consuntivo parte variabile</t>
  </si>
  <si>
    <t>COI a consuntivo parte fissa</t>
  </si>
  <si>
    <t>CQ a consuntivo parte variabile</t>
  </si>
  <si>
    <t>CQ a consuntivo parte fissa</t>
  </si>
  <si>
    <t>CO116 a consuntivo parte variabile</t>
  </si>
  <si>
    <t>CO116 a consuntivo parte fissa</t>
  </si>
  <si>
    <r>
      <t>Recupero COI</t>
    </r>
    <r>
      <rPr>
        <b/>
        <vertAlign val="superscript"/>
        <sz val="8"/>
        <color rgb="FFFF0000"/>
        <rFont val="Tahoma"/>
        <family val="2"/>
      </rPr>
      <t>exp</t>
    </r>
  </si>
  <si>
    <r>
      <t>Recupero CQ</t>
    </r>
    <r>
      <rPr>
        <b/>
        <vertAlign val="superscript"/>
        <sz val="8"/>
        <color rgb="FFFF0000"/>
        <rFont val="Tahoma"/>
        <family val="2"/>
      </rPr>
      <t>exp</t>
    </r>
  </si>
  <si>
    <r>
      <t>Recupero CO</t>
    </r>
    <r>
      <rPr>
        <b/>
        <vertAlign val="superscript"/>
        <sz val="8"/>
        <color rgb="FFFF0000"/>
        <rFont val="Tahoma"/>
        <family val="2"/>
      </rPr>
      <t>exp</t>
    </r>
    <r>
      <rPr>
        <b/>
        <vertAlign val="subscript"/>
        <sz val="8"/>
        <color rgb="FFFF0000"/>
        <rFont val="Tahoma"/>
        <family val="2"/>
      </rPr>
      <t>116</t>
    </r>
  </si>
  <si>
    <r>
      <t>RC</t>
    </r>
    <r>
      <rPr>
        <b/>
        <vertAlign val="subscript"/>
        <sz val="8"/>
        <color rgb="FFFF0000"/>
        <rFont val="Tahoma"/>
        <family val="2"/>
      </rPr>
      <t>TOT</t>
    </r>
    <r>
      <rPr>
        <b/>
        <sz val="8"/>
        <color rgb="FFFF0000"/>
        <rFont val="Tahoma"/>
        <family val="2"/>
      </rPr>
      <t xml:space="preserve"> - Riepilogo Gestore</t>
    </r>
  </si>
  <si>
    <r>
      <t>RC</t>
    </r>
    <r>
      <rPr>
        <b/>
        <vertAlign val="subscript"/>
        <sz val="8"/>
        <color rgb="FFFF0000"/>
        <rFont val="Tahoma"/>
        <family val="2"/>
      </rPr>
      <t>TOT</t>
    </r>
    <r>
      <rPr>
        <b/>
        <sz val="8"/>
        <color rgb="FFFF0000"/>
        <rFont val="Tahoma"/>
        <family val="2"/>
      </rPr>
      <t xml:space="preserve"> - Riepilogo Comune</t>
    </r>
  </si>
  <si>
    <r>
      <t>RC</t>
    </r>
    <r>
      <rPr>
        <b/>
        <vertAlign val="subscript"/>
        <sz val="8"/>
        <color rgb="FFFF0000"/>
        <rFont val="Tahoma"/>
        <family val="2"/>
      </rPr>
      <t>TOT</t>
    </r>
  </si>
  <si>
    <r>
      <t>CO</t>
    </r>
    <r>
      <rPr>
        <b/>
        <vertAlign val="superscript"/>
        <sz val="8"/>
        <color rgb="FFFF0000"/>
        <rFont val="Tahoma"/>
        <family val="2"/>
      </rPr>
      <t>exp</t>
    </r>
    <r>
      <rPr>
        <b/>
        <vertAlign val="subscript"/>
        <sz val="8"/>
        <color rgb="FFFF0000"/>
        <rFont val="Tahoma"/>
        <family val="2"/>
      </rPr>
      <t>116</t>
    </r>
  </si>
  <si>
    <r>
      <t>CQ</t>
    </r>
    <r>
      <rPr>
        <b/>
        <vertAlign val="superscript"/>
        <sz val="8"/>
        <color rgb="FFFF0000"/>
        <rFont val="Tahoma"/>
        <family val="2"/>
      </rPr>
      <t>exp</t>
    </r>
  </si>
  <si>
    <r>
      <t>COI</t>
    </r>
    <r>
      <rPr>
        <b/>
        <vertAlign val="superscript"/>
        <sz val="8"/>
        <color rgb="FFFF0000"/>
        <rFont val="Tahoma"/>
        <family val="2"/>
      </rPr>
      <t>exp</t>
    </r>
  </si>
  <si>
    <t>Conguaglio CK</t>
  </si>
  <si>
    <r>
      <t>Cespiti proprietari diversi dal gestore - Proprietario1</t>
    </r>
    <r>
      <rPr>
        <vertAlign val="subscript"/>
        <sz val="8"/>
        <color theme="1"/>
        <rFont val="Tahoma"/>
        <family val="2"/>
      </rPr>
      <t>2023</t>
    </r>
  </si>
  <si>
    <r>
      <t>Cespiti proprietari diversi dal gestore - Proprietario2</t>
    </r>
    <r>
      <rPr>
        <vertAlign val="subscript"/>
        <sz val="8"/>
        <color theme="1"/>
        <rFont val="Tahoma"/>
        <family val="2"/>
      </rPr>
      <t>2023</t>
    </r>
  </si>
  <si>
    <r>
      <t>Cespiti proprietari diversi dal gestore - Proprietario3</t>
    </r>
    <r>
      <rPr>
        <vertAlign val="subscript"/>
        <sz val="8"/>
        <color theme="1"/>
        <rFont val="Tahoma"/>
        <family val="2"/>
      </rPr>
      <t>2023</t>
    </r>
  </si>
  <si>
    <r>
      <t>Leasing</t>
    </r>
    <r>
      <rPr>
        <vertAlign val="subscript"/>
        <sz val="8"/>
        <color theme="1"/>
        <rFont val="Tahoma"/>
        <family val="2"/>
      </rPr>
      <t>2023</t>
    </r>
  </si>
  <si>
    <r>
      <t>Cespiti proprietari diversi dal gestore - Proprietario1</t>
    </r>
    <r>
      <rPr>
        <vertAlign val="subscript"/>
        <sz val="8"/>
        <color theme="1"/>
        <rFont val="Tahoma"/>
        <family val="2"/>
      </rPr>
      <t>2022</t>
    </r>
  </si>
  <si>
    <r>
      <t>Cespiti proprietari diversi dal gestore - Proprietario2</t>
    </r>
    <r>
      <rPr>
        <vertAlign val="subscript"/>
        <sz val="8"/>
        <color theme="1"/>
        <rFont val="Tahoma"/>
        <family val="2"/>
      </rPr>
      <t>2022</t>
    </r>
  </si>
  <si>
    <r>
      <t>Cespiti proprietari diversi dal gestore - Proprietario3</t>
    </r>
    <r>
      <rPr>
        <vertAlign val="subscript"/>
        <sz val="8"/>
        <color theme="1"/>
        <rFont val="Tahoma"/>
        <family val="2"/>
      </rPr>
      <t>2022</t>
    </r>
  </si>
  <si>
    <r>
      <t>Leasing</t>
    </r>
    <r>
      <rPr>
        <vertAlign val="subscript"/>
        <sz val="8"/>
        <color theme="1"/>
        <rFont val="Tahoma"/>
        <family val="2"/>
      </rPr>
      <t>2022</t>
    </r>
  </si>
  <si>
    <t>R1_24</t>
  </si>
  <si>
    <t>R1_25</t>
  </si>
  <si>
    <r>
      <t>Quantità di rifiuti urbani raccolti in modo differenziato [ton] q</t>
    </r>
    <r>
      <rPr>
        <b/>
        <vertAlign val="subscript"/>
        <sz val="8"/>
        <color theme="1"/>
        <rFont val="Tahoma"/>
        <family val="2"/>
      </rPr>
      <t>RD</t>
    </r>
  </si>
  <si>
    <t>Quota di rifiuti di imballaggio sul totale dei rifiuti urbani raccolti in modo differenziato</t>
  </si>
  <si>
    <r>
      <t>di cui quota di rifiuti di imballaggio [ton] q</t>
    </r>
    <r>
      <rPr>
        <i/>
        <vertAlign val="subscript"/>
        <sz val="8"/>
        <color theme="1"/>
        <rFont val="Tahoma"/>
        <family val="2"/>
      </rPr>
      <t>RD_si</t>
    </r>
  </si>
  <si>
    <r>
      <t>Ricavi imballaggi da SC e da mercato -&gt; AR</t>
    </r>
    <r>
      <rPr>
        <b/>
        <i/>
        <vertAlign val="subscript"/>
        <sz val="8"/>
        <color theme="1"/>
        <rFont val="Tahoma"/>
        <family val="2"/>
      </rPr>
      <t>AGG_SC_SI_24</t>
    </r>
  </si>
  <si>
    <t>AR_AGG_SC_SI_24_INFL</t>
  </si>
  <si>
    <r>
      <t>Ricavi imballaggi da SC e da mercato -&gt; AR</t>
    </r>
    <r>
      <rPr>
        <b/>
        <i/>
        <vertAlign val="subscript"/>
        <sz val="8"/>
        <color theme="1"/>
        <rFont val="Tahoma"/>
        <family val="2"/>
      </rPr>
      <t>AGG_SC_SI_24</t>
    </r>
    <r>
      <rPr>
        <b/>
        <i/>
        <sz val="8"/>
        <color theme="1"/>
        <rFont val="Tahoma"/>
        <family val="2"/>
      </rPr>
      <t xml:space="preserve"> inflazionati</t>
    </r>
  </si>
  <si>
    <t>CRD_SC_SI_24_GEST</t>
  </si>
  <si>
    <t>CRD_SC_SI_24_COM</t>
  </si>
  <si>
    <t>CRD_SC_SI_24</t>
  </si>
  <si>
    <t>CRD_SC_SI_24_INFL</t>
  </si>
  <si>
    <t>Costi operativi di raccolta e trasporto delle frazioni differenziate sostenuti</t>
  </si>
  <si>
    <t>Costi operativi di raccolta e trasporto delle frazioni differenziate sostenuti - Gestore</t>
  </si>
  <si>
    <t>CRD+PR_24_GEST</t>
  </si>
  <si>
    <t>CRD+PR_24_COM</t>
  </si>
  <si>
    <t>Costi operativi di raccolta e trasporto delle frazioni differenziate sostenuti - Comune</t>
  </si>
  <si>
    <t>Costi operativi di raccolta e trasporto delle frazioni differenziate sostenuti inflazionati</t>
  </si>
  <si>
    <t>CRD+PR_24</t>
  </si>
  <si>
    <t>CRD+PR_24_INFL</t>
  </si>
  <si>
    <t>Disponibilità dei dati per calcolo H</t>
  </si>
  <si>
    <t>Disponibilità di dati richiesti</t>
  </si>
  <si>
    <t>Mancanza di dati richiesti (calcolo di default)</t>
  </si>
  <si>
    <t>1/%RD</t>
  </si>
  <si>
    <t>K</t>
  </si>
  <si>
    <t>1/%RD_24</t>
  </si>
  <si>
    <t>1+K</t>
  </si>
  <si>
    <t>1+K_24</t>
  </si>
  <si>
    <t>CRD_SC_SI_24_DEF</t>
  </si>
  <si>
    <t>CRD_SC_SI_24_DEF_INFL</t>
  </si>
  <si>
    <t>CRD_SC_SI_24_CALC</t>
  </si>
  <si>
    <r>
      <t>Costi CRD</t>
    </r>
    <r>
      <rPr>
        <b/>
        <vertAlign val="subscript"/>
        <sz val="8"/>
        <color rgb="FFFF0000"/>
        <rFont val="Tahoma"/>
        <family val="2"/>
      </rPr>
      <t>SC_si</t>
    </r>
  </si>
  <si>
    <r>
      <t>Costi CC</t>
    </r>
    <r>
      <rPr>
        <b/>
        <i/>
        <vertAlign val="subscript"/>
        <sz val="8"/>
        <color theme="1"/>
        <rFont val="Tahoma"/>
        <family val="2"/>
      </rPr>
      <t>SC_si_2024</t>
    </r>
  </si>
  <si>
    <t>PR_CRD_SI_24_GEST</t>
  </si>
  <si>
    <t>PR_CRD_SI_24_COM</t>
  </si>
  <si>
    <t>Peso degli imballaggi sulla raccolta differenziata da RU calcolati</t>
  </si>
  <si>
    <t>Peso degli imballaggi sulla raccolta differenziata da RU default</t>
  </si>
  <si>
    <r>
      <t>Costi CK</t>
    </r>
    <r>
      <rPr>
        <b/>
        <i/>
        <vertAlign val="subscript"/>
        <sz val="8"/>
        <color theme="1"/>
        <rFont val="Tahoma"/>
        <family val="2"/>
      </rPr>
      <t>SC_si_2024</t>
    </r>
  </si>
  <si>
    <t>CRD_AGG_SC_SI_24_INFL</t>
  </si>
  <si>
    <r>
      <t>Costi imballaggi CRD</t>
    </r>
    <r>
      <rPr>
        <b/>
        <i/>
        <vertAlign val="subscript"/>
        <sz val="8"/>
        <color theme="1"/>
        <rFont val="Tahoma"/>
        <family val="2"/>
      </rPr>
      <t>AGG_SC_si_2024</t>
    </r>
  </si>
  <si>
    <t>H di partenza</t>
  </si>
  <si>
    <t>Obiettivi 2024</t>
  </si>
  <si>
    <t>Maggiorazione</t>
  </si>
  <si>
    <t>TARGET_H_24</t>
  </si>
  <si>
    <t>Ammortamento RD</t>
  </si>
  <si>
    <t>Accantonamenti RD</t>
  </si>
  <si>
    <t>Remunerazione RD</t>
  </si>
  <si>
    <t>Remunerazione immobilizzazioni in corso RD</t>
  </si>
  <si>
    <t>Costi d'uso del capitale proprietari diversi dal gestore (c. 13.11 MTR2) RD</t>
  </si>
  <si>
    <t>CK RD</t>
  </si>
  <si>
    <t>Costi d'uso del capitale RD</t>
  </si>
  <si>
    <r>
      <t xml:space="preserve">coeff. per recupero inflazione </t>
    </r>
    <r>
      <rPr>
        <b/>
        <i/>
        <sz val="8"/>
        <color theme="1"/>
        <rFont val="Tahoma"/>
        <family val="2"/>
      </rPr>
      <t>CRI</t>
    </r>
    <r>
      <rPr>
        <b/>
        <i/>
        <vertAlign val="subscript"/>
        <sz val="8"/>
        <color theme="1"/>
        <rFont val="Tahoma"/>
        <family val="2"/>
      </rPr>
      <t>a</t>
    </r>
  </si>
  <si>
    <t>Macro Indicatore R1</t>
  </si>
  <si>
    <t>R1</t>
  </si>
  <si>
    <t>Codice ISTAT</t>
  </si>
  <si>
    <t>ID ARERA</t>
  </si>
  <si>
    <t>ID_ARERA</t>
  </si>
  <si>
    <r>
      <t xml:space="preserve">CTS </t>
    </r>
    <r>
      <rPr>
        <b/>
        <vertAlign val="subscript"/>
        <sz val="8"/>
        <color theme="1"/>
        <rFont val="Tahoma"/>
        <family val="2"/>
      </rPr>
      <t>2022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</t>
    </r>
    <r>
      <rPr>
        <b/>
        <sz val="8"/>
        <color theme="1"/>
        <rFont val="Tahoma"/>
        <family val="2"/>
      </rPr>
      <t xml:space="preserve"> - Comune</t>
    </r>
  </si>
  <si>
    <t>Quantitativi conferiti all'impianto
(tonnellate)</t>
  </si>
  <si>
    <t>Tipologia impianto di destinazione</t>
  </si>
  <si>
    <t>Gestore Impianto</t>
  </si>
  <si>
    <t>Partita IVA  Gestore Impianto</t>
  </si>
  <si>
    <t>Comune sede Impianto</t>
  </si>
  <si>
    <t>Codice ISTAT sede impianto</t>
  </si>
  <si>
    <t>In caso di invo a impianto intermedio, indicare impianto di destinazione finale dei flussi in uscita</t>
  </si>
  <si>
    <t>NOTE</t>
  </si>
  <si>
    <t>Gestore che sostiene i costi di trattamento / recupero e costi di trattamento / smaltimento</t>
  </si>
  <si>
    <t xml:space="preserve">Totale Costi </t>
  </si>
  <si>
    <t>Totale</t>
  </si>
  <si>
    <t>CTRmin</t>
  </si>
  <si>
    <t>CTSaltro</t>
  </si>
  <si>
    <t>CTSmin</t>
  </si>
  <si>
    <t>Check</t>
  </si>
  <si>
    <t>CTRaltro</t>
  </si>
  <si>
    <t>ID ARERA_GEST1</t>
  </si>
  <si>
    <t>%RD_2024</t>
  </si>
  <si>
    <t>R1_2024</t>
  </si>
  <si>
    <t>%RD_2025</t>
  </si>
  <si>
    <t>LIC movimentate l'ultima volta nel 2022_2022_GEST1</t>
  </si>
  <si>
    <t>LIC movimentate l'ultima volta nel 2021_2022_GEST1</t>
  </si>
  <si>
    <t>LIC movimentate l'ultima volta nel 2020_2022_GEST1</t>
  </si>
  <si>
    <t>LIC movimentate l'ultima volta nel 2019_2022_GEST1</t>
  </si>
  <si>
    <t>LIC movimentate l'ultima volta nel 2022_2022_COM</t>
  </si>
  <si>
    <t>LIC movimentate l'ultima volta nel 2021_2022_COM</t>
  </si>
  <si>
    <t>LIC movimentate l'ultima volta nel 2020_2022_COM</t>
  </si>
  <si>
    <t>LIC movimentate l'ultima volta nel 2019_2022_COM</t>
  </si>
  <si>
    <t>LIC movimentate l'ultima volta nel 2023_2023_GEST1</t>
  </si>
  <si>
    <t>LIC movimentate l'ultima volta nel 2022_2023_GEST1</t>
  </si>
  <si>
    <t>LIC movimentate l'ultima volta nel 2021_2023_GEST1</t>
  </si>
  <si>
    <t>LIC movimentate l'ultima volta nel 2020_2023_GEST1</t>
  </si>
  <si>
    <t>LIC movimentate l'ultima volta nel 2023_2023_COM</t>
  </si>
  <si>
    <t>LIC movimentate l'ultima volta nel 2022_2023_COM</t>
  </si>
  <si>
    <t>LIC movimentate l'ultima volta nel 2021_2023_COM</t>
  </si>
  <si>
    <t>LIC movimentate l'ultima volta nel 2020_2023_COM</t>
  </si>
  <si>
    <t>Slic,a_LIC_2022_GEST1</t>
  </si>
  <si>
    <t>Slic,a_LIC_2022_COM</t>
  </si>
  <si>
    <t>IN_Anagrafica</t>
  </si>
  <si>
    <t>G11</t>
  </si>
  <si>
    <t>G12</t>
  </si>
  <si>
    <t>H11</t>
  </si>
  <si>
    <t>H12</t>
  </si>
  <si>
    <t>F8</t>
  </si>
  <si>
    <t>F9</t>
  </si>
  <si>
    <t>F10</t>
  </si>
  <si>
    <t>J8</t>
  </si>
  <si>
    <t>J9</t>
  </si>
  <si>
    <t>J10</t>
  </si>
  <si>
    <t>C16</t>
  </si>
  <si>
    <t>F14</t>
  </si>
  <si>
    <t>F15</t>
  </si>
  <si>
    <t>F16</t>
  </si>
  <si>
    <t>G16</t>
  </si>
  <si>
    <t>J14</t>
  </si>
  <si>
    <t>J15</t>
  </si>
  <si>
    <t>J16</t>
  </si>
  <si>
    <t>C28</t>
  </si>
  <si>
    <t>C29</t>
  </si>
  <si>
    <t>F28</t>
  </si>
  <si>
    <t>F29</t>
  </si>
  <si>
    <t>F30</t>
  </si>
  <si>
    <t>G28</t>
  </si>
  <si>
    <t>G29</t>
  </si>
  <si>
    <t>J28</t>
  </si>
  <si>
    <t>J29</t>
  </si>
  <si>
    <t>J30</t>
  </si>
  <si>
    <t>C39</t>
  </si>
  <si>
    <t>F37</t>
  </si>
  <si>
    <t>F38</t>
  </si>
  <si>
    <t>F39</t>
  </si>
  <si>
    <t>G39</t>
  </si>
  <si>
    <t>J37</t>
  </si>
  <si>
    <t>J38</t>
  </si>
  <si>
    <t>J39</t>
  </si>
  <si>
    <t>I9</t>
  </si>
  <si>
    <t>J7</t>
  </si>
  <si>
    <t>N9</t>
  </si>
  <si>
    <t>O7</t>
  </si>
  <si>
    <t>O8</t>
  </si>
  <si>
    <t>O25</t>
  </si>
  <si>
    <t>O26</t>
  </si>
  <si>
    <t>J41</t>
  </si>
  <si>
    <t>J42</t>
  </si>
  <si>
    <t>J59</t>
  </si>
  <si>
    <t>J60</t>
  </si>
  <si>
    <t>K41</t>
  </si>
  <si>
    <t>K42</t>
  </si>
  <si>
    <t>K59</t>
  </si>
  <si>
    <t>K60</t>
  </si>
  <si>
    <t>IN_RCwacc&amp;slic</t>
  </si>
  <si>
    <t>C12</t>
  </si>
  <si>
    <t>F12</t>
  </si>
  <si>
    <t>J12</t>
  </si>
  <si>
    <t>W29</t>
  </si>
  <si>
    <t>W30</t>
  </si>
  <si>
    <t>AA29</t>
  </si>
  <si>
    <t>AA30</t>
  </si>
  <si>
    <t>W42</t>
  </si>
  <si>
    <t>AA42</t>
  </si>
  <si>
    <t>Q73</t>
  </si>
  <si>
    <t>V73</t>
  </si>
  <si>
    <t>IN_Calcolo H</t>
  </si>
  <si>
    <t>M29</t>
  </si>
  <si>
    <t>M32</t>
  </si>
  <si>
    <t>Q29</t>
  </si>
  <si>
    <t>Q32</t>
  </si>
  <si>
    <t>R29</t>
  </si>
  <si>
    <t>R32</t>
  </si>
  <si>
    <t>V29</t>
  </si>
  <si>
    <t>V32</t>
  </si>
  <si>
    <t>M67</t>
  </si>
  <si>
    <t>Q67</t>
  </si>
  <si>
    <t>Q71</t>
  </si>
  <si>
    <t>R67</t>
  </si>
  <si>
    <t>V67</t>
  </si>
  <si>
    <t>V71</t>
  </si>
  <si>
    <t>R71</t>
  </si>
  <si>
    <t>SLIC - 2° anno</t>
  </si>
  <si>
    <t>SLIC - 3° anno</t>
  </si>
  <si>
    <t>C3</t>
  </si>
  <si>
    <t>F13</t>
  </si>
  <si>
    <t>J13</t>
  </si>
  <si>
    <t>F40</t>
  </si>
  <si>
    <t>G40</t>
  </si>
  <si>
    <t>J40</t>
  </si>
  <si>
    <t>IN_CTS_CTR_RC</t>
  </si>
  <si>
    <t>W32</t>
  </si>
  <si>
    <t>AA32</t>
  </si>
  <si>
    <t>R38</t>
  </si>
  <si>
    <t>V38</t>
  </si>
  <si>
    <t>M33</t>
  </si>
  <si>
    <t>Q33</t>
  </si>
  <si>
    <t>Q35</t>
  </si>
  <si>
    <t>R33</t>
  </si>
  <si>
    <t>V33</t>
  </si>
  <si>
    <t>V35</t>
  </si>
  <si>
    <t>M47</t>
  </si>
  <si>
    <t>M49</t>
  </si>
  <si>
    <t>M63</t>
  </si>
  <si>
    <t>M71</t>
  </si>
  <si>
    <t>Q49</t>
  </si>
  <si>
    <t>Q63</t>
  </si>
  <si>
    <t>R47</t>
  </si>
  <si>
    <t>R49</t>
  </si>
  <si>
    <t>R63</t>
  </si>
  <si>
    <t>V47</t>
  </si>
  <si>
    <t>V49</t>
  </si>
  <si>
    <t>V63</t>
  </si>
  <si>
    <t>Driver</t>
  </si>
  <si>
    <t xml:space="preserve">CRD/ [C - CC] </t>
  </si>
  <si>
    <t>CRTD=CRD+CRT</t>
  </si>
  <si>
    <t>CRD/CRTD</t>
  </si>
  <si>
    <t>CRTDSL=CRD+CRT+CSL</t>
  </si>
  <si>
    <t>CRD/CRTDSL</t>
  </si>
  <si>
    <t>LIC movimentati nel 2022</t>
  </si>
  <si>
    <t>LIC movimentati nel 2021</t>
  </si>
  <si>
    <t>LIC movimentati nel 2023</t>
  </si>
  <si>
    <t>Verifica congruenza</t>
  </si>
  <si>
    <t>Quantità</t>
  </si>
  <si>
    <t>AR Gestore</t>
  </si>
  <si>
    <t>AR Comune</t>
  </si>
  <si>
    <t>AR SC Gestore</t>
  </si>
  <si>
    <t>AR SC Comune</t>
  </si>
  <si>
    <t>CRD Gestore</t>
  </si>
  <si>
    <t>CRD Comune</t>
  </si>
  <si>
    <t>Esito</t>
  </si>
  <si>
    <t>Fonte:</t>
  </si>
  <si>
    <t>CONSCOI_TV_24_GEST</t>
  </si>
  <si>
    <t>CONSCOI_TF_24_GEST</t>
  </si>
  <si>
    <t>CONSCQ_TV_24_GEST</t>
  </si>
  <si>
    <t>CONSCQ_TF_24_GEST</t>
  </si>
  <si>
    <t>CONSCO116_TV_24_GEST</t>
  </si>
  <si>
    <t>CONSCO116_TF_24_GEST</t>
  </si>
  <si>
    <t>Ricavi_A1_2024</t>
  </si>
  <si>
    <t>AR_2024</t>
  </si>
  <si>
    <t>ARSC_2024</t>
  </si>
  <si>
    <t>CRT_B.6_2024</t>
  </si>
  <si>
    <t>CRT_B.7_2024</t>
  </si>
  <si>
    <t>CRT_B.8_2024</t>
  </si>
  <si>
    <t>CRT_B.9_2024</t>
  </si>
  <si>
    <t>CRT_B.11_2024</t>
  </si>
  <si>
    <t>CRT_B.14_2024</t>
  </si>
  <si>
    <t>CTS_B.6_2024</t>
  </si>
  <si>
    <t>CTS_B.7_2024</t>
  </si>
  <si>
    <t>CTS_B.8_2024</t>
  </si>
  <si>
    <t>CTS_B.9_2024</t>
  </si>
  <si>
    <t>CTS_B.11_2024</t>
  </si>
  <si>
    <t>CTS_B.14_2024</t>
  </si>
  <si>
    <t>CTR_B.6_2024</t>
  </si>
  <si>
    <t>CTR_B.7_2024</t>
  </si>
  <si>
    <t>CTR_B.8_2024</t>
  </si>
  <si>
    <t>CTR_B.9_2024</t>
  </si>
  <si>
    <t>CTR_B.11_2024</t>
  </si>
  <si>
    <t>CTR_B.14_2024</t>
  </si>
  <si>
    <t>CRD_B.6_2024</t>
  </si>
  <si>
    <t>CRD_B.7_2024</t>
  </si>
  <si>
    <t>CRD_B.8_2024</t>
  </si>
  <si>
    <t>CRD_B.9_2024</t>
  </si>
  <si>
    <t>CRD_B.11_2024</t>
  </si>
  <si>
    <t>CRD_B.14_2024</t>
  </si>
  <si>
    <t>CSL_B.6_2024</t>
  </si>
  <si>
    <t>CSL_B.7_2024</t>
  </si>
  <si>
    <t>CSL_B.8_2024</t>
  </si>
  <si>
    <t>CSL_B.9_2024</t>
  </si>
  <si>
    <t>CSL_B.11_2024</t>
  </si>
  <si>
    <t>CSL_B.14_2024</t>
  </si>
  <si>
    <t>CARC_B.6_2024</t>
  </si>
  <si>
    <t>CARC_B.7_2024</t>
  </si>
  <si>
    <t>CARC_B.8_2024</t>
  </si>
  <si>
    <t>CARC_B.9_2024</t>
  </si>
  <si>
    <t>CARC_B.11_2024</t>
  </si>
  <si>
    <t>CARC_B.14_2024</t>
  </si>
  <si>
    <t>CGG_B.6_2024</t>
  </si>
  <si>
    <t>CGG_B.7_2024</t>
  </si>
  <si>
    <t>CGG_B.8_2024</t>
  </si>
  <si>
    <t>CGG_B.9_2024</t>
  </si>
  <si>
    <t>CGG_B.11_2024</t>
  </si>
  <si>
    <t>CGG_B.14_2024</t>
  </si>
  <si>
    <t>CCD_B.6_2024</t>
  </si>
  <si>
    <t>CCD_B.7_2024</t>
  </si>
  <si>
    <t>CCD_B.8_2024</t>
  </si>
  <si>
    <t>CCD_B.9_2024</t>
  </si>
  <si>
    <t>CCD_B.11_2024</t>
  </si>
  <si>
    <t>CCD_B.14_2024</t>
  </si>
  <si>
    <t>COAL_B.6_2024</t>
  </si>
  <si>
    <t>COAL_B.7_2024</t>
  </si>
  <si>
    <t>COAL_B.8_2024</t>
  </si>
  <si>
    <t>COAL_B.9_2024</t>
  </si>
  <si>
    <t>COAL_B.11_2024</t>
  </si>
  <si>
    <t>COAL_B.14_2024</t>
  </si>
  <si>
    <t>CQ_2024</t>
  </si>
  <si>
    <t>COI_2024</t>
  </si>
  <si>
    <t>IVA_V_2024</t>
  </si>
  <si>
    <t>IVA_F_2024</t>
  </si>
  <si>
    <t>PR.a_2024</t>
  </si>
  <si>
    <t>PR.b_2024</t>
  </si>
  <si>
    <t>PR.c_2024</t>
  </si>
  <si>
    <t>PR.d_2024</t>
  </si>
  <si>
    <t>PR.e_2024</t>
  </si>
  <si>
    <t>PR.f_2024</t>
  </si>
  <si>
    <t>PR.g_2024</t>
  </si>
  <si>
    <t>PR.h_2024</t>
  </si>
  <si>
    <t>PR.i_2024</t>
  </si>
  <si>
    <t>PR.j_2024</t>
  </si>
  <si>
    <t>PR.k_2024</t>
  </si>
  <si>
    <t>PR.l_2024</t>
  </si>
  <si>
    <t>PR.m_2024</t>
  </si>
  <si>
    <t>PRK_2024</t>
  </si>
  <si>
    <t>PRK_Dett.1_2024</t>
  </si>
  <si>
    <t>PRK_Dett.2_2024</t>
  </si>
  <si>
    <t>PRK_Dett.3_2024</t>
  </si>
  <si>
    <t>Ricavi_A1_2025</t>
  </si>
  <si>
    <t>AR_2025</t>
  </si>
  <si>
    <t>ARSC_2025</t>
  </si>
  <si>
    <t>CRT_B.6_2025</t>
  </si>
  <si>
    <t>CRT_B.7_2025</t>
  </si>
  <si>
    <t>CRT_B.8_2025</t>
  </si>
  <si>
    <t>CRT_B.9_2025</t>
  </si>
  <si>
    <t>CRT_B.11_2025</t>
  </si>
  <si>
    <t>CRT_B.14_2025</t>
  </si>
  <si>
    <t>CTS_B.6_2025</t>
  </si>
  <si>
    <t>CTS_B.7_2025</t>
  </si>
  <si>
    <t>CTS_B.8_2025</t>
  </si>
  <si>
    <t>CTS_B.9_2025</t>
  </si>
  <si>
    <t>CTS_B.11_2025</t>
  </si>
  <si>
    <t>CTS_B.14_2025</t>
  </si>
  <si>
    <t>CTR_B.6_2025</t>
  </si>
  <si>
    <t>CTR_B.7_2025</t>
  </si>
  <si>
    <t>CTR_B.8_2025</t>
  </si>
  <si>
    <t>CTR_B.9_2025</t>
  </si>
  <si>
    <t>CTR_B.11_2025</t>
  </si>
  <si>
    <t>CTR_B.14_2025</t>
  </si>
  <si>
    <t>CRD_B.6_2025</t>
  </si>
  <si>
    <t>CRD_B.7_2025</t>
  </si>
  <si>
    <t>CRD_B.8_2025</t>
  </si>
  <si>
    <t>CRD_B.9_2025</t>
  </si>
  <si>
    <t>CRD_B.11_2025</t>
  </si>
  <si>
    <t>CRD_B.14_2025</t>
  </si>
  <si>
    <t>CSL_B.6_2025</t>
  </si>
  <si>
    <t>CSL_B.7_2025</t>
  </si>
  <si>
    <t>CSL_B.8_2025</t>
  </si>
  <si>
    <t>CSL_B.9_2025</t>
  </si>
  <si>
    <t>CSL_B.11_2025</t>
  </si>
  <si>
    <t>CSL_B.14_2025</t>
  </si>
  <si>
    <t>CARC_B.6_2025</t>
  </si>
  <si>
    <t>CARC_B.7_2025</t>
  </si>
  <si>
    <t>CARC_B.8_2025</t>
  </si>
  <si>
    <t>CARC_B.9_2025</t>
  </si>
  <si>
    <t>CARC_B.11_2025</t>
  </si>
  <si>
    <t>CARC_B.14_2025</t>
  </si>
  <si>
    <t>CGG_B.6_2025</t>
  </si>
  <si>
    <t>CGG_B.7_2025</t>
  </si>
  <si>
    <t>CGG_B.8_2025</t>
  </si>
  <si>
    <t>CGG_B.9_2025</t>
  </si>
  <si>
    <t>CGG_B.11_2025</t>
  </si>
  <si>
    <t>CGG_B.14_2025</t>
  </si>
  <si>
    <t>CCD_B.6_2025</t>
  </si>
  <si>
    <t>CCD_B.7_2025</t>
  </si>
  <si>
    <t>CCD_B.8_2025</t>
  </si>
  <si>
    <t>CCD_B.9_2025</t>
  </si>
  <si>
    <t>CCD_B.11_2025</t>
  </si>
  <si>
    <t>CCD_B.14_2025</t>
  </si>
  <si>
    <t>COAL_B.6_2025</t>
  </si>
  <si>
    <t>COAL_B.7_2025</t>
  </si>
  <si>
    <t>COAL_B.8_2025</t>
  </si>
  <si>
    <t>COAL_B.9_2025</t>
  </si>
  <si>
    <t>COAL_B.11_2025</t>
  </si>
  <si>
    <t>COAL_B.14_2025</t>
  </si>
  <si>
    <t>CQ_2025</t>
  </si>
  <si>
    <t>COI_2025</t>
  </si>
  <si>
    <t>IVA_V_2025</t>
  </si>
  <si>
    <t>IVA_F_2025</t>
  </si>
  <si>
    <t>PR.a_2025</t>
  </si>
  <si>
    <t>PR.b_2025</t>
  </si>
  <si>
    <t>PR.c_2025</t>
  </si>
  <si>
    <t>PR.d_2025</t>
  </si>
  <si>
    <t>PR.e_2025</t>
  </si>
  <si>
    <t>PR.f_2025</t>
  </si>
  <si>
    <t>PR.g_2025</t>
  </si>
  <si>
    <t>PR.h_2025</t>
  </si>
  <si>
    <t>PR.i_2025</t>
  </si>
  <si>
    <t>PR.j_2025</t>
  </si>
  <si>
    <t>PR.k_2025</t>
  </si>
  <si>
    <t>PR.l_2025</t>
  </si>
  <si>
    <t>PR.m_2025</t>
  </si>
  <si>
    <t>PRK_2025</t>
  </si>
  <si>
    <t>PRK_Dett.1_2025</t>
  </si>
  <si>
    <t>PRK_Dett.2_2025</t>
  </si>
  <si>
    <t>PRK_Dett.3_2025</t>
  </si>
  <si>
    <t>R1_26</t>
  </si>
  <si>
    <t>SCHEMA REGOLATORIO 2026</t>
  </si>
  <si>
    <r>
      <t>CRI</t>
    </r>
    <r>
      <rPr>
        <b/>
        <vertAlign val="subscript"/>
        <sz val="8"/>
        <color theme="1"/>
        <rFont val="Tahoma"/>
        <family val="2"/>
      </rPr>
      <t>2026</t>
    </r>
  </si>
  <si>
    <t>SCHEMA REGOLATORIO 2027</t>
  </si>
  <si>
    <r>
      <t>CRI</t>
    </r>
    <r>
      <rPr>
        <b/>
        <vertAlign val="subscript"/>
        <sz val="8"/>
        <color theme="1"/>
        <rFont val="Tahoma"/>
        <family val="2"/>
      </rPr>
      <t>2027</t>
    </r>
  </si>
  <si>
    <t>CRI_26</t>
  </si>
  <si>
    <t>CRI_27</t>
  </si>
  <si>
    <t>% RD (2024)</t>
  </si>
  <si>
    <t>VAL_GAMMA1_26</t>
  </si>
  <si>
    <t>VAL_GAMMA2_26</t>
  </si>
  <si>
    <r>
      <t>Range γ1</t>
    </r>
    <r>
      <rPr>
        <b/>
        <vertAlign val="subscript"/>
        <sz val="8"/>
        <color theme="1"/>
        <rFont val="Tahoma"/>
        <family val="2"/>
      </rPr>
      <t>2026</t>
    </r>
  </si>
  <si>
    <r>
      <t>γ1</t>
    </r>
    <r>
      <rPr>
        <b/>
        <vertAlign val="subscript"/>
        <sz val="8"/>
        <color theme="1"/>
        <rFont val="Tahoma"/>
        <family val="2"/>
      </rPr>
      <t>2026</t>
    </r>
  </si>
  <si>
    <r>
      <t>γ2</t>
    </r>
    <r>
      <rPr>
        <b/>
        <vertAlign val="subscript"/>
        <sz val="8"/>
        <color theme="1"/>
        <rFont val="Tahoma"/>
        <family val="2"/>
      </rPr>
      <t>2026</t>
    </r>
  </si>
  <si>
    <r>
      <t>Range γ2</t>
    </r>
    <r>
      <rPr>
        <b/>
        <vertAlign val="subscript"/>
        <sz val="8"/>
        <color theme="1"/>
        <rFont val="Tahoma"/>
        <family val="2"/>
      </rPr>
      <t>2026</t>
    </r>
  </si>
  <si>
    <r>
      <t>γ</t>
    </r>
    <r>
      <rPr>
        <b/>
        <vertAlign val="subscript"/>
        <sz val="8"/>
        <color theme="1"/>
        <rFont val="Tahoma"/>
        <family val="2"/>
      </rPr>
      <t>2026</t>
    </r>
  </si>
  <si>
    <r>
      <t>1+γ</t>
    </r>
    <r>
      <rPr>
        <b/>
        <vertAlign val="subscript"/>
        <sz val="8"/>
        <color theme="1"/>
        <rFont val="Tahoma"/>
        <family val="2"/>
      </rPr>
      <t>2026</t>
    </r>
  </si>
  <si>
    <r>
      <t>Range b</t>
    </r>
    <r>
      <rPr>
        <b/>
        <vertAlign val="subscript"/>
        <sz val="8"/>
        <color theme="1"/>
        <rFont val="Tahoma"/>
        <family val="2"/>
      </rPr>
      <t>2026</t>
    </r>
  </si>
  <si>
    <r>
      <t>b</t>
    </r>
    <r>
      <rPr>
        <b/>
        <vertAlign val="subscript"/>
        <sz val="8"/>
        <color theme="1"/>
        <rFont val="Tahoma"/>
        <family val="2"/>
      </rPr>
      <t>2026</t>
    </r>
  </si>
  <si>
    <t>GAMMA1_26</t>
  </si>
  <si>
    <t>GAMMA2_26</t>
  </si>
  <si>
    <t>B_26</t>
  </si>
  <si>
    <t>% RD (2025)</t>
  </si>
  <si>
    <t>R1_27</t>
  </si>
  <si>
    <r>
      <t>Range γ1</t>
    </r>
    <r>
      <rPr>
        <b/>
        <vertAlign val="subscript"/>
        <sz val="8"/>
        <color theme="1"/>
        <rFont val="Tahoma"/>
        <family val="2"/>
      </rPr>
      <t>2027</t>
    </r>
  </si>
  <si>
    <r>
      <t>γ1</t>
    </r>
    <r>
      <rPr>
        <b/>
        <vertAlign val="subscript"/>
        <sz val="8"/>
        <color theme="1"/>
        <rFont val="Tahoma"/>
        <family val="2"/>
      </rPr>
      <t>2027</t>
    </r>
  </si>
  <si>
    <r>
      <t>Range γ2</t>
    </r>
    <r>
      <rPr>
        <b/>
        <vertAlign val="subscript"/>
        <sz val="8"/>
        <color theme="1"/>
        <rFont val="Tahoma"/>
        <family val="2"/>
      </rPr>
      <t>2027</t>
    </r>
  </si>
  <si>
    <r>
      <t>γ2</t>
    </r>
    <r>
      <rPr>
        <b/>
        <vertAlign val="subscript"/>
        <sz val="8"/>
        <color theme="1"/>
        <rFont val="Tahoma"/>
        <family val="2"/>
      </rPr>
      <t>2027</t>
    </r>
  </si>
  <si>
    <r>
      <t>γ</t>
    </r>
    <r>
      <rPr>
        <b/>
        <vertAlign val="subscript"/>
        <sz val="8"/>
        <color theme="1"/>
        <rFont val="Tahoma"/>
        <family val="2"/>
      </rPr>
      <t>2027</t>
    </r>
  </si>
  <si>
    <r>
      <t>1+γ</t>
    </r>
    <r>
      <rPr>
        <b/>
        <vertAlign val="subscript"/>
        <sz val="8"/>
        <color theme="1"/>
        <rFont val="Tahoma"/>
        <family val="2"/>
      </rPr>
      <t>2027</t>
    </r>
  </si>
  <si>
    <r>
      <t>Range b</t>
    </r>
    <r>
      <rPr>
        <b/>
        <vertAlign val="subscript"/>
        <sz val="8"/>
        <color theme="1"/>
        <rFont val="Tahoma"/>
        <family val="2"/>
      </rPr>
      <t>2027</t>
    </r>
  </si>
  <si>
    <r>
      <t>b</t>
    </r>
    <r>
      <rPr>
        <b/>
        <vertAlign val="subscript"/>
        <sz val="8"/>
        <color theme="1"/>
        <rFont val="Tahoma"/>
        <family val="2"/>
      </rPr>
      <t>2027</t>
    </r>
  </si>
  <si>
    <t>VAL_GAMMA1_27</t>
  </si>
  <si>
    <t>VAL_GAMMA2_27</t>
  </si>
  <si>
    <t>GAMMA1_27</t>
  </si>
  <si>
    <t>GAMMA2_27</t>
  </si>
  <si>
    <t>B_27</t>
  </si>
  <si>
    <r>
      <t>TV</t>
    </r>
    <r>
      <rPr>
        <vertAlign val="subscript"/>
        <sz val="8"/>
        <color theme="1"/>
        <rFont val="Tahoma"/>
        <family val="2"/>
      </rPr>
      <t>2024</t>
    </r>
  </si>
  <si>
    <r>
      <t>TF</t>
    </r>
    <r>
      <rPr>
        <vertAlign val="subscript"/>
        <sz val="8"/>
        <color theme="1"/>
        <rFont val="Tahoma"/>
        <family val="2"/>
      </rPr>
      <t>2024</t>
    </r>
  </si>
  <si>
    <r>
      <t>T</t>
    </r>
    <r>
      <rPr>
        <b/>
        <vertAlign val="subscript"/>
        <sz val="8"/>
        <color theme="1"/>
        <rFont val="Tahoma"/>
        <family val="2"/>
      </rPr>
      <t>2024</t>
    </r>
  </si>
  <si>
    <t>Q_24</t>
  </si>
  <si>
    <r>
      <t>CU</t>
    </r>
    <r>
      <rPr>
        <b/>
        <vertAlign val="subscript"/>
        <sz val="8"/>
        <color theme="1"/>
        <rFont val="Tahoma"/>
        <family val="2"/>
      </rPr>
      <t>eff2024</t>
    </r>
    <r>
      <rPr>
        <b/>
        <sz val="8"/>
        <color theme="1"/>
        <rFont val="Tahoma"/>
        <family val="2"/>
      </rPr>
      <t xml:space="preserve"> [cent€/kg]</t>
    </r>
  </si>
  <si>
    <t>CUEFF_24</t>
  </si>
  <si>
    <r>
      <t>Benchmark di riferimento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[cent€/kg]</t>
    </r>
  </si>
  <si>
    <r>
      <t>Rapporto tra Cu</t>
    </r>
    <r>
      <rPr>
        <i/>
        <vertAlign val="subscript"/>
        <sz val="8"/>
        <color theme="1"/>
        <rFont val="Tahoma"/>
        <family val="2"/>
      </rPr>
      <t>eff</t>
    </r>
    <r>
      <rPr>
        <i/>
        <sz val="8"/>
        <color theme="1"/>
        <rFont val="Tahoma"/>
        <family val="2"/>
      </rPr>
      <t xml:space="preserve"> e Benchmark 2024</t>
    </r>
  </si>
  <si>
    <t>BENCH_24</t>
  </si>
  <si>
    <t>X_26</t>
  </si>
  <si>
    <r>
      <t>TV</t>
    </r>
    <r>
      <rPr>
        <vertAlign val="subscript"/>
        <sz val="8"/>
        <color theme="1"/>
        <rFont val="Tahoma"/>
        <family val="2"/>
      </rPr>
      <t>2025</t>
    </r>
  </si>
  <si>
    <r>
      <t>TF</t>
    </r>
    <r>
      <rPr>
        <vertAlign val="subscript"/>
        <sz val="8"/>
        <color theme="1"/>
        <rFont val="Tahoma"/>
        <family val="2"/>
      </rPr>
      <t>2025</t>
    </r>
  </si>
  <si>
    <r>
      <t>T</t>
    </r>
    <r>
      <rPr>
        <b/>
        <vertAlign val="subscript"/>
        <sz val="8"/>
        <color theme="1"/>
        <rFont val="Tahoma"/>
        <family val="2"/>
      </rPr>
      <t>2025</t>
    </r>
  </si>
  <si>
    <t>Q_25</t>
  </si>
  <si>
    <t>CUEFF_25</t>
  </si>
  <si>
    <t>BENCH_25</t>
  </si>
  <si>
    <r>
      <t>CU</t>
    </r>
    <r>
      <rPr>
        <b/>
        <vertAlign val="subscript"/>
        <sz val="8"/>
        <color theme="1"/>
        <rFont val="Tahoma"/>
        <family val="2"/>
      </rPr>
      <t>eff2025</t>
    </r>
    <r>
      <rPr>
        <b/>
        <sz val="8"/>
        <color theme="1"/>
        <rFont val="Tahoma"/>
        <family val="2"/>
      </rPr>
      <t xml:space="preserve"> [cent€/kg]</t>
    </r>
  </si>
  <si>
    <r>
      <t>Benchmark di riferimento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[cent€/kg]</t>
    </r>
  </si>
  <si>
    <r>
      <t>Rapporto tra Cu</t>
    </r>
    <r>
      <rPr>
        <i/>
        <vertAlign val="subscript"/>
        <sz val="8"/>
        <color theme="1"/>
        <rFont val="Tahoma"/>
        <family val="2"/>
      </rPr>
      <t>eff</t>
    </r>
    <r>
      <rPr>
        <i/>
        <sz val="8"/>
        <color theme="1"/>
        <rFont val="Tahoma"/>
        <family val="2"/>
      </rPr>
      <t xml:space="preserve"> e Benchmark 2025</t>
    </r>
  </si>
  <si>
    <t>X_27</t>
  </si>
  <si>
    <r>
      <t>X</t>
    </r>
    <r>
      <rPr>
        <b/>
        <vertAlign val="subscript"/>
        <sz val="8"/>
        <color theme="1"/>
        <rFont val="Tahoma"/>
        <family val="2"/>
      </rPr>
      <t>2027</t>
    </r>
  </si>
  <si>
    <t>Range Gamma1_26</t>
  </si>
  <si>
    <t>Range Gamma2_26</t>
  </si>
  <si>
    <t>Gamma1_26 scelto</t>
  </si>
  <si>
    <t>Gamma2_26 scelto</t>
  </si>
  <si>
    <t>Range Gamma1_27</t>
  </si>
  <si>
    <t>Range Gamma2_27</t>
  </si>
  <si>
    <t>Gamma1_27 scelto</t>
  </si>
  <si>
    <t>Gamma2_27 scelto</t>
  </si>
  <si>
    <t>Range X_26</t>
  </si>
  <si>
    <t>X_26 scelto</t>
  </si>
  <si>
    <t>Range X_27</t>
  </si>
  <si>
    <t>X_27 scelto</t>
  </si>
  <si>
    <t>CO116_TV_27_GEST</t>
  </si>
  <si>
    <t>CO116_TV_27_COM</t>
  </si>
  <si>
    <t>CO116_TV_27</t>
  </si>
  <si>
    <t>CO116_TF_27_GEST</t>
  </si>
  <si>
    <t>CO116_TF_27_COM</t>
  </si>
  <si>
    <t>CO116_TF_27</t>
  </si>
  <si>
    <t>CO116_27_GEST</t>
  </si>
  <si>
    <t>CO116_27_COM</t>
  </si>
  <si>
    <t>CO116_27</t>
  </si>
  <si>
    <t>CQ_TV_27_GEST</t>
  </si>
  <si>
    <t>CQ_TV_27_COM</t>
  </si>
  <si>
    <t>CQ_TV_27</t>
  </si>
  <si>
    <t>CQ_TF_27_GEST</t>
  </si>
  <si>
    <t>CQ_TF_27_COM</t>
  </si>
  <si>
    <t>CQ_TF_27</t>
  </si>
  <si>
    <t>CQ_27_GEST</t>
  </si>
  <si>
    <t>CQ_27_COM</t>
  </si>
  <si>
    <t>CQ_27</t>
  </si>
  <si>
    <t>COI_TV_27_GEST</t>
  </si>
  <si>
    <t>COI_TV_27_COM</t>
  </si>
  <si>
    <t>COI_TV_27</t>
  </si>
  <si>
    <t>COI_TF_27_GEST</t>
  </si>
  <si>
    <t>COI_TF_27_COM</t>
  </si>
  <si>
    <t>COI_TF_27</t>
  </si>
  <si>
    <t>COI_27_GEST</t>
  </si>
  <si>
    <t>COI_27_COM</t>
  </si>
  <si>
    <t>COI_27</t>
  </si>
  <si>
    <t>CO116_TV_26_GEST</t>
  </si>
  <si>
    <t>CO116_TV_26_COM</t>
  </si>
  <si>
    <t>CO116_TV_26</t>
  </si>
  <si>
    <t>CO116_TF_26_GEST</t>
  </si>
  <si>
    <t>CO116_TF_26_COM</t>
  </si>
  <si>
    <t>CO116_TF_26</t>
  </si>
  <si>
    <t>CO116_26_GEST</t>
  </si>
  <si>
    <t>CO116_26_COM</t>
  </si>
  <si>
    <t>CO116_26</t>
  </si>
  <si>
    <t>CQ_TV_26_GEST</t>
  </si>
  <si>
    <t>CQ_TV_26_COM</t>
  </si>
  <si>
    <t>CQ_TV_26</t>
  </si>
  <si>
    <t>CQ_TF_26_GEST</t>
  </si>
  <si>
    <t>CQ_TF_26_COM</t>
  </si>
  <si>
    <t>CQ_TF_26</t>
  </si>
  <si>
    <t>CQ_26_GEST</t>
  </si>
  <si>
    <t>CQ_26_COM</t>
  </si>
  <si>
    <t>CQ_26</t>
  </si>
  <si>
    <t>COI_TV_26_GEST</t>
  </si>
  <si>
    <t>COI_TV_26_COM</t>
  </si>
  <si>
    <t>COI_TV_26</t>
  </si>
  <si>
    <t>COI_TF_26_GEST</t>
  </si>
  <si>
    <t>COI_TF_26_COM</t>
  </si>
  <si>
    <t>COI_TF_26</t>
  </si>
  <si>
    <t>COI_26_GEST</t>
  </si>
  <si>
    <t>COI_26_COM</t>
  </si>
  <si>
    <t>COI_26</t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</si>
  <si>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TV,2026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</si>
  <si>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TV,2026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</si>
  <si>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TV,2026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</si>
  <si>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TF,2026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</si>
  <si>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TF,2026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</si>
  <si>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TF,2026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</si>
  <si>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</si>
  <si>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</si>
  <si>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116 2026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</si>
  <si>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TV,2027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</si>
  <si>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TV,2027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</si>
  <si>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TV,2027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</si>
  <si>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TF,2027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</si>
  <si>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TF,2027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</si>
  <si>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TF,2027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</si>
  <si>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</si>
  <si>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</si>
  <si>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116 2027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</si>
  <si>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</si>
  <si>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</si>
  <si>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TV,2026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</si>
  <si>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</si>
  <si>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</si>
  <si>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TF,2026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</si>
  <si>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</si>
  <si>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</si>
  <si>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2026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</si>
  <si>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</si>
  <si>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</si>
  <si>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TV,2027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</si>
  <si>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</si>
  <si>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</si>
  <si>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TF,2027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</si>
  <si>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</si>
  <si>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</si>
  <si>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2027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</si>
  <si>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</si>
  <si>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</si>
  <si>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TV,2026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</si>
  <si>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</si>
  <si>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</si>
  <si>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TF,2026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</si>
  <si>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</si>
  <si>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</si>
  <si>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2026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</si>
  <si>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</si>
  <si>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</si>
  <si>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TV,2027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</si>
  <si>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</si>
  <si>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</si>
  <si>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TF,2027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</si>
  <si>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</si>
  <si>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</si>
  <si>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2027</t>
    </r>
  </si>
  <si>
    <t>CK 2024-2025 - Prima approvazione</t>
  </si>
  <si>
    <t>R_24_GEST_PE</t>
  </si>
  <si>
    <t>RLIC_24_GEST_PE</t>
  </si>
  <si>
    <t>AMM_24_GEST_PE</t>
  </si>
  <si>
    <t>CKPROP_24_GEST_PE</t>
  </si>
  <si>
    <t>CCN24_GEST</t>
  </si>
  <si>
    <t>IMN24_GEST</t>
  </si>
  <si>
    <t>IMN24_POST18_GEST</t>
  </si>
  <si>
    <t>IMN24_ANTE18_GEST</t>
  </si>
  <si>
    <r>
      <t>Stratificazione LIC</t>
    </r>
    <r>
      <rPr>
        <b/>
        <vertAlign val="subscript"/>
        <sz val="8"/>
        <color theme="1"/>
        <rFont val="Tahoma"/>
        <family val="2"/>
      </rPr>
      <t>2024</t>
    </r>
  </si>
  <si>
    <t>Anno ultima movimentazione -&gt; 2022</t>
  </si>
  <si>
    <t>LIC_GEST_22_22</t>
  </si>
  <si>
    <t>LIC_GEST_22_21</t>
  </si>
  <si>
    <t>LIC_GEST_22_20</t>
  </si>
  <si>
    <t>LIC_GEST_22_19</t>
  </si>
  <si>
    <r>
      <t>Canone/Mutuo/Leasing</t>
    </r>
    <r>
      <rPr>
        <b/>
        <vertAlign val="subscript"/>
        <sz val="8"/>
        <color theme="1"/>
        <rFont val="Tahoma"/>
        <family val="2"/>
      </rPr>
      <t>2024</t>
    </r>
  </si>
  <si>
    <t>Si è usufruito della deroga per leasing nel 2024? (SI/NO)</t>
  </si>
  <si>
    <t>PROP1_GEST_22</t>
  </si>
  <si>
    <t>PROP2_GEST_22</t>
  </si>
  <si>
    <t>PROP3_GEST_22</t>
  </si>
  <si>
    <t>LEASING_GEST_22</t>
  </si>
  <si>
    <t>R_25_GEST_PE</t>
  </si>
  <si>
    <t>RLIC_25_GEST_PE</t>
  </si>
  <si>
    <t>AMM_25_GEST_PE</t>
  </si>
  <si>
    <t>CKPROP_25_GEST_PE</t>
  </si>
  <si>
    <t>CCN25_GEST</t>
  </si>
  <si>
    <t>IMN25_GEST</t>
  </si>
  <si>
    <t>IMN25_POST18_GEST</t>
  </si>
  <si>
    <t>IMN25_ANTE18_GEST</t>
  </si>
  <si>
    <r>
      <t>Stratificazione LIC</t>
    </r>
    <r>
      <rPr>
        <b/>
        <vertAlign val="subscript"/>
        <sz val="8"/>
        <color theme="1"/>
        <rFont val="Tahoma"/>
        <family val="2"/>
      </rPr>
      <t>2025</t>
    </r>
  </si>
  <si>
    <t>Anno ultima movimentazione -&gt; 2023</t>
  </si>
  <si>
    <t>LIC_GEST_23_23</t>
  </si>
  <si>
    <t>LIC_GEST_23_22</t>
  </si>
  <si>
    <t>LIC_GEST_23_21</t>
  </si>
  <si>
    <t>LIC_GEST_23_20</t>
  </si>
  <si>
    <r>
      <t>Canone/Mutuo/Leasing</t>
    </r>
    <r>
      <rPr>
        <b/>
        <vertAlign val="subscript"/>
        <sz val="8"/>
        <color theme="1"/>
        <rFont val="Tahoma"/>
        <family val="2"/>
      </rPr>
      <t>2025</t>
    </r>
  </si>
  <si>
    <t>Si è usufruito della deroga per leasing nel 2025? (SI/NO)</t>
  </si>
  <si>
    <t>PROP1_GEST_23</t>
  </si>
  <si>
    <t>PROP2_GEST_23</t>
  </si>
  <si>
    <t>PROP3_GEST_23</t>
  </si>
  <si>
    <t>LEASING_GEST_23</t>
  </si>
  <si>
    <t>R_24_GEST_RIC</t>
  </si>
  <si>
    <t>RLIC_24_GEST_RIC</t>
  </si>
  <si>
    <t>AMM_24_GEST_RIC</t>
  </si>
  <si>
    <t>CKPROP_24_GEST_RIC</t>
  </si>
  <si>
    <r>
      <t xml:space="preserve">Remunerazione del CIN ricalcolato  –&gt; </t>
    </r>
    <r>
      <rPr>
        <b/>
        <sz val="8"/>
        <rFont val="Tahoma"/>
        <family val="2"/>
      </rPr>
      <t>R</t>
    </r>
    <r>
      <rPr>
        <b/>
        <vertAlign val="subscript"/>
        <sz val="8"/>
        <rFont val="Tahoma"/>
        <family val="2"/>
      </rPr>
      <t>2024</t>
    </r>
  </si>
  <si>
    <r>
      <t xml:space="preserve">Remunerazione del LIC ricalcolato  –&gt; </t>
    </r>
    <r>
      <rPr>
        <b/>
        <sz val="8"/>
        <rFont val="Tahoma"/>
        <family val="2"/>
      </rPr>
      <t>R</t>
    </r>
    <r>
      <rPr>
        <b/>
        <vertAlign val="subscript"/>
        <sz val="8"/>
        <rFont val="Tahoma"/>
        <family val="2"/>
      </rPr>
      <t>LIC2024</t>
    </r>
  </si>
  <si>
    <r>
      <t xml:space="preserve">Ammortamenti e Canoni ricalcolati –&gt; </t>
    </r>
    <r>
      <rPr>
        <b/>
        <sz val="8"/>
        <rFont val="Tahoma"/>
        <family val="2"/>
      </rPr>
      <t>Amm</t>
    </r>
    <r>
      <rPr>
        <b/>
        <vertAlign val="subscript"/>
        <sz val="8"/>
        <rFont val="Tahoma"/>
        <family val="2"/>
      </rPr>
      <t>2024</t>
    </r>
  </si>
  <si>
    <r>
      <t>RLIC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ricalcolato</t>
    </r>
  </si>
  <si>
    <r>
      <t xml:space="preserve">Remunerazione del CIN ricalcolato –&gt; </t>
    </r>
    <r>
      <rPr>
        <b/>
        <sz val="8"/>
        <rFont val="Tahoma"/>
        <family val="2"/>
      </rPr>
      <t>R</t>
    </r>
    <r>
      <rPr>
        <b/>
        <vertAlign val="subscript"/>
        <sz val="8"/>
        <rFont val="Tahoma"/>
        <family val="2"/>
      </rPr>
      <t>2025</t>
    </r>
  </si>
  <si>
    <r>
      <t xml:space="preserve">Remunerazione del LIC ricalcolato –&gt; </t>
    </r>
    <r>
      <rPr>
        <b/>
        <sz val="8"/>
        <rFont val="Tahoma"/>
        <family val="2"/>
      </rPr>
      <t>R</t>
    </r>
    <r>
      <rPr>
        <b/>
        <vertAlign val="subscript"/>
        <sz val="8"/>
        <rFont val="Tahoma"/>
        <family val="2"/>
      </rPr>
      <t>LIC2025</t>
    </r>
  </si>
  <si>
    <r>
      <t xml:space="preserve">Ammortamenti e Canoni ricalcolati –&gt; </t>
    </r>
    <r>
      <rPr>
        <b/>
        <sz val="8"/>
        <rFont val="Tahoma"/>
        <family val="2"/>
      </rPr>
      <t>Amm</t>
    </r>
    <r>
      <rPr>
        <b/>
        <vertAlign val="subscript"/>
        <sz val="8"/>
        <rFont val="Tahoma"/>
        <family val="2"/>
      </rPr>
      <t>2025</t>
    </r>
  </si>
  <si>
    <t>R_25_GEST_RIC</t>
  </si>
  <si>
    <t>RLIC_25_GEST_RIC</t>
  </si>
  <si>
    <t>AMM_25_GEST_RIC</t>
  </si>
  <si>
    <t>CKPROP_25_GEST_RIC</t>
  </si>
  <si>
    <r>
      <t>WACC</t>
    </r>
    <r>
      <rPr>
        <vertAlign val="subscript"/>
        <sz val="8"/>
        <color theme="1"/>
        <rFont val="Tahoma"/>
        <family val="2"/>
      </rPr>
      <t>2025</t>
    </r>
    <r>
      <rPr>
        <sz val="8"/>
        <color theme="1"/>
        <rFont val="Tahoma"/>
        <family val="2"/>
      </rPr>
      <t xml:space="preserve"> - Post2018 - comma …</t>
    </r>
  </si>
  <si>
    <r>
      <t>WACC</t>
    </r>
    <r>
      <rPr>
        <vertAlign val="subscript"/>
        <sz val="8"/>
        <color theme="1"/>
        <rFont val="Tahoma"/>
        <family val="2"/>
      </rPr>
      <t>2025</t>
    </r>
    <r>
      <rPr>
        <sz val="8"/>
        <color theme="1"/>
        <rFont val="Tahoma"/>
        <family val="2"/>
      </rPr>
      <t xml:space="preserve"> - Ante2018 - comma …</t>
    </r>
  </si>
  <si>
    <r>
      <t>RLIC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ricalcolato</t>
    </r>
  </si>
  <si>
    <r>
      <t xml:space="preserve">Conguaglio </t>
    </r>
    <r>
      <rPr>
        <b/>
        <sz val="8"/>
        <rFont val="Tahoma"/>
        <family val="2"/>
      </rPr>
      <t>CK</t>
    </r>
    <r>
      <rPr>
        <b/>
        <vertAlign val="subscript"/>
        <sz val="8"/>
        <rFont val="Tahoma"/>
        <family val="2"/>
      </rPr>
      <t>2026</t>
    </r>
    <r>
      <rPr>
        <sz val="8"/>
        <rFont val="Tahoma"/>
        <family val="2"/>
      </rPr>
      <t xml:space="preserve"> </t>
    </r>
    <r>
      <rPr>
        <b/>
        <sz val="8"/>
        <rFont val="Tahoma"/>
        <family val="2"/>
      </rPr>
      <t>- Gestore</t>
    </r>
  </si>
  <si>
    <t>CONG_CK_TF_26_GEST</t>
  </si>
  <si>
    <t>Nome Ambiti</t>
  </si>
  <si>
    <t>PEF UNITARIO:</t>
  </si>
  <si>
    <t>Regime Tariffario</t>
  </si>
  <si>
    <t>TARI</t>
  </si>
  <si>
    <t>Tariffa corrispettiva</t>
  </si>
  <si>
    <t>Se PEF UNITARIO = SI
Inserire i Comuni ricompresi nel PEF UNITARIO</t>
  </si>
  <si>
    <t>Tipologia di affidamento</t>
  </si>
  <si>
    <t>affidamento con gara</t>
  </si>
  <si>
    <t>in house</t>
  </si>
  <si>
    <t>altro (specificare in relazione)</t>
  </si>
  <si>
    <t>Coefficiente H</t>
  </si>
  <si>
    <t>Gara ai sensi della del. 596/2024/R/rif</t>
  </si>
  <si>
    <t xml:space="preserve">Gara ai sensi della del 596/2024/R/rif </t>
  </si>
  <si>
    <t>Scadenza affidamento</t>
  </si>
  <si>
    <t>Attività regolate oggetto di affidamento</t>
  </si>
  <si>
    <t>Spazzamento e lavaggio strade</t>
  </si>
  <si>
    <t>Raccolta e trasporto</t>
  </si>
  <si>
    <t>Trattamento e recupero</t>
  </si>
  <si>
    <t>Trattamento e smaltimento</t>
  </si>
  <si>
    <t>Gestione tariffe e rapporti con utenza</t>
  </si>
  <si>
    <t>Valutazione livello di qualità raggiunta</t>
  </si>
  <si>
    <r>
      <t>Valutazione in merito al rispetto degli obiettivi di raccolta differenziata raggiunti (</t>
    </r>
    <r>
      <rPr>
        <b/>
        <sz val="8"/>
        <color theme="1"/>
        <rFont val="Tahoma"/>
        <family val="2"/>
      </rPr>
      <t>γ1</t>
    </r>
    <r>
      <rPr>
        <b/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) </t>
    </r>
  </si>
  <si>
    <r>
      <t>R1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</t>
    </r>
    <r>
      <rPr>
        <i/>
        <sz val="8"/>
        <color theme="1"/>
        <rFont val="Tahoma"/>
        <family val="2"/>
      </rPr>
      <t>(base dati 2022)</t>
    </r>
  </si>
  <si>
    <r>
      <t>H</t>
    </r>
    <r>
      <rPr>
        <vertAlign val="subscript"/>
        <sz val="8"/>
        <color theme="1"/>
        <rFont val="Tahoma"/>
        <family val="2"/>
      </rPr>
      <t>a</t>
    </r>
    <r>
      <rPr>
        <sz val="8"/>
        <color theme="1"/>
        <rFont val="Tahoma"/>
        <family val="2"/>
      </rPr>
      <t xml:space="preserve"> ≥ 80%</t>
    </r>
  </si>
  <si>
    <r>
      <t>70% ≤ H</t>
    </r>
    <r>
      <rPr>
        <vertAlign val="subscript"/>
        <sz val="8"/>
        <color theme="1"/>
        <rFont val="Tahoma"/>
        <family val="2"/>
      </rPr>
      <t>a</t>
    </r>
    <r>
      <rPr>
        <sz val="8"/>
        <color theme="1"/>
        <rFont val="Tahoma"/>
        <family val="2"/>
      </rPr>
      <t xml:space="preserve"> &lt; 80%</t>
    </r>
  </si>
  <si>
    <r>
      <t>60% ≤ H</t>
    </r>
    <r>
      <rPr>
        <vertAlign val="subscript"/>
        <sz val="8"/>
        <color theme="1"/>
        <rFont val="Tahoma"/>
        <family val="2"/>
      </rPr>
      <t>a</t>
    </r>
    <r>
      <rPr>
        <sz val="8"/>
        <color theme="1"/>
        <rFont val="Tahoma"/>
        <family val="2"/>
      </rPr>
      <t xml:space="preserve"> &lt; 70%</t>
    </r>
  </si>
  <si>
    <r>
      <t>50% ≤ H</t>
    </r>
    <r>
      <rPr>
        <vertAlign val="subscript"/>
        <sz val="8"/>
        <color theme="1"/>
        <rFont val="Tahoma"/>
        <family val="2"/>
      </rPr>
      <t>a</t>
    </r>
    <r>
      <rPr>
        <sz val="8"/>
        <color theme="1"/>
        <rFont val="Tahoma"/>
        <family val="2"/>
      </rPr>
      <t xml:space="preserve"> &lt; 60%</t>
    </r>
  </si>
  <si>
    <r>
      <t>40% ≤ H</t>
    </r>
    <r>
      <rPr>
        <vertAlign val="subscript"/>
        <sz val="8"/>
        <color theme="1"/>
        <rFont val="Tahoma"/>
        <family val="2"/>
      </rPr>
      <t>a</t>
    </r>
    <r>
      <rPr>
        <sz val="8"/>
        <color theme="1"/>
        <rFont val="Tahoma"/>
        <family val="2"/>
      </rPr>
      <t xml:space="preserve"> &lt; 50%</t>
    </r>
  </si>
  <si>
    <r>
      <t>30% ≤ H</t>
    </r>
    <r>
      <rPr>
        <vertAlign val="subscript"/>
        <sz val="8"/>
        <color theme="1"/>
        <rFont val="Tahoma"/>
        <family val="2"/>
      </rPr>
      <t>a</t>
    </r>
    <r>
      <rPr>
        <sz val="8"/>
        <color theme="1"/>
        <rFont val="Tahoma"/>
        <family val="2"/>
      </rPr>
      <t xml:space="preserve"> &lt; 40%</t>
    </r>
  </si>
  <si>
    <r>
      <t>20% ≤ H</t>
    </r>
    <r>
      <rPr>
        <vertAlign val="subscript"/>
        <sz val="8"/>
        <color theme="1"/>
        <rFont val="Tahoma"/>
        <family val="2"/>
      </rPr>
      <t>a</t>
    </r>
    <r>
      <rPr>
        <sz val="8"/>
        <color theme="1"/>
        <rFont val="Tahoma"/>
        <family val="2"/>
      </rPr>
      <t xml:space="preserve"> &lt; 30%</t>
    </r>
  </si>
  <si>
    <r>
      <t>10% ≤ H</t>
    </r>
    <r>
      <rPr>
        <vertAlign val="subscript"/>
        <sz val="8"/>
        <color theme="1"/>
        <rFont val="Tahoma"/>
        <family val="2"/>
      </rPr>
      <t>a</t>
    </r>
    <r>
      <rPr>
        <sz val="8"/>
        <color theme="1"/>
        <rFont val="Tahoma"/>
        <family val="2"/>
      </rPr>
      <t xml:space="preserve"> &lt; 20%</t>
    </r>
  </si>
  <si>
    <r>
      <t>0% ≤ H</t>
    </r>
    <r>
      <rPr>
        <vertAlign val="subscript"/>
        <sz val="8"/>
        <color theme="1"/>
        <rFont val="Tahoma"/>
        <family val="2"/>
      </rPr>
      <t>a</t>
    </r>
    <r>
      <rPr>
        <sz val="8"/>
        <color theme="1"/>
        <rFont val="Tahoma"/>
        <family val="2"/>
      </rPr>
      <t xml:space="preserve"> &lt; 10%</t>
    </r>
  </si>
  <si>
    <r>
      <t>R1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</t>
    </r>
    <r>
      <rPr>
        <i/>
        <sz val="8"/>
        <color theme="1"/>
        <rFont val="Tahoma"/>
        <family val="2"/>
      </rPr>
      <t>(base dati 2024)</t>
    </r>
  </si>
  <si>
    <r>
      <t>Obiettivo R1</t>
    </r>
    <r>
      <rPr>
        <b/>
        <vertAlign val="subscript"/>
        <sz val="8"/>
        <color theme="1"/>
        <rFont val="Tahoma"/>
        <family val="2"/>
      </rPr>
      <t>2028</t>
    </r>
  </si>
  <si>
    <r>
      <t xml:space="preserve">Valutazione in merito al livello di efficacia delle attività di preparazione per il riutilizzo e il riciclo </t>
    </r>
    <r>
      <rPr>
        <b/>
        <sz val="8"/>
        <color theme="1"/>
        <rFont val="Tahoma"/>
        <family val="2"/>
      </rPr>
      <t>(γ2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) </t>
    </r>
  </si>
  <si>
    <r>
      <t>Classe R1</t>
    </r>
    <r>
      <rPr>
        <b/>
        <i/>
        <vertAlign val="subscript"/>
        <sz val="8"/>
        <color theme="1"/>
        <rFont val="Tahoma"/>
        <family val="2"/>
      </rPr>
      <t>2024</t>
    </r>
  </si>
  <si>
    <r>
      <t>Classe R1</t>
    </r>
    <r>
      <rPr>
        <b/>
        <i/>
        <vertAlign val="subscript"/>
        <sz val="8"/>
        <color theme="1"/>
        <rFont val="Tahoma"/>
        <family val="2"/>
      </rPr>
      <t>2026</t>
    </r>
  </si>
  <si>
    <r>
      <t>Classe R1</t>
    </r>
    <r>
      <rPr>
        <b/>
        <i/>
        <vertAlign val="subscript"/>
        <sz val="8"/>
        <color theme="1"/>
        <rFont val="Tahoma"/>
        <family val="2"/>
      </rPr>
      <t>2028</t>
    </r>
  </si>
  <si>
    <r>
      <t>Valutazione in merito al rispetto degli obiettivi di raccolta differenziata raggiunti (</t>
    </r>
    <r>
      <rPr>
        <b/>
        <sz val="8"/>
        <color theme="1"/>
        <rFont val="Tahoma"/>
        <family val="2"/>
      </rPr>
      <t>γ1</t>
    </r>
    <r>
      <rPr>
        <b/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) </t>
    </r>
  </si>
  <si>
    <r>
      <t>R1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</t>
    </r>
    <r>
      <rPr>
        <i/>
        <sz val="8"/>
        <color theme="1"/>
        <rFont val="Tahoma"/>
        <family val="2"/>
      </rPr>
      <t>(base dati 2022)</t>
    </r>
  </si>
  <si>
    <r>
      <t>Classe R1</t>
    </r>
    <r>
      <rPr>
        <b/>
        <i/>
        <vertAlign val="subscript"/>
        <sz val="8"/>
        <color theme="1"/>
        <rFont val="Tahoma"/>
        <family val="2"/>
      </rPr>
      <t>2025</t>
    </r>
  </si>
  <si>
    <r>
      <t>Obiettivo R1</t>
    </r>
    <r>
      <rPr>
        <b/>
        <vertAlign val="subscript"/>
        <sz val="8"/>
        <color theme="1"/>
        <rFont val="Tahoma"/>
        <family val="2"/>
      </rPr>
      <t>2027</t>
    </r>
  </si>
  <si>
    <r>
      <t>Classe R1</t>
    </r>
    <r>
      <rPr>
        <b/>
        <i/>
        <vertAlign val="subscript"/>
        <sz val="8"/>
        <color theme="1"/>
        <rFont val="Tahoma"/>
        <family val="2"/>
      </rPr>
      <t>2027</t>
    </r>
  </si>
  <si>
    <r>
      <t>R1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</t>
    </r>
    <r>
      <rPr>
        <i/>
        <sz val="8"/>
        <color theme="1"/>
        <rFont val="Tahoma"/>
        <family val="2"/>
      </rPr>
      <t>(base dati 2024)</t>
    </r>
  </si>
  <si>
    <r>
      <t>Classe Obiettivo R1</t>
    </r>
    <r>
      <rPr>
        <b/>
        <i/>
        <vertAlign val="subscript"/>
        <sz val="8"/>
        <color theme="1"/>
        <rFont val="Tahoma"/>
        <family val="2"/>
      </rPr>
      <t>2026</t>
    </r>
  </si>
  <si>
    <r>
      <t>Classe Obiettivo R1</t>
    </r>
    <r>
      <rPr>
        <b/>
        <i/>
        <vertAlign val="subscript"/>
        <sz val="8"/>
        <color theme="1"/>
        <rFont val="Tahoma"/>
        <family val="2"/>
      </rPr>
      <t>2027</t>
    </r>
  </si>
  <si>
    <r>
      <t>Obiettivo R1</t>
    </r>
    <r>
      <rPr>
        <b/>
        <vertAlign val="subscript"/>
        <sz val="8"/>
        <color theme="1"/>
        <rFont val="Tahoma"/>
        <family val="2"/>
      </rPr>
      <t>2029</t>
    </r>
  </si>
  <si>
    <r>
      <t>Classe Obiettivo R1</t>
    </r>
    <r>
      <rPr>
        <b/>
        <i/>
        <vertAlign val="subscript"/>
        <sz val="8"/>
        <color theme="1"/>
        <rFont val="Tahoma"/>
        <family val="2"/>
      </rPr>
      <t>2028</t>
    </r>
  </si>
  <si>
    <r>
      <t xml:space="preserve">Valutazione in merito al livello di efficacia delle attività di preparazione per il riutilizzo e il riciclo </t>
    </r>
    <r>
      <rPr>
        <b/>
        <sz val="8"/>
        <color theme="1"/>
        <rFont val="Tahoma"/>
        <family val="2"/>
      </rPr>
      <t>(γ2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) </t>
    </r>
  </si>
  <si>
    <r>
      <t>Obiettivo R1</t>
    </r>
    <r>
      <rPr>
        <vertAlign val="subscript"/>
        <sz val="8"/>
        <color theme="1"/>
        <rFont val="Tahoma"/>
        <family val="2"/>
      </rPr>
      <t>2026</t>
    </r>
  </si>
  <si>
    <r>
      <t>Obiettivo R1</t>
    </r>
    <r>
      <rPr>
        <vertAlign val="subscript"/>
        <sz val="8"/>
        <color theme="1"/>
        <rFont val="Tahoma"/>
        <family val="2"/>
      </rPr>
      <t>2028</t>
    </r>
  </si>
  <si>
    <t>%RD_26</t>
  </si>
  <si>
    <t>% RD (2026)</t>
  </si>
  <si>
    <t>VAL_GAMMA1_28</t>
  </si>
  <si>
    <r>
      <t>Valutazione in merito al rispetto degli obiettivi di raccolta differenziata raggiunti (</t>
    </r>
    <r>
      <rPr>
        <b/>
        <sz val="8"/>
        <color theme="1"/>
        <rFont val="Tahoma"/>
        <family val="2"/>
      </rPr>
      <t>γ1</t>
    </r>
    <r>
      <rPr>
        <b/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) </t>
    </r>
  </si>
  <si>
    <r>
      <t>R1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</t>
    </r>
    <r>
      <rPr>
        <i/>
        <sz val="8"/>
        <color theme="1"/>
        <rFont val="Tahoma"/>
        <family val="2"/>
      </rPr>
      <t>(base dati 2022)</t>
    </r>
  </si>
  <si>
    <t>R1_28</t>
  </si>
  <si>
    <r>
      <t>R1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</t>
    </r>
    <r>
      <rPr>
        <i/>
        <sz val="8"/>
        <color theme="1"/>
        <rFont val="Tahoma"/>
        <family val="2"/>
      </rPr>
      <t>(base dati 2024)</t>
    </r>
  </si>
  <si>
    <r>
      <t>Obiettivo R1</t>
    </r>
    <r>
      <rPr>
        <b/>
        <vertAlign val="subscript"/>
        <sz val="8"/>
        <color theme="1"/>
        <rFont val="Tahoma"/>
        <family val="2"/>
      </rPr>
      <t>2030</t>
    </r>
  </si>
  <si>
    <r>
      <t>Classe Obiettivo R1</t>
    </r>
    <r>
      <rPr>
        <b/>
        <i/>
        <vertAlign val="subscript"/>
        <sz val="8"/>
        <color theme="1"/>
        <rFont val="Tahoma"/>
        <family val="2"/>
      </rPr>
      <t>2030</t>
    </r>
  </si>
  <si>
    <t>VAL_GAMMA2_28</t>
  </si>
  <si>
    <r>
      <t xml:space="preserve">Valutazione in merito al livello di efficacia delle attività di preparazione per il riutilizzo e il riciclo </t>
    </r>
    <r>
      <rPr>
        <b/>
        <sz val="8"/>
        <color theme="1"/>
        <rFont val="Tahoma"/>
        <family val="2"/>
      </rPr>
      <t>(γ2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) </t>
    </r>
  </si>
  <si>
    <t>% RD (2027)</t>
  </si>
  <si>
    <t>%RD_27</t>
  </si>
  <si>
    <t>VAL_GAMMA1_29</t>
  </si>
  <si>
    <r>
      <t>Valutazione in merito al rispetto degli obiettivi di raccolta differenziata raggiunti (</t>
    </r>
    <r>
      <rPr>
        <b/>
        <sz val="8"/>
        <color theme="1"/>
        <rFont val="Tahoma"/>
        <family val="2"/>
      </rPr>
      <t>γ1</t>
    </r>
    <r>
      <rPr>
        <b/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) </t>
    </r>
  </si>
  <si>
    <r>
      <t>R1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</t>
    </r>
    <r>
      <rPr>
        <i/>
        <sz val="8"/>
        <color theme="1"/>
        <rFont val="Tahoma"/>
        <family val="2"/>
      </rPr>
      <t>(base dati 2022)</t>
    </r>
  </si>
  <si>
    <r>
      <t>Classe Obiettivo R1</t>
    </r>
    <r>
      <rPr>
        <b/>
        <i/>
        <vertAlign val="subscript"/>
        <sz val="8"/>
        <color theme="1"/>
        <rFont val="Tahoma"/>
        <family val="2"/>
      </rPr>
      <t>2029</t>
    </r>
  </si>
  <si>
    <r>
      <t>R1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</t>
    </r>
    <r>
      <rPr>
        <i/>
        <sz val="8"/>
        <color theme="1"/>
        <rFont val="Tahoma"/>
        <family val="2"/>
      </rPr>
      <t>(base dati 2024)</t>
    </r>
  </si>
  <si>
    <t>R1_29</t>
  </si>
  <si>
    <r>
      <t>Classe R1</t>
    </r>
    <r>
      <rPr>
        <b/>
        <i/>
        <vertAlign val="subscript"/>
        <sz val="8"/>
        <color theme="1"/>
        <rFont val="Tahoma"/>
        <family val="2"/>
      </rPr>
      <t>2029</t>
    </r>
  </si>
  <si>
    <r>
      <t>Obiettivo R1</t>
    </r>
    <r>
      <rPr>
        <b/>
        <vertAlign val="subscript"/>
        <sz val="8"/>
        <color theme="1"/>
        <rFont val="Tahoma"/>
        <family val="2"/>
      </rPr>
      <t>2031</t>
    </r>
  </si>
  <si>
    <r>
      <t>Classe Obiettivo R1</t>
    </r>
    <r>
      <rPr>
        <b/>
        <i/>
        <vertAlign val="subscript"/>
        <sz val="8"/>
        <color theme="1"/>
        <rFont val="Tahoma"/>
        <family val="2"/>
      </rPr>
      <t>2031</t>
    </r>
  </si>
  <si>
    <t>VAL_GAMMA2_29</t>
  </si>
  <si>
    <r>
      <t xml:space="preserve">Valutazione in merito al livello di efficacia delle attività di preparazione per il riutilizzo e il riciclo </t>
    </r>
    <r>
      <rPr>
        <b/>
        <sz val="8"/>
        <color theme="1"/>
        <rFont val="Tahoma"/>
        <family val="2"/>
      </rPr>
      <t>(γ2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) </t>
    </r>
  </si>
  <si>
    <t>Qualità ambientale delle prestazioni</t>
  </si>
  <si>
    <t>R2_26</t>
  </si>
  <si>
    <r>
      <t>R2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</t>
    </r>
    <r>
      <rPr>
        <i/>
        <sz val="8"/>
        <color theme="1"/>
        <rFont val="Tahoma"/>
        <family val="2"/>
      </rPr>
      <t>(base dati 2024)</t>
    </r>
  </si>
  <si>
    <r>
      <t>Classe R2</t>
    </r>
    <r>
      <rPr>
        <b/>
        <i/>
        <vertAlign val="subscript"/>
        <sz val="8"/>
        <color theme="1"/>
        <rFont val="Tahoma"/>
        <family val="2"/>
      </rPr>
      <t>2026</t>
    </r>
  </si>
  <si>
    <r>
      <t>Obiettivo R2</t>
    </r>
    <r>
      <rPr>
        <vertAlign val="subscript"/>
        <sz val="8"/>
        <color theme="1"/>
        <rFont val="Tahoma"/>
        <family val="2"/>
      </rPr>
      <t>2028</t>
    </r>
  </si>
  <si>
    <r>
      <t>Classe R2</t>
    </r>
    <r>
      <rPr>
        <b/>
        <i/>
        <vertAlign val="subscript"/>
        <sz val="8"/>
        <color theme="1"/>
        <rFont val="Tahoma"/>
        <family val="2"/>
      </rPr>
      <t>2028</t>
    </r>
  </si>
  <si>
    <t>R2</t>
  </si>
  <si>
    <t>R2_27</t>
  </si>
  <si>
    <r>
      <t>R2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</t>
    </r>
    <r>
      <rPr>
        <i/>
        <sz val="8"/>
        <color theme="1"/>
        <rFont val="Tahoma"/>
        <family val="2"/>
      </rPr>
      <t>(base dati 2024)</t>
    </r>
  </si>
  <si>
    <r>
      <t>Classe R2</t>
    </r>
    <r>
      <rPr>
        <b/>
        <i/>
        <vertAlign val="subscript"/>
        <sz val="8"/>
        <color theme="1"/>
        <rFont val="Tahoma"/>
        <family val="2"/>
      </rPr>
      <t>2027</t>
    </r>
  </si>
  <si>
    <r>
      <t>Obiettivo R2</t>
    </r>
    <r>
      <rPr>
        <vertAlign val="subscript"/>
        <sz val="8"/>
        <color theme="1"/>
        <rFont val="Tahoma"/>
        <family val="2"/>
      </rPr>
      <t>2029</t>
    </r>
  </si>
  <si>
    <r>
      <t>Classe R2</t>
    </r>
    <r>
      <rPr>
        <b/>
        <i/>
        <vertAlign val="subscript"/>
        <sz val="8"/>
        <color theme="1"/>
        <rFont val="Tahoma"/>
        <family val="2"/>
      </rPr>
      <t>2029</t>
    </r>
  </si>
  <si>
    <r>
      <t>Classe Obiettivo R2</t>
    </r>
    <r>
      <rPr>
        <b/>
        <i/>
        <vertAlign val="subscript"/>
        <sz val="8"/>
        <color theme="1"/>
        <rFont val="Tahoma"/>
        <family val="2"/>
      </rPr>
      <t>2028</t>
    </r>
  </si>
  <si>
    <r>
      <t>Classe Obiettivo R2</t>
    </r>
    <r>
      <rPr>
        <b/>
        <i/>
        <vertAlign val="subscript"/>
        <sz val="8"/>
        <color theme="1"/>
        <rFont val="Tahoma"/>
        <family val="2"/>
      </rPr>
      <t>2029</t>
    </r>
  </si>
  <si>
    <t>R2_28</t>
  </si>
  <si>
    <r>
      <t>R2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</t>
    </r>
    <r>
      <rPr>
        <i/>
        <sz val="8"/>
        <color theme="1"/>
        <rFont val="Tahoma"/>
        <family val="2"/>
      </rPr>
      <t>(base dati 2024)</t>
    </r>
  </si>
  <si>
    <r>
      <t>Obiettivo R2</t>
    </r>
    <r>
      <rPr>
        <vertAlign val="subscript"/>
        <sz val="8"/>
        <color theme="1"/>
        <rFont val="Tahoma"/>
        <family val="2"/>
      </rPr>
      <t>2030</t>
    </r>
  </si>
  <si>
    <r>
      <t>Classe Obiettivo R2</t>
    </r>
    <r>
      <rPr>
        <b/>
        <i/>
        <vertAlign val="subscript"/>
        <sz val="8"/>
        <color theme="1"/>
        <rFont val="Tahoma"/>
        <family val="2"/>
      </rPr>
      <t>2030</t>
    </r>
  </si>
  <si>
    <t>R2_29</t>
  </si>
  <si>
    <r>
      <t>R2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</t>
    </r>
    <r>
      <rPr>
        <i/>
        <sz val="8"/>
        <color theme="1"/>
        <rFont val="Tahoma"/>
        <family val="2"/>
      </rPr>
      <t>(base dati 2024)</t>
    </r>
  </si>
  <si>
    <r>
      <t>Obiettivo R2</t>
    </r>
    <r>
      <rPr>
        <vertAlign val="subscript"/>
        <sz val="8"/>
        <color theme="1"/>
        <rFont val="Tahoma"/>
        <family val="2"/>
      </rPr>
      <t>2031</t>
    </r>
  </si>
  <si>
    <r>
      <t>Classe Obiettivo R2</t>
    </r>
    <r>
      <rPr>
        <b/>
        <i/>
        <vertAlign val="subscript"/>
        <sz val="8"/>
        <color theme="1"/>
        <rFont val="Tahoma"/>
        <family val="2"/>
      </rPr>
      <t>2031</t>
    </r>
  </si>
  <si>
    <t>Definizione del fattore di sharing in funzione del livelli qualitativi raggiunti</t>
  </si>
  <si>
    <r>
      <t>Range b</t>
    </r>
    <r>
      <rPr>
        <b/>
        <vertAlign val="subscript"/>
        <sz val="8"/>
        <color theme="1"/>
        <rFont val="Tahoma"/>
        <family val="2"/>
      </rPr>
      <t>2028</t>
    </r>
  </si>
  <si>
    <r>
      <t>Range b</t>
    </r>
    <r>
      <rPr>
        <b/>
        <vertAlign val="subscript"/>
        <sz val="8"/>
        <color theme="1"/>
        <rFont val="Tahoma"/>
        <family val="2"/>
      </rPr>
      <t>2029</t>
    </r>
  </si>
  <si>
    <r>
      <t>b</t>
    </r>
    <r>
      <rPr>
        <b/>
        <vertAlign val="subscript"/>
        <sz val="8"/>
        <color theme="1"/>
        <rFont val="Tahoma"/>
        <family val="2"/>
      </rPr>
      <t>2028</t>
    </r>
  </si>
  <si>
    <r>
      <t>b</t>
    </r>
    <r>
      <rPr>
        <b/>
        <vertAlign val="subscript"/>
        <sz val="8"/>
        <color theme="1"/>
        <rFont val="Tahoma"/>
        <family val="2"/>
      </rPr>
      <t>2029</t>
    </r>
  </si>
  <si>
    <t>B_28</t>
  </si>
  <si>
    <t>B_29</t>
  </si>
  <si>
    <t>GAMMA1_28</t>
  </si>
  <si>
    <t>GAMMA2_28</t>
  </si>
  <si>
    <r>
      <t>Range γ1</t>
    </r>
    <r>
      <rPr>
        <b/>
        <vertAlign val="subscript"/>
        <sz val="8"/>
        <color theme="1"/>
        <rFont val="Tahoma"/>
        <family val="2"/>
      </rPr>
      <t>2028</t>
    </r>
  </si>
  <si>
    <r>
      <t>γ1</t>
    </r>
    <r>
      <rPr>
        <b/>
        <vertAlign val="subscript"/>
        <sz val="8"/>
        <color theme="1"/>
        <rFont val="Tahoma"/>
        <family val="2"/>
      </rPr>
      <t>2028</t>
    </r>
  </si>
  <si>
    <r>
      <t>Range γ2</t>
    </r>
    <r>
      <rPr>
        <b/>
        <vertAlign val="subscript"/>
        <sz val="8"/>
        <color theme="1"/>
        <rFont val="Tahoma"/>
        <family val="2"/>
      </rPr>
      <t>2028</t>
    </r>
  </si>
  <si>
    <r>
      <t>γ2</t>
    </r>
    <r>
      <rPr>
        <b/>
        <vertAlign val="subscript"/>
        <sz val="8"/>
        <color theme="1"/>
        <rFont val="Tahoma"/>
        <family val="2"/>
      </rPr>
      <t>2028</t>
    </r>
  </si>
  <si>
    <r>
      <t>γ</t>
    </r>
    <r>
      <rPr>
        <b/>
        <vertAlign val="subscript"/>
        <sz val="8"/>
        <color theme="1"/>
        <rFont val="Tahoma"/>
        <family val="2"/>
      </rPr>
      <t>2028</t>
    </r>
  </si>
  <si>
    <r>
      <t>1+γ</t>
    </r>
    <r>
      <rPr>
        <b/>
        <vertAlign val="subscript"/>
        <sz val="8"/>
        <color theme="1"/>
        <rFont val="Tahoma"/>
        <family val="2"/>
      </rPr>
      <t>2028</t>
    </r>
  </si>
  <si>
    <r>
      <t>Range γ1</t>
    </r>
    <r>
      <rPr>
        <b/>
        <vertAlign val="subscript"/>
        <sz val="8"/>
        <color theme="1"/>
        <rFont val="Tahoma"/>
        <family val="2"/>
      </rPr>
      <t>2029</t>
    </r>
  </si>
  <si>
    <r>
      <t>γ1</t>
    </r>
    <r>
      <rPr>
        <b/>
        <vertAlign val="subscript"/>
        <sz val="8"/>
        <color theme="1"/>
        <rFont val="Tahoma"/>
        <family val="2"/>
      </rPr>
      <t>2029</t>
    </r>
  </si>
  <si>
    <r>
      <t>Range γ2</t>
    </r>
    <r>
      <rPr>
        <b/>
        <vertAlign val="subscript"/>
        <sz val="8"/>
        <color theme="1"/>
        <rFont val="Tahoma"/>
        <family val="2"/>
      </rPr>
      <t>2029</t>
    </r>
  </si>
  <si>
    <r>
      <t>γ2</t>
    </r>
    <r>
      <rPr>
        <b/>
        <vertAlign val="subscript"/>
        <sz val="8"/>
        <color theme="1"/>
        <rFont val="Tahoma"/>
        <family val="2"/>
      </rPr>
      <t>2029</t>
    </r>
  </si>
  <si>
    <r>
      <t>γ</t>
    </r>
    <r>
      <rPr>
        <b/>
        <vertAlign val="subscript"/>
        <sz val="8"/>
        <color theme="1"/>
        <rFont val="Tahoma"/>
        <family val="2"/>
      </rPr>
      <t>2029</t>
    </r>
  </si>
  <si>
    <r>
      <t>1+γ</t>
    </r>
    <r>
      <rPr>
        <b/>
        <vertAlign val="subscript"/>
        <sz val="8"/>
        <color theme="1"/>
        <rFont val="Tahoma"/>
        <family val="2"/>
      </rPr>
      <t>2029</t>
    </r>
  </si>
  <si>
    <t>GAMMA1_29</t>
  </si>
  <si>
    <t>GAMMA2_29</t>
  </si>
  <si>
    <t>Efficienza della gestione (anno-2)</t>
  </si>
  <si>
    <r>
      <t>Quantità di rifiuti prodotti [ton] q</t>
    </r>
    <r>
      <rPr>
        <b/>
        <vertAlign val="subscript"/>
        <sz val="8"/>
        <color theme="1"/>
        <rFont val="Tahoma"/>
        <family val="2"/>
      </rPr>
      <t>2024</t>
    </r>
  </si>
  <si>
    <r>
      <t>Quantità di rifiuti prodotti [ton] q</t>
    </r>
    <r>
      <rPr>
        <b/>
        <vertAlign val="subscript"/>
        <sz val="8"/>
        <color theme="1"/>
        <rFont val="Tahoma"/>
        <family val="2"/>
      </rPr>
      <t>2025</t>
    </r>
  </si>
  <si>
    <t>TV_26_DEF</t>
  </si>
  <si>
    <t>TF_26_DEF</t>
  </si>
  <si>
    <t>T_26_DEF</t>
  </si>
  <si>
    <t>Q_26</t>
  </si>
  <si>
    <t>CUEFF_26</t>
  </si>
  <si>
    <t>BENCH_26</t>
  </si>
  <si>
    <r>
      <t>TV</t>
    </r>
    <r>
      <rPr>
        <vertAlign val="subscript"/>
        <sz val="8"/>
        <color theme="1"/>
        <rFont val="Tahoma"/>
        <family val="2"/>
      </rPr>
      <t>2026</t>
    </r>
  </si>
  <si>
    <r>
      <t>TF</t>
    </r>
    <r>
      <rPr>
        <vertAlign val="subscript"/>
        <sz val="8"/>
        <color theme="1"/>
        <rFont val="Tahoma"/>
        <family val="2"/>
      </rPr>
      <t>2026</t>
    </r>
  </si>
  <si>
    <r>
      <t>T</t>
    </r>
    <r>
      <rPr>
        <b/>
        <vertAlign val="subscript"/>
        <sz val="8"/>
        <color theme="1"/>
        <rFont val="Tahoma"/>
        <family val="2"/>
      </rPr>
      <t>2026</t>
    </r>
  </si>
  <si>
    <r>
      <t>Quantità di rifiuti prodotti [ton] q</t>
    </r>
    <r>
      <rPr>
        <b/>
        <vertAlign val="subscript"/>
        <sz val="8"/>
        <color theme="1"/>
        <rFont val="Tahoma"/>
        <family val="2"/>
      </rPr>
      <t>2026</t>
    </r>
  </si>
  <si>
    <r>
      <t>CU</t>
    </r>
    <r>
      <rPr>
        <b/>
        <vertAlign val="subscript"/>
        <sz val="8"/>
        <color theme="1"/>
        <rFont val="Tahoma"/>
        <family val="2"/>
      </rPr>
      <t>eff2026</t>
    </r>
    <r>
      <rPr>
        <b/>
        <sz val="8"/>
        <color theme="1"/>
        <rFont val="Tahoma"/>
        <family val="2"/>
      </rPr>
      <t xml:space="preserve"> [cent€/kg]</t>
    </r>
  </si>
  <si>
    <r>
      <t>Benchmark di riferimento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[cent€/kg]</t>
    </r>
  </si>
  <si>
    <r>
      <t>Rapporto tra Cu</t>
    </r>
    <r>
      <rPr>
        <i/>
        <vertAlign val="subscript"/>
        <sz val="8"/>
        <color theme="1"/>
        <rFont val="Tahoma"/>
        <family val="2"/>
      </rPr>
      <t>eff</t>
    </r>
    <r>
      <rPr>
        <i/>
        <sz val="8"/>
        <color theme="1"/>
        <rFont val="Tahoma"/>
        <family val="2"/>
      </rPr>
      <t xml:space="preserve"> e Benchmark 2026</t>
    </r>
  </si>
  <si>
    <t>TV_27_DEF</t>
  </si>
  <si>
    <t>TF_27_DEF</t>
  </si>
  <si>
    <t>T_27_DEF</t>
  </si>
  <si>
    <t>Q_27</t>
  </si>
  <si>
    <t>CUEFF_27</t>
  </si>
  <si>
    <t>BENCH_27</t>
  </si>
  <si>
    <r>
      <t>TV</t>
    </r>
    <r>
      <rPr>
        <vertAlign val="subscript"/>
        <sz val="8"/>
        <color theme="1"/>
        <rFont val="Tahoma"/>
        <family val="2"/>
      </rPr>
      <t>2027</t>
    </r>
  </si>
  <si>
    <r>
      <t>TF</t>
    </r>
    <r>
      <rPr>
        <vertAlign val="subscript"/>
        <sz val="8"/>
        <color theme="1"/>
        <rFont val="Tahoma"/>
        <family val="2"/>
      </rPr>
      <t>2027</t>
    </r>
  </si>
  <si>
    <r>
      <t>T</t>
    </r>
    <r>
      <rPr>
        <b/>
        <vertAlign val="subscript"/>
        <sz val="8"/>
        <color theme="1"/>
        <rFont val="Tahoma"/>
        <family val="2"/>
      </rPr>
      <t>2027</t>
    </r>
  </si>
  <si>
    <r>
      <t>Quantità di rifiuti prodotti [ton] q</t>
    </r>
    <r>
      <rPr>
        <b/>
        <vertAlign val="subscript"/>
        <sz val="8"/>
        <color theme="1"/>
        <rFont val="Tahoma"/>
        <family val="2"/>
      </rPr>
      <t>2027</t>
    </r>
  </si>
  <si>
    <r>
      <t>CU</t>
    </r>
    <r>
      <rPr>
        <b/>
        <vertAlign val="subscript"/>
        <sz val="8"/>
        <color theme="1"/>
        <rFont val="Tahoma"/>
        <family val="2"/>
      </rPr>
      <t>eff2027</t>
    </r>
    <r>
      <rPr>
        <b/>
        <sz val="8"/>
        <color theme="1"/>
        <rFont val="Tahoma"/>
        <family val="2"/>
      </rPr>
      <t xml:space="preserve"> [cent€/kg]</t>
    </r>
  </si>
  <si>
    <r>
      <t>Benchmark di riferimento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[cent€/kg]</t>
    </r>
  </si>
  <si>
    <r>
      <t>Rapporto tra Cu</t>
    </r>
    <r>
      <rPr>
        <i/>
        <vertAlign val="subscript"/>
        <sz val="8"/>
        <color theme="1"/>
        <rFont val="Tahoma"/>
        <family val="2"/>
      </rPr>
      <t>eff</t>
    </r>
    <r>
      <rPr>
        <i/>
        <sz val="8"/>
        <color theme="1"/>
        <rFont val="Tahoma"/>
        <family val="2"/>
      </rPr>
      <t xml:space="preserve"> e Benchmark 2027</t>
    </r>
  </si>
  <si>
    <t>Scelta dello schema regolatorio ai sensi dell'art. 5.2 del MTR-3</t>
  </si>
  <si>
    <t>OBIET_26</t>
  </si>
  <si>
    <t>Valutazione obiettivi 2026</t>
  </si>
  <si>
    <t>Valutazione obiettivi</t>
  </si>
  <si>
    <t>Consolidamento</t>
  </si>
  <si>
    <t>Miglioramento</t>
  </si>
  <si>
    <r>
      <t>Cu</t>
    </r>
    <r>
      <rPr>
        <i/>
        <vertAlign val="subscript"/>
        <sz val="8"/>
        <color theme="1"/>
        <rFont val="Tahoma"/>
        <family val="2"/>
      </rPr>
      <t xml:space="preserve">eff 2024 </t>
    </r>
    <r>
      <rPr>
        <i/>
        <sz val="8"/>
        <color theme="1"/>
        <rFont val="Tahoma"/>
        <family val="2"/>
      </rPr>
      <t>/ Benchmark</t>
    </r>
    <r>
      <rPr>
        <i/>
        <vertAlign val="subscript"/>
        <sz val="8"/>
        <color theme="1"/>
        <rFont val="Tahoma"/>
        <family val="2"/>
      </rPr>
      <t>2024</t>
    </r>
  </si>
  <si>
    <t>Valutazione obiettivi 2027</t>
  </si>
  <si>
    <r>
      <t>Cu</t>
    </r>
    <r>
      <rPr>
        <i/>
        <vertAlign val="subscript"/>
        <sz val="8"/>
        <color theme="1"/>
        <rFont val="Tahoma"/>
        <family val="2"/>
      </rPr>
      <t xml:space="preserve">eff 2025 </t>
    </r>
    <r>
      <rPr>
        <i/>
        <sz val="8"/>
        <color theme="1"/>
        <rFont val="Tahoma"/>
        <family val="2"/>
      </rPr>
      <t>/ Benchmark</t>
    </r>
    <r>
      <rPr>
        <i/>
        <vertAlign val="subscript"/>
        <sz val="8"/>
        <color theme="1"/>
        <rFont val="Tahoma"/>
        <family val="2"/>
      </rPr>
      <t>2025</t>
    </r>
  </si>
  <si>
    <t>Valutazione obiettivi 2028</t>
  </si>
  <si>
    <r>
      <t>Cu</t>
    </r>
    <r>
      <rPr>
        <i/>
        <vertAlign val="subscript"/>
        <sz val="8"/>
        <color theme="1"/>
        <rFont val="Tahoma"/>
        <family val="2"/>
      </rPr>
      <t xml:space="preserve">eff 2026 </t>
    </r>
    <r>
      <rPr>
        <i/>
        <sz val="8"/>
        <color theme="1"/>
        <rFont val="Tahoma"/>
        <family val="2"/>
      </rPr>
      <t>/ Benchmark</t>
    </r>
    <r>
      <rPr>
        <i/>
        <vertAlign val="subscript"/>
        <sz val="8"/>
        <color theme="1"/>
        <rFont val="Tahoma"/>
        <family val="2"/>
      </rPr>
      <t>2026</t>
    </r>
  </si>
  <si>
    <t>Valutazione obiettivi 2029</t>
  </si>
  <si>
    <r>
      <t>Cu</t>
    </r>
    <r>
      <rPr>
        <i/>
        <vertAlign val="subscript"/>
        <sz val="8"/>
        <color theme="1"/>
        <rFont val="Tahoma"/>
        <family val="2"/>
      </rPr>
      <t xml:space="preserve">eff 2027 </t>
    </r>
    <r>
      <rPr>
        <i/>
        <sz val="8"/>
        <color theme="1"/>
        <rFont val="Tahoma"/>
        <family val="2"/>
      </rPr>
      <t>/ Benchmark</t>
    </r>
    <r>
      <rPr>
        <i/>
        <vertAlign val="subscript"/>
        <sz val="8"/>
        <color theme="1"/>
        <rFont val="Tahoma"/>
        <family val="2"/>
      </rPr>
      <t>2027</t>
    </r>
  </si>
  <si>
    <t>SCHEMA REGOLATORIO 2029</t>
  </si>
  <si>
    <t>SCHEMA REGOLATORIO 2028</t>
  </si>
  <si>
    <t>OBIET_27</t>
  </si>
  <si>
    <t>OBIET_28</t>
  </si>
  <si>
    <t>OBIET_29</t>
  </si>
  <si>
    <t>Parametri per il limite di crescita delle entrate tariffarie</t>
  </si>
  <si>
    <r>
      <t>rpi</t>
    </r>
    <r>
      <rPr>
        <i/>
        <vertAlign val="subscript"/>
        <sz val="8"/>
        <rFont val="Tahoma"/>
        <family val="2"/>
      </rPr>
      <t>2026</t>
    </r>
  </si>
  <si>
    <t>RPI_26</t>
  </si>
  <si>
    <r>
      <t>X</t>
    </r>
    <r>
      <rPr>
        <b/>
        <vertAlign val="subscript"/>
        <sz val="8"/>
        <color theme="1"/>
        <rFont val="Tahoma"/>
        <family val="2"/>
      </rPr>
      <t>2026</t>
    </r>
  </si>
  <si>
    <r>
      <t>Range Xreg</t>
    </r>
    <r>
      <rPr>
        <b/>
        <vertAlign val="subscript"/>
        <sz val="8"/>
        <color theme="1"/>
        <rFont val="Tahoma"/>
        <family val="2"/>
      </rPr>
      <t>2026</t>
    </r>
  </si>
  <si>
    <r>
      <t>Xreg</t>
    </r>
    <r>
      <rPr>
        <b/>
        <vertAlign val="subscript"/>
        <sz val="8"/>
        <color theme="1"/>
        <rFont val="Tahoma"/>
        <family val="2"/>
      </rPr>
      <t>2026</t>
    </r>
  </si>
  <si>
    <t>Range Xreg</t>
  </si>
  <si>
    <t>0,3%&lt;Xreg≤0,5%</t>
  </si>
  <si>
    <t>0,1%&lt;Xreg≤0,3%</t>
  </si>
  <si>
    <t>Xreg_26</t>
  </si>
  <si>
    <t>Xcom_26</t>
  </si>
  <si>
    <r>
      <t>Xcom</t>
    </r>
    <r>
      <rPr>
        <b/>
        <vertAlign val="subscript"/>
        <sz val="8"/>
        <color theme="1"/>
        <rFont val="Tahoma"/>
        <family val="2"/>
      </rPr>
      <t>2026</t>
    </r>
  </si>
  <si>
    <r>
      <t>Valore massimo Kcom</t>
    </r>
    <r>
      <rPr>
        <b/>
        <vertAlign val="subscript"/>
        <sz val="8"/>
        <color theme="1"/>
        <rFont val="Tahoma"/>
        <family val="2"/>
      </rPr>
      <t>2026</t>
    </r>
  </si>
  <si>
    <t>Kcom_26</t>
  </si>
  <si>
    <r>
      <t>Kcom</t>
    </r>
    <r>
      <rPr>
        <b/>
        <vertAlign val="subscript"/>
        <sz val="8"/>
        <color theme="1"/>
        <rFont val="Tahoma"/>
        <family val="2"/>
      </rPr>
      <t>2026</t>
    </r>
  </si>
  <si>
    <r>
      <t>Valore massimo Kreg</t>
    </r>
    <r>
      <rPr>
        <b/>
        <vertAlign val="subscript"/>
        <sz val="8"/>
        <color theme="1"/>
        <rFont val="Tahoma"/>
        <family val="2"/>
      </rPr>
      <t>2026</t>
    </r>
  </si>
  <si>
    <t>IN_PAR</t>
  </si>
  <si>
    <r>
      <t>Kreg</t>
    </r>
    <r>
      <rPr>
        <b/>
        <vertAlign val="subscript"/>
        <sz val="8"/>
        <color theme="1"/>
        <rFont val="Tahoma"/>
        <family val="2"/>
      </rPr>
      <t>2026</t>
    </r>
  </si>
  <si>
    <t>Kreg_26</t>
  </si>
  <si>
    <t>K_26</t>
  </si>
  <si>
    <r>
      <t>K</t>
    </r>
    <r>
      <rPr>
        <b/>
        <vertAlign val="subscript"/>
        <sz val="8"/>
        <color theme="1"/>
        <rFont val="Tahoma"/>
        <family val="2"/>
      </rPr>
      <t>2026</t>
    </r>
  </si>
  <si>
    <r>
      <t>Valore massimo K</t>
    </r>
    <r>
      <rPr>
        <b/>
        <vertAlign val="subscript"/>
        <sz val="8"/>
        <color theme="1"/>
        <rFont val="Tahoma"/>
        <family val="2"/>
      </rPr>
      <t>2026</t>
    </r>
  </si>
  <si>
    <r>
      <t>Valore massimo CRI</t>
    </r>
    <r>
      <rPr>
        <b/>
        <vertAlign val="subscript"/>
        <sz val="8"/>
        <color theme="1"/>
        <rFont val="Tahoma"/>
        <family val="2"/>
      </rPr>
      <t>2026</t>
    </r>
  </si>
  <si>
    <t>R_26</t>
  </si>
  <si>
    <r>
      <rPr>
        <sz val="8"/>
        <rFont val="Tahoma"/>
        <family val="2"/>
      </rPr>
      <t>Limite alla crescita delle tariffe –&gt;</t>
    </r>
    <r>
      <rPr>
        <b/>
        <sz val="8"/>
        <rFont val="Tahoma"/>
        <family val="2"/>
      </rPr>
      <t xml:space="preserve"> ρ</t>
    </r>
    <r>
      <rPr>
        <b/>
        <vertAlign val="subscript"/>
        <sz val="8"/>
        <rFont val="Tahoma"/>
        <family val="2"/>
      </rPr>
      <t>2026</t>
    </r>
  </si>
  <si>
    <t>RPI_27</t>
  </si>
  <si>
    <t>Xreg_27</t>
  </si>
  <si>
    <t>Xcom_27</t>
  </si>
  <si>
    <t>Kcom_27</t>
  </si>
  <si>
    <t>Kreg_27</t>
  </si>
  <si>
    <t>K_27</t>
  </si>
  <si>
    <t>R_27</t>
  </si>
  <si>
    <r>
      <t>rpi</t>
    </r>
    <r>
      <rPr>
        <i/>
        <vertAlign val="subscript"/>
        <sz val="8"/>
        <rFont val="Tahoma"/>
        <family val="2"/>
      </rPr>
      <t>2027</t>
    </r>
  </si>
  <si>
    <r>
      <t>Range Xreg</t>
    </r>
    <r>
      <rPr>
        <b/>
        <vertAlign val="subscript"/>
        <sz val="8"/>
        <color theme="1"/>
        <rFont val="Tahoma"/>
        <family val="2"/>
      </rPr>
      <t>2027</t>
    </r>
  </si>
  <si>
    <r>
      <t>Xreg</t>
    </r>
    <r>
      <rPr>
        <b/>
        <vertAlign val="subscript"/>
        <sz val="8"/>
        <color theme="1"/>
        <rFont val="Tahoma"/>
        <family val="2"/>
      </rPr>
      <t>2027</t>
    </r>
  </si>
  <si>
    <r>
      <t>Xcom</t>
    </r>
    <r>
      <rPr>
        <b/>
        <vertAlign val="subscript"/>
        <sz val="8"/>
        <color theme="1"/>
        <rFont val="Tahoma"/>
        <family val="2"/>
      </rPr>
      <t>2027</t>
    </r>
  </si>
  <si>
    <r>
      <t>Valore massimo Kcom</t>
    </r>
    <r>
      <rPr>
        <b/>
        <vertAlign val="subscript"/>
        <sz val="8"/>
        <color theme="1"/>
        <rFont val="Tahoma"/>
        <family val="2"/>
      </rPr>
      <t>2027</t>
    </r>
  </si>
  <si>
    <r>
      <t>Kcom</t>
    </r>
    <r>
      <rPr>
        <b/>
        <vertAlign val="subscript"/>
        <sz val="8"/>
        <color theme="1"/>
        <rFont val="Tahoma"/>
        <family val="2"/>
      </rPr>
      <t>2027</t>
    </r>
  </si>
  <si>
    <r>
      <t>Valore massimo Kreg</t>
    </r>
    <r>
      <rPr>
        <b/>
        <vertAlign val="subscript"/>
        <sz val="8"/>
        <color theme="1"/>
        <rFont val="Tahoma"/>
        <family val="2"/>
      </rPr>
      <t>2027</t>
    </r>
  </si>
  <si>
    <r>
      <t>Kreg</t>
    </r>
    <r>
      <rPr>
        <b/>
        <vertAlign val="subscript"/>
        <sz val="8"/>
        <color theme="1"/>
        <rFont val="Tahoma"/>
        <family val="2"/>
      </rPr>
      <t>2027</t>
    </r>
  </si>
  <si>
    <r>
      <t>Valore massimo K</t>
    </r>
    <r>
      <rPr>
        <b/>
        <vertAlign val="subscript"/>
        <sz val="8"/>
        <color theme="1"/>
        <rFont val="Tahoma"/>
        <family val="2"/>
      </rPr>
      <t>2027</t>
    </r>
  </si>
  <si>
    <r>
      <t>K</t>
    </r>
    <r>
      <rPr>
        <b/>
        <vertAlign val="subscript"/>
        <sz val="8"/>
        <color theme="1"/>
        <rFont val="Tahoma"/>
        <family val="2"/>
      </rPr>
      <t>2027</t>
    </r>
  </si>
  <si>
    <r>
      <t>Valore massimo CRI</t>
    </r>
    <r>
      <rPr>
        <b/>
        <vertAlign val="subscript"/>
        <sz val="8"/>
        <color theme="1"/>
        <rFont val="Tahoma"/>
        <family val="2"/>
      </rPr>
      <t>2027</t>
    </r>
  </si>
  <si>
    <r>
      <rPr>
        <sz val="8"/>
        <rFont val="Tahoma"/>
        <family val="2"/>
      </rPr>
      <t>Limite alla crescita delle tariffe –&gt;</t>
    </r>
    <r>
      <rPr>
        <b/>
        <sz val="8"/>
        <rFont val="Tahoma"/>
        <family val="2"/>
      </rPr>
      <t xml:space="preserve"> ρ</t>
    </r>
    <r>
      <rPr>
        <b/>
        <vertAlign val="subscript"/>
        <sz val="8"/>
        <rFont val="Tahoma"/>
        <family val="2"/>
      </rPr>
      <t>2027</t>
    </r>
  </si>
  <si>
    <r>
      <t>rpi</t>
    </r>
    <r>
      <rPr>
        <i/>
        <vertAlign val="subscript"/>
        <sz val="8"/>
        <rFont val="Tahoma"/>
        <family val="2"/>
      </rPr>
      <t>2028</t>
    </r>
  </si>
  <si>
    <t>RPI_28</t>
  </si>
  <si>
    <t>Xreg_28</t>
  </si>
  <si>
    <t>Xcom_28</t>
  </si>
  <si>
    <t>X_28</t>
  </si>
  <si>
    <t>Kcom_28</t>
  </si>
  <si>
    <t>Kreg_28</t>
  </si>
  <si>
    <t>K_28</t>
  </si>
  <si>
    <t>CRI_28</t>
  </si>
  <si>
    <t>R_28</t>
  </si>
  <si>
    <r>
      <t>Range Xreg</t>
    </r>
    <r>
      <rPr>
        <b/>
        <vertAlign val="subscript"/>
        <sz val="8"/>
        <color theme="1"/>
        <rFont val="Tahoma"/>
        <family val="2"/>
      </rPr>
      <t>2028</t>
    </r>
  </si>
  <si>
    <r>
      <t>Xreg</t>
    </r>
    <r>
      <rPr>
        <b/>
        <vertAlign val="subscript"/>
        <sz val="8"/>
        <color theme="1"/>
        <rFont val="Tahoma"/>
        <family val="2"/>
      </rPr>
      <t>2028</t>
    </r>
  </si>
  <si>
    <r>
      <t>Xcom</t>
    </r>
    <r>
      <rPr>
        <b/>
        <vertAlign val="subscript"/>
        <sz val="8"/>
        <color theme="1"/>
        <rFont val="Tahoma"/>
        <family val="2"/>
      </rPr>
      <t>2028</t>
    </r>
  </si>
  <si>
    <r>
      <t>X</t>
    </r>
    <r>
      <rPr>
        <b/>
        <vertAlign val="subscript"/>
        <sz val="8"/>
        <color theme="1"/>
        <rFont val="Tahoma"/>
        <family val="2"/>
      </rPr>
      <t>2028</t>
    </r>
  </si>
  <si>
    <r>
      <t>Valore massimo Kcom</t>
    </r>
    <r>
      <rPr>
        <b/>
        <vertAlign val="subscript"/>
        <sz val="8"/>
        <color theme="1"/>
        <rFont val="Tahoma"/>
        <family val="2"/>
      </rPr>
      <t>2028</t>
    </r>
  </si>
  <si>
    <r>
      <t>Kcom</t>
    </r>
    <r>
      <rPr>
        <b/>
        <vertAlign val="subscript"/>
        <sz val="8"/>
        <color theme="1"/>
        <rFont val="Tahoma"/>
        <family val="2"/>
      </rPr>
      <t>2028</t>
    </r>
  </si>
  <si>
    <r>
      <t>Valore massimo Kreg</t>
    </r>
    <r>
      <rPr>
        <b/>
        <vertAlign val="subscript"/>
        <sz val="8"/>
        <color theme="1"/>
        <rFont val="Tahoma"/>
        <family val="2"/>
      </rPr>
      <t>2028</t>
    </r>
  </si>
  <si>
    <r>
      <t>Kreg</t>
    </r>
    <r>
      <rPr>
        <b/>
        <vertAlign val="subscript"/>
        <sz val="8"/>
        <color theme="1"/>
        <rFont val="Tahoma"/>
        <family val="2"/>
      </rPr>
      <t>2028</t>
    </r>
  </si>
  <si>
    <r>
      <t>Valore massimo K</t>
    </r>
    <r>
      <rPr>
        <b/>
        <vertAlign val="subscript"/>
        <sz val="8"/>
        <color theme="1"/>
        <rFont val="Tahoma"/>
        <family val="2"/>
      </rPr>
      <t>2028</t>
    </r>
  </si>
  <si>
    <r>
      <t>K</t>
    </r>
    <r>
      <rPr>
        <b/>
        <vertAlign val="subscript"/>
        <sz val="8"/>
        <color theme="1"/>
        <rFont val="Tahoma"/>
        <family val="2"/>
      </rPr>
      <t>2028</t>
    </r>
  </si>
  <si>
    <r>
      <t>Valore massimo CRI</t>
    </r>
    <r>
      <rPr>
        <b/>
        <vertAlign val="subscript"/>
        <sz val="8"/>
        <color theme="1"/>
        <rFont val="Tahoma"/>
        <family val="2"/>
      </rPr>
      <t>2028</t>
    </r>
  </si>
  <si>
    <r>
      <t>CRI</t>
    </r>
    <r>
      <rPr>
        <b/>
        <vertAlign val="subscript"/>
        <sz val="8"/>
        <color theme="1"/>
        <rFont val="Tahoma"/>
        <family val="2"/>
      </rPr>
      <t>2028</t>
    </r>
  </si>
  <si>
    <r>
      <rPr>
        <sz val="8"/>
        <rFont val="Tahoma"/>
        <family val="2"/>
      </rPr>
      <t>Limite alla crescita delle tariffe –&gt;</t>
    </r>
    <r>
      <rPr>
        <b/>
        <sz val="8"/>
        <rFont val="Tahoma"/>
        <family val="2"/>
      </rPr>
      <t xml:space="preserve"> ρ</t>
    </r>
    <r>
      <rPr>
        <b/>
        <vertAlign val="subscript"/>
        <sz val="8"/>
        <rFont val="Tahoma"/>
        <family val="2"/>
      </rPr>
      <t>2028</t>
    </r>
  </si>
  <si>
    <t>RPI_29</t>
  </si>
  <si>
    <t>Xreg_29</t>
  </si>
  <si>
    <t>Xcom_29</t>
  </si>
  <si>
    <t>X_29</t>
  </si>
  <si>
    <t>Kcom_29</t>
  </si>
  <si>
    <t>Kreg_29</t>
  </si>
  <si>
    <t>K_29</t>
  </si>
  <si>
    <t>CRI_29</t>
  </si>
  <si>
    <t>R_29</t>
  </si>
  <si>
    <r>
      <t>rpi</t>
    </r>
    <r>
      <rPr>
        <i/>
        <vertAlign val="subscript"/>
        <sz val="8"/>
        <rFont val="Tahoma"/>
        <family val="2"/>
      </rPr>
      <t>2029</t>
    </r>
  </si>
  <si>
    <r>
      <t>Range Xreg</t>
    </r>
    <r>
      <rPr>
        <b/>
        <vertAlign val="subscript"/>
        <sz val="8"/>
        <color theme="1"/>
        <rFont val="Tahoma"/>
        <family val="2"/>
      </rPr>
      <t>2029</t>
    </r>
  </si>
  <si>
    <r>
      <t>Xreg</t>
    </r>
    <r>
      <rPr>
        <b/>
        <vertAlign val="subscript"/>
        <sz val="8"/>
        <color theme="1"/>
        <rFont val="Tahoma"/>
        <family val="2"/>
      </rPr>
      <t>2029</t>
    </r>
  </si>
  <si>
    <r>
      <t>Xcom</t>
    </r>
    <r>
      <rPr>
        <b/>
        <vertAlign val="subscript"/>
        <sz val="8"/>
        <color theme="1"/>
        <rFont val="Tahoma"/>
        <family val="2"/>
      </rPr>
      <t>2029</t>
    </r>
  </si>
  <si>
    <r>
      <t>X</t>
    </r>
    <r>
      <rPr>
        <b/>
        <vertAlign val="subscript"/>
        <sz val="8"/>
        <color theme="1"/>
        <rFont val="Tahoma"/>
        <family val="2"/>
      </rPr>
      <t>2029</t>
    </r>
  </si>
  <si>
    <r>
      <t>Valore massimo Kcom</t>
    </r>
    <r>
      <rPr>
        <b/>
        <vertAlign val="subscript"/>
        <sz val="8"/>
        <color theme="1"/>
        <rFont val="Tahoma"/>
        <family val="2"/>
      </rPr>
      <t>2029</t>
    </r>
  </si>
  <si>
    <r>
      <t>Kcom</t>
    </r>
    <r>
      <rPr>
        <b/>
        <vertAlign val="subscript"/>
        <sz val="8"/>
        <color theme="1"/>
        <rFont val="Tahoma"/>
        <family val="2"/>
      </rPr>
      <t>2029</t>
    </r>
  </si>
  <si>
    <r>
      <t>Valore massimo Kreg</t>
    </r>
    <r>
      <rPr>
        <b/>
        <vertAlign val="subscript"/>
        <sz val="8"/>
        <color theme="1"/>
        <rFont val="Tahoma"/>
        <family val="2"/>
      </rPr>
      <t>2029</t>
    </r>
  </si>
  <si>
    <r>
      <t>Kreg</t>
    </r>
    <r>
      <rPr>
        <b/>
        <vertAlign val="subscript"/>
        <sz val="8"/>
        <color theme="1"/>
        <rFont val="Tahoma"/>
        <family val="2"/>
      </rPr>
      <t>2029</t>
    </r>
  </si>
  <si>
    <r>
      <t>Valore massimo K</t>
    </r>
    <r>
      <rPr>
        <b/>
        <vertAlign val="subscript"/>
        <sz val="8"/>
        <color theme="1"/>
        <rFont val="Tahoma"/>
        <family val="2"/>
      </rPr>
      <t>2029</t>
    </r>
  </si>
  <si>
    <r>
      <t>K</t>
    </r>
    <r>
      <rPr>
        <b/>
        <vertAlign val="subscript"/>
        <sz val="8"/>
        <color theme="1"/>
        <rFont val="Tahoma"/>
        <family val="2"/>
      </rPr>
      <t>2029</t>
    </r>
  </si>
  <si>
    <r>
      <t>Valore massimo CRI</t>
    </r>
    <r>
      <rPr>
        <b/>
        <vertAlign val="subscript"/>
        <sz val="8"/>
        <color theme="1"/>
        <rFont val="Tahoma"/>
        <family val="2"/>
      </rPr>
      <t>2029</t>
    </r>
  </si>
  <si>
    <r>
      <t>CRI</t>
    </r>
    <r>
      <rPr>
        <b/>
        <vertAlign val="subscript"/>
        <sz val="8"/>
        <color theme="1"/>
        <rFont val="Tahoma"/>
        <family val="2"/>
      </rPr>
      <t>2029</t>
    </r>
  </si>
  <si>
    <r>
      <rPr>
        <sz val="8"/>
        <rFont val="Tahoma"/>
        <family val="2"/>
      </rPr>
      <t>Limite alla crescita delle tariffe –&gt;</t>
    </r>
    <r>
      <rPr>
        <b/>
        <sz val="8"/>
        <rFont val="Tahoma"/>
        <family val="2"/>
      </rPr>
      <t xml:space="preserve"> ρ</t>
    </r>
    <r>
      <rPr>
        <b/>
        <vertAlign val="subscript"/>
        <sz val="8"/>
        <rFont val="Tahoma"/>
        <family val="2"/>
      </rPr>
      <t>2029</t>
    </r>
  </si>
  <si>
    <t>Parametri per il limite di crescita delle entrate tariffarie per singolo gestore</t>
  </si>
  <si>
    <t>Xreg_SG_GEST_26</t>
  </si>
  <si>
    <t>Xcom_SG_GEST_26</t>
  </si>
  <si>
    <t>Kcom_SG_GEST_26</t>
  </si>
  <si>
    <t>CRI_SG_GEST_26</t>
  </si>
  <si>
    <t>Xcom2026 Singolo Gestore Comune</t>
  </si>
  <si>
    <t>Kcom2026 Singolo Gestore Comune</t>
  </si>
  <si>
    <t>CRI2026 Singolo Gestore Comune</t>
  </si>
  <si>
    <t>Xreg_SG_COM_26</t>
  </si>
  <si>
    <t>Xcom_SG_COM_26</t>
  </si>
  <si>
    <t>Kcom_SG_COM_26</t>
  </si>
  <si>
    <t>CRI_SG_COM_26</t>
  </si>
  <si>
    <t>Kreg_SG_GEST_26</t>
  </si>
  <si>
    <t>Kreg_SG_COM_26</t>
  </si>
  <si>
    <t>Kreg2026 Singolo Gestore Comune</t>
  </si>
  <si>
    <t>Xreg2026 Singolo Gestore Comune</t>
  </si>
  <si>
    <t>Xreg_SG_GEST_27</t>
  </si>
  <si>
    <t>Xcom_SG_GEST_27</t>
  </si>
  <si>
    <t>Kcom_SG_GEST_27</t>
  </si>
  <si>
    <t>Kreg_SG_GEST_27</t>
  </si>
  <si>
    <t>CRI_SG_GEST_27</t>
  </si>
  <si>
    <t>Xreg_SG_COM_27</t>
  </si>
  <si>
    <t>Xreg2027 Singolo Gestore Comune</t>
  </si>
  <si>
    <t>Xcom_SG_COM_27</t>
  </si>
  <si>
    <t>Xcom2027 Singolo Gestore Comune</t>
  </si>
  <si>
    <t>Kcom_SG_COM_27</t>
  </si>
  <si>
    <t>Kcom2027 Singolo Gestore Comune</t>
  </si>
  <si>
    <t>Kreg_SG_COM_27</t>
  </si>
  <si>
    <t>Kreg2027 Singolo Gestore Comune</t>
  </si>
  <si>
    <t>CRI_SG_COM_27</t>
  </si>
  <si>
    <t>CRI2027 Singolo Gestore Comune</t>
  </si>
  <si>
    <t>Xreg_SG_GEST_28</t>
  </si>
  <si>
    <t>Xcom_SG_GEST_28</t>
  </si>
  <si>
    <t>Kcom_SG_GEST_28</t>
  </si>
  <si>
    <t>Kreg_SG_GEST_28</t>
  </si>
  <si>
    <t>CRI_SG_GEST_28</t>
  </si>
  <si>
    <t>Xreg_SG_COM_28</t>
  </si>
  <si>
    <t>Xreg2028 Singolo Gestore Comune</t>
  </si>
  <si>
    <t>Xcom_SG_COM_28</t>
  </si>
  <si>
    <t>Xcom2028 Singolo Gestore Comune</t>
  </si>
  <si>
    <t>Kcom_SG_COM_28</t>
  </si>
  <si>
    <t>Kcom2028 Singolo Gestore Comune</t>
  </si>
  <si>
    <t>Kreg_SG_COM_28</t>
  </si>
  <si>
    <t>Kreg2028 Singolo Gestore Comune</t>
  </si>
  <si>
    <t>CRI_SG_COM_28</t>
  </si>
  <si>
    <t>CRI2028 Singolo Gestore Comune</t>
  </si>
  <si>
    <t>Xreg_SG_GEST_29</t>
  </si>
  <si>
    <t>Xcom_SG_GEST_29</t>
  </si>
  <si>
    <t>Kcom_SG_GEST_29</t>
  </si>
  <si>
    <t>Kreg_SG_GEST_29</t>
  </si>
  <si>
    <t>CRI_SG_GEST_29</t>
  </si>
  <si>
    <t>Xreg_SG_COM_29</t>
  </si>
  <si>
    <t>Xreg2029 Singolo Gestore Comune</t>
  </si>
  <si>
    <t>Xcom_SG_COM_29</t>
  </si>
  <si>
    <t>Xcom2029 Singolo Gestore Comune</t>
  </si>
  <si>
    <t>Kcom_SG_COM_29</t>
  </si>
  <si>
    <t>Kcom2029 Singolo Gestore Comune</t>
  </si>
  <si>
    <t>Kreg_SG_COM_29</t>
  </si>
  <si>
    <t>Kreg2029 Singolo Gestore Comune</t>
  </si>
  <si>
    <t>CRI_SG_COM_29</t>
  </si>
  <si>
    <t>CRI2029 Singolo Gestore Comune</t>
  </si>
  <si>
    <r>
      <t>T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- Gestore</t>
    </r>
  </si>
  <si>
    <r>
      <t>T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- Comune</t>
    </r>
  </si>
  <si>
    <t>Xreg_POND_GEST_26</t>
  </si>
  <si>
    <t>Xcom_POND_GEST_26</t>
  </si>
  <si>
    <t>X_POND_26</t>
  </si>
  <si>
    <t>Kcom_POND_GEST_26</t>
  </si>
  <si>
    <t>Kreg_POND_GEST_26</t>
  </si>
  <si>
    <t>K_POND_26</t>
  </si>
  <si>
    <t>CRI_POND_GEST_26</t>
  </si>
  <si>
    <r>
      <t>Check T</t>
    </r>
    <r>
      <rPr>
        <i/>
        <vertAlign val="subscript"/>
        <sz val="8"/>
        <color theme="1"/>
        <rFont val="Tahoma"/>
        <family val="2"/>
      </rPr>
      <t>a-1</t>
    </r>
  </si>
  <si>
    <t>Check X</t>
  </si>
  <si>
    <t>Check K</t>
  </si>
  <si>
    <t>T_26_GEST_DEF</t>
  </si>
  <si>
    <t>T_26_COM_DEF</t>
  </si>
  <si>
    <r>
      <t>T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Gestore</t>
    </r>
  </si>
  <si>
    <r>
      <t>T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Comune</t>
    </r>
  </si>
  <si>
    <t>Xreg_POND_GEST_27</t>
  </si>
  <si>
    <t>Xcom_POND_GEST_27</t>
  </si>
  <si>
    <t>X_POND_27</t>
  </si>
  <si>
    <t>Kcom_POND_GEST_27</t>
  </si>
  <si>
    <t>Kreg_POND_GEST_27</t>
  </si>
  <si>
    <t>K_POND_27</t>
  </si>
  <si>
    <t>CRI_POND_GEST_27</t>
  </si>
  <si>
    <t>T_27_GEST_DEF</t>
  </si>
  <si>
    <t>T_27_COM_DEF</t>
  </si>
  <si>
    <t>Xreg_POND_GEST_28</t>
  </si>
  <si>
    <t>Xcom_POND_GEST_28</t>
  </si>
  <si>
    <t>X_POND_28</t>
  </si>
  <si>
    <t>Kcom_POND_GEST_28</t>
  </si>
  <si>
    <t>Kreg_POND_GEST_28</t>
  </si>
  <si>
    <t>K_POND_28</t>
  </si>
  <si>
    <t>CRI_POND_GEST_28</t>
  </si>
  <si>
    <t>T_28_GEST_DEF</t>
  </si>
  <si>
    <t>T_28_COM_DEF</t>
  </si>
  <si>
    <t>T_28_DEF</t>
  </si>
  <si>
    <r>
      <t>T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Gestore</t>
    </r>
  </si>
  <si>
    <r>
      <t>T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Comune</t>
    </r>
  </si>
  <si>
    <r>
      <t>T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Gestore</t>
    </r>
  </si>
  <si>
    <r>
      <t>T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Comune</t>
    </r>
  </si>
  <si>
    <r>
      <t>T</t>
    </r>
    <r>
      <rPr>
        <b/>
        <vertAlign val="subscript"/>
        <sz val="8"/>
        <color theme="1"/>
        <rFont val="Tahoma"/>
        <family val="2"/>
      </rPr>
      <t>2028</t>
    </r>
  </si>
  <si>
    <t>Xreg_POND_GEST_29</t>
  </si>
  <si>
    <t>Xcom_POND_GEST_29</t>
  </si>
  <si>
    <t>X_POND_29</t>
  </si>
  <si>
    <t>Kcom_POND_GEST_29</t>
  </si>
  <si>
    <t>Kreg_POND_GEST_29</t>
  </si>
  <si>
    <t>K_POND_29</t>
  </si>
  <si>
    <t>CRI_POND_GEST_29</t>
  </si>
  <si>
    <r>
      <rPr>
        <sz val="8"/>
        <rFont val="Tahoma"/>
        <family val="2"/>
      </rPr>
      <t>Limite alla crescita delle tariffe Singolo Gestore –&gt;</t>
    </r>
    <r>
      <rPr>
        <b/>
        <sz val="8"/>
        <rFont val="Tahoma"/>
        <family val="2"/>
      </rPr>
      <t xml:space="preserve"> ρ</t>
    </r>
    <r>
      <rPr>
        <b/>
        <vertAlign val="subscript"/>
        <sz val="8"/>
        <rFont val="Tahoma"/>
        <family val="2"/>
      </rPr>
      <t>2026</t>
    </r>
  </si>
  <si>
    <t>R_SG_26</t>
  </si>
  <si>
    <t>Check ρ</t>
  </si>
  <si>
    <t>R_SG_27</t>
  </si>
  <si>
    <r>
      <rPr>
        <sz val="8"/>
        <rFont val="Tahoma"/>
        <family val="2"/>
      </rPr>
      <t>Limite alla crescita delle tariffe Singolo Gestore –&gt;</t>
    </r>
    <r>
      <rPr>
        <b/>
        <sz val="8"/>
        <rFont val="Tahoma"/>
        <family val="2"/>
      </rPr>
      <t xml:space="preserve"> ρ</t>
    </r>
    <r>
      <rPr>
        <b/>
        <vertAlign val="subscript"/>
        <sz val="8"/>
        <rFont val="Tahoma"/>
        <family val="2"/>
      </rPr>
      <t>2027</t>
    </r>
  </si>
  <si>
    <t>R_SG_28</t>
  </si>
  <si>
    <r>
      <rPr>
        <sz val="8"/>
        <rFont val="Tahoma"/>
        <family val="2"/>
      </rPr>
      <t>Limite alla crescita delle tariffe Singolo Gestore –&gt;</t>
    </r>
    <r>
      <rPr>
        <b/>
        <sz val="8"/>
        <rFont val="Tahoma"/>
        <family val="2"/>
      </rPr>
      <t xml:space="preserve"> ρ</t>
    </r>
    <r>
      <rPr>
        <b/>
        <vertAlign val="subscript"/>
        <sz val="8"/>
        <rFont val="Tahoma"/>
        <family val="2"/>
      </rPr>
      <t>2028</t>
    </r>
  </si>
  <si>
    <t>Range Gamma1_28</t>
  </si>
  <si>
    <t>Range Gamma2_28</t>
  </si>
  <si>
    <t>Gamma1_28 scelto</t>
  </si>
  <si>
    <t>Gamma2_28 scelto</t>
  </si>
  <si>
    <t>Range Gamma1_29</t>
  </si>
  <si>
    <t>Range Gamma2_29</t>
  </si>
  <si>
    <t>Gamma1_29 scelto</t>
  </si>
  <si>
    <t>Gamma2_29 scelto</t>
  </si>
  <si>
    <t>Verifica range Gamma1_26 scelto</t>
  </si>
  <si>
    <t>Verifica range Gamma2_26 scelto</t>
  </si>
  <si>
    <t>Verifica range Gamma1_27 scelto</t>
  </si>
  <si>
    <t>Verifica range Gamma2_27 scelto</t>
  </si>
  <si>
    <t>Verifica range Gamma1_28 scelto</t>
  </si>
  <si>
    <t>Verifica range Gamma2_28 scelto</t>
  </si>
  <si>
    <t>Verifica range Gamma1_29 scelto</t>
  </si>
  <si>
    <t>Verifica range Gamma2_29 scelto</t>
  </si>
  <si>
    <t>Range X_28</t>
  </si>
  <si>
    <t>X_28 scelto</t>
  </si>
  <si>
    <t>Range X_29</t>
  </si>
  <si>
    <t>X_29 scelto</t>
  </si>
  <si>
    <t>Verifica range X_26 scelto</t>
  </si>
  <si>
    <t>Verifica range X_27 scelto</t>
  </si>
  <si>
    <t>Verifica range X_28 scelto</t>
  </si>
  <si>
    <t>Verifica range X_29 scelto</t>
  </si>
  <si>
    <r>
      <t>Eff</t>
    </r>
    <r>
      <rPr>
        <b/>
        <vertAlign val="subscript"/>
        <sz val="8"/>
        <color rgb="FFFF0000"/>
        <rFont val="Tahoma"/>
        <family val="2"/>
      </rPr>
      <t>RD_SC,si</t>
    </r>
    <r>
      <rPr>
        <b/>
        <sz val="8"/>
        <color rgb="FFFF0000"/>
        <rFont val="Tahoma"/>
        <family val="2"/>
      </rPr>
      <t xml:space="preserve"> </t>
    </r>
    <r>
      <rPr>
        <b/>
        <i/>
        <sz val="8"/>
        <color rgb="FFFF0000"/>
        <rFont val="Tahoma"/>
        <family val="2"/>
      </rPr>
      <t>(Art.3.4 RQTR)</t>
    </r>
  </si>
  <si>
    <t>Q_CONF_SC_SI_24</t>
  </si>
  <si>
    <t>Q_RD_SC_SI_24</t>
  </si>
  <si>
    <r>
      <t>QLT</t>
    </r>
    <r>
      <rPr>
        <b/>
        <vertAlign val="subscript"/>
        <sz val="8"/>
        <color rgb="FFFF0000"/>
        <rFont val="Tahoma"/>
        <family val="2"/>
      </rPr>
      <t>RD_SC,si</t>
    </r>
    <r>
      <rPr>
        <b/>
        <sz val="8"/>
        <color rgb="FFFF0000"/>
        <rFont val="Tahoma"/>
        <family val="2"/>
      </rPr>
      <t xml:space="preserve"> </t>
    </r>
    <r>
      <rPr>
        <b/>
        <i/>
        <sz val="8"/>
        <color rgb="FFFF0000"/>
        <rFont val="Tahoma"/>
        <family val="2"/>
      </rPr>
      <t>(Art.5.4 RQTR)</t>
    </r>
  </si>
  <si>
    <r>
      <rPr>
        <i/>
        <sz val="8"/>
        <color theme="1"/>
        <rFont val="Tahoma"/>
        <family val="2"/>
      </rPr>
      <t>Ricavi da SC e da mercato imballaggi -&gt;</t>
    </r>
    <r>
      <rPr>
        <b/>
        <i/>
        <sz val="8"/>
        <color theme="1"/>
        <rFont val="Tahoma"/>
        <family val="2"/>
      </rPr>
      <t xml:space="preserve"> AR</t>
    </r>
    <r>
      <rPr>
        <b/>
        <i/>
        <vertAlign val="subscript"/>
        <sz val="8"/>
        <color theme="1"/>
        <rFont val="Tahoma"/>
        <family val="2"/>
      </rPr>
      <t>AGG_24_SC,si</t>
    </r>
  </si>
  <si>
    <r>
      <rPr>
        <i/>
        <sz val="8"/>
        <color theme="1"/>
        <rFont val="Tahoma"/>
        <family val="2"/>
      </rPr>
      <t>Ricavi massimi teorici da SC e da mercato imballaggi -&gt;</t>
    </r>
    <r>
      <rPr>
        <b/>
        <i/>
        <sz val="8"/>
        <color theme="1"/>
        <rFont val="Tahoma"/>
        <family val="2"/>
      </rPr>
      <t xml:space="preserve"> AR</t>
    </r>
    <r>
      <rPr>
        <b/>
        <i/>
        <vertAlign val="subscript"/>
        <sz val="8"/>
        <color theme="1"/>
        <rFont val="Tahoma"/>
        <family val="2"/>
      </rPr>
      <t>AGG_max_24_SC,si</t>
    </r>
  </si>
  <si>
    <t>R1 e R2</t>
  </si>
  <si>
    <r>
      <t>Eff</t>
    </r>
    <r>
      <rPr>
        <b/>
        <vertAlign val="subscript"/>
        <sz val="8"/>
        <color theme="1"/>
        <rFont val="Tahoma"/>
        <family val="2"/>
      </rPr>
      <t>24_RD_SC,si</t>
    </r>
  </si>
  <si>
    <r>
      <t>QLT</t>
    </r>
    <r>
      <rPr>
        <b/>
        <vertAlign val="subscript"/>
        <sz val="8"/>
        <color theme="1"/>
        <rFont val="Tahoma"/>
        <family val="2"/>
      </rPr>
      <t>24_RD_SC,si</t>
    </r>
  </si>
  <si>
    <t>EFF_RD_SC_SI_24</t>
  </si>
  <si>
    <t>AR_MAX_AGG_SC_SI_24</t>
  </si>
  <si>
    <t>QLT_RD_SC_SI_24</t>
  </si>
  <si>
    <r>
      <t>R1</t>
    </r>
    <r>
      <rPr>
        <b/>
        <vertAlign val="subscript"/>
        <sz val="8"/>
        <color theme="1"/>
        <rFont val="Tahoma"/>
        <family val="2"/>
      </rPr>
      <t>26</t>
    </r>
    <r>
      <rPr>
        <b/>
        <sz val="8"/>
        <color theme="1"/>
        <rFont val="Tahoma"/>
        <family val="2"/>
      </rPr>
      <t xml:space="preserve"> Efficacia</t>
    </r>
    <r>
      <rPr>
        <b/>
        <vertAlign val="subscript"/>
        <sz val="8"/>
        <color theme="1"/>
        <rFont val="Tahoma"/>
        <family val="2"/>
      </rPr>
      <t>Avv_RIC_RD_SC_si</t>
    </r>
  </si>
  <si>
    <r>
      <t>R2 - EfficaciaAvv_RIC</t>
    </r>
    <r>
      <rPr>
        <b/>
        <vertAlign val="subscript"/>
        <sz val="8"/>
        <color rgb="FFFF0000"/>
        <rFont val="Tahoma"/>
        <family val="2"/>
      </rPr>
      <t>RD_FO</t>
    </r>
    <r>
      <rPr>
        <b/>
        <sz val="8"/>
        <color rgb="FFFF0000"/>
        <rFont val="Tahoma"/>
        <family val="2"/>
      </rPr>
      <t xml:space="preserve"> </t>
    </r>
    <r>
      <rPr>
        <b/>
        <i/>
        <sz val="8"/>
        <color rgb="FFFF0000"/>
        <rFont val="Tahoma"/>
        <family val="2"/>
      </rPr>
      <t>(Art.7 bis RQTR)</t>
    </r>
  </si>
  <si>
    <r>
      <t>R1 - EfficaciaAvv_RIC</t>
    </r>
    <r>
      <rPr>
        <b/>
        <vertAlign val="subscript"/>
        <sz val="8"/>
        <color rgb="FFFF0000"/>
        <rFont val="Tahoma"/>
        <family val="2"/>
      </rPr>
      <t>RD_SC</t>
    </r>
    <r>
      <rPr>
        <b/>
        <sz val="8"/>
        <color rgb="FFFF0000"/>
        <rFont val="Tahoma"/>
        <family val="2"/>
      </rPr>
      <t xml:space="preserve"> </t>
    </r>
    <r>
      <rPr>
        <b/>
        <i/>
        <sz val="8"/>
        <color rgb="FFFF0000"/>
        <rFont val="Tahoma"/>
        <family val="2"/>
      </rPr>
      <t>(Art.6 RQTR)</t>
    </r>
  </si>
  <si>
    <r>
      <rPr>
        <i/>
        <sz val="8"/>
        <color theme="1"/>
        <rFont val="Tahoma"/>
        <family val="2"/>
      </rPr>
      <t>Quantità conferita imballaggi -&gt;</t>
    </r>
    <r>
      <rPr>
        <b/>
        <i/>
        <sz val="8"/>
        <color theme="1"/>
        <rFont val="Tahoma"/>
        <family val="2"/>
      </rPr>
      <t xml:space="preserve"> Q</t>
    </r>
    <r>
      <rPr>
        <b/>
        <i/>
        <vertAlign val="subscript"/>
        <sz val="8"/>
        <color theme="1"/>
        <rFont val="Tahoma"/>
        <family val="2"/>
      </rPr>
      <t>24_conf_SC,si</t>
    </r>
  </si>
  <si>
    <r>
      <t xml:space="preserve">Quantità raccolta imballaggi -&gt; </t>
    </r>
    <r>
      <rPr>
        <b/>
        <i/>
        <sz val="8"/>
        <color theme="1"/>
        <rFont val="Tahoma"/>
        <family val="2"/>
      </rPr>
      <t>Q</t>
    </r>
    <r>
      <rPr>
        <b/>
        <i/>
        <vertAlign val="subscript"/>
        <sz val="8"/>
        <color theme="1"/>
        <rFont val="Tahoma"/>
        <family val="2"/>
      </rPr>
      <t>24_RD_SC,si</t>
    </r>
  </si>
  <si>
    <r>
      <t>R2</t>
    </r>
    <r>
      <rPr>
        <b/>
        <vertAlign val="subscript"/>
        <sz val="8"/>
        <color theme="1"/>
        <rFont val="Tahoma"/>
        <family val="2"/>
      </rPr>
      <t>26</t>
    </r>
    <r>
      <rPr>
        <b/>
        <sz val="8"/>
        <color theme="1"/>
        <rFont val="Tahoma"/>
        <family val="2"/>
      </rPr>
      <t xml:space="preserve"> Efficacia</t>
    </r>
    <r>
      <rPr>
        <b/>
        <vertAlign val="subscript"/>
        <sz val="8"/>
        <color theme="1"/>
        <rFont val="Tahoma"/>
        <family val="2"/>
      </rPr>
      <t>Avv_RIC_RD_FO</t>
    </r>
  </si>
  <si>
    <r>
      <t xml:space="preserve">Tipologia di rifiuto
</t>
    </r>
    <r>
      <rPr>
        <b/>
        <i/>
        <sz val="8"/>
        <color theme="8" tint="-0.249977111117893"/>
        <rFont val="Tahoma"/>
        <family val="2"/>
      </rPr>
      <t>[Rifiuto Urbano Residuo, Rifiuto Organico e Verde, Altro]</t>
    </r>
  </si>
  <si>
    <r>
      <t xml:space="preserve">Tipologia di Costo
</t>
    </r>
    <r>
      <rPr>
        <b/>
        <i/>
        <sz val="8"/>
        <color theme="8" tint="-0.249977111117893"/>
        <rFont val="Tahoma"/>
        <family val="2"/>
      </rPr>
      <t>[CTRmin, CTRaltro, CTSmin, CTRaltro]</t>
    </r>
  </si>
  <si>
    <r>
      <t xml:space="preserve">Anno
</t>
    </r>
    <r>
      <rPr>
        <b/>
        <i/>
        <sz val="8"/>
        <color theme="8" tint="-0.249977111117893"/>
        <rFont val="Tahoma"/>
        <family val="2"/>
      </rPr>
      <t>[2024, 2025]</t>
    </r>
  </si>
  <si>
    <t>Corrispettivo unitario
(€/t netto IVA) Cfr. c. 27.7 MTR-3</t>
  </si>
  <si>
    <t>Tipologia Impianto</t>
  </si>
  <si>
    <t>Compostaggio</t>
  </si>
  <si>
    <t>Digestione Anaerobica</t>
  </si>
  <si>
    <t>Integrato Aerobico/Anaerobico</t>
  </si>
  <si>
    <t>Incenerimento con recupero di energia R1</t>
  </si>
  <si>
    <t>Incenerimento senza recupero di energia D10</t>
  </si>
  <si>
    <t>TMB/TM</t>
  </si>
  <si>
    <t>Discarica</t>
  </si>
  <si>
    <t>Comune sede dell'impianto destinazione finale dei flussi in uscita da impianti intermedi</t>
  </si>
  <si>
    <t>Totale 2024</t>
  </si>
  <si>
    <t>Totale 2025</t>
  </si>
  <si>
    <t>CTR_MIN_RIC_GEST_24</t>
  </si>
  <si>
    <t>CTR_MIN_GEST_24</t>
  </si>
  <si>
    <t>CTR_MIN_RIC_COM_24</t>
  </si>
  <si>
    <t>CTR_MIN_COM_24</t>
  </si>
  <si>
    <t>CTS_MIN_RIC_GEST_24</t>
  </si>
  <si>
    <t>CTS_MIN_GEST_24</t>
  </si>
  <si>
    <t>CTS_MIN_RIC_COM_24</t>
  </si>
  <si>
    <t>CTS_MIN_COM_24</t>
  </si>
  <si>
    <t>CTR_MIN_RIC_GEST_25</t>
  </si>
  <si>
    <t>CTR_MIN_GEST_25</t>
  </si>
  <si>
    <t>CTR_MIN_RIC_COM_25</t>
  </si>
  <si>
    <t>CTR_MIN_COM_25</t>
  </si>
  <si>
    <t>CTS_MIN_RIC_GEST_25</t>
  </si>
  <si>
    <t>CTS_MIN_GEST_25</t>
  </si>
  <si>
    <t>CTS_MIN_RIC_COM_25</t>
  </si>
  <si>
    <t>CTS_MIN_COM_25</t>
  </si>
  <si>
    <r>
      <t xml:space="preserve">CTR 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min,riconosciuto</t>
    </r>
    <r>
      <rPr>
        <b/>
        <sz val="8"/>
        <color theme="1"/>
        <rFont val="Tahoma"/>
        <family val="2"/>
      </rPr>
      <t xml:space="preserve"> - Gestore</t>
    </r>
  </si>
  <si>
    <r>
      <t xml:space="preserve">CTR 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</t>
    </r>
    <r>
      <rPr>
        <b/>
        <sz val="8"/>
        <color theme="1"/>
        <rFont val="Tahoma"/>
        <family val="2"/>
      </rPr>
      <t xml:space="preserve"> - Gestore</t>
    </r>
  </si>
  <si>
    <r>
      <t xml:space="preserve">(CTR 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min,riconosciuto</t>
    </r>
    <r>
      <rPr>
        <b/>
        <sz val="8"/>
        <color theme="1"/>
        <rFont val="Tahoma"/>
        <family val="2"/>
      </rPr>
      <t xml:space="preserve"> - CTR 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</t>
    </r>
    <r>
      <rPr>
        <b/>
        <sz val="8"/>
        <color theme="1"/>
        <rFont val="Tahoma"/>
        <family val="2"/>
      </rPr>
      <t xml:space="preserve">) / CTR 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</t>
    </r>
    <r>
      <rPr>
        <b/>
        <sz val="8"/>
        <color theme="1"/>
        <rFont val="Tahoma"/>
        <family val="2"/>
      </rPr>
      <t xml:space="preserve"> - Gestore</t>
    </r>
  </si>
  <si>
    <r>
      <t xml:space="preserve">CTR 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min,riconosciuto</t>
    </r>
    <r>
      <rPr>
        <b/>
        <sz val="8"/>
        <color theme="1"/>
        <rFont val="Tahoma"/>
        <family val="2"/>
      </rPr>
      <t xml:space="preserve"> - Comune</t>
    </r>
  </si>
  <si>
    <r>
      <t xml:space="preserve">CTR 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</t>
    </r>
    <r>
      <rPr>
        <b/>
        <sz val="8"/>
        <color theme="1"/>
        <rFont val="Tahoma"/>
        <family val="2"/>
      </rPr>
      <t xml:space="preserve"> - Comune</t>
    </r>
  </si>
  <si>
    <r>
      <t xml:space="preserve">(CTR 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min,riconosciuto</t>
    </r>
    <r>
      <rPr>
        <b/>
        <sz val="8"/>
        <color theme="1"/>
        <rFont val="Tahoma"/>
        <family val="2"/>
      </rPr>
      <t xml:space="preserve"> - CTR 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</t>
    </r>
    <r>
      <rPr>
        <b/>
        <sz val="8"/>
        <color theme="1"/>
        <rFont val="Tahoma"/>
        <family val="2"/>
      </rPr>
      <t xml:space="preserve">) / CTR 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</t>
    </r>
    <r>
      <rPr>
        <b/>
        <sz val="8"/>
        <color theme="1"/>
        <rFont val="Tahoma"/>
        <family val="2"/>
      </rPr>
      <t xml:space="preserve"> - Comune</t>
    </r>
  </si>
  <si>
    <r>
      <t xml:space="preserve">CTS 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min,riconosciuto</t>
    </r>
    <r>
      <rPr>
        <b/>
        <sz val="8"/>
        <color theme="1"/>
        <rFont val="Tahoma"/>
        <family val="2"/>
      </rPr>
      <t xml:space="preserve"> - Gestore</t>
    </r>
  </si>
  <si>
    <r>
      <t xml:space="preserve">CTS 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</t>
    </r>
    <r>
      <rPr>
        <b/>
        <sz val="8"/>
        <color theme="1"/>
        <rFont val="Tahoma"/>
        <family val="2"/>
      </rPr>
      <t xml:space="preserve"> - Gestore</t>
    </r>
  </si>
  <si>
    <r>
      <t xml:space="preserve">(CTS 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min,riconosciuto</t>
    </r>
    <r>
      <rPr>
        <b/>
        <sz val="8"/>
        <color theme="1"/>
        <rFont val="Tahoma"/>
        <family val="2"/>
      </rPr>
      <t xml:space="preserve"> - CTS 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</t>
    </r>
    <r>
      <rPr>
        <b/>
        <sz val="8"/>
        <color theme="1"/>
        <rFont val="Tahoma"/>
        <family val="2"/>
      </rPr>
      <t xml:space="preserve">) / CTS 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</t>
    </r>
    <r>
      <rPr>
        <b/>
        <sz val="8"/>
        <color theme="1"/>
        <rFont val="Tahoma"/>
        <family val="2"/>
      </rPr>
      <t xml:space="preserve"> - Gestore</t>
    </r>
  </si>
  <si>
    <r>
      <t xml:space="preserve">CTS 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min,riconosciuto</t>
    </r>
    <r>
      <rPr>
        <b/>
        <sz val="8"/>
        <color theme="1"/>
        <rFont val="Tahoma"/>
        <family val="2"/>
      </rPr>
      <t xml:space="preserve"> - Comune</t>
    </r>
  </si>
  <si>
    <r>
      <t xml:space="preserve">(CTS 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min,riconosciuto</t>
    </r>
    <r>
      <rPr>
        <b/>
        <sz val="8"/>
        <color theme="1"/>
        <rFont val="Tahoma"/>
        <family val="2"/>
      </rPr>
      <t xml:space="preserve"> - CTS 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</t>
    </r>
    <r>
      <rPr>
        <b/>
        <sz val="8"/>
        <color theme="1"/>
        <rFont val="Tahoma"/>
        <family val="2"/>
      </rPr>
      <t xml:space="preserve">) / CTS 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</t>
    </r>
    <r>
      <rPr>
        <b/>
        <sz val="8"/>
        <color theme="1"/>
        <rFont val="Tahoma"/>
        <family val="2"/>
      </rPr>
      <t xml:space="preserve"> - Comune</t>
    </r>
  </si>
  <si>
    <r>
      <t xml:space="preserve">CTR </t>
    </r>
    <r>
      <rPr>
        <i/>
        <vertAlign val="subscript"/>
        <sz val="8"/>
        <color theme="1"/>
        <rFont val="Tahoma"/>
        <family val="2"/>
      </rPr>
      <t>2024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altri</t>
    </r>
    <r>
      <rPr>
        <i/>
        <sz val="8"/>
        <color theme="1"/>
        <rFont val="Tahoma"/>
        <family val="2"/>
      </rPr>
      <t xml:space="preserve"> - Gestore</t>
    </r>
  </si>
  <si>
    <t>RC_CTR_26_GEST</t>
  </si>
  <si>
    <t>RC_CTR_26_COM</t>
  </si>
  <si>
    <t>RC_CTS_26_GEST</t>
  </si>
  <si>
    <t>RC_CTS_26_COM</t>
  </si>
  <si>
    <t>REC_IMP_TV_26_GEST</t>
  </si>
  <si>
    <t>REC_IMP_TV_26_COM</t>
  </si>
  <si>
    <r>
      <t xml:space="preserve">CTR </t>
    </r>
    <r>
      <rPr>
        <i/>
        <vertAlign val="subscript"/>
        <sz val="8"/>
        <color theme="1"/>
        <rFont val="Tahoma"/>
        <family val="2"/>
      </rPr>
      <t>2024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altri</t>
    </r>
    <r>
      <rPr>
        <i/>
        <sz val="8"/>
        <color theme="1"/>
        <rFont val="Tahoma"/>
        <family val="2"/>
      </rPr>
      <t xml:space="preserve"> - Comune</t>
    </r>
  </si>
  <si>
    <t>RC_CTR_27_GEST</t>
  </si>
  <si>
    <t>RC_CTR_27_COM</t>
  </si>
  <si>
    <t>RC_CTS_27_GEST</t>
  </si>
  <si>
    <t>RC_CTS_27_COM</t>
  </si>
  <si>
    <t>REC_IMP_TV_27_GEST</t>
  </si>
  <si>
    <t>REC_IMP_TV_27_COM</t>
  </si>
  <si>
    <r>
      <t xml:space="preserve">CTR 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min,riconosciuto</t>
    </r>
    <r>
      <rPr>
        <b/>
        <sz val="8"/>
        <color theme="1"/>
        <rFont val="Tahoma"/>
        <family val="2"/>
      </rPr>
      <t xml:space="preserve"> - Gestore</t>
    </r>
  </si>
  <si>
    <r>
      <t xml:space="preserve">CTR 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</t>
    </r>
    <r>
      <rPr>
        <b/>
        <sz val="8"/>
        <color theme="1"/>
        <rFont val="Tahoma"/>
        <family val="2"/>
      </rPr>
      <t xml:space="preserve"> - Gestore</t>
    </r>
  </si>
  <si>
    <r>
      <t xml:space="preserve">(CTR 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min,riconosciuto</t>
    </r>
    <r>
      <rPr>
        <b/>
        <sz val="8"/>
        <color theme="1"/>
        <rFont val="Tahoma"/>
        <family val="2"/>
      </rPr>
      <t xml:space="preserve"> - CTR 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</t>
    </r>
    <r>
      <rPr>
        <b/>
        <sz val="8"/>
        <color theme="1"/>
        <rFont val="Tahoma"/>
        <family val="2"/>
      </rPr>
      <t xml:space="preserve">) / CTR 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</t>
    </r>
    <r>
      <rPr>
        <b/>
        <sz val="8"/>
        <color theme="1"/>
        <rFont val="Tahoma"/>
        <family val="2"/>
      </rPr>
      <t xml:space="preserve"> - Gestore</t>
    </r>
  </si>
  <si>
    <r>
      <t xml:space="preserve">CTR 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min,riconosciuto</t>
    </r>
    <r>
      <rPr>
        <b/>
        <sz val="8"/>
        <color theme="1"/>
        <rFont val="Tahoma"/>
        <family val="2"/>
      </rPr>
      <t xml:space="preserve"> - Comune</t>
    </r>
  </si>
  <si>
    <r>
      <t xml:space="preserve">CTR 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</t>
    </r>
    <r>
      <rPr>
        <b/>
        <sz val="8"/>
        <color theme="1"/>
        <rFont val="Tahoma"/>
        <family val="2"/>
      </rPr>
      <t xml:space="preserve"> - Comune</t>
    </r>
  </si>
  <si>
    <r>
      <t xml:space="preserve">(CTR 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min,riconosciuto</t>
    </r>
    <r>
      <rPr>
        <b/>
        <sz val="8"/>
        <color theme="1"/>
        <rFont val="Tahoma"/>
        <family val="2"/>
      </rPr>
      <t xml:space="preserve"> - CTR 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</t>
    </r>
    <r>
      <rPr>
        <b/>
        <sz val="8"/>
        <color theme="1"/>
        <rFont val="Tahoma"/>
        <family val="2"/>
      </rPr>
      <t xml:space="preserve">) / CTR 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</t>
    </r>
    <r>
      <rPr>
        <b/>
        <sz val="8"/>
        <color theme="1"/>
        <rFont val="Tahoma"/>
        <family val="2"/>
      </rPr>
      <t xml:space="preserve"> - Comune</t>
    </r>
  </si>
  <si>
    <r>
      <t xml:space="preserve">CTS 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min,riconosciuto</t>
    </r>
    <r>
      <rPr>
        <b/>
        <sz val="8"/>
        <color theme="1"/>
        <rFont val="Tahoma"/>
        <family val="2"/>
      </rPr>
      <t xml:space="preserve"> - Gestore</t>
    </r>
  </si>
  <si>
    <r>
      <t xml:space="preserve">CTS 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</t>
    </r>
    <r>
      <rPr>
        <b/>
        <sz val="8"/>
        <color theme="1"/>
        <rFont val="Tahoma"/>
        <family val="2"/>
      </rPr>
      <t xml:space="preserve"> - Gestore</t>
    </r>
  </si>
  <si>
    <r>
      <t xml:space="preserve">(CTS 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min,riconosciuto</t>
    </r>
    <r>
      <rPr>
        <b/>
        <sz val="8"/>
        <color theme="1"/>
        <rFont val="Tahoma"/>
        <family val="2"/>
      </rPr>
      <t xml:space="preserve"> - CTS 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</t>
    </r>
    <r>
      <rPr>
        <b/>
        <sz val="8"/>
        <color theme="1"/>
        <rFont val="Tahoma"/>
        <family val="2"/>
      </rPr>
      <t xml:space="preserve">) / CTS 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</t>
    </r>
    <r>
      <rPr>
        <b/>
        <sz val="8"/>
        <color theme="1"/>
        <rFont val="Tahoma"/>
        <family val="2"/>
      </rPr>
      <t xml:space="preserve"> - Gestore</t>
    </r>
  </si>
  <si>
    <r>
      <t xml:space="preserve">CTS 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min,riconosciuto</t>
    </r>
    <r>
      <rPr>
        <b/>
        <sz val="8"/>
        <color theme="1"/>
        <rFont val="Tahoma"/>
        <family val="2"/>
      </rPr>
      <t xml:space="preserve"> - Comune</t>
    </r>
  </si>
  <si>
    <r>
      <t xml:space="preserve">CTS 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</t>
    </r>
    <r>
      <rPr>
        <b/>
        <sz val="8"/>
        <color theme="1"/>
        <rFont val="Tahoma"/>
        <family val="2"/>
      </rPr>
      <t xml:space="preserve"> - Comune</t>
    </r>
  </si>
  <si>
    <r>
      <t xml:space="preserve">(CTS 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min,riconosciuto</t>
    </r>
    <r>
      <rPr>
        <b/>
        <sz val="8"/>
        <color theme="1"/>
        <rFont val="Tahoma"/>
        <family val="2"/>
      </rPr>
      <t xml:space="preserve"> - CTS 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</t>
    </r>
    <r>
      <rPr>
        <b/>
        <sz val="8"/>
        <color theme="1"/>
        <rFont val="Tahoma"/>
        <family val="2"/>
      </rPr>
      <t xml:space="preserve">) / CTS 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min</t>
    </r>
    <r>
      <rPr>
        <b/>
        <sz val="8"/>
        <color theme="1"/>
        <rFont val="Tahoma"/>
        <family val="2"/>
      </rPr>
      <t xml:space="preserve"> - Comune</t>
    </r>
  </si>
  <si>
    <r>
      <t xml:space="preserve">CTR </t>
    </r>
    <r>
      <rPr>
        <i/>
        <vertAlign val="subscript"/>
        <sz val="8"/>
        <color theme="1"/>
        <rFont val="Tahoma"/>
        <family val="2"/>
      </rPr>
      <t>2025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altri</t>
    </r>
    <r>
      <rPr>
        <i/>
        <sz val="8"/>
        <color theme="1"/>
        <rFont val="Tahoma"/>
        <family val="2"/>
      </rPr>
      <t xml:space="preserve"> - Gestore</t>
    </r>
  </si>
  <si>
    <r>
      <t xml:space="preserve">RC </t>
    </r>
    <r>
      <rPr>
        <b/>
        <vertAlign val="subscript"/>
        <sz val="8"/>
        <color theme="1"/>
        <rFont val="Tahoma"/>
        <family val="2"/>
      </rPr>
      <t>CTR 2027</t>
    </r>
    <r>
      <rPr>
        <b/>
        <sz val="8"/>
        <color theme="1"/>
        <rFont val="Tahoma"/>
        <family val="2"/>
      </rPr>
      <t xml:space="preserve"> - Gestore</t>
    </r>
  </si>
  <si>
    <r>
      <t xml:space="preserve">RC </t>
    </r>
    <r>
      <rPr>
        <b/>
        <vertAlign val="subscript"/>
        <sz val="8"/>
        <color theme="1"/>
        <rFont val="Tahoma"/>
        <family val="2"/>
      </rPr>
      <t>CTR 2027</t>
    </r>
    <r>
      <rPr>
        <b/>
        <sz val="8"/>
        <color theme="1"/>
        <rFont val="Tahoma"/>
        <family val="2"/>
      </rPr>
      <t xml:space="preserve"> - Comune</t>
    </r>
  </si>
  <si>
    <r>
      <t xml:space="preserve">RC </t>
    </r>
    <r>
      <rPr>
        <b/>
        <vertAlign val="subscript"/>
        <sz val="8"/>
        <color theme="1"/>
        <rFont val="Tahoma"/>
        <family val="2"/>
      </rPr>
      <t>CTS 2027</t>
    </r>
    <r>
      <rPr>
        <b/>
        <sz val="8"/>
        <color theme="1"/>
        <rFont val="Tahoma"/>
        <family val="2"/>
      </rPr>
      <t xml:space="preserve"> - Gestore</t>
    </r>
  </si>
  <si>
    <r>
      <t xml:space="preserve">RC </t>
    </r>
    <r>
      <rPr>
        <b/>
        <vertAlign val="subscript"/>
        <sz val="8"/>
        <color theme="1"/>
        <rFont val="Tahoma"/>
        <family val="2"/>
      </rPr>
      <t>CTS 2027</t>
    </r>
    <r>
      <rPr>
        <b/>
        <sz val="8"/>
        <color theme="1"/>
        <rFont val="Tahoma"/>
        <family val="2"/>
      </rPr>
      <t xml:space="preserve"> - Comune</t>
    </r>
  </si>
  <si>
    <r>
      <t xml:space="preserve">RC </t>
    </r>
    <r>
      <rPr>
        <b/>
        <vertAlign val="subscript"/>
        <sz val="8"/>
        <color theme="1"/>
        <rFont val="Tahoma"/>
        <family val="2"/>
      </rPr>
      <t>CTR 2026</t>
    </r>
    <r>
      <rPr>
        <b/>
        <sz val="8"/>
        <color theme="1"/>
        <rFont val="Tahoma"/>
        <family val="2"/>
      </rPr>
      <t xml:space="preserve"> - Gestore</t>
    </r>
  </si>
  <si>
    <r>
      <t xml:space="preserve">RC </t>
    </r>
    <r>
      <rPr>
        <b/>
        <vertAlign val="subscript"/>
        <sz val="8"/>
        <color theme="1"/>
        <rFont val="Tahoma"/>
        <family val="2"/>
      </rPr>
      <t>CTR 2026</t>
    </r>
    <r>
      <rPr>
        <b/>
        <sz val="8"/>
        <color theme="1"/>
        <rFont val="Tahoma"/>
        <family val="2"/>
      </rPr>
      <t xml:space="preserve"> - Comune</t>
    </r>
  </si>
  <si>
    <r>
      <t xml:space="preserve">RC </t>
    </r>
    <r>
      <rPr>
        <b/>
        <vertAlign val="subscript"/>
        <sz val="8"/>
        <color theme="1"/>
        <rFont val="Tahoma"/>
        <family val="2"/>
      </rPr>
      <t>CTS 2026</t>
    </r>
    <r>
      <rPr>
        <b/>
        <sz val="8"/>
        <color theme="1"/>
        <rFont val="Tahoma"/>
        <family val="2"/>
      </rPr>
      <t xml:space="preserve"> - Gestore</t>
    </r>
  </si>
  <si>
    <r>
      <t xml:space="preserve">RC </t>
    </r>
    <r>
      <rPr>
        <b/>
        <vertAlign val="subscript"/>
        <sz val="8"/>
        <color theme="1"/>
        <rFont val="Tahoma"/>
        <family val="2"/>
      </rPr>
      <t>CTS 2026</t>
    </r>
    <r>
      <rPr>
        <b/>
        <sz val="8"/>
        <color theme="1"/>
        <rFont val="Tahoma"/>
        <family val="2"/>
      </rPr>
      <t xml:space="preserve"> - Comune</t>
    </r>
  </si>
  <si>
    <r>
      <t xml:space="preserve">CTR </t>
    </r>
    <r>
      <rPr>
        <i/>
        <vertAlign val="subscript"/>
        <sz val="8"/>
        <color theme="1"/>
        <rFont val="Tahoma"/>
        <family val="2"/>
      </rPr>
      <t>2025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altri</t>
    </r>
    <r>
      <rPr>
        <i/>
        <sz val="8"/>
        <color theme="1"/>
        <rFont val="Tahoma"/>
        <family val="2"/>
      </rPr>
      <t xml:space="preserve"> - Comune</t>
    </r>
  </si>
  <si>
    <r>
      <t xml:space="preserve">CTS </t>
    </r>
    <r>
      <rPr>
        <i/>
        <vertAlign val="subscript"/>
        <sz val="8"/>
        <color theme="1"/>
        <rFont val="Tahoma"/>
        <family val="2"/>
      </rPr>
      <t>2025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altri</t>
    </r>
    <r>
      <rPr>
        <i/>
        <sz val="8"/>
        <color theme="1"/>
        <rFont val="Tahoma"/>
        <family val="2"/>
      </rPr>
      <t xml:space="preserve"> - Gestore</t>
    </r>
  </si>
  <si>
    <r>
      <t xml:space="preserve">CTS </t>
    </r>
    <r>
      <rPr>
        <i/>
        <vertAlign val="subscript"/>
        <sz val="8"/>
        <color theme="1"/>
        <rFont val="Tahoma"/>
        <family val="2"/>
      </rPr>
      <t>2025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altri</t>
    </r>
    <r>
      <rPr>
        <i/>
        <sz val="8"/>
        <color theme="1"/>
        <rFont val="Tahoma"/>
        <family val="2"/>
      </rPr>
      <t xml:space="preserve"> - Comune</t>
    </r>
  </si>
  <si>
    <r>
      <t xml:space="preserve">CTR </t>
    </r>
    <r>
      <rPr>
        <i/>
        <vertAlign val="subscript"/>
        <sz val="8"/>
        <color theme="1"/>
        <rFont val="Tahoma"/>
        <family val="2"/>
      </rPr>
      <t>2024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min</t>
    </r>
    <r>
      <rPr>
        <i/>
        <sz val="8"/>
        <color theme="1"/>
        <rFont val="Tahoma"/>
        <family val="2"/>
      </rPr>
      <t xml:space="preserve"> - Gestore</t>
    </r>
  </si>
  <si>
    <t>CTR_ALTRI_GEST_24</t>
  </si>
  <si>
    <r>
      <t xml:space="preserve">Totale CTR 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B.7 - Gestore</t>
    </r>
  </si>
  <si>
    <t>CTR_ALTRI_COM_24</t>
  </si>
  <si>
    <r>
      <t xml:space="preserve">CTR </t>
    </r>
    <r>
      <rPr>
        <i/>
        <vertAlign val="subscript"/>
        <sz val="8"/>
        <color theme="1"/>
        <rFont val="Tahoma"/>
        <family val="2"/>
      </rPr>
      <t>2024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min</t>
    </r>
    <r>
      <rPr>
        <i/>
        <sz val="8"/>
        <color theme="1"/>
        <rFont val="Tahoma"/>
        <family val="2"/>
      </rPr>
      <t xml:space="preserve"> - Comune</t>
    </r>
  </si>
  <si>
    <r>
      <t xml:space="preserve">Totale CTR 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B.7 - Comune</t>
    </r>
  </si>
  <si>
    <r>
      <t xml:space="preserve">Totale CTS 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B.7 - Gestore</t>
    </r>
  </si>
  <si>
    <r>
      <t xml:space="preserve">Totale CTS 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B.7 - Comune</t>
    </r>
  </si>
  <si>
    <t>CTS_ALTRI_GEST_24</t>
  </si>
  <si>
    <r>
      <t xml:space="preserve">CTS </t>
    </r>
    <r>
      <rPr>
        <i/>
        <vertAlign val="subscript"/>
        <sz val="8"/>
        <color theme="1"/>
        <rFont val="Tahoma"/>
        <family val="2"/>
      </rPr>
      <t>2024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min</t>
    </r>
    <r>
      <rPr>
        <i/>
        <sz val="8"/>
        <color theme="1"/>
        <rFont val="Tahoma"/>
        <family val="2"/>
      </rPr>
      <t xml:space="preserve"> - Gestore</t>
    </r>
  </si>
  <si>
    <r>
      <t xml:space="preserve">CTS </t>
    </r>
    <r>
      <rPr>
        <i/>
        <vertAlign val="subscript"/>
        <sz val="8"/>
        <color theme="1"/>
        <rFont val="Tahoma"/>
        <family val="2"/>
      </rPr>
      <t>2024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altri</t>
    </r>
    <r>
      <rPr>
        <i/>
        <sz val="8"/>
        <color theme="1"/>
        <rFont val="Tahoma"/>
        <family val="2"/>
      </rPr>
      <t xml:space="preserve"> - Gestore</t>
    </r>
  </si>
  <si>
    <t>CTS_ALTRI_COM_24</t>
  </si>
  <si>
    <r>
      <t xml:space="preserve">CTS </t>
    </r>
    <r>
      <rPr>
        <i/>
        <vertAlign val="subscript"/>
        <sz val="8"/>
        <color theme="1"/>
        <rFont val="Tahoma"/>
        <family val="2"/>
      </rPr>
      <t>2024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min</t>
    </r>
    <r>
      <rPr>
        <i/>
        <sz val="8"/>
        <color theme="1"/>
        <rFont val="Tahoma"/>
        <family val="2"/>
      </rPr>
      <t xml:space="preserve"> - Comune</t>
    </r>
  </si>
  <si>
    <r>
      <t xml:space="preserve">CTS </t>
    </r>
    <r>
      <rPr>
        <i/>
        <vertAlign val="subscript"/>
        <sz val="8"/>
        <color theme="1"/>
        <rFont val="Tahoma"/>
        <family val="2"/>
      </rPr>
      <t>2024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altri</t>
    </r>
    <r>
      <rPr>
        <i/>
        <sz val="8"/>
        <color theme="1"/>
        <rFont val="Tahoma"/>
        <family val="2"/>
      </rPr>
      <t xml:space="preserve"> - Comune</t>
    </r>
  </si>
  <si>
    <r>
      <t xml:space="preserve">CTR </t>
    </r>
    <r>
      <rPr>
        <i/>
        <vertAlign val="subscript"/>
        <sz val="8"/>
        <color theme="1"/>
        <rFont val="Tahoma"/>
        <family val="2"/>
      </rPr>
      <t>2025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min</t>
    </r>
    <r>
      <rPr>
        <i/>
        <sz val="8"/>
        <color theme="1"/>
        <rFont val="Tahoma"/>
        <family val="2"/>
      </rPr>
      <t xml:space="preserve"> - Gestore</t>
    </r>
  </si>
  <si>
    <t>CTR_ALTRI_GEST_25</t>
  </si>
  <si>
    <r>
      <t xml:space="preserve">CTR </t>
    </r>
    <r>
      <rPr>
        <i/>
        <vertAlign val="subscript"/>
        <sz val="8"/>
        <color theme="1"/>
        <rFont val="Tahoma"/>
        <family val="2"/>
      </rPr>
      <t>2025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min</t>
    </r>
    <r>
      <rPr>
        <i/>
        <sz val="8"/>
        <color theme="1"/>
        <rFont val="Tahoma"/>
        <family val="2"/>
      </rPr>
      <t xml:space="preserve"> - Comune</t>
    </r>
  </si>
  <si>
    <t>CTR_ALTRI_COM_25</t>
  </si>
  <si>
    <t>CTS_ALTRI_GEST_25</t>
  </si>
  <si>
    <r>
      <t xml:space="preserve">CTS </t>
    </r>
    <r>
      <rPr>
        <i/>
        <vertAlign val="subscript"/>
        <sz val="8"/>
        <color theme="1"/>
        <rFont val="Tahoma"/>
        <family val="2"/>
      </rPr>
      <t>2025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min</t>
    </r>
    <r>
      <rPr>
        <i/>
        <sz val="8"/>
        <color theme="1"/>
        <rFont val="Tahoma"/>
        <family val="2"/>
      </rPr>
      <t xml:space="preserve"> - Gestore</t>
    </r>
  </si>
  <si>
    <t>CTS_ALTRI_COM_25</t>
  </si>
  <si>
    <r>
      <t xml:space="preserve">CTS </t>
    </r>
    <r>
      <rPr>
        <i/>
        <vertAlign val="subscript"/>
        <sz val="8"/>
        <color theme="1"/>
        <rFont val="Tahoma"/>
        <family val="2"/>
      </rPr>
      <t>2025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min</t>
    </r>
    <r>
      <rPr>
        <i/>
        <sz val="8"/>
        <color theme="1"/>
        <rFont val="Tahoma"/>
        <family val="2"/>
      </rPr>
      <t xml:space="preserve"> - Comune</t>
    </r>
  </si>
  <si>
    <r>
      <t>CONGUAGLIO CTS</t>
    </r>
    <r>
      <rPr>
        <b/>
        <vertAlign val="subscript"/>
        <sz val="8"/>
        <color rgb="FFFF0000"/>
        <rFont val="Tahoma"/>
        <family val="2"/>
      </rPr>
      <t>min</t>
    </r>
    <r>
      <rPr>
        <b/>
        <sz val="8"/>
        <color rgb="FFFF0000"/>
        <rFont val="Tahoma"/>
        <family val="2"/>
      </rPr>
      <t xml:space="preserve"> e CTR</t>
    </r>
    <r>
      <rPr>
        <b/>
        <vertAlign val="subscript"/>
        <sz val="8"/>
        <color rgb="FFFF0000"/>
        <rFont val="Tahoma"/>
        <family val="2"/>
      </rPr>
      <t>min</t>
    </r>
    <r>
      <rPr>
        <b/>
        <sz val="8"/>
        <color rgb="FFFF0000"/>
        <rFont val="Tahoma"/>
        <family val="2"/>
      </rPr>
      <t xml:space="preserve"> di cui all'art. 27.7 MTR-3</t>
    </r>
  </si>
  <si>
    <t>Dettaglio composizione CTS e CTR (Voce B7 CE)</t>
  </si>
  <si>
    <t>TABELLA Dettaglio flussi verso impianti minimi o aggiuntivi e relativi corrispettivi unitari</t>
  </si>
  <si>
    <t>IN_RC_ANT</t>
  </si>
  <si>
    <t>Controllo costi previsionali 2024-2025</t>
  </si>
  <si>
    <t>CQ</t>
  </si>
  <si>
    <t>CQ_TV_24</t>
  </si>
  <si>
    <t>CQ_TF_24</t>
  </si>
  <si>
    <t>CQ_24_GEST</t>
  </si>
  <si>
    <t>CQ_24_COM</t>
  </si>
  <si>
    <t>CQ_24</t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</si>
  <si>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</si>
  <si>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</si>
  <si>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TV,2024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</si>
  <si>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</si>
  <si>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</si>
  <si>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TF,2024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</si>
  <si>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</si>
  <si>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</si>
  <si>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2024</t>
    </r>
  </si>
  <si>
    <t>CONSCQ_TV_24_COM</t>
  </si>
  <si>
    <t>CONSCQ_TV_24</t>
  </si>
  <si>
    <t>CONSCQ_TF_24_COM</t>
  </si>
  <si>
    <t>CONSCQ_TF_24</t>
  </si>
  <si>
    <t>CONSCQ_24_GEST</t>
  </si>
  <si>
    <t>CONSCQ_24_COM</t>
  </si>
  <si>
    <t>CONSCQ_24</t>
  </si>
  <si>
    <t>REC_CQ_TV_26_GEST</t>
  </si>
  <si>
    <t>REC_CQ_TV_26_COM</t>
  </si>
  <si>
    <t>REC_CQ_TV_26</t>
  </si>
  <si>
    <t>REC_CQ_TF_26_GEST</t>
  </si>
  <si>
    <t>REC_CQ_TF_26_COM</t>
  </si>
  <si>
    <t>REC_CQ_TF_26</t>
  </si>
  <si>
    <t>REC_CQ_26_GEST</t>
  </si>
  <si>
    <t>REC_CQ_26_COM</t>
  </si>
  <si>
    <t>REC_CQ_26</t>
  </si>
  <si>
    <r>
      <t>CONSUNTIVO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</si>
  <si>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CONSUNTIVO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</si>
  <si>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CONSUNTIVO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TV,2024</t>
    </r>
  </si>
  <si>
    <r>
      <t>CONSUNTIVO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</si>
  <si>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CONSUNTIVO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</si>
  <si>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CONSUNTIVO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TF,2024</t>
    </r>
  </si>
  <si>
    <r>
      <t>CONSUNTIVO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</si>
  <si>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CONSUNTIVO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</si>
  <si>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CONSUNTIVO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2024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</si>
  <si>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</si>
  <si>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</si>
  <si>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2026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</si>
  <si>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</si>
  <si>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</si>
  <si>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2026</t>
    </r>
  </si>
  <si>
    <r>
      <t>Recupero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</si>
  <si>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</si>
  <si>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2026</t>
    </r>
  </si>
  <si>
    <t>CQ previsionali inseriti nel PEF 2024</t>
  </si>
  <si>
    <t>CQ previsionali inseriti nel PEF 2025</t>
  </si>
  <si>
    <t>CONSCOI_TV_25_GEST</t>
  </si>
  <si>
    <t>CONSCOI_TF_25_GEST</t>
  </si>
  <si>
    <t>CONSCQ_TV_25_GEST</t>
  </si>
  <si>
    <t>CONSCQ_TF_25_GEST</t>
  </si>
  <si>
    <t>CONSCO116_TV_25_GEST</t>
  </si>
  <si>
    <t>CONSCO116_TF_25_GEST</t>
  </si>
  <si>
    <t>CQ_TV_25</t>
  </si>
  <si>
    <t>CQ_TF_25</t>
  </si>
  <si>
    <t>CQ_25_GEST</t>
  </si>
  <si>
    <t>CQ_25_COM</t>
  </si>
  <si>
    <t>CQ_25</t>
  </si>
  <si>
    <t>CONSCQ_TV_25_COM</t>
  </si>
  <si>
    <t>CONSCQ_TV_25</t>
  </si>
  <si>
    <t>CONSCQ_TF_25_COM</t>
  </si>
  <si>
    <t>CONSCQ_TF_25</t>
  </si>
  <si>
    <t>CONSCQ_25_GEST</t>
  </si>
  <si>
    <t>CONSCQ_25_COM</t>
  </si>
  <si>
    <t>CONSCQ_25</t>
  </si>
  <si>
    <t>REC_CQ_TV_27_GEST</t>
  </si>
  <si>
    <t>REC_CQ_TV_27_COM</t>
  </si>
  <si>
    <t>REC_CQ_TV_27</t>
  </si>
  <si>
    <t>REC_CQ_TF_27_GEST</t>
  </si>
  <si>
    <t>REC_CQ_TF_27_COM</t>
  </si>
  <si>
    <t>REC_CQ_TF_27</t>
  </si>
  <si>
    <t>REC_CQ_27_GEST</t>
  </si>
  <si>
    <t>REC_CQ_27_COM</t>
  </si>
  <si>
    <t>REC_CQ_27</t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</si>
  <si>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</si>
  <si>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</si>
  <si>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TV,2025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</si>
  <si>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</si>
  <si>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</si>
  <si>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TF,2025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</si>
  <si>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</si>
  <si>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</si>
  <si>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2025</t>
    </r>
  </si>
  <si>
    <r>
      <t>CONSUNTIVO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</si>
  <si>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CONSUNTIVO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</si>
  <si>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CONSUNTIVO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TV,2025</t>
    </r>
  </si>
  <si>
    <r>
      <t>CONSUNTIVO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</si>
  <si>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CONSUNTIVO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</si>
  <si>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CONSUNTIVO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TF,2025</t>
    </r>
  </si>
  <si>
    <r>
      <t>CONSUNTIVO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</si>
  <si>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CONSUNTIVO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</si>
  <si>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CONSUNTIVO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2025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</si>
  <si>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</si>
  <si>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</si>
  <si>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2027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</si>
  <si>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</si>
  <si>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</si>
  <si>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2027</t>
    </r>
  </si>
  <si>
    <r>
      <t>Recupero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</si>
  <si>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</si>
  <si>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2027</t>
    </r>
  </si>
  <si>
    <r>
      <t>CO</t>
    </r>
    <r>
      <rPr>
        <b/>
        <vertAlign val="subscript"/>
        <sz val="8"/>
        <color theme="0"/>
        <rFont val="Tahoma"/>
        <family val="2"/>
      </rPr>
      <t>116</t>
    </r>
  </si>
  <si>
    <r>
      <t>CO</t>
    </r>
    <r>
      <rPr>
        <b/>
        <vertAlign val="superscript"/>
        <sz val="8"/>
        <color theme="0"/>
        <rFont val="Tahoma"/>
        <family val="2"/>
      </rPr>
      <t>exp</t>
    </r>
    <r>
      <rPr>
        <b/>
        <vertAlign val="subscript"/>
        <sz val="8"/>
        <color theme="0"/>
        <rFont val="Tahoma"/>
        <family val="2"/>
      </rPr>
      <t>116</t>
    </r>
    <r>
      <rPr>
        <b/>
        <sz val="8"/>
        <color theme="0"/>
        <rFont val="Tahoma"/>
        <family val="2"/>
      </rPr>
      <t xml:space="preserve"> previsionali inseriti nel PEF 2024</t>
    </r>
  </si>
  <si>
    <r>
      <t>CO</t>
    </r>
    <r>
      <rPr>
        <b/>
        <vertAlign val="superscript"/>
        <sz val="8"/>
        <color theme="0"/>
        <rFont val="Tahoma"/>
        <family val="2"/>
      </rPr>
      <t>exp</t>
    </r>
    <r>
      <rPr>
        <b/>
        <vertAlign val="subscript"/>
        <sz val="8"/>
        <color theme="0"/>
        <rFont val="Tahoma"/>
        <family val="2"/>
      </rPr>
      <t>116</t>
    </r>
    <r>
      <rPr>
        <b/>
        <sz val="8"/>
        <color theme="0"/>
        <rFont val="Tahoma"/>
        <family val="2"/>
      </rPr>
      <t xml:space="preserve"> previsionali inseriti nel PEF 2025</t>
    </r>
  </si>
  <si>
    <r>
      <t>CO</t>
    </r>
    <r>
      <rPr>
        <b/>
        <vertAlign val="superscript"/>
        <sz val="8"/>
        <color theme="0"/>
        <rFont val="Tahoma"/>
        <family val="2"/>
      </rPr>
      <t>exp</t>
    </r>
    <r>
      <rPr>
        <b/>
        <vertAlign val="subscript"/>
        <sz val="8"/>
        <color theme="0"/>
        <rFont val="Tahoma"/>
        <family val="2"/>
      </rPr>
      <t>116</t>
    </r>
    <r>
      <rPr>
        <b/>
        <sz val="8"/>
        <color theme="0"/>
        <rFont val="Tahoma"/>
        <family val="2"/>
      </rPr>
      <t xml:space="preserve"> effettivamente sostenuti nel 2024</t>
    </r>
  </si>
  <si>
    <r>
      <t>CO</t>
    </r>
    <r>
      <rPr>
        <b/>
        <vertAlign val="superscript"/>
        <sz val="8"/>
        <color theme="0"/>
        <rFont val="Tahoma"/>
        <family val="2"/>
      </rPr>
      <t>exp</t>
    </r>
    <r>
      <rPr>
        <b/>
        <vertAlign val="subscript"/>
        <sz val="8"/>
        <color theme="0"/>
        <rFont val="Tahoma"/>
        <family val="2"/>
      </rPr>
      <t>116</t>
    </r>
    <r>
      <rPr>
        <b/>
        <sz val="8"/>
        <color theme="0"/>
        <rFont val="Tahoma"/>
        <family val="2"/>
      </rPr>
      <t xml:space="preserve"> effettivamente sostenuti nel 2025</t>
    </r>
  </si>
  <si>
    <t>CO116_TV_24</t>
  </si>
  <si>
    <t>CO116_TF_24</t>
  </si>
  <si>
    <t>CO116_24_GEST</t>
  </si>
  <si>
    <t>CO116_24_COM</t>
  </si>
  <si>
    <t>CO116_24</t>
  </si>
  <si>
    <t>CONSCO116_TV_24_COM</t>
  </si>
  <si>
    <t>CONSCO116_TV_24</t>
  </si>
  <si>
    <t>CONSCO116_TF_24_COM</t>
  </si>
  <si>
    <t>CONSCO116_TF_24</t>
  </si>
  <si>
    <t>CONSCO116_24_GEST</t>
  </si>
  <si>
    <t>CONSCO116_24_COM</t>
  </si>
  <si>
    <t>CONSCO116_24</t>
  </si>
  <si>
    <t>REC_CO116_TV_26_GEST</t>
  </si>
  <si>
    <t>REC_CO116_TV_26_COM</t>
  </si>
  <si>
    <t>REC_CO116_TV_26</t>
  </si>
  <si>
    <t>REC_CO116_TF_26_GEST</t>
  </si>
  <si>
    <t>REC_CO116_TF_26_COM</t>
  </si>
  <si>
    <t>REC_CO116_TF_26</t>
  </si>
  <si>
    <t>REC_CO116_26_GEST</t>
  </si>
  <si>
    <t>REC_CO116_26_COM</t>
  </si>
  <si>
    <t>REC_CO116_26</t>
  </si>
  <si>
    <t>CO116_TV_25</t>
  </si>
  <si>
    <t>CO116_TF_25</t>
  </si>
  <si>
    <t>CO116_25_GEST</t>
  </si>
  <si>
    <t>CO116_25_COM</t>
  </si>
  <si>
    <t>CO116_25</t>
  </si>
  <si>
    <t>CONSCO116_TV_25_COM</t>
  </si>
  <si>
    <t>CONSCO116_TV_25</t>
  </si>
  <si>
    <t>CONSCO116_TF_25_COM</t>
  </si>
  <si>
    <t>CONSCO116_TF_25</t>
  </si>
  <si>
    <t>CONSCO116_25_GEST</t>
  </si>
  <si>
    <t>CONSCO116_25_COM</t>
  </si>
  <si>
    <t>CONSCO116_25</t>
  </si>
  <si>
    <t>REC_CO116_TV_27_GEST</t>
  </si>
  <si>
    <t>REC_CO116_TV_27_COM</t>
  </si>
  <si>
    <t>REC_CO116_TV_27</t>
  </si>
  <si>
    <t>REC_CO116_TF_27_GEST</t>
  </si>
  <si>
    <t>REC_CO116_TF_27_COM</t>
  </si>
  <si>
    <t>REC_CO116_TF_27</t>
  </si>
  <si>
    <t>REC_CO116_27_GEST</t>
  </si>
  <si>
    <t>REC_CO116_27_COM</t>
  </si>
  <si>
    <t>REC_CO116_27</t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</si>
  <si>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TV,2024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</si>
  <si>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TV,2024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</si>
  <si>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TV,2024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</si>
  <si>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TF,2024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</si>
  <si>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TF,2024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</si>
  <si>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TF,2024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</si>
  <si>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</si>
  <si>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</si>
  <si>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116 2024</t>
    </r>
  </si>
  <si>
    <r>
      <t>CONSUNTIVO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TV,2024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</si>
  <si>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CONSUNTIVO 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TV,2024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</si>
  <si>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CONSUNTIVO 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TV,2024</t>
    </r>
  </si>
  <si>
    <r>
      <t>CONSUNTIVO 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TF,2024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</si>
  <si>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CONSUNTIVO 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TF,2024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</si>
  <si>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CONSUNTIVO 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TF,2024</t>
    </r>
  </si>
  <si>
    <r>
      <t>CONSUNTIVO 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</si>
  <si>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CONSUNTIVO 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</si>
  <si>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CONSUNTIVO 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116 2024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</si>
  <si>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</si>
  <si>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</si>
  <si>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2026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</si>
  <si>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</si>
  <si>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</si>
  <si>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2026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</si>
  <si>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</si>
  <si>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</si>
  <si>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116 2026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</si>
  <si>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TV,2025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</si>
  <si>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TV,2025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</si>
  <si>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TV,2025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</si>
  <si>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TF,2025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</si>
  <si>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TF,2025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</si>
  <si>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TF,2025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</si>
  <si>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</si>
  <si>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</si>
  <si>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116 2025</t>
    </r>
  </si>
  <si>
    <r>
      <t>CONSUNTIVO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TV,2025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</si>
  <si>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CONSUNTIVO 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TV,2025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</si>
  <si>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CONSUNTIVO  COexp</t>
    </r>
    <r>
      <rPr>
        <b/>
        <vertAlign val="subscript"/>
        <sz val="8"/>
        <color theme="1"/>
        <rFont val="Tahoma"/>
        <family val="2"/>
      </rPr>
      <t>116 TV,2025</t>
    </r>
  </si>
  <si>
    <r>
      <t>CONSUNTIVO 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TF,2025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</si>
  <si>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CONSUNTIVO 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TF,2025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</si>
  <si>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CONSUNTIVO 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TF,2025</t>
    </r>
  </si>
  <si>
    <r>
      <t>CONSUNTIVO 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</si>
  <si>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CONSUNTIVO 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</si>
  <si>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CONSUNTIVO 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116 2025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</si>
  <si>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</si>
  <si>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</si>
  <si>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2027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</si>
  <si>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</si>
  <si>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</si>
  <si>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2027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</si>
  <si>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</si>
  <si>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</si>
  <si>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116 2027</t>
    </r>
  </si>
  <si>
    <t>Poste rettificative da considerare nel calcolo dell'indicatore H</t>
  </si>
  <si>
    <r>
      <t>% delle poste rettificative relative ai CQ attribuibile a CRD</t>
    </r>
    <r>
      <rPr>
        <b/>
        <vertAlign val="subscript"/>
        <sz val="8"/>
        <color theme="1"/>
        <rFont val="Tahoma"/>
        <family val="2"/>
      </rPr>
      <t>sc_si</t>
    </r>
  </si>
  <si>
    <r>
      <t>% poste rettificative relative ai CO116 attribuibile a CRD</t>
    </r>
    <r>
      <rPr>
        <b/>
        <vertAlign val="subscript"/>
        <sz val="8"/>
        <color theme="1"/>
        <rFont val="Tahoma"/>
        <family val="2"/>
      </rPr>
      <t>sc_si</t>
    </r>
  </si>
  <si>
    <t>IN_RC_CO_INC</t>
  </si>
  <si>
    <t>Controllo Costi Operativi Incentivanti</t>
  </si>
  <si>
    <t>Gestore che ha valorizzato i COI nelle annualità 2024-2025</t>
  </si>
  <si>
    <t>TABELLA per COI valorizzati nelle annualità 2024 e 2025</t>
  </si>
  <si>
    <t>Valori previsionali  inseriti nei 
PEF 2024-2025 agg</t>
  </si>
  <si>
    <t>Valori da bilancio di esercizio 2024-2025 - Costi effettivamente sostenuti</t>
  </si>
  <si>
    <r>
      <t>COI</t>
    </r>
    <r>
      <rPr>
        <b/>
        <vertAlign val="subscript"/>
        <sz val="8"/>
        <color theme="1"/>
        <rFont val="Tahoma"/>
        <family val="2"/>
      </rPr>
      <t>expTV,a</t>
    </r>
  </si>
  <si>
    <r>
      <t>COI</t>
    </r>
    <r>
      <rPr>
        <b/>
        <vertAlign val="subscript"/>
        <sz val="8"/>
        <color theme="1"/>
        <rFont val="Tahoma"/>
        <family val="2"/>
      </rPr>
      <t>expTF,a</t>
    </r>
  </si>
  <si>
    <r>
      <t>COI</t>
    </r>
    <r>
      <rPr>
        <b/>
        <vertAlign val="subscript"/>
        <sz val="8"/>
        <color theme="1"/>
        <rFont val="Tahoma"/>
        <family val="2"/>
      </rPr>
      <t>TV,a</t>
    </r>
  </si>
  <si>
    <r>
      <t>COI</t>
    </r>
    <r>
      <rPr>
        <b/>
        <vertAlign val="subscript"/>
        <sz val="8"/>
        <color theme="1"/>
        <rFont val="Tahoma"/>
        <family val="2"/>
      </rPr>
      <t>TF,a</t>
    </r>
  </si>
  <si>
    <t>Verifica del raggiungimento degli obiettivi</t>
  </si>
  <si>
    <r>
      <t xml:space="preserve">Anno PEF
</t>
    </r>
    <r>
      <rPr>
        <b/>
        <i/>
        <sz val="8"/>
        <color theme="8" tint="-0.249977111117893"/>
        <rFont val="Tahoma"/>
        <family val="2"/>
      </rPr>
      <t>[2024, 2025]</t>
    </r>
  </si>
  <si>
    <r>
      <t>obiettivo legato ai COI</t>
    </r>
    <r>
      <rPr>
        <b/>
        <vertAlign val="subscript"/>
        <sz val="8"/>
        <color theme="1"/>
        <rFont val="Tahoma"/>
        <family val="2"/>
      </rPr>
      <t>TV</t>
    </r>
    <r>
      <rPr>
        <b/>
        <sz val="8"/>
        <color theme="1"/>
        <rFont val="Tahoma"/>
        <family val="2"/>
      </rPr>
      <t xml:space="preserve"> raggiunto? (SI/NO)</t>
    </r>
  </si>
  <si>
    <r>
      <t>obiettivo legato ai COI</t>
    </r>
    <r>
      <rPr>
        <b/>
        <vertAlign val="subscript"/>
        <sz val="8"/>
        <color theme="1"/>
        <rFont val="Tahoma"/>
        <family val="2"/>
      </rPr>
      <t>TF</t>
    </r>
    <r>
      <rPr>
        <b/>
        <sz val="8"/>
        <color theme="1"/>
        <rFont val="Tahoma"/>
        <family val="2"/>
      </rPr>
      <t xml:space="preserve"> raggiunto? (SI/NO)</t>
    </r>
  </si>
  <si>
    <t>In caso di obiettivo non raggiunto, indicare la distanza tra obiettivo fissato e obiettivo raggiunto (in % &lt;100%)</t>
  </si>
  <si>
    <r>
      <t>COI</t>
    </r>
    <r>
      <rPr>
        <b/>
        <vertAlign val="subscript"/>
        <sz val="8"/>
        <color theme="1"/>
        <rFont val="Tahoma"/>
        <family val="2"/>
      </rPr>
      <t>TV</t>
    </r>
    <r>
      <rPr>
        <b/>
        <sz val="8"/>
        <color theme="1"/>
        <rFont val="Tahoma"/>
        <family val="2"/>
      </rPr>
      <t xml:space="preserve"> - Distanza obiettivo fissato e obiettivo raggiunto (in % &lt;100%)</t>
    </r>
  </si>
  <si>
    <r>
      <t>COI</t>
    </r>
    <r>
      <rPr>
        <b/>
        <vertAlign val="subscript"/>
        <sz val="8"/>
        <color theme="1"/>
        <rFont val="Tahoma"/>
        <family val="2"/>
      </rPr>
      <t>TF</t>
    </r>
    <r>
      <rPr>
        <b/>
        <sz val="8"/>
        <color theme="1"/>
        <rFont val="Tahoma"/>
        <family val="2"/>
      </rPr>
      <t xml:space="preserve"> - Distanza obiettivo fissato e obiettivo raggiunto (in % &lt;100%)</t>
    </r>
  </si>
  <si>
    <t>Calcolo Poste Rettificative (art. 8.3 MTR-3) da apportare ai costi riconosciuti 2024-2025 per il calcolo delle entrate tariffarie 2026-2029</t>
  </si>
  <si>
    <t>Totale Poste Rettificative COI</t>
  </si>
  <si>
    <r>
      <t>Posta rettificativa legata ai COI</t>
    </r>
    <r>
      <rPr>
        <b/>
        <vertAlign val="subscript"/>
        <sz val="8"/>
        <color theme="1"/>
        <rFont val="Tahoma"/>
        <family val="2"/>
      </rPr>
      <t xml:space="preserve">TV </t>
    </r>
  </si>
  <si>
    <r>
      <t>Posta rettificativa legata ai COI</t>
    </r>
    <r>
      <rPr>
        <b/>
        <vertAlign val="subscript"/>
        <sz val="8"/>
        <color theme="1"/>
        <rFont val="Tahoma"/>
        <family val="2"/>
      </rPr>
      <t>TF</t>
    </r>
  </si>
  <si>
    <t>Calcolo Conguagli (artt. 19 e 20 MTR-3)</t>
  </si>
  <si>
    <t>Componente a conguaglio a favore Utenza - quota variabile</t>
  </si>
  <si>
    <t>Componente a conguaglio a favore Utenza - quota fissa</t>
  </si>
  <si>
    <t>Totale Conguaglio COI</t>
  </si>
  <si>
    <t>COI inseriti nel PEF 2024</t>
  </si>
  <si>
    <t>CQ effettivamente sostenuti nel 2025</t>
  </si>
  <si>
    <t>CQ effettivamente sostenuti nel 2024</t>
  </si>
  <si>
    <t>COI effettivamente sostenuti nel 2024</t>
  </si>
  <si>
    <t>COI_TV_24</t>
  </si>
  <si>
    <t>COI_TF_24</t>
  </si>
  <si>
    <t>COI_24_GEST</t>
  </si>
  <si>
    <t>COI_24_COM</t>
  </si>
  <si>
    <t>COI_24</t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</si>
  <si>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</si>
  <si>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</si>
  <si>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2024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</si>
  <si>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</si>
  <si>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</si>
  <si>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2024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</si>
  <si>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</si>
  <si>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</si>
  <si>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2024</t>
    </r>
  </si>
  <si>
    <t>CONSCOI_TV_24_COM</t>
  </si>
  <si>
    <t>CONSCOI_TV_24</t>
  </si>
  <si>
    <t>CONSCOI_TF_24_COM</t>
  </si>
  <si>
    <t>CONSCOI_TF_24</t>
  </si>
  <si>
    <t>CONSCOI_24_GEST</t>
  </si>
  <si>
    <t>CONSCOI_24_COM</t>
  </si>
  <si>
    <t>CONSCOI_24</t>
  </si>
  <si>
    <t>REC_COI_TV_26_GEST</t>
  </si>
  <si>
    <t>REC_COI_TV_26_COM</t>
  </si>
  <si>
    <t>REC_COI_TV_26</t>
  </si>
  <si>
    <t>REC_COI_TF_26_GEST</t>
  </si>
  <si>
    <t>REC_COI_TF_26_COM</t>
  </si>
  <si>
    <t>REC_COI_TF_26</t>
  </si>
  <si>
    <t>REC_COI_26_GEST</t>
  </si>
  <si>
    <t>REC_COI_26_COM</t>
  </si>
  <si>
    <t>REC_COI_26</t>
  </si>
  <si>
    <r>
      <t>CONSUNTIVO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</si>
  <si>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CONSUNTIVO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</si>
  <si>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CONSUNTIVO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2024</t>
    </r>
  </si>
  <si>
    <r>
      <t>CONSUNTIVO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</si>
  <si>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CONSUNTIVO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</si>
  <si>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CONSUNTIVO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2024</t>
    </r>
  </si>
  <si>
    <r>
      <t>CONSUNTIVO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</si>
  <si>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CONSUNTIVO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2024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</si>
  <si>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CONSUNTIVO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2024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</si>
  <si>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</si>
  <si>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</si>
  <si>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2026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</si>
  <si>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</si>
  <si>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</si>
  <si>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2026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</si>
  <si>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</si>
  <si>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</si>
  <si>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2026</t>
    </r>
  </si>
  <si>
    <t>COI_TV_25</t>
  </si>
  <si>
    <t>COI_TF_25</t>
  </si>
  <si>
    <t>COI_25_GEST</t>
  </si>
  <si>
    <t>COI_25_COM</t>
  </si>
  <si>
    <t>COI_25</t>
  </si>
  <si>
    <t>CONSCOI_TV_25_COM</t>
  </si>
  <si>
    <t>CONSCOI_TV_25</t>
  </si>
  <si>
    <t>CONSCOI_TF_25_COM</t>
  </si>
  <si>
    <t>CONSCOI_TF_25</t>
  </si>
  <si>
    <t>CONSCOI_25_GEST</t>
  </si>
  <si>
    <t>CONSCOI_25_COM</t>
  </si>
  <si>
    <t>CONSCOI_25</t>
  </si>
  <si>
    <t>REC_COI_TV_27_GEST</t>
  </si>
  <si>
    <t>REC_COI_TV_27_COM</t>
  </si>
  <si>
    <t>REC_COI_TV_27</t>
  </si>
  <si>
    <t>REC_COI_TF_27_GEST</t>
  </si>
  <si>
    <t>REC_COI_TF_27_COM</t>
  </si>
  <si>
    <t>REC_COI_TF_27</t>
  </si>
  <si>
    <t>REC_COI_27_GEST</t>
  </si>
  <si>
    <t>REC_COI_27_COM</t>
  </si>
  <si>
    <t>REC_COI_27</t>
  </si>
  <si>
    <t>COI inseriti nel PEF 2025</t>
  </si>
  <si>
    <t>COI effettivamente sostenuti nel 2025</t>
  </si>
  <si>
    <t>Conguaglio relativo ai COI inseriti nel PEF 2024</t>
  </si>
  <si>
    <t>Conguaglio relativo ai COI inseriti nel PEF 2025</t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</si>
  <si>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</si>
  <si>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</si>
  <si>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2025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</si>
  <si>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</si>
  <si>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</si>
  <si>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2025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</si>
  <si>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</si>
  <si>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</si>
  <si>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2025</t>
    </r>
  </si>
  <si>
    <r>
      <t>CONSUNTIVO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</si>
  <si>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CONSUNTIVO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</si>
  <si>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CONSUNTIVO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2025</t>
    </r>
  </si>
  <si>
    <r>
      <t>CONSUNTIVO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</si>
  <si>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CONSUNTIVO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</si>
  <si>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CONSUNTIVO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2025</t>
    </r>
  </si>
  <si>
    <r>
      <t>CONSUNTIVO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</si>
  <si>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CONSUNTIVO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2025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</si>
  <si>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CONSUNTIVO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2025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</si>
  <si>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</si>
  <si>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</si>
  <si>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2027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</si>
  <si>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</si>
  <si>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</si>
  <si>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2027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</si>
  <si>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</si>
  <si>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</si>
  <si>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2027</t>
    </r>
  </si>
  <si>
    <r>
      <t>% delle poste rettificative relative ai COI attribuibile a CRD</t>
    </r>
    <r>
      <rPr>
        <b/>
        <vertAlign val="subscript"/>
        <sz val="8"/>
        <color theme="1"/>
        <rFont val="Tahoma"/>
        <family val="2"/>
      </rPr>
      <t>sc_si</t>
    </r>
  </si>
  <si>
    <t>WACC utilizzato per l'aggiornamento delle predisipozioni tariffarie 2024-2025</t>
  </si>
  <si>
    <t>IN_RCwacc&amp;slic_GEST</t>
  </si>
  <si>
    <t>IN_RCwacc&amp;slic_COM</t>
  </si>
  <si>
    <t>WACC utilizzato per l'aggiornamento della predisipozione tariffaria 2024</t>
  </si>
  <si>
    <t>WACC utilizzato per l'aggiornamento della predisipozione tariffaria 2025</t>
  </si>
  <si>
    <t>2024-Agg.</t>
  </si>
  <si>
    <t>2025-Agg.</t>
  </si>
  <si>
    <t>CK 2024-2025 - Ricalcolo con coeffienti aggiornati come da Del. 7/2024/R/rif</t>
  </si>
  <si>
    <r>
      <t>WACC</t>
    </r>
    <r>
      <rPr>
        <vertAlign val="subscript"/>
        <sz val="8"/>
        <color theme="1"/>
        <rFont val="Tahoma"/>
        <family val="2"/>
      </rPr>
      <t>2024</t>
    </r>
    <r>
      <rPr>
        <sz val="8"/>
        <color theme="1"/>
        <rFont val="Tahoma"/>
        <family val="2"/>
      </rPr>
      <t xml:space="preserve"> - Post2018 - come da Del. 7/2024/R/rif</t>
    </r>
  </si>
  <si>
    <r>
      <t>WACC</t>
    </r>
    <r>
      <rPr>
        <vertAlign val="subscript"/>
        <sz val="8"/>
        <color theme="1"/>
        <rFont val="Tahoma"/>
        <family val="2"/>
      </rPr>
      <t>2024</t>
    </r>
    <r>
      <rPr>
        <sz val="8"/>
        <color theme="1"/>
        <rFont val="Tahoma"/>
        <family val="2"/>
      </rPr>
      <t xml:space="preserve"> - Ante2018 - come da Del. 7/2024/R/rif</t>
    </r>
  </si>
  <si>
    <r>
      <t xml:space="preserve">Costi d'uso del capitale ricalcolati -&gt; </t>
    </r>
    <r>
      <rPr>
        <b/>
        <sz val="8"/>
        <rFont val="Tahoma"/>
        <family val="2"/>
      </rPr>
      <t>CK</t>
    </r>
    <r>
      <rPr>
        <b/>
        <vertAlign val="subscript"/>
        <sz val="8"/>
        <rFont val="Tahoma"/>
        <family val="2"/>
      </rPr>
      <t>proprietari 2024</t>
    </r>
  </si>
  <si>
    <r>
      <t xml:space="preserve">Costi d'uso del capitale -&gt; </t>
    </r>
    <r>
      <rPr>
        <b/>
        <sz val="8"/>
        <rFont val="Tahoma"/>
        <family val="2"/>
      </rPr>
      <t>CK</t>
    </r>
    <r>
      <rPr>
        <b/>
        <vertAlign val="subscript"/>
        <sz val="8"/>
        <rFont val="Tahoma"/>
        <family val="2"/>
      </rPr>
      <t>proprietari 2025</t>
    </r>
  </si>
  <si>
    <r>
      <rPr>
        <b/>
        <sz val="8"/>
        <color rgb="FFFF0000"/>
        <rFont val="Tahoma"/>
        <family val="2"/>
      </rPr>
      <t xml:space="preserve">Il conguaglio del CK in virtù dell'aggiornamento dei coefficienti introdotti dalla Del. 7/2024/R/rif viene trattato come segue:
</t>
    </r>
    <r>
      <rPr>
        <sz val="8"/>
        <color rgb="FFFF0000"/>
        <rFont val="Tahoma"/>
        <family val="2"/>
      </rPr>
      <t xml:space="preserve">Differenza tra CK ricalcolato e CK di prima approvazione.
La base dati rimane la medesima, vengono unicamente cambiati i coefficienti .
Il risultato viene riportato nel foglio RC-TOT 
</t>
    </r>
  </si>
  <si>
    <t>R_26_GEST_CONG</t>
  </si>
  <si>
    <t>RLIC_26_GEST_CONG</t>
  </si>
  <si>
    <t>AMM_26_GEST_CONG</t>
  </si>
  <si>
    <t>CKPROP_26_GEST_CONG</t>
  </si>
  <si>
    <r>
      <t xml:space="preserve">Remunerazione del CIN conguaglio  –&gt; </t>
    </r>
    <r>
      <rPr>
        <b/>
        <sz val="8"/>
        <rFont val="Tahoma"/>
        <family val="2"/>
      </rPr>
      <t>R</t>
    </r>
    <r>
      <rPr>
        <b/>
        <vertAlign val="subscript"/>
        <sz val="8"/>
        <rFont val="Tahoma"/>
        <family val="2"/>
      </rPr>
      <t>2026</t>
    </r>
  </si>
  <si>
    <r>
      <t xml:space="preserve">Remunerazione del LIC conguaglio  –&gt; </t>
    </r>
    <r>
      <rPr>
        <b/>
        <sz val="8"/>
        <rFont val="Tahoma"/>
        <family val="2"/>
      </rPr>
      <t>R</t>
    </r>
    <r>
      <rPr>
        <b/>
        <vertAlign val="subscript"/>
        <sz val="8"/>
        <rFont val="Tahoma"/>
        <family val="2"/>
      </rPr>
      <t>LIC2026</t>
    </r>
  </si>
  <si>
    <r>
      <t xml:space="preserve">Ammortamenti e Canoni conguaglio –&gt; </t>
    </r>
    <r>
      <rPr>
        <b/>
        <sz val="8"/>
        <rFont val="Tahoma"/>
        <family val="2"/>
      </rPr>
      <t>Amm</t>
    </r>
    <r>
      <rPr>
        <b/>
        <vertAlign val="subscript"/>
        <sz val="8"/>
        <rFont val="Tahoma"/>
        <family val="2"/>
      </rPr>
      <t>2026</t>
    </r>
  </si>
  <si>
    <r>
      <t xml:space="preserve">Costi d'uso del capitale conguaglio -&gt; </t>
    </r>
    <r>
      <rPr>
        <b/>
        <sz val="8"/>
        <rFont val="Tahoma"/>
        <family val="2"/>
      </rPr>
      <t>CK</t>
    </r>
    <r>
      <rPr>
        <b/>
        <vertAlign val="subscript"/>
        <sz val="8"/>
        <rFont val="Tahoma"/>
        <family val="2"/>
      </rPr>
      <t>proprietari 2026</t>
    </r>
  </si>
  <si>
    <r>
      <t xml:space="preserve">Conguaglio </t>
    </r>
    <r>
      <rPr>
        <b/>
        <sz val="8"/>
        <rFont val="Tahoma"/>
        <family val="2"/>
      </rPr>
      <t>CK</t>
    </r>
    <r>
      <rPr>
        <b/>
        <vertAlign val="subscript"/>
        <sz val="8"/>
        <rFont val="Tahoma"/>
        <family val="2"/>
      </rPr>
      <t>2027</t>
    </r>
    <r>
      <rPr>
        <sz val="8"/>
        <rFont val="Tahoma"/>
        <family val="2"/>
      </rPr>
      <t xml:space="preserve"> </t>
    </r>
    <r>
      <rPr>
        <b/>
        <sz val="8"/>
        <rFont val="Tahoma"/>
        <family val="2"/>
      </rPr>
      <t>- Gestore</t>
    </r>
  </si>
  <si>
    <t>R_27_GEST_CONG</t>
  </si>
  <si>
    <t>RLIC_27_GEST_CONG</t>
  </si>
  <si>
    <t>AMM_27_GEST_CONG</t>
  </si>
  <si>
    <t>CKPROP_27_GEST_CONG</t>
  </si>
  <si>
    <t>CONG_CK_TF_27_GEST</t>
  </si>
  <si>
    <t>R_26_COM_CONG</t>
  </si>
  <si>
    <t>RLIC_26_COM_CONG</t>
  </si>
  <si>
    <t>AMM_26_COM_CONG</t>
  </si>
  <si>
    <t>CKPROP_26_COM_CONG</t>
  </si>
  <si>
    <t>CONG_CK_TF_26_COM</t>
  </si>
  <si>
    <t>R_27_COM_CONG</t>
  </si>
  <si>
    <t>RLIC_27_COM_CONG</t>
  </si>
  <si>
    <t>AMM_27_COM_CONG</t>
  </si>
  <si>
    <t>CKPROP_27_COM_CONG</t>
  </si>
  <si>
    <t>CONG_CK_TF_27_COM</t>
  </si>
  <si>
    <r>
      <t xml:space="preserve">Remunerazione del CIN conguaglio  –&gt; </t>
    </r>
    <r>
      <rPr>
        <b/>
        <sz val="8"/>
        <rFont val="Tahoma"/>
        <family val="2"/>
      </rPr>
      <t>R</t>
    </r>
    <r>
      <rPr>
        <b/>
        <vertAlign val="subscript"/>
        <sz val="8"/>
        <rFont val="Tahoma"/>
        <family val="2"/>
      </rPr>
      <t>2027</t>
    </r>
  </si>
  <si>
    <r>
      <t xml:space="preserve">Remunerazione del LIC conguaglio  –&gt; </t>
    </r>
    <r>
      <rPr>
        <b/>
        <sz val="8"/>
        <rFont val="Tahoma"/>
        <family val="2"/>
      </rPr>
      <t>R</t>
    </r>
    <r>
      <rPr>
        <b/>
        <vertAlign val="subscript"/>
        <sz val="8"/>
        <rFont val="Tahoma"/>
        <family val="2"/>
      </rPr>
      <t>LIC2027</t>
    </r>
  </si>
  <si>
    <r>
      <t xml:space="preserve">Ammortamenti e Canoni conguaglio –&gt; </t>
    </r>
    <r>
      <rPr>
        <b/>
        <sz val="8"/>
        <rFont val="Tahoma"/>
        <family val="2"/>
      </rPr>
      <t>Amm</t>
    </r>
    <r>
      <rPr>
        <b/>
        <vertAlign val="subscript"/>
        <sz val="8"/>
        <rFont val="Tahoma"/>
        <family val="2"/>
      </rPr>
      <t>2027</t>
    </r>
  </si>
  <si>
    <r>
      <t xml:space="preserve">Costi d'uso del capitale conguaglio -&gt; </t>
    </r>
    <r>
      <rPr>
        <b/>
        <sz val="8"/>
        <rFont val="Tahoma"/>
        <family val="2"/>
      </rPr>
      <t>CK</t>
    </r>
    <r>
      <rPr>
        <b/>
        <vertAlign val="subscript"/>
        <sz val="8"/>
        <rFont val="Tahoma"/>
        <family val="2"/>
      </rPr>
      <t>proprietari 2027</t>
    </r>
  </si>
  <si>
    <t>R_24_COM_PE</t>
  </si>
  <si>
    <t>RLIC_24_COM_PE</t>
  </si>
  <si>
    <t>AMM_24_COM_PE</t>
  </si>
  <si>
    <t>CKPROP_24_COM_PE</t>
  </si>
  <si>
    <t>R_24_COM_RIC</t>
  </si>
  <si>
    <t>RLIC_24_COM_RIC</t>
  </si>
  <si>
    <t>AMM_24_COM_RIC</t>
  </si>
  <si>
    <t>CKPROP_24_COM_RIC</t>
  </si>
  <si>
    <t>R_25_COM_PE</t>
  </si>
  <si>
    <t>RLIC_25_COM_PE</t>
  </si>
  <si>
    <t>AMM_25_COM_PE</t>
  </si>
  <si>
    <t>CKPROP_25_COM_PE</t>
  </si>
  <si>
    <t>R_25_COM_RIC</t>
  </si>
  <si>
    <t>RLIC_25_COM_RIC</t>
  </si>
  <si>
    <t>AMM_25_COM_RIC</t>
  </si>
  <si>
    <t>CKPROP_25_COM_RIC</t>
  </si>
  <si>
    <t>DER_GEST_LEASING_GEST_24</t>
  </si>
  <si>
    <t>DER_GEST_LEASING_GEST_25</t>
  </si>
  <si>
    <t>CCN24_COM</t>
  </si>
  <si>
    <t>IMN24_COM</t>
  </si>
  <si>
    <t>IMN24_POST18_COM</t>
  </si>
  <si>
    <t>IMN24_ANTE18_COM</t>
  </si>
  <si>
    <t>LIC_COM_22_22</t>
  </si>
  <si>
    <t>LIC_COM_22_21</t>
  </si>
  <si>
    <t>LIC_COM_22_20</t>
  </si>
  <si>
    <t>LIC_COM_22_19</t>
  </si>
  <si>
    <t>PROP1_COM_22</t>
  </si>
  <si>
    <t>PROP2_COM_22</t>
  </si>
  <si>
    <t>PROP3_COM_22</t>
  </si>
  <si>
    <t>LEASING_COM_22</t>
  </si>
  <si>
    <t>DER_COM_LEASING_COM_24</t>
  </si>
  <si>
    <t>CCN25_COM</t>
  </si>
  <si>
    <t>IMN25_COM</t>
  </si>
  <si>
    <t>IMN25_POST18_COM</t>
  </si>
  <si>
    <t>IMN25_ANTE18_COM</t>
  </si>
  <si>
    <t>LIC_COM_23_23</t>
  </si>
  <si>
    <t>LIC_COM_23_22</t>
  </si>
  <si>
    <t>LIC_COM_23_21</t>
  </si>
  <si>
    <t>LIC_COM_23_20</t>
  </si>
  <si>
    <t>PROP1_COM_23</t>
  </si>
  <si>
    <t>PROP2_COM_23</t>
  </si>
  <si>
    <t>PROP3_COM_23</t>
  </si>
  <si>
    <t>LEASING_COM_23</t>
  </si>
  <si>
    <t>DER_COM_LEASING_COM_25</t>
  </si>
  <si>
    <r>
      <t xml:space="preserve">Conguaglio </t>
    </r>
    <r>
      <rPr>
        <b/>
        <sz val="8"/>
        <rFont val="Tahoma"/>
        <family val="2"/>
      </rPr>
      <t>CK</t>
    </r>
    <r>
      <rPr>
        <b/>
        <vertAlign val="subscript"/>
        <sz val="8"/>
        <rFont val="Tahoma"/>
        <family val="2"/>
      </rPr>
      <t>2026</t>
    </r>
    <r>
      <rPr>
        <sz val="8"/>
        <rFont val="Tahoma"/>
        <family val="2"/>
      </rPr>
      <t xml:space="preserve"> </t>
    </r>
    <r>
      <rPr>
        <b/>
        <sz val="8"/>
        <rFont val="Tahoma"/>
        <family val="2"/>
      </rPr>
      <t>- Comune</t>
    </r>
  </si>
  <si>
    <r>
      <t xml:space="preserve">Conguaglio </t>
    </r>
    <r>
      <rPr>
        <b/>
        <sz val="8"/>
        <rFont val="Tahoma"/>
        <family val="2"/>
      </rPr>
      <t>CK</t>
    </r>
    <r>
      <rPr>
        <b/>
        <vertAlign val="subscript"/>
        <sz val="8"/>
        <rFont val="Tahoma"/>
        <family val="2"/>
      </rPr>
      <t>2027</t>
    </r>
    <r>
      <rPr>
        <sz val="8"/>
        <rFont val="Tahoma"/>
        <family val="2"/>
      </rPr>
      <t xml:space="preserve"> </t>
    </r>
    <r>
      <rPr>
        <b/>
        <sz val="8"/>
        <rFont val="Tahoma"/>
        <family val="2"/>
      </rPr>
      <t>- Comune</t>
    </r>
  </si>
  <si>
    <t>IN_Coexp</t>
  </si>
  <si>
    <t>CO116_TV_28_GEST</t>
  </si>
  <si>
    <t>CO116_TV_28_COM</t>
  </si>
  <si>
    <t>CO116_TV_28</t>
  </si>
  <si>
    <t>CO116_TF_28_GEST</t>
  </si>
  <si>
    <t>CO116_TF_28_COM</t>
  </si>
  <si>
    <t>CO116_TF_28</t>
  </si>
  <si>
    <t>CO116_28_GEST</t>
  </si>
  <si>
    <t>CO116_28_COM</t>
  </si>
  <si>
    <t>CO116_28</t>
  </si>
  <si>
    <t>CO116_TV_29_GEST</t>
  </si>
  <si>
    <t>CO116_TV_29_COM</t>
  </si>
  <si>
    <t>CO116_TV_29</t>
  </si>
  <si>
    <t>CO116_TF_29_GEST</t>
  </si>
  <si>
    <t>CO116_TF_29_COM</t>
  </si>
  <si>
    <t>CO116_TF_29</t>
  </si>
  <si>
    <t>CO116_29_GEST</t>
  </si>
  <si>
    <t>CO116_29_COM</t>
  </si>
  <si>
    <t>CO116_29</t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</si>
  <si>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TV,2028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</si>
  <si>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TV,2028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</si>
  <si>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TV,2028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</si>
  <si>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TF,2028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</si>
  <si>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TF,2028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</si>
  <si>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</si>
  <si>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</si>
  <si>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116 2028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</si>
  <si>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TV,2029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</si>
  <si>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TV,2029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</si>
  <si>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TV,2029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</si>
  <si>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TF,2029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</si>
  <si>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TF,2029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</si>
  <si>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TF,2029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</si>
  <si>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</si>
  <si>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</si>
  <si>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116 2029</t>
    </r>
  </si>
  <si>
    <t>CQ_TV_29_GEST</t>
  </si>
  <si>
    <t>CQ_TV_29_COM</t>
  </si>
  <si>
    <t>CQ_TV_29</t>
  </si>
  <si>
    <t>CQ_TF_29_GEST</t>
  </si>
  <si>
    <t>CQ_TF_29_COM</t>
  </si>
  <si>
    <t>CQ_TF_29</t>
  </si>
  <si>
    <t>CQ_29_GEST</t>
  </si>
  <si>
    <t>CQ_29_COM</t>
  </si>
  <si>
    <t>CQ_29</t>
  </si>
  <si>
    <t>CQ_TV_28_GEST</t>
  </si>
  <si>
    <t>CQ_TV_28_COM</t>
  </si>
  <si>
    <t>CQ_TV_28</t>
  </si>
  <si>
    <t>CQ_TF_28_GEST</t>
  </si>
  <si>
    <t>CQ_TF_28_COM</t>
  </si>
  <si>
    <t>CQ_TF_28</t>
  </si>
  <si>
    <t>CQ_28_GEST</t>
  </si>
  <si>
    <t>CQ_28_COM</t>
  </si>
  <si>
    <t>CQ_28</t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</si>
  <si>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</si>
  <si>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</si>
  <si>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TV,2028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</si>
  <si>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</si>
  <si>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</si>
  <si>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TF,2028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</si>
  <si>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</si>
  <si>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</si>
  <si>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2028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</si>
  <si>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</si>
  <si>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</si>
  <si>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TV,2029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</si>
  <si>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</si>
  <si>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</si>
  <si>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TF,2029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</si>
  <si>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</si>
  <si>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</si>
  <si>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2029</t>
    </r>
  </si>
  <si>
    <r>
      <t>WACC</t>
    </r>
    <r>
      <rPr>
        <b/>
        <vertAlign val="subscript"/>
        <sz val="8"/>
        <color theme="1"/>
        <rFont val="Tahoma"/>
        <family val="2"/>
      </rPr>
      <t>RID</t>
    </r>
    <r>
      <rPr>
        <b/>
        <sz val="8"/>
        <color theme="1"/>
        <rFont val="Tahoma"/>
        <family val="2"/>
      </rPr>
      <t xml:space="preserve"> utilizzato per l'aggiornamento della predisipozione tariffaria 2024</t>
    </r>
  </si>
  <si>
    <r>
      <t>WACC</t>
    </r>
    <r>
      <rPr>
        <b/>
        <vertAlign val="subscript"/>
        <sz val="8"/>
        <color theme="1"/>
        <rFont val="Tahoma"/>
        <family val="2"/>
      </rPr>
      <t>RID</t>
    </r>
    <r>
      <rPr>
        <b/>
        <sz val="8"/>
        <color theme="1"/>
        <rFont val="Tahoma"/>
        <family val="2"/>
      </rPr>
      <t xml:space="preserve"> utilizzato per l'aggiornamento della predisipozione tariffaria 2025</t>
    </r>
  </si>
  <si>
    <r>
      <t>KD</t>
    </r>
    <r>
      <rPr>
        <b/>
        <vertAlign val="subscript"/>
        <sz val="8"/>
        <color theme="1"/>
        <rFont val="Tahoma"/>
        <family val="2"/>
      </rPr>
      <t>real</t>
    </r>
    <r>
      <rPr>
        <b/>
        <sz val="8"/>
        <color theme="1"/>
        <rFont val="Tahoma"/>
        <family val="2"/>
      </rPr>
      <t xml:space="preserve"> utilizzato per l'aggiornamento della predisipozione tariffaria 2024</t>
    </r>
  </si>
  <si>
    <r>
      <t>KDr</t>
    </r>
    <r>
      <rPr>
        <b/>
        <vertAlign val="subscript"/>
        <sz val="8"/>
        <color theme="1"/>
        <rFont val="Tahoma"/>
        <family val="2"/>
      </rPr>
      <t>eal</t>
    </r>
    <r>
      <rPr>
        <b/>
        <sz val="8"/>
        <color theme="1"/>
        <rFont val="Tahoma"/>
        <family val="2"/>
      </rPr>
      <t xml:space="preserve"> utilizzato per l'aggiornamento della predisipozione tariffaria 2025</t>
    </r>
  </si>
  <si>
    <r>
      <t>CO</t>
    </r>
    <r>
      <rPr>
        <b/>
        <vertAlign val="superscript"/>
        <sz val="8"/>
        <color rgb="FFFF0000"/>
        <rFont val="Tahoma"/>
        <family val="2"/>
      </rPr>
      <t>ANT</t>
    </r>
  </si>
  <si>
    <t>COANT_TV_26_GEST</t>
  </si>
  <si>
    <t>COANT_TV_26_COM</t>
  </si>
  <si>
    <t>COANT_TV_26</t>
  </si>
  <si>
    <t>COANT_TF_26_GEST</t>
  </si>
  <si>
    <t>COANT_TF_26_COM</t>
  </si>
  <si>
    <t>COANT_TF_26</t>
  </si>
  <si>
    <t>COANT_26_GEST</t>
  </si>
  <si>
    <t>COANT_26_COM</t>
  </si>
  <si>
    <t>COANT_26</t>
  </si>
  <si>
    <t>COANT_TV_27_GEST</t>
  </si>
  <si>
    <t>COANT_TV_27_COM</t>
  </si>
  <si>
    <t>COANT_TV_27</t>
  </si>
  <si>
    <t>COANT_TF_27_GEST</t>
  </si>
  <si>
    <t>COANT_TF_27_COM</t>
  </si>
  <si>
    <t>COANT_TF_27</t>
  </si>
  <si>
    <t>COANT_27_GEST</t>
  </si>
  <si>
    <t>COANT_27_COM</t>
  </si>
  <si>
    <t>COANT_27</t>
  </si>
  <si>
    <t>COANT_TV_28_GEST</t>
  </si>
  <si>
    <t>COANT_TV_28_COM</t>
  </si>
  <si>
    <t>COANT_TV_28</t>
  </si>
  <si>
    <t>COANT_TF_28_GEST</t>
  </si>
  <si>
    <t>COANT_TF_28_COM</t>
  </si>
  <si>
    <t>COANT_TF_28</t>
  </si>
  <si>
    <t>COANT_28_GEST</t>
  </si>
  <si>
    <t>COANT_28_COM</t>
  </si>
  <si>
    <t>COANT_28</t>
  </si>
  <si>
    <t>COANT_TV_29_GEST</t>
  </si>
  <si>
    <t>COANT_TV_29_COM</t>
  </si>
  <si>
    <t>COANT_TV_29</t>
  </si>
  <si>
    <t>COANT_TF_29_GEST</t>
  </si>
  <si>
    <t>COANT_TF_29_COM</t>
  </si>
  <si>
    <t>COANT_TF_29</t>
  </si>
  <si>
    <t>COANT_29_GEST</t>
  </si>
  <si>
    <t>COANT_29_COM</t>
  </si>
  <si>
    <t>COANT_29</t>
  </si>
  <si>
    <r>
      <t>CO</t>
    </r>
    <r>
      <rPr>
        <b/>
        <vertAlign val="subscript"/>
        <sz val="8"/>
        <color theme="1"/>
        <rFont val="Tahoma"/>
        <family val="2"/>
      </rPr>
      <t>ANT TV,2026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</si>
  <si>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bscript"/>
        <sz val="8"/>
        <color theme="1"/>
        <rFont val="Tahoma"/>
        <family val="2"/>
      </rPr>
      <t>ANT TV,2026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</si>
  <si>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TV,2026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</si>
  <si>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TF,2026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</si>
  <si>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TF,2026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</si>
  <si>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TF,2026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</si>
  <si>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</si>
  <si>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</si>
  <si>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2026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</si>
  <si>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TV,2027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</si>
  <si>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TV,2027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</si>
  <si>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TV,2027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</si>
  <si>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TF,2027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</si>
  <si>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TF,2027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</si>
  <si>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TF,2027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</si>
  <si>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</si>
  <si>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</si>
  <si>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2027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</si>
  <si>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TV,2028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</si>
  <si>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TV,2028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</si>
  <si>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TV,2028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</si>
  <si>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TF,2028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</si>
  <si>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TF,2028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</si>
  <si>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TF,2028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</si>
  <si>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</si>
  <si>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</si>
  <si>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2028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</si>
  <si>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TV,2029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</si>
  <si>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TV,2029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</si>
  <si>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TV,2029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</si>
  <si>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TF,2029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</si>
  <si>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TF,2029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</si>
  <si>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TF,2029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</si>
  <si>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</si>
  <si>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</si>
  <si>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</t>
    </r>
    <r>
      <rPr>
        <b/>
        <vertAlign val="superscript"/>
        <sz val="8"/>
        <color theme="1"/>
        <rFont val="Tahoma"/>
        <family val="2"/>
      </rPr>
      <t>ANT</t>
    </r>
    <r>
      <rPr>
        <b/>
        <vertAlign val="subscript"/>
        <sz val="8"/>
        <color theme="1"/>
        <rFont val="Tahoma"/>
        <family val="2"/>
      </rPr>
      <t xml:space="preserve"> 2029</t>
    </r>
  </si>
  <si>
    <t>COnew_TV_26_GEST</t>
  </si>
  <si>
    <t>COnew_TV_26_COM</t>
  </si>
  <si>
    <t>COnew_TV_26</t>
  </si>
  <si>
    <t>COnew_TF_26_GEST</t>
  </si>
  <si>
    <t>COnew_TF_26_COM</t>
  </si>
  <si>
    <t>COnew_TF_26</t>
  </si>
  <si>
    <t>COnew_26_GEST</t>
  </si>
  <si>
    <t>COnew_26_COM</t>
  </si>
  <si>
    <t>COnew_26</t>
  </si>
  <si>
    <t>COnew_TV_27_GEST</t>
  </si>
  <si>
    <t>COnew_TV_27_COM</t>
  </si>
  <si>
    <t>COnew_TV_27</t>
  </si>
  <si>
    <t>COnew_TF_27_GEST</t>
  </si>
  <si>
    <t>COnew_TF_27_COM</t>
  </si>
  <si>
    <t>COnew_TF_27</t>
  </si>
  <si>
    <t>COnew_27_GEST</t>
  </si>
  <si>
    <t>COnew_27_COM</t>
  </si>
  <si>
    <t>COnew_27</t>
  </si>
  <si>
    <t>COnew_TV_28_GEST</t>
  </si>
  <si>
    <t>COnew_TV_28_COM</t>
  </si>
  <si>
    <t>COnew_TV_28</t>
  </si>
  <si>
    <t>COnew_TF_28_GEST</t>
  </si>
  <si>
    <t>COnew_TF_28_COM</t>
  </si>
  <si>
    <t>COnew_TF_28</t>
  </si>
  <si>
    <t>COnew_28_GEST</t>
  </si>
  <si>
    <t>COnew_28_COM</t>
  </si>
  <si>
    <t>COnew_28</t>
  </si>
  <si>
    <t>COnew_TV_29_GEST</t>
  </si>
  <si>
    <t>COnew_TV_29_COM</t>
  </si>
  <si>
    <t>COnew_TV_29</t>
  </si>
  <si>
    <t>COnew_TF_29_GEST</t>
  </si>
  <si>
    <t>COnew_TF_29_COM</t>
  </si>
  <si>
    <t>COnew_TF_29</t>
  </si>
  <si>
    <t>COnew_29_GEST</t>
  </si>
  <si>
    <t>COnew_29_COM</t>
  </si>
  <si>
    <t>COnew_29</t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</si>
  <si>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</si>
  <si>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</si>
  <si>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TV,2026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</si>
  <si>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</si>
  <si>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</si>
  <si>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TF,2026</t>
    </r>
  </si>
  <si>
    <r>
      <t>COnew</t>
    </r>
    <r>
      <rPr>
        <b/>
        <vertAlign val="superscript"/>
        <sz val="8"/>
        <color rgb="FFFF0000"/>
        <rFont val="Tahoma"/>
        <family val="2"/>
      </rPr>
      <t>exp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</si>
  <si>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</si>
  <si>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</si>
  <si>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2026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</si>
  <si>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</si>
  <si>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</si>
  <si>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TV,2027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</si>
  <si>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</si>
  <si>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</si>
  <si>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TF,2027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</si>
  <si>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</si>
  <si>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</si>
  <si>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2027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</si>
  <si>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</si>
  <si>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</si>
  <si>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TV,2028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</si>
  <si>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</si>
  <si>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</si>
  <si>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TF,2028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</si>
  <si>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</si>
  <si>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</si>
  <si>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2028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</si>
  <si>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</si>
  <si>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</si>
  <si>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TV,2029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</si>
  <si>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</si>
  <si>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</si>
  <si>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TF,2029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</si>
  <si>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</si>
  <si>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</si>
  <si>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2029</t>
    </r>
  </si>
  <si>
    <t>COI_TV_28_GEST</t>
  </si>
  <si>
    <t>COI_TV_28_COM</t>
  </si>
  <si>
    <t>COI_TV_28</t>
  </si>
  <si>
    <t>COI_TF_28_GEST</t>
  </si>
  <si>
    <t>COI_TF_28_COM</t>
  </si>
  <si>
    <t>COI_TF_28</t>
  </si>
  <si>
    <t>COI_28_GEST</t>
  </si>
  <si>
    <t>COI_28_COM</t>
  </si>
  <si>
    <t>COI_28</t>
  </si>
  <si>
    <t>COI_TV_29_GEST</t>
  </si>
  <si>
    <t>COI_TV_29_COM</t>
  </si>
  <si>
    <t>COI_TV_29</t>
  </si>
  <si>
    <t>COI_TF_29_GEST</t>
  </si>
  <si>
    <t>COI_TF_29_COM</t>
  </si>
  <si>
    <t>COI_TF_29</t>
  </si>
  <si>
    <t>COI_29_GEST</t>
  </si>
  <si>
    <t>COI_29_COM</t>
  </si>
  <si>
    <t>COI_29</t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</si>
  <si>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</si>
  <si>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</si>
  <si>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TV,2028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</si>
  <si>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</si>
  <si>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</si>
  <si>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TF,2028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</si>
  <si>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</si>
  <si>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</si>
  <si>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2028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</si>
  <si>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</si>
  <si>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</si>
  <si>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TV,2029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</si>
  <si>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</si>
  <si>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</si>
  <si>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TF,2029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</si>
  <si>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</si>
  <si>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</si>
  <si>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2029</t>
    </r>
  </si>
  <si>
    <t>IN_RC-T</t>
  </si>
  <si>
    <t>RCRET_TV_26_GEST</t>
  </si>
  <si>
    <t>RCRET_TV_26_COM</t>
  </si>
  <si>
    <t>RCRET_TV_26</t>
  </si>
  <si>
    <t>RCRET_TF_26_GEST</t>
  </si>
  <si>
    <t>RCRET_TF_26_COM</t>
  </si>
  <si>
    <t>RCRET_TF_26</t>
  </si>
  <si>
    <t>RCRET_26_GEST</t>
  </si>
  <si>
    <t>RCRET_26_COM</t>
  </si>
  <si>
    <t>RCRET_26</t>
  </si>
  <si>
    <t>RCRET_TV_27_GEST</t>
  </si>
  <si>
    <t>RCRET_TV_27_COM</t>
  </si>
  <si>
    <t>RCRET_TV_27</t>
  </si>
  <si>
    <t>RCRET_TF_27_GEST</t>
  </si>
  <si>
    <t>RCRET_TF_27_COM</t>
  </si>
  <si>
    <t>RCRET_TF_27</t>
  </si>
  <si>
    <t>RCRET_27_GEST</t>
  </si>
  <si>
    <t>RCRET_27_COM</t>
  </si>
  <si>
    <t>RCRET_27</t>
  </si>
  <si>
    <r>
      <t>RC</t>
    </r>
    <r>
      <rPr>
        <b/>
        <vertAlign val="subscript"/>
        <sz val="8"/>
        <color theme="1"/>
        <rFont val="Tahoma"/>
        <family val="2"/>
      </rPr>
      <t>RET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</si>
  <si>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>RET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</si>
  <si>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RET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2026</t>
    </r>
  </si>
  <si>
    <r>
      <t>RC</t>
    </r>
    <r>
      <rPr>
        <b/>
        <vertAlign val="subscript"/>
        <sz val="8"/>
        <color theme="1"/>
        <rFont val="Tahoma"/>
        <family val="2"/>
      </rPr>
      <t>RET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</si>
  <si>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>RET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</si>
  <si>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RET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2026</t>
    </r>
  </si>
  <si>
    <r>
      <t>RC</t>
    </r>
    <r>
      <rPr>
        <b/>
        <vertAlign val="subscript"/>
        <sz val="8"/>
        <color theme="1"/>
        <rFont val="Tahoma"/>
        <family val="2"/>
      </rPr>
      <t>RET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</si>
  <si>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>RET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</si>
  <si>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RET 2026</t>
    </r>
  </si>
  <si>
    <r>
      <t>RC</t>
    </r>
    <r>
      <rPr>
        <b/>
        <vertAlign val="subscript"/>
        <sz val="8"/>
        <color theme="1"/>
        <rFont val="Tahoma"/>
        <family val="2"/>
      </rPr>
      <t>RET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</si>
  <si>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>RET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</si>
  <si>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RET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2027</t>
    </r>
  </si>
  <si>
    <r>
      <t>RC</t>
    </r>
    <r>
      <rPr>
        <b/>
        <vertAlign val="subscript"/>
        <sz val="8"/>
        <color theme="1"/>
        <rFont val="Tahoma"/>
        <family val="2"/>
      </rPr>
      <t>RET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</si>
  <si>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>RET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</si>
  <si>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RET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2027</t>
    </r>
  </si>
  <si>
    <r>
      <t>RC</t>
    </r>
    <r>
      <rPr>
        <b/>
        <vertAlign val="subscript"/>
        <sz val="8"/>
        <color theme="1"/>
        <rFont val="Tahoma"/>
        <family val="2"/>
      </rPr>
      <t>RET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</si>
  <si>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>RET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</si>
  <si>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RET 2027</t>
    </r>
  </si>
  <si>
    <t>RCRET_TV_28_GEST</t>
  </si>
  <si>
    <t>RCRET_TV_28_COM</t>
  </si>
  <si>
    <t>RCRET_TV_28</t>
  </si>
  <si>
    <t>RCRET_TF_28_GEST</t>
  </si>
  <si>
    <t>RCRET_TF_28_COM</t>
  </si>
  <si>
    <t>RCRET_TF_28</t>
  </si>
  <si>
    <t>RCRET_28_GEST</t>
  </si>
  <si>
    <t>RCRET_28_COM</t>
  </si>
  <si>
    <t>RCRET_28</t>
  </si>
  <si>
    <t>RCRET_TV_29_GEST</t>
  </si>
  <si>
    <t>RCRET_TV_29_COM</t>
  </si>
  <si>
    <t>RCRET_TV_29</t>
  </si>
  <si>
    <t>RCRET_TF_29_GEST</t>
  </si>
  <si>
    <t>RCRET_TF_29_COM</t>
  </si>
  <si>
    <t>RCRET_TF_29</t>
  </si>
  <si>
    <t>RCRET_29_GEST</t>
  </si>
  <si>
    <t>RCRET_29_COM</t>
  </si>
  <si>
    <t>RCRET_29</t>
  </si>
  <si>
    <r>
      <t>RC</t>
    </r>
    <r>
      <rPr>
        <b/>
        <vertAlign val="subscript"/>
        <sz val="8"/>
        <color theme="1"/>
        <rFont val="Tahoma"/>
        <family val="2"/>
      </rPr>
      <t>RET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</si>
  <si>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>RET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</si>
  <si>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RET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2028</t>
    </r>
  </si>
  <si>
    <r>
      <t>RC</t>
    </r>
    <r>
      <rPr>
        <b/>
        <vertAlign val="subscript"/>
        <sz val="8"/>
        <color theme="1"/>
        <rFont val="Tahoma"/>
        <family val="2"/>
      </rPr>
      <t>RET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</si>
  <si>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>RET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</si>
  <si>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RET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2028</t>
    </r>
  </si>
  <si>
    <r>
      <t>RC</t>
    </r>
    <r>
      <rPr>
        <b/>
        <vertAlign val="subscript"/>
        <sz val="8"/>
        <color theme="1"/>
        <rFont val="Tahoma"/>
        <family val="2"/>
      </rPr>
      <t>RET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</si>
  <si>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>RET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</si>
  <si>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RET 2028</t>
    </r>
  </si>
  <si>
    <r>
      <t>RC</t>
    </r>
    <r>
      <rPr>
        <b/>
        <vertAlign val="subscript"/>
        <sz val="8"/>
        <color theme="1"/>
        <rFont val="Tahoma"/>
        <family val="2"/>
      </rPr>
      <t>RET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</si>
  <si>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>RET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</si>
  <si>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RET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2029</t>
    </r>
  </si>
  <si>
    <r>
      <t>RC</t>
    </r>
    <r>
      <rPr>
        <b/>
        <vertAlign val="subscript"/>
        <sz val="8"/>
        <color theme="1"/>
        <rFont val="Tahoma"/>
        <family val="2"/>
      </rPr>
      <t>RET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</si>
  <si>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>RET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</si>
  <si>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RET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2029</t>
    </r>
  </si>
  <si>
    <r>
      <t>RC</t>
    </r>
    <r>
      <rPr>
        <b/>
        <vertAlign val="subscript"/>
        <sz val="8"/>
        <color theme="1"/>
        <rFont val="Tahoma"/>
        <family val="2"/>
      </rPr>
      <t>RET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</si>
  <si>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>RET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</si>
  <si>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RET 2029</t>
    </r>
  </si>
  <si>
    <r>
      <t>Eventuali rettifiche stabilite dall'Autorità - RC</t>
    </r>
    <r>
      <rPr>
        <b/>
        <vertAlign val="subscript"/>
        <sz val="8"/>
        <color rgb="FFFF0000"/>
        <rFont val="Tahoma"/>
        <family val="2"/>
      </rPr>
      <t>RET</t>
    </r>
  </si>
  <si>
    <r>
      <t>Recupero scostamento tra CTS</t>
    </r>
    <r>
      <rPr>
        <b/>
        <sz val="8"/>
        <color rgb="FFFF0000"/>
        <rFont val="Calibri"/>
        <family val="2"/>
      </rPr>
      <t>Δ</t>
    </r>
    <r>
      <rPr>
        <b/>
        <vertAlign val="subscript"/>
        <sz val="8"/>
        <color rgb="FFFF0000"/>
        <rFont val="Tahoma"/>
        <family val="2"/>
      </rPr>
      <t>exp</t>
    </r>
    <r>
      <rPr>
        <b/>
        <sz val="8"/>
        <color rgb="FFFF0000"/>
        <rFont val="Tahoma"/>
        <family val="2"/>
      </rPr>
      <t xml:space="preserve"> e costi consuntivi  - RC</t>
    </r>
    <r>
      <rPr>
        <b/>
        <vertAlign val="subscript"/>
        <sz val="8"/>
        <color rgb="FFFF0000"/>
        <rFont val="Tahoma"/>
        <family val="2"/>
      </rPr>
      <t>SMAL</t>
    </r>
  </si>
  <si>
    <t>RCSMAL_TV_26_GEST</t>
  </si>
  <si>
    <t>RCSMAL_TV_26_COM</t>
  </si>
  <si>
    <t>RCSMAL_TV_26</t>
  </si>
  <si>
    <t>RCSMAL_TV_27_GEST</t>
  </si>
  <si>
    <t>RCSMAL_TV_27_COM</t>
  </si>
  <si>
    <t>RCSMAL_TV_27</t>
  </si>
  <si>
    <t>RCSMAL_TV_28_GEST</t>
  </si>
  <si>
    <t>RCSMAL_TV_28_COM</t>
  </si>
  <si>
    <t>RCSMAL_TV_28</t>
  </si>
  <si>
    <t>RCSMAL_TV_29_GEST</t>
  </si>
  <si>
    <t>RCSMAL_TV_29_COM</t>
  </si>
  <si>
    <t>RCSMAL_TV_29</t>
  </si>
  <si>
    <r>
      <t>RC</t>
    </r>
    <r>
      <rPr>
        <b/>
        <vertAlign val="subscript"/>
        <sz val="8"/>
        <color theme="1"/>
        <rFont val="Tahoma"/>
        <family val="2"/>
      </rPr>
      <t>SMAL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</si>
  <si>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>SMAL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</si>
  <si>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SMAL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2026</t>
    </r>
  </si>
  <si>
    <r>
      <t>RC</t>
    </r>
    <r>
      <rPr>
        <b/>
        <vertAlign val="subscript"/>
        <sz val="8"/>
        <color theme="1"/>
        <rFont val="Tahoma"/>
        <family val="2"/>
      </rPr>
      <t>SMAL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</si>
  <si>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>SMAL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</si>
  <si>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SMAL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2027</t>
    </r>
  </si>
  <si>
    <r>
      <t>RC</t>
    </r>
    <r>
      <rPr>
        <b/>
        <vertAlign val="subscript"/>
        <sz val="8"/>
        <color theme="1"/>
        <rFont val="Tahoma"/>
        <family val="2"/>
      </rPr>
      <t>SMAL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</si>
  <si>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>SMAL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</si>
  <si>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SMAL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2028</t>
    </r>
  </si>
  <si>
    <r>
      <t>RC</t>
    </r>
    <r>
      <rPr>
        <b/>
        <vertAlign val="subscript"/>
        <sz val="8"/>
        <color theme="1"/>
        <rFont val="Tahoma"/>
        <family val="2"/>
      </rPr>
      <t>SMAL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</si>
  <si>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>SMAL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</si>
  <si>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SMAL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2029</t>
    </r>
  </si>
  <si>
    <r>
      <t>CTS</t>
    </r>
    <r>
      <rPr>
        <b/>
        <sz val="8"/>
        <color rgb="FFFF0000"/>
        <rFont val="Calibri"/>
        <family val="2"/>
      </rPr>
      <t>Δ</t>
    </r>
    <r>
      <rPr>
        <b/>
        <vertAlign val="superscript"/>
        <sz val="8"/>
        <color rgb="FFFF0000"/>
        <rFont val="Tahoma"/>
        <family val="2"/>
      </rPr>
      <t>exp</t>
    </r>
  </si>
  <si>
    <t>CTS_DELTA_TV_26_GEST</t>
  </si>
  <si>
    <t>CTS_DELTA_TV_26_COM</t>
  </si>
  <si>
    <t>CTS_DELTA_TV_26</t>
  </si>
  <si>
    <t>CTS_DELTA_TV_27_GEST</t>
  </si>
  <si>
    <t>CTS_DELTA_TV_27_COM</t>
  </si>
  <si>
    <t>CTS_DELTA_TV_27</t>
  </si>
  <si>
    <t>CTS_DELTA_TV_28_GEST</t>
  </si>
  <si>
    <t>CTS_DELTA_TV_28_COM</t>
  </si>
  <si>
    <t>CTS_DELTA_TV_28</t>
  </si>
  <si>
    <t>CTS_DELTA_TV_29_GEST</t>
  </si>
  <si>
    <t>CTS_DELTA_TV_29_COM</t>
  </si>
  <si>
    <t>CTS_DELTA_TV_29</t>
  </si>
  <si>
    <r>
      <t>CTS</t>
    </r>
    <r>
      <rPr>
        <b/>
        <sz val="8"/>
        <color theme="1"/>
        <rFont val="Calibri"/>
        <family val="2"/>
      </rPr>
      <t>Δ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</si>
  <si>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CTS</t>
    </r>
    <r>
      <rPr>
        <b/>
        <sz val="8"/>
        <color theme="1"/>
        <rFont val="Calibri"/>
        <family val="2"/>
      </rPr>
      <t>Δ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</si>
  <si>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CTS</t>
    </r>
    <r>
      <rPr>
        <b/>
        <sz val="8"/>
        <color theme="1"/>
        <rFont val="Calibri"/>
        <family val="2"/>
      </rPr>
      <t>Δ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</si>
  <si>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CTS</t>
    </r>
    <r>
      <rPr>
        <b/>
        <sz val="8"/>
        <color theme="1"/>
        <rFont val="Calibri"/>
        <family val="2"/>
      </rPr>
      <t>Δ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</si>
  <si>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CTSΔ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</si>
  <si>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CTSΔ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</si>
  <si>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CTS</t>
    </r>
    <r>
      <rPr>
        <b/>
        <sz val="8"/>
        <color theme="1"/>
        <rFont val="Calibri"/>
        <family val="2"/>
      </rPr>
      <t>Δ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TV,2026</t>
    </r>
  </si>
  <si>
    <r>
      <t>CTS</t>
    </r>
    <r>
      <rPr>
        <b/>
        <sz val="8"/>
        <color theme="1"/>
        <rFont val="Calibri"/>
        <family val="2"/>
      </rPr>
      <t>Δ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TV,2027</t>
    </r>
  </si>
  <si>
    <r>
      <t>CTS</t>
    </r>
    <r>
      <rPr>
        <b/>
        <sz val="8"/>
        <color theme="1"/>
        <rFont val="Calibri"/>
        <family val="2"/>
      </rPr>
      <t>Δ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TV,2028</t>
    </r>
  </si>
  <si>
    <r>
      <t>CTSΔ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</si>
  <si>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CTSΔ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</si>
  <si>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CTS</t>
    </r>
    <r>
      <rPr>
        <b/>
        <sz val="8"/>
        <color theme="1"/>
        <rFont val="Calibri"/>
        <family val="2"/>
      </rPr>
      <t>Δ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TV,2029</t>
    </r>
  </si>
  <si>
    <t>REC_CO116_TV_28_GEST</t>
  </si>
  <si>
    <t>REC_CO116_TV_28_COM</t>
  </si>
  <si>
    <t>REC_CO116_TV_28</t>
  </si>
  <si>
    <t>REC_CO116_TF_28_GEST</t>
  </si>
  <si>
    <t>REC_CO116_TF_28_COM</t>
  </si>
  <si>
    <t>REC_CO116_TF_28</t>
  </si>
  <si>
    <t>REC_CO116_28_GEST</t>
  </si>
  <si>
    <t>REC_CO116_28_COM</t>
  </si>
  <si>
    <t>REC_CO116_28</t>
  </si>
  <si>
    <t>REC_CO116_TV_29_GEST</t>
  </si>
  <si>
    <t>REC_CO116_TV_29_COM</t>
  </si>
  <si>
    <t>REC_CO116_TV_29</t>
  </si>
  <si>
    <t>REC_CO116_TF_29_GEST</t>
  </si>
  <si>
    <t>REC_CO116_TF_29_COM</t>
  </si>
  <si>
    <t>REC_CO116_TF_29</t>
  </si>
  <si>
    <t>REC_CO116_29_GEST</t>
  </si>
  <si>
    <t>REC_CO116_29_COM</t>
  </si>
  <si>
    <t>REC_CO116_29</t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</si>
  <si>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</si>
  <si>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</si>
  <si>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2028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</si>
  <si>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</si>
  <si>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</si>
  <si>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2028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</si>
  <si>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</si>
  <si>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</si>
  <si>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116 2028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</si>
  <si>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</si>
  <si>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</si>
  <si>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2029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</si>
  <si>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</si>
  <si>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</si>
  <si>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2029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</si>
  <si>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</si>
  <si>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</si>
  <si>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116 2029</t>
    </r>
  </si>
  <si>
    <t>REC_CQ_TV_28_GEST</t>
  </si>
  <si>
    <t>REC_CQ_TV_28_COM</t>
  </si>
  <si>
    <t>REC_CQ_TV_28</t>
  </si>
  <si>
    <t>REC_CQ_TF_28_GEST</t>
  </si>
  <si>
    <t>REC_CQ_TF_28_COM</t>
  </si>
  <si>
    <t>REC_CQ_TF_28</t>
  </si>
  <si>
    <t>REC_CQ_28_GEST</t>
  </si>
  <si>
    <t>REC_CQ_28_COM</t>
  </si>
  <si>
    <t>REC_CQ_28</t>
  </si>
  <si>
    <t>REC_CQ_TV_29_GEST</t>
  </si>
  <si>
    <t>REC_CQ_TV_29_COM</t>
  </si>
  <si>
    <t>REC_CQ_TV_29</t>
  </si>
  <si>
    <t>REC_CQ_TF_29_GEST</t>
  </si>
  <si>
    <t>REC_CQ_TF_29_COM</t>
  </si>
  <si>
    <t>REC_CQ_TF_29</t>
  </si>
  <si>
    <t>REC_CQ_29_GEST</t>
  </si>
  <si>
    <t>REC_CQ_29_COM</t>
  </si>
  <si>
    <t>REC_CQ_29</t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</si>
  <si>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</si>
  <si>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</si>
  <si>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2028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</si>
  <si>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</si>
  <si>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</si>
  <si>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2028</t>
    </r>
  </si>
  <si>
    <r>
      <t>Recupero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</si>
  <si>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</si>
  <si>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2028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</si>
  <si>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</si>
  <si>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</si>
  <si>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2029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</si>
  <si>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</si>
  <si>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</si>
  <si>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2029</t>
    </r>
  </si>
  <si>
    <r>
      <t>Recupero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</si>
  <si>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</si>
  <si>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2029</t>
    </r>
  </si>
  <si>
    <r>
      <t>Recupero COnew</t>
    </r>
    <r>
      <rPr>
        <b/>
        <vertAlign val="superscript"/>
        <sz val="8"/>
        <color rgb="FFFF0000"/>
        <rFont val="Tahoma"/>
        <family val="2"/>
      </rPr>
      <t>exp</t>
    </r>
  </si>
  <si>
    <t>REC_COnew_TV_26_GEST</t>
  </si>
  <si>
    <t>REC_COnew_TV_26_COM</t>
  </si>
  <si>
    <t>REC_COnew_TV_26</t>
  </si>
  <si>
    <t>REC_COnew_TF_26_GEST</t>
  </si>
  <si>
    <t>REC_COnew_TF_26_COM</t>
  </si>
  <si>
    <t>REC_COnew_TF_26</t>
  </si>
  <si>
    <t>REC_COnew_26_GEST</t>
  </si>
  <si>
    <t>REC_COnew_26_COM</t>
  </si>
  <si>
    <t>REC_COnew_26</t>
  </si>
  <si>
    <t>REC_COnew_TV_27_GEST</t>
  </si>
  <si>
    <t>REC_COnew_TV_27_COM</t>
  </si>
  <si>
    <t>REC_COnew_TV_27</t>
  </si>
  <si>
    <t>REC_COnew_TF_27_GEST</t>
  </si>
  <si>
    <t>REC_COnew_TF_27_COM</t>
  </si>
  <si>
    <t>REC_COnew_TF_27</t>
  </si>
  <si>
    <t>REC_COnew_27_GEST</t>
  </si>
  <si>
    <t>REC_COnew_27_COM</t>
  </si>
  <si>
    <t>REC_COnew_27</t>
  </si>
  <si>
    <t>REC_COnew_TV_28_GEST</t>
  </si>
  <si>
    <t>REC_COnew_TV_28_COM</t>
  </si>
  <si>
    <t>REC_COnew_TV_28</t>
  </si>
  <si>
    <t>REC_COnew_TF_28_GEST</t>
  </si>
  <si>
    <t>REC_COnew_TF_28_COM</t>
  </si>
  <si>
    <t>REC_COnew_TF_28</t>
  </si>
  <si>
    <t>REC_COnew_28_GEST</t>
  </si>
  <si>
    <t>REC_COnew_28_COM</t>
  </si>
  <si>
    <t>REC_COnew_28</t>
  </si>
  <si>
    <t>REC_COnew_TV_29_GEST</t>
  </si>
  <si>
    <t>REC_COnew_TV_29_COM</t>
  </si>
  <si>
    <t>REC_COnew_TV_29</t>
  </si>
  <si>
    <t>REC_COnew_TF_29_GEST</t>
  </si>
  <si>
    <t>REC_COnew_TF_29_COM</t>
  </si>
  <si>
    <t>REC_COnew_TF_29</t>
  </si>
  <si>
    <t>REC_COnew_29_GEST</t>
  </si>
  <si>
    <t>REC_COnew_29_COM</t>
  </si>
  <si>
    <t>REC_COnew_29</t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</si>
  <si>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</si>
  <si>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</si>
  <si>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2026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</si>
  <si>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</si>
  <si>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</si>
  <si>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2026</t>
    </r>
  </si>
  <si>
    <r>
      <t>Recupero 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</si>
  <si>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</si>
  <si>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2026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</si>
  <si>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</si>
  <si>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</si>
  <si>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2027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</si>
  <si>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</si>
  <si>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</si>
  <si>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2027</t>
    </r>
  </si>
  <si>
    <r>
      <t>Recupero 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</si>
  <si>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</si>
  <si>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2027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</si>
  <si>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</si>
  <si>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</si>
  <si>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2028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</si>
  <si>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</si>
  <si>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</si>
  <si>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2028</t>
    </r>
  </si>
  <si>
    <r>
      <t>Recupero 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</si>
  <si>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</si>
  <si>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2028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</si>
  <si>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</si>
  <si>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</si>
  <si>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2029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</si>
  <si>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</si>
  <si>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</si>
  <si>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2029</t>
    </r>
  </si>
  <si>
    <r>
      <t>Recupero 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</si>
  <si>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</si>
  <si>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2029</t>
    </r>
  </si>
  <si>
    <t>REC_COI_TV_28_GEST</t>
  </si>
  <si>
    <t>REC_COI_TV_28_COM</t>
  </si>
  <si>
    <t>REC_COI_TV_28</t>
  </si>
  <si>
    <t>REC_COI_TF_28_GEST</t>
  </si>
  <si>
    <t>REC_COI_TF_28_COM</t>
  </si>
  <si>
    <t>REC_COI_TF_28</t>
  </si>
  <si>
    <t>REC_COI_28_GEST</t>
  </si>
  <si>
    <t>REC_COI_28_COM</t>
  </si>
  <si>
    <t>REC_COI_28</t>
  </si>
  <si>
    <t>REC_COI_TV_29_GEST</t>
  </si>
  <si>
    <t>REC_COI_TV_29_COM</t>
  </si>
  <si>
    <t>REC_COI_TV_29</t>
  </si>
  <si>
    <t>REC_COI_TF_29_GEST</t>
  </si>
  <si>
    <t>REC_COI_TF_29_COM</t>
  </si>
  <si>
    <t>REC_COI_TF_29</t>
  </si>
  <si>
    <t>REC_COI_29_GEST</t>
  </si>
  <si>
    <t>REC_COI_29_COM</t>
  </si>
  <si>
    <t>REC_COI_29</t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</si>
  <si>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</si>
  <si>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</si>
  <si>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2028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</si>
  <si>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</si>
  <si>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</si>
  <si>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2028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</si>
  <si>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</si>
  <si>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</si>
  <si>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2028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</si>
  <si>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</si>
  <si>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</si>
  <si>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2029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</si>
  <si>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</si>
  <si>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</si>
  <si>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2029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</si>
  <si>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</si>
  <si>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</si>
  <si>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2029</t>
    </r>
  </si>
  <si>
    <r>
      <t>Recupero scostamento tariffe impianti - RC</t>
    </r>
    <r>
      <rPr>
        <b/>
        <vertAlign val="subscript"/>
        <sz val="8"/>
        <color rgb="FFFF0000"/>
        <rFont val="Tahoma"/>
        <family val="2"/>
      </rPr>
      <t>IMP</t>
    </r>
  </si>
  <si>
    <r>
      <t xml:space="preserve">RC </t>
    </r>
    <r>
      <rPr>
        <b/>
        <vertAlign val="subscript"/>
        <sz val="8"/>
        <color theme="1"/>
        <rFont val="Tahoma"/>
        <family val="2"/>
      </rPr>
      <t>CTS 2026</t>
    </r>
  </si>
  <si>
    <r>
      <t xml:space="preserve">RC </t>
    </r>
    <r>
      <rPr>
        <b/>
        <vertAlign val="subscript"/>
        <sz val="8"/>
        <color theme="1"/>
        <rFont val="Tahoma"/>
        <family val="2"/>
      </rPr>
      <t>CTS 2027</t>
    </r>
  </si>
  <si>
    <t>REC_IMP_TV_26</t>
  </si>
  <si>
    <t>REC_IMP_TV</t>
  </si>
  <si>
    <t>REC_IMP_TV_28_GEST</t>
  </si>
  <si>
    <t>REC_IMP_TV_28_COM</t>
  </si>
  <si>
    <t>REC_IMP_TV_28</t>
  </si>
  <si>
    <t>REC_IMP_TV_29_GEST</t>
  </si>
  <si>
    <t>REC_IMP_TV_29_COM</t>
  </si>
  <si>
    <r>
      <t xml:space="preserve">RC </t>
    </r>
    <r>
      <rPr>
        <b/>
        <vertAlign val="subscript"/>
        <sz val="8"/>
        <color theme="1"/>
        <rFont val="Tahoma"/>
        <family val="2"/>
      </rPr>
      <t>CTS 2028</t>
    </r>
    <r>
      <rPr>
        <b/>
        <sz val="8"/>
        <color theme="1"/>
        <rFont val="Tahoma"/>
        <family val="2"/>
      </rPr>
      <t xml:space="preserve"> - Gestore</t>
    </r>
  </si>
  <si>
    <r>
      <t xml:space="preserve">RC </t>
    </r>
    <r>
      <rPr>
        <b/>
        <vertAlign val="subscript"/>
        <sz val="8"/>
        <color theme="1"/>
        <rFont val="Tahoma"/>
        <family val="2"/>
      </rPr>
      <t>CTS 2028</t>
    </r>
    <r>
      <rPr>
        <b/>
        <sz val="8"/>
        <color theme="1"/>
        <rFont val="Tahoma"/>
        <family val="2"/>
      </rPr>
      <t xml:space="preserve"> - Comune</t>
    </r>
  </si>
  <si>
    <r>
      <t xml:space="preserve">RC </t>
    </r>
    <r>
      <rPr>
        <b/>
        <vertAlign val="subscript"/>
        <sz val="8"/>
        <color theme="1"/>
        <rFont val="Tahoma"/>
        <family val="2"/>
      </rPr>
      <t>CTS 2028</t>
    </r>
  </si>
  <si>
    <r>
      <t xml:space="preserve">RC </t>
    </r>
    <r>
      <rPr>
        <b/>
        <vertAlign val="subscript"/>
        <sz val="8"/>
        <color theme="1"/>
        <rFont val="Tahoma"/>
        <family val="2"/>
      </rPr>
      <t>CTS 2029</t>
    </r>
    <r>
      <rPr>
        <b/>
        <sz val="8"/>
        <color theme="1"/>
        <rFont val="Tahoma"/>
        <family val="2"/>
      </rPr>
      <t xml:space="preserve"> - Gestore</t>
    </r>
  </si>
  <si>
    <r>
      <t xml:space="preserve">RC </t>
    </r>
    <r>
      <rPr>
        <b/>
        <vertAlign val="subscript"/>
        <sz val="8"/>
        <color theme="1"/>
        <rFont val="Tahoma"/>
        <family val="2"/>
      </rPr>
      <t>CTS 2029</t>
    </r>
    <r>
      <rPr>
        <b/>
        <sz val="8"/>
        <color theme="1"/>
        <rFont val="Tahoma"/>
        <family val="2"/>
      </rPr>
      <t xml:space="preserve"> - Comune</t>
    </r>
  </si>
  <si>
    <r>
      <t xml:space="preserve">RC </t>
    </r>
    <r>
      <rPr>
        <b/>
        <vertAlign val="subscript"/>
        <sz val="8"/>
        <color theme="1"/>
        <rFont val="Tahoma"/>
        <family val="2"/>
      </rPr>
      <t>CTS 2029</t>
    </r>
  </si>
  <si>
    <r>
      <t>Recupero differenza fatturato - RC</t>
    </r>
    <r>
      <rPr>
        <b/>
        <vertAlign val="subscript"/>
        <sz val="8"/>
        <color rgb="FFFF0000"/>
        <rFont val="Tahoma"/>
        <family val="2"/>
      </rPr>
      <t>FATT</t>
    </r>
  </si>
  <si>
    <t>REC_FATT_TV_26_GEST</t>
  </si>
  <si>
    <t>REC_FATT_TV_26_COM</t>
  </si>
  <si>
    <t>REC_FATT_TV_26</t>
  </si>
  <si>
    <t>REC_FATT_TF_26_GEST</t>
  </si>
  <si>
    <t>REC_FATT_TF_26_COM</t>
  </si>
  <si>
    <t>REC_FATT_TF_26</t>
  </si>
  <si>
    <t>REC_FATT_26_GEST</t>
  </si>
  <si>
    <t>REC_FATT_26_COM</t>
  </si>
  <si>
    <t>REC_FATT_26</t>
  </si>
  <si>
    <t>REC_FATT_TV_27_GEST</t>
  </si>
  <si>
    <t>REC_FATT_TV_27_COM</t>
  </si>
  <si>
    <t>REC_FATT_TV_27</t>
  </si>
  <si>
    <t>REC_FATT_TF_27_GEST</t>
  </si>
  <si>
    <t>REC_FATT_TF_27_COM</t>
  </si>
  <si>
    <t>REC_FATT_TF_27</t>
  </si>
  <si>
    <t>REC_FATT_27_GEST</t>
  </si>
  <si>
    <t>REC_FATT_27_COM</t>
  </si>
  <si>
    <t>REC_FATT_27</t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</si>
  <si>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</si>
  <si>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</si>
  <si>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2026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</si>
  <si>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</si>
  <si>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</si>
  <si>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2026</t>
    </r>
  </si>
  <si>
    <r>
      <t>Differenza fatturato</t>
    </r>
    <r>
      <rPr>
        <b/>
        <vertAlign val="subscript"/>
        <sz val="8"/>
        <color theme="1"/>
        <rFont val="Tahoma"/>
        <family val="2"/>
      </rPr>
      <t xml:space="preserve">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</si>
  <si>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Differenza fatturato</t>
    </r>
    <r>
      <rPr>
        <b/>
        <vertAlign val="subscript"/>
        <sz val="8"/>
        <color theme="1"/>
        <rFont val="Tahoma"/>
        <family val="2"/>
      </rPr>
      <t xml:space="preserve">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</si>
  <si>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Differenza fatturato</t>
    </r>
    <r>
      <rPr>
        <b/>
        <vertAlign val="subscript"/>
        <sz val="8"/>
        <color theme="1"/>
        <rFont val="Tahoma"/>
        <family val="2"/>
      </rPr>
      <t xml:space="preserve"> 2026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</si>
  <si>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</si>
  <si>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</si>
  <si>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2027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</si>
  <si>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</si>
  <si>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</si>
  <si>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2027</t>
    </r>
  </si>
  <si>
    <r>
      <t>Differenza fatturato</t>
    </r>
    <r>
      <rPr>
        <b/>
        <vertAlign val="subscript"/>
        <sz val="8"/>
        <color theme="1"/>
        <rFont val="Tahoma"/>
        <family val="2"/>
      </rPr>
      <t xml:space="preserve">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</si>
  <si>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Differenza fatturato</t>
    </r>
    <r>
      <rPr>
        <b/>
        <vertAlign val="subscript"/>
        <sz val="8"/>
        <color theme="1"/>
        <rFont val="Tahoma"/>
        <family val="2"/>
      </rPr>
      <t xml:space="preserve">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</si>
  <si>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Differenza fatturato</t>
    </r>
    <r>
      <rPr>
        <b/>
        <vertAlign val="subscript"/>
        <sz val="8"/>
        <color theme="1"/>
        <rFont val="Tahoma"/>
        <family val="2"/>
      </rPr>
      <t xml:space="preserve"> 2027</t>
    </r>
  </si>
  <si>
    <t>REC_FATT_TV_28_GEST</t>
  </si>
  <si>
    <t>REC_FATT_TV_28_COM</t>
  </si>
  <si>
    <t>REC_FATT_TV_28</t>
  </si>
  <si>
    <t>REC_FATT_TF_28_GEST</t>
  </si>
  <si>
    <t>REC_FATT_TF_28_COM</t>
  </si>
  <si>
    <t>REC_FATT_TF_28</t>
  </si>
  <si>
    <t>REC_FATT_28_GEST</t>
  </si>
  <si>
    <t>REC_FATT_28_COM</t>
  </si>
  <si>
    <t>REC_FATT_28</t>
  </si>
  <si>
    <t>REC_FATT_TV_29_GEST</t>
  </si>
  <si>
    <t>REC_FATT_TV_29_COM</t>
  </si>
  <si>
    <t>REC_FATT_TV_29</t>
  </si>
  <si>
    <t>REC_FATT_TF_29_GEST</t>
  </si>
  <si>
    <t>REC_FATT_TF_29_COM</t>
  </si>
  <si>
    <t>REC_FATT_TF_29</t>
  </si>
  <si>
    <t>REC_FATT_29_GEST</t>
  </si>
  <si>
    <t>REC_FATT_29_COM</t>
  </si>
  <si>
    <t>REC_FATT_29</t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</si>
  <si>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</si>
  <si>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</si>
  <si>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2028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</si>
  <si>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</si>
  <si>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</si>
  <si>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2028</t>
    </r>
  </si>
  <si>
    <r>
      <t>Differenza fatturato</t>
    </r>
    <r>
      <rPr>
        <b/>
        <vertAlign val="subscript"/>
        <sz val="8"/>
        <color theme="1"/>
        <rFont val="Tahoma"/>
        <family val="2"/>
      </rPr>
      <t xml:space="preserve">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</si>
  <si>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Differenza fatturato</t>
    </r>
    <r>
      <rPr>
        <b/>
        <vertAlign val="subscript"/>
        <sz val="8"/>
        <color theme="1"/>
        <rFont val="Tahoma"/>
        <family val="2"/>
      </rPr>
      <t xml:space="preserve">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</si>
  <si>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Differenza fatturato</t>
    </r>
    <r>
      <rPr>
        <b/>
        <vertAlign val="subscript"/>
        <sz val="8"/>
        <color theme="1"/>
        <rFont val="Tahoma"/>
        <family val="2"/>
      </rPr>
      <t xml:space="preserve"> 2028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</si>
  <si>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</si>
  <si>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</si>
  <si>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2029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</si>
  <si>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</si>
  <si>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</si>
  <si>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2029</t>
    </r>
  </si>
  <si>
    <r>
      <t>Differenza fatturato</t>
    </r>
    <r>
      <rPr>
        <b/>
        <vertAlign val="subscript"/>
        <sz val="8"/>
        <color theme="1"/>
        <rFont val="Tahoma"/>
        <family val="2"/>
      </rPr>
      <t xml:space="preserve">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</si>
  <si>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Differenza fatturato</t>
    </r>
    <r>
      <rPr>
        <b/>
        <vertAlign val="subscript"/>
        <sz val="8"/>
        <color theme="1"/>
        <rFont val="Tahoma"/>
        <family val="2"/>
      </rPr>
      <t xml:space="preserve">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</si>
  <si>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Differenza fatturato</t>
    </r>
    <r>
      <rPr>
        <b/>
        <vertAlign val="subscript"/>
        <sz val="8"/>
        <color theme="1"/>
        <rFont val="Tahoma"/>
        <family val="2"/>
      </rPr>
      <t xml:space="preserve"> 2029</t>
    </r>
  </si>
  <si>
    <r>
      <t>Recupero conguaglio inflazione 2025 - RC</t>
    </r>
    <r>
      <rPr>
        <b/>
        <vertAlign val="subscript"/>
        <sz val="8"/>
        <color rgb="FFFF0000"/>
        <rFont val="Tahoma"/>
        <family val="2"/>
      </rPr>
      <t>I25</t>
    </r>
  </si>
  <si>
    <t>I_25_TV_GEST_26</t>
  </si>
  <si>
    <t>I_25_TV_COM_26</t>
  </si>
  <si>
    <t>I_25_TV_26</t>
  </si>
  <si>
    <t>I_25_TF_GEST_26</t>
  </si>
  <si>
    <t>I_25_TF_COM_26</t>
  </si>
  <si>
    <t>I_25_TF_26</t>
  </si>
  <si>
    <t>I_25_GEST_26</t>
  </si>
  <si>
    <t>I_25_COM_26</t>
  </si>
  <si>
    <t>I_25_26</t>
  </si>
  <si>
    <t>I_25_TV_GEST_27</t>
  </si>
  <si>
    <t>I_25_TV_COM_27</t>
  </si>
  <si>
    <t>I_25_TV_27</t>
  </si>
  <si>
    <t>I_25_TF_GEST_27</t>
  </si>
  <si>
    <t>I_25_TF_COM_27</t>
  </si>
  <si>
    <t>I_25_TF_27</t>
  </si>
  <si>
    <t>I_25_GEST_27</t>
  </si>
  <si>
    <t>I_25_COM_27</t>
  </si>
  <si>
    <t>I_25_27</t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</si>
  <si>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</si>
  <si>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</si>
  <si>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TV, 2026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</si>
  <si>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</si>
  <si>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</si>
  <si>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TF, 2026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</si>
  <si>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</si>
  <si>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</si>
  <si>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2026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</si>
  <si>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</si>
  <si>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</si>
  <si>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TV, 2027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</si>
  <si>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</si>
  <si>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</si>
  <si>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TF, 2027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</si>
  <si>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</si>
  <si>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</si>
  <si>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2027</t>
    </r>
  </si>
  <si>
    <t>I_25_TV_GEST_28</t>
  </si>
  <si>
    <t>I_25_TV_COM_28</t>
  </si>
  <si>
    <t>I_25_TV_28</t>
  </si>
  <si>
    <t>I_25_TF_GEST_28</t>
  </si>
  <si>
    <t>I_25_TF_COM_28</t>
  </si>
  <si>
    <t>I_25_TF_28</t>
  </si>
  <si>
    <t>I_25_GEST_28</t>
  </si>
  <si>
    <t>I_25_COM_28</t>
  </si>
  <si>
    <t>I_25_28</t>
  </si>
  <si>
    <t>I_25_TV_GEST_29</t>
  </si>
  <si>
    <t>I_25_TV_COM_29</t>
  </si>
  <si>
    <t>I_25_TV_29</t>
  </si>
  <si>
    <t>I_25_TF_GEST_29</t>
  </si>
  <si>
    <t>I_25_TF_COM_29</t>
  </si>
  <si>
    <t>I_25_TF_29</t>
  </si>
  <si>
    <t>I_25_GEST_29</t>
  </si>
  <si>
    <t>I_25_COM_29</t>
  </si>
  <si>
    <t>I_25_29</t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</si>
  <si>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</si>
  <si>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</si>
  <si>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TV, 2028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</si>
  <si>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</si>
  <si>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</si>
  <si>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TF, 2028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</si>
  <si>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</si>
  <si>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</si>
  <si>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2028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</si>
  <si>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</si>
  <si>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</si>
  <si>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TV, 2029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</si>
  <si>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</si>
  <si>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</si>
  <si>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TF, 2029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</si>
  <si>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</si>
  <si>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</si>
  <si>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2029</t>
    </r>
  </si>
  <si>
    <r>
      <t>Recupero conguaglio inflazione 2027 - RC</t>
    </r>
    <r>
      <rPr>
        <b/>
        <vertAlign val="subscript"/>
        <sz val="8"/>
        <color rgb="FFFF0000"/>
        <rFont val="Tahoma"/>
        <family val="2"/>
      </rPr>
      <t>I27</t>
    </r>
  </si>
  <si>
    <t>I_27_TV_GEST_26</t>
  </si>
  <si>
    <t>I_27_TV_COM_26</t>
  </si>
  <si>
    <t>I_27_TV_26</t>
  </si>
  <si>
    <t>I_27_TF_GEST_26</t>
  </si>
  <si>
    <t>I_27_TF_COM_26</t>
  </si>
  <si>
    <t>I_27_TF_26</t>
  </si>
  <si>
    <t>I_27_GEST_26</t>
  </si>
  <si>
    <t>I_27_COM_26</t>
  </si>
  <si>
    <t>I_27_26</t>
  </si>
  <si>
    <t>I_27_TV_GEST_27</t>
  </si>
  <si>
    <t>I_27_TV_COM_27</t>
  </si>
  <si>
    <t>I_27_TV_27</t>
  </si>
  <si>
    <t>I_27_TF_GEST_27</t>
  </si>
  <si>
    <t>I_27_TF_COM_27</t>
  </si>
  <si>
    <t>I_27_TF_27</t>
  </si>
  <si>
    <t>I_27_GEST_27</t>
  </si>
  <si>
    <t>I_27_COM_27</t>
  </si>
  <si>
    <t>I_27_27</t>
  </si>
  <si>
    <t>I_27_TV_GEST_28</t>
  </si>
  <si>
    <t>I_27_TV_COM_28</t>
  </si>
  <si>
    <t>I_27_TV_28</t>
  </si>
  <si>
    <t>I_27_TF_GEST_28</t>
  </si>
  <si>
    <t>I_27_TF_COM_28</t>
  </si>
  <si>
    <t>I_27_TF_28</t>
  </si>
  <si>
    <t>I_27_GEST_28</t>
  </si>
  <si>
    <t>I_27_COM_28</t>
  </si>
  <si>
    <t>I_27_28</t>
  </si>
  <si>
    <t>I_27_TV_GEST_29</t>
  </si>
  <si>
    <t>I_27_TV_COM_29</t>
  </si>
  <si>
    <t>I_27_TV_29</t>
  </si>
  <si>
    <t>I_27_TF_GEST_29</t>
  </si>
  <si>
    <t>I_27_TF_COM_29</t>
  </si>
  <si>
    <t>I_27_TF_29</t>
  </si>
  <si>
    <t>I_27_GEST_29</t>
  </si>
  <si>
    <t>I_27_COM_29</t>
  </si>
  <si>
    <t>I_27_29</t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</si>
  <si>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</si>
  <si>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</si>
  <si>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TV, 2026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</si>
  <si>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</si>
  <si>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</si>
  <si>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TF, 2026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</si>
  <si>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</si>
  <si>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</si>
  <si>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2026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</si>
  <si>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</si>
  <si>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</si>
  <si>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TV, 2027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</si>
  <si>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</si>
  <si>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</si>
  <si>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TF, 2027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</si>
  <si>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</si>
  <si>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</si>
  <si>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2027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</si>
  <si>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</si>
  <si>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</si>
  <si>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TV, 2028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</si>
  <si>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</si>
  <si>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</si>
  <si>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TF, 2028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</si>
  <si>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</si>
  <si>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</si>
  <si>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2028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</si>
  <si>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</si>
  <si>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</si>
  <si>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TV, 2029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</si>
  <si>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</si>
  <si>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</si>
  <si>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TF, 2029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</si>
  <si>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</si>
  <si>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</si>
  <si>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2029</t>
    </r>
  </si>
  <si>
    <t>Quota soggetta a efficientamento dei COrd (no obiettivo RCH)</t>
  </si>
  <si>
    <t>RC_CORD_TV_GEST_26</t>
  </si>
  <si>
    <t>RC_CORD_TV_COM_26</t>
  </si>
  <si>
    <t>RC_CORD_TV_26</t>
  </si>
  <si>
    <t>RC_CORD_TV_GEST_27</t>
  </si>
  <si>
    <t>RC_CORD_TV_COM_27</t>
  </si>
  <si>
    <t>RC_CORD_TV_27</t>
  </si>
  <si>
    <t>RC_CORD_TV_GEST_28</t>
  </si>
  <si>
    <t>RC_CORD_TV_COM_28</t>
  </si>
  <si>
    <t>RC_CORD_TV_28</t>
  </si>
  <si>
    <t>RC_CORD_TV_GEST_29</t>
  </si>
  <si>
    <t>RC_CORD_TV_COM_29</t>
  </si>
  <si>
    <t>RC_CORD_TV_29</t>
  </si>
  <si>
    <r>
      <t xml:space="preserve">Conguaglio Efficientamento COrd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</si>
  <si>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Efficientamento COrd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</si>
  <si>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Efficientamento COrd </t>
    </r>
    <r>
      <rPr>
        <b/>
        <vertAlign val="subscript"/>
        <sz val="8"/>
        <color theme="1"/>
        <rFont val="Tahoma"/>
        <family val="2"/>
      </rPr>
      <t>TV, 2026</t>
    </r>
  </si>
  <si>
    <r>
      <t xml:space="preserve">Conguaglio Efficientamento COrd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</si>
  <si>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Efficientamento COrd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</si>
  <si>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Efficientamento COrd </t>
    </r>
    <r>
      <rPr>
        <b/>
        <vertAlign val="subscript"/>
        <sz val="8"/>
        <color theme="1"/>
        <rFont val="Tahoma"/>
        <family val="2"/>
      </rPr>
      <t>TV, 2027</t>
    </r>
  </si>
  <si>
    <r>
      <t xml:space="preserve">Conguaglio Efficientamento COrd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</si>
  <si>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ConguaglioEfficientamento COrd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</si>
  <si>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Efficientamento COrd </t>
    </r>
    <r>
      <rPr>
        <b/>
        <vertAlign val="subscript"/>
        <sz val="8"/>
        <color theme="1"/>
        <rFont val="Tahoma"/>
        <family val="2"/>
      </rPr>
      <t>TV, 2028</t>
    </r>
  </si>
  <si>
    <r>
      <t xml:space="preserve">Conguaglio Efficientamento COrd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</si>
  <si>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Efficientamento COrd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</si>
  <si>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Efficientamento COrd </t>
    </r>
    <r>
      <rPr>
        <b/>
        <vertAlign val="subscript"/>
        <sz val="8"/>
        <color theme="1"/>
        <rFont val="Tahoma"/>
        <family val="2"/>
      </rPr>
      <t>TV, 2029</t>
    </r>
  </si>
  <si>
    <t>Variabile - Fissa</t>
  </si>
  <si>
    <r>
      <t>Recupero delta sovracap annualità pregresse - RC</t>
    </r>
    <r>
      <rPr>
        <b/>
        <sz val="8"/>
        <color rgb="FFFF0000"/>
        <rFont val="Calibri"/>
        <family val="2"/>
      </rPr>
      <t>Δ</t>
    </r>
    <r>
      <rPr>
        <b/>
        <sz val="8"/>
        <color rgb="FFFF0000"/>
        <rFont val="Tahoma"/>
        <family val="2"/>
      </rPr>
      <t>(T-Tmax)</t>
    </r>
    <r>
      <rPr>
        <b/>
        <vertAlign val="subscript"/>
        <sz val="8"/>
        <color rgb="FFFF0000"/>
        <rFont val="Tahoma"/>
        <family val="2"/>
      </rPr>
      <t>pre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</si>
  <si>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</si>
  <si>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</si>
  <si>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TV, 2026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</si>
  <si>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</si>
  <si>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</si>
  <si>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TF, 2026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</si>
  <si>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>Anni pregressi</t>
    </r>
    <r>
      <rPr>
        <b/>
        <vertAlign val="subscript"/>
        <sz val="8"/>
        <color theme="1"/>
        <rFont val="Tahoma"/>
        <family val="2"/>
      </rPr>
      <t xml:space="preserve">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</si>
  <si>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</si>
  <si>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2026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</si>
  <si>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</si>
  <si>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</si>
  <si>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TV, 2027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</si>
  <si>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</si>
  <si>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</si>
  <si>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TF, 2027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</si>
  <si>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>Anni pregressi</t>
    </r>
    <r>
      <rPr>
        <b/>
        <vertAlign val="subscript"/>
        <sz val="8"/>
        <color theme="1"/>
        <rFont val="Tahoma"/>
        <family val="2"/>
      </rPr>
      <t xml:space="preserve">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</si>
  <si>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</si>
  <si>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2027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</si>
  <si>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</si>
  <si>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</si>
  <si>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TV, 2028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</si>
  <si>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</si>
  <si>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</si>
  <si>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TF, 2028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</si>
  <si>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>Anni pregressi</t>
    </r>
    <r>
      <rPr>
        <b/>
        <vertAlign val="subscript"/>
        <sz val="8"/>
        <color theme="1"/>
        <rFont val="Tahoma"/>
        <family val="2"/>
      </rPr>
      <t xml:space="preserve">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</si>
  <si>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</si>
  <si>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2028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</si>
  <si>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</si>
  <si>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</si>
  <si>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TV, 2029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</si>
  <si>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</si>
  <si>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</si>
  <si>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TF, 2029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</si>
  <si>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>Anni pregressi</t>
    </r>
    <r>
      <rPr>
        <b/>
        <vertAlign val="subscript"/>
        <sz val="8"/>
        <color theme="1"/>
        <rFont val="Tahoma"/>
        <family val="2"/>
      </rPr>
      <t xml:space="preserve">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</si>
  <si>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</si>
  <si>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2029</t>
    </r>
  </si>
  <si>
    <t>a) - a)</t>
  </si>
  <si>
    <t>b) - /</t>
  </si>
  <si>
    <t>c) - b)</t>
  </si>
  <si>
    <t>d) - c)</t>
  </si>
  <si>
    <t>e) - d)</t>
  </si>
  <si>
    <t>f) - e)</t>
  </si>
  <si>
    <t>g) - /</t>
  </si>
  <si>
    <t>h) - f)</t>
  </si>
  <si>
    <t>i) - g)</t>
  </si>
  <si>
    <t>j) - h)</t>
  </si>
  <si>
    <t>/ - i)</t>
  </si>
  <si>
    <t>k) - /</t>
  </si>
  <si>
    <t>l) - j)</t>
  </si>
  <si>
    <t>CONG_CK_TF_26</t>
  </si>
  <si>
    <t>CONG_CK_TF_27</t>
  </si>
  <si>
    <r>
      <t>Recupero conguaglio valori WACC e Slic- RC</t>
    </r>
    <r>
      <rPr>
        <b/>
        <vertAlign val="subscript"/>
        <sz val="8"/>
        <color rgb="FFFF0000"/>
        <rFont val="Tahoma"/>
        <family val="2"/>
      </rPr>
      <t>wacc</t>
    </r>
  </si>
  <si>
    <r>
      <t>Conguaglio CK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</si>
  <si>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Conguaglio CK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</si>
  <si>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Conguaglio CK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2026</t>
    </r>
  </si>
  <si>
    <r>
      <t>Conguaglio CK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</si>
  <si>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Conguaglio CK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</si>
  <si>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Conguaglio CK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2027</t>
    </r>
  </si>
  <si>
    <t>CONG_CK_TF_28_GEST</t>
  </si>
  <si>
    <t>CONG_CK_TF_28_COM</t>
  </si>
  <si>
    <t>CONG_CK_TF_28</t>
  </si>
  <si>
    <t>CONG_CK_TF_29_GEST</t>
  </si>
  <si>
    <t>CONG_CK_TF_29_COM</t>
  </si>
  <si>
    <t>CONG_CK_TF_29</t>
  </si>
  <si>
    <r>
      <t>Conguaglio CK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</si>
  <si>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Conguaglio CK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</si>
  <si>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Conguaglio CK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2028</t>
    </r>
  </si>
  <si>
    <r>
      <t>Conguaglio CK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</si>
  <si>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Conguaglio CK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</si>
  <si>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Conguaglio CK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2029</t>
    </r>
  </si>
  <si>
    <t>RCTOT_TV_26_COM</t>
  </si>
  <si>
    <r>
      <t>RC</t>
    </r>
    <r>
      <rPr>
        <b/>
        <vertAlign val="subscript"/>
        <sz val="8"/>
        <color theme="1"/>
        <rFont val="Tahoma"/>
        <family val="2"/>
      </rPr>
      <t>TOT TV,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</si>
  <si>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t>RCTOT_TV_26_GEST</t>
  </si>
  <si>
    <t>RCTOT_TF_26_GEST</t>
  </si>
  <si>
    <r>
      <t>RC</t>
    </r>
    <r>
      <rPr>
        <b/>
        <vertAlign val="subscript"/>
        <sz val="8"/>
        <color theme="1"/>
        <rFont val="Tahoma"/>
        <family val="2"/>
      </rPr>
      <t>TOT TF,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</si>
  <si>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t>RCTOT_26_GEST</t>
  </si>
  <si>
    <r>
      <t>RC</t>
    </r>
    <r>
      <rPr>
        <b/>
        <vertAlign val="subscript"/>
        <sz val="8"/>
        <color theme="1"/>
        <rFont val="Tahoma"/>
        <family val="2"/>
      </rPr>
      <t>TOT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</si>
  <si>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t>RCTOT_TV_27_GEST</t>
  </si>
  <si>
    <r>
      <t>RC</t>
    </r>
    <r>
      <rPr>
        <b/>
        <vertAlign val="subscript"/>
        <sz val="8"/>
        <color theme="1"/>
        <rFont val="Tahoma"/>
        <family val="2"/>
      </rPr>
      <t>TOT TV,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</si>
  <si>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t>RCTOT_TF_27_GEST</t>
  </si>
  <si>
    <r>
      <t>RC</t>
    </r>
    <r>
      <rPr>
        <b/>
        <vertAlign val="subscript"/>
        <sz val="8"/>
        <color theme="1"/>
        <rFont val="Tahoma"/>
        <family val="2"/>
      </rPr>
      <t>TOT TF,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</si>
  <si>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t>RCTOT_27_GEST</t>
  </si>
  <si>
    <r>
      <t>RC</t>
    </r>
    <r>
      <rPr>
        <b/>
        <vertAlign val="subscript"/>
        <sz val="8"/>
        <color theme="1"/>
        <rFont val="Tahoma"/>
        <family val="2"/>
      </rPr>
      <t>TOT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</si>
  <si>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t>RCTOT_TV_28_GEST</t>
  </si>
  <si>
    <r>
      <t>RC</t>
    </r>
    <r>
      <rPr>
        <b/>
        <vertAlign val="subscript"/>
        <sz val="8"/>
        <color theme="1"/>
        <rFont val="Tahoma"/>
        <family val="2"/>
      </rPr>
      <t>TOT TV,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</si>
  <si>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t>RCTOT_TF_28_GEST</t>
  </si>
  <si>
    <r>
      <t>RC</t>
    </r>
    <r>
      <rPr>
        <b/>
        <vertAlign val="subscript"/>
        <sz val="8"/>
        <color theme="1"/>
        <rFont val="Tahoma"/>
        <family val="2"/>
      </rPr>
      <t>TOT TF,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</si>
  <si>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t>RCTOT_28_GEST</t>
  </si>
  <si>
    <r>
      <t>RC</t>
    </r>
    <r>
      <rPr>
        <b/>
        <vertAlign val="subscript"/>
        <sz val="8"/>
        <color theme="1"/>
        <rFont val="Tahoma"/>
        <family val="2"/>
      </rPr>
      <t>TOT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</si>
  <si>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t>RCTOT_TV_29_GEST</t>
  </si>
  <si>
    <r>
      <t>RC</t>
    </r>
    <r>
      <rPr>
        <b/>
        <vertAlign val="subscript"/>
        <sz val="8"/>
        <color theme="1"/>
        <rFont val="Tahoma"/>
        <family val="2"/>
      </rPr>
      <t>TOT TV,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</si>
  <si>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t>RCTOT_TF_29_GEST</t>
  </si>
  <si>
    <r>
      <t>RC</t>
    </r>
    <r>
      <rPr>
        <b/>
        <vertAlign val="subscript"/>
        <sz val="8"/>
        <color theme="1"/>
        <rFont val="Tahoma"/>
        <family val="2"/>
      </rPr>
      <t>TOT TF,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</si>
  <si>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t>RCTOT_29_GEST</t>
  </si>
  <si>
    <r>
      <t>RC</t>
    </r>
    <r>
      <rPr>
        <b/>
        <vertAlign val="subscript"/>
        <sz val="8"/>
        <color theme="1"/>
        <rFont val="Tahoma"/>
        <family val="2"/>
      </rPr>
      <t>TOT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</si>
  <si>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t>RCTOT_TF_26_COM</t>
  </si>
  <si>
    <t>RCTOT_26_COM</t>
  </si>
  <si>
    <t>RCTOT_TV_27_COM</t>
  </si>
  <si>
    <t>RCTOT_TF_27_COM</t>
  </si>
  <si>
    <t>RCTOT_27_COM</t>
  </si>
  <si>
    <t>RCTOT_TV_28_COM</t>
  </si>
  <si>
    <t>RCTOT_TF_28_COM</t>
  </si>
  <si>
    <t>RCTOT_28_COM</t>
  </si>
  <si>
    <t>RCTOT_TV_29_COM</t>
  </si>
  <si>
    <t>RCTOT_TF_29_COM</t>
  </si>
  <si>
    <t>RCTOT_29_COM</t>
  </si>
  <si>
    <r>
      <t>RC</t>
    </r>
    <r>
      <rPr>
        <b/>
        <vertAlign val="subscript"/>
        <sz val="8"/>
        <color theme="1"/>
        <rFont val="Tahoma"/>
        <family val="2"/>
      </rPr>
      <t>TOT TV,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</si>
  <si>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TOT TF,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</si>
  <si>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TOT 2026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</si>
  <si>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TOT TV,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</si>
  <si>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TOT TF,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</si>
  <si>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TOT 2027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</si>
  <si>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Efficientamento COrd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</si>
  <si>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TOT TV,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</si>
  <si>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TOT TF,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</si>
  <si>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TOT 2028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</si>
  <si>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TOT TV,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</si>
  <si>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TOT TF,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</si>
  <si>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TOT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</si>
  <si>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t>RCTOT_TV_26</t>
  </si>
  <si>
    <t>RCTOT_TF_26</t>
  </si>
  <si>
    <t>RCTOT_TV_27</t>
  </si>
  <si>
    <t>RCTOT_TF_27</t>
  </si>
  <si>
    <t>RCTOT_TV_28</t>
  </si>
  <si>
    <t>RCTOT_TF_28</t>
  </si>
  <si>
    <t>RCTOT_TV_29</t>
  </si>
  <si>
    <t>RCTOT_TF_29</t>
  </si>
  <si>
    <r>
      <t>RC</t>
    </r>
    <r>
      <rPr>
        <i/>
        <vertAlign val="subscript"/>
        <sz val="8"/>
        <color theme="1"/>
        <rFont val="Tahoma"/>
        <family val="2"/>
      </rPr>
      <t>TOT TV, 2026</t>
    </r>
    <r>
      <rPr>
        <i/>
        <sz val="8"/>
        <color theme="1"/>
        <rFont val="Tahoma"/>
        <family val="2"/>
      </rPr>
      <t xml:space="preserve"> - Gestore</t>
    </r>
  </si>
  <si>
    <r>
      <t>RC</t>
    </r>
    <r>
      <rPr>
        <i/>
        <vertAlign val="subscript"/>
        <sz val="8"/>
        <color theme="1"/>
        <rFont val="Tahoma"/>
        <family val="2"/>
      </rPr>
      <t>TOT TV, 2026</t>
    </r>
    <r>
      <rPr>
        <i/>
        <sz val="8"/>
        <color theme="1"/>
        <rFont val="Tahoma"/>
        <family val="2"/>
      </rPr>
      <t xml:space="preserve"> - Comune</t>
    </r>
  </si>
  <si>
    <r>
      <t>RC</t>
    </r>
    <r>
      <rPr>
        <b/>
        <vertAlign val="subscript"/>
        <sz val="8"/>
        <color theme="1"/>
        <rFont val="Tahoma"/>
        <family val="2"/>
      </rPr>
      <t>TOT TV, 2026</t>
    </r>
  </si>
  <si>
    <r>
      <t>RC</t>
    </r>
    <r>
      <rPr>
        <i/>
        <vertAlign val="subscript"/>
        <sz val="8"/>
        <color theme="1"/>
        <rFont val="Tahoma"/>
        <family val="2"/>
      </rPr>
      <t>TOT TF, 2026</t>
    </r>
    <r>
      <rPr>
        <i/>
        <sz val="8"/>
        <color theme="1"/>
        <rFont val="Tahoma"/>
        <family val="2"/>
      </rPr>
      <t xml:space="preserve"> - Gestore</t>
    </r>
  </si>
  <si>
    <r>
      <t>RC</t>
    </r>
    <r>
      <rPr>
        <i/>
        <vertAlign val="subscript"/>
        <sz val="8"/>
        <color theme="1"/>
        <rFont val="Tahoma"/>
        <family val="2"/>
      </rPr>
      <t>TOT TF, 2026</t>
    </r>
    <r>
      <rPr>
        <i/>
        <sz val="8"/>
        <color theme="1"/>
        <rFont val="Tahoma"/>
        <family val="2"/>
      </rPr>
      <t xml:space="preserve"> - Comune</t>
    </r>
  </si>
  <si>
    <r>
      <t>RC</t>
    </r>
    <r>
      <rPr>
        <b/>
        <vertAlign val="subscript"/>
        <sz val="8"/>
        <color theme="1"/>
        <rFont val="Tahoma"/>
        <family val="2"/>
      </rPr>
      <t>TOT TF, 2024</t>
    </r>
  </si>
  <si>
    <r>
      <t>RC</t>
    </r>
    <r>
      <rPr>
        <i/>
        <vertAlign val="subscript"/>
        <sz val="8"/>
        <color theme="1"/>
        <rFont val="Tahoma"/>
        <family val="2"/>
      </rPr>
      <t>TOT TV, 2027</t>
    </r>
    <r>
      <rPr>
        <i/>
        <sz val="8"/>
        <color theme="1"/>
        <rFont val="Tahoma"/>
        <family val="2"/>
      </rPr>
      <t xml:space="preserve"> - Gestore</t>
    </r>
  </si>
  <si>
    <r>
      <t>RC</t>
    </r>
    <r>
      <rPr>
        <i/>
        <vertAlign val="subscript"/>
        <sz val="8"/>
        <color theme="1"/>
        <rFont val="Tahoma"/>
        <family val="2"/>
      </rPr>
      <t>TOT TV, 2027</t>
    </r>
    <r>
      <rPr>
        <i/>
        <sz val="8"/>
        <color theme="1"/>
        <rFont val="Tahoma"/>
        <family val="2"/>
      </rPr>
      <t xml:space="preserve"> - Comune</t>
    </r>
  </si>
  <si>
    <r>
      <t>RC</t>
    </r>
    <r>
      <rPr>
        <b/>
        <vertAlign val="subscript"/>
        <sz val="8"/>
        <color theme="1"/>
        <rFont val="Tahoma"/>
        <family val="2"/>
      </rPr>
      <t>TOT TV, 2027</t>
    </r>
  </si>
  <si>
    <r>
      <t>RC</t>
    </r>
    <r>
      <rPr>
        <i/>
        <vertAlign val="subscript"/>
        <sz val="8"/>
        <color theme="1"/>
        <rFont val="Tahoma"/>
        <family val="2"/>
      </rPr>
      <t>TOT TF, 2027</t>
    </r>
    <r>
      <rPr>
        <i/>
        <sz val="8"/>
        <color theme="1"/>
        <rFont val="Tahoma"/>
        <family val="2"/>
      </rPr>
      <t xml:space="preserve"> - Gestore</t>
    </r>
  </si>
  <si>
    <r>
      <t>RC</t>
    </r>
    <r>
      <rPr>
        <i/>
        <vertAlign val="subscript"/>
        <sz val="8"/>
        <color theme="1"/>
        <rFont val="Tahoma"/>
        <family val="2"/>
      </rPr>
      <t>TOT TF, 2027</t>
    </r>
    <r>
      <rPr>
        <i/>
        <sz val="8"/>
        <color theme="1"/>
        <rFont val="Tahoma"/>
        <family val="2"/>
      </rPr>
      <t xml:space="preserve"> - Comune</t>
    </r>
  </si>
  <si>
    <r>
      <t>RC</t>
    </r>
    <r>
      <rPr>
        <b/>
        <vertAlign val="subscript"/>
        <sz val="8"/>
        <color theme="1"/>
        <rFont val="Tahoma"/>
        <family val="2"/>
      </rPr>
      <t>TOT TF, 2027</t>
    </r>
  </si>
  <si>
    <r>
      <t>RC</t>
    </r>
    <r>
      <rPr>
        <i/>
        <vertAlign val="subscript"/>
        <sz val="8"/>
        <color theme="1"/>
        <rFont val="Tahoma"/>
        <family val="2"/>
      </rPr>
      <t>TOT TV, 2028</t>
    </r>
    <r>
      <rPr>
        <i/>
        <sz val="8"/>
        <color theme="1"/>
        <rFont val="Tahoma"/>
        <family val="2"/>
      </rPr>
      <t xml:space="preserve"> - Gestore</t>
    </r>
  </si>
  <si>
    <r>
      <t>RC</t>
    </r>
    <r>
      <rPr>
        <i/>
        <vertAlign val="subscript"/>
        <sz val="8"/>
        <color theme="1"/>
        <rFont val="Tahoma"/>
        <family val="2"/>
      </rPr>
      <t>TOT TV, 2028</t>
    </r>
    <r>
      <rPr>
        <i/>
        <sz val="8"/>
        <color theme="1"/>
        <rFont val="Tahoma"/>
        <family val="2"/>
      </rPr>
      <t xml:space="preserve"> - Comune</t>
    </r>
  </si>
  <si>
    <r>
      <t>RC</t>
    </r>
    <r>
      <rPr>
        <b/>
        <vertAlign val="subscript"/>
        <sz val="8"/>
        <color theme="1"/>
        <rFont val="Tahoma"/>
        <family val="2"/>
      </rPr>
      <t>TOT TV, 2028</t>
    </r>
  </si>
  <si>
    <r>
      <t>RC</t>
    </r>
    <r>
      <rPr>
        <i/>
        <vertAlign val="subscript"/>
        <sz val="8"/>
        <color theme="1"/>
        <rFont val="Tahoma"/>
        <family val="2"/>
      </rPr>
      <t>TOT TF, 2028</t>
    </r>
    <r>
      <rPr>
        <i/>
        <sz val="8"/>
        <color theme="1"/>
        <rFont val="Tahoma"/>
        <family val="2"/>
      </rPr>
      <t xml:space="preserve"> - Gestore</t>
    </r>
  </si>
  <si>
    <r>
      <t>RC</t>
    </r>
    <r>
      <rPr>
        <i/>
        <vertAlign val="subscript"/>
        <sz val="8"/>
        <color theme="1"/>
        <rFont val="Tahoma"/>
        <family val="2"/>
      </rPr>
      <t>TOT TF, 2028</t>
    </r>
    <r>
      <rPr>
        <i/>
        <sz val="8"/>
        <color theme="1"/>
        <rFont val="Tahoma"/>
        <family val="2"/>
      </rPr>
      <t xml:space="preserve"> - Comune</t>
    </r>
  </si>
  <si>
    <r>
      <t>RC</t>
    </r>
    <r>
      <rPr>
        <b/>
        <vertAlign val="subscript"/>
        <sz val="8"/>
        <color theme="1"/>
        <rFont val="Tahoma"/>
        <family val="2"/>
      </rPr>
      <t>TOT TF, 2028</t>
    </r>
  </si>
  <si>
    <r>
      <t>RC</t>
    </r>
    <r>
      <rPr>
        <i/>
        <vertAlign val="subscript"/>
        <sz val="8"/>
        <color theme="1"/>
        <rFont val="Tahoma"/>
        <family val="2"/>
      </rPr>
      <t>TOT TV, 2029</t>
    </r>
    <r>
      <rPr>
        <i/>
        <sz val="8"/>
        <color theme="1"/>
        <rFont val="Tahoma"/>
        <family val="2"/>
      </rPr>
      <t xml:space="preserve"> - Gestore</t>
    </r>
  </si>
  <si>
    <r>
      <t>RC</t>
    </r>
    <r>
      <rPr>
        <i/>
        <vertAlign val="subscript"/>
        <sz val="8"/>
        <color theme="1"/>
        <rFont val="Tahoma"/>
        <family val="2"/>
      </rPr>
      <t>TOT TV, 2029</t>
    </r>
    <r>
      <rPr>
        <i/>
        <sz val="8"/>
        <color theme="1"/>
        <rFont val="Tahoma"/>
        <family val="2"/>
      </rPr>
      <t xml:space="preserve"> - Comune</t>
    </r>
  </si>
  <si>
    <r>
      <t>RC</t>
    </r>
    <r>
      <rPr>
        <b/>
        <vertAlign val="subscript"/>
        <sz val="8"/>
        <color theme="1"/>
        <rFont val="Tahoma"/>
        <family val="2"/>
      </rPr>
      <t>TOT TV, 2029</t>
    </r>
  </si>
  <si>
    <r>
      <t>RC</t>
    </r>
    <r>
      <rPr>
        <i/>
        <vertAlign val="subscript"/>
        <sz val="8"/>
        <color theme="1"/>
        <rFont val="Tahoma"/>
        <family val="2"/>
      </rPr>
      <t>TOT TF, 2029</t>
    </r>
    <r>
      <rPr>
        <i/>
        <sz val="8"/>
        <color theme="1"/>
        <rFont val="Tahoma"/>
        <family val="2"/>
      </rPr>
      <t xml:space="preserve"> - Gestore</t>
    </r>
  </si>
  <si>
    <r>
      <t>RC</t>
    </r>
    <r>
      <rPr>
        <i/>
        <vertAlign val="subscript"/>
        <sz val="8"/>
        <color theme="1"/>
        <rFont val="Tahoma"/>
        <family val="2"/>
      </rPr>
      <t>TOT TF, 2029</t>
    </r>
    <r>
      <rPr>
        <i/>
        <sz val="8"/>
        <color theme="1"/>
        <rFont val="Tahoma"/>
        <family val="2"/>
      </rPr>
      <t xml:space="preserve"> - Comune</t>
    </r>
  </si>
  <si>
    <r>
      <t>RC</t>
    </r>
    <r>
      <rPr>
        <b/>
        <vertAlign val="subscript"/>
        <sz val="8"/>
        <color theme="1"/>
        <rFont val="Tahoma"/>
        <family val="2"/>
      </rPr>
      <t>TOT TF, 2029</t>
    </r>
  </si>
  <si>
    <t>IN_Detr 4.5 del_397</t>
  </si>
  <si>
    <t>DETRAZIONI 4.5 DEL. 397/2025/R/Rif</t>
  </si>
  <si>
    <t>CRT_26_GEST</t>
  </si>
  <si>
    <t>CRT_26_GEST_DETR</t>
  </si>
  <si>
    <t>CRT_26_GEST_PD</t>
  </si>
  <si>
    <t>CRT_26_COM</t>
  </si>
  <si>
    <t>CRT_26_COM_DETR</t>
  </si>
  <si>
    <t>CRT_26_COM_PD</t>
  </si>
  <si>
    <t>CTS_26_GEST</t>
  </si>
  <si>
    <t>CTS_26_GEST_DETR</t>
  </si>
  <si>
    <t>CTS_26_GEST_PD</t>
  </si>
  <si>
    <t>CTS_26_COM</t>
  </si>
  <si>
    <t>CTS_26_COM_DETR</t>
  </si>
  <si>
    <t>CTS_26_COM_PD</t>
  </si>
  <si>
    <t>CTR_26_GEST</t>
  </si>
  <si>
    <t>CTR_26_GEST_DETR</t>
  </si>
  <si>
    <t>CTR_26_GEST_PD</t>
  </si>
  <si>
    <t>CTR_26_COM</t>
  </si>
  <si>
    <t>CTR_26_COM_DETR</t>
  </si>
  <si>
    <t>CTR_26_COM_PD</t>
  </si>
  <si>
    <t>CRD_26_GEST</t>
  </si>
  <si>
    <t>CRD_26_GEST_DETR</t>
  </si>
  <si>
    <t>CRD_26_GEST_PD</t>
  </si>
  <si>
    <t>CRD_26_COM</t>
  </si>
  <si>
    <t>CRD_26_COM_DETR</t>
  </si>
  <si>
    <t>CRD_26_COM_PD</t>
  </si>
  <si>
    <t>REC_CO116_TV_26_GEST_DETR</t>
  </si>
  <si>
    <t>REC_CO116_TV_26_GEST_PD</t>
  </si>
  <si>
    <t>REC_IMP_TV_26_GEST_DETR</t>
  </si>
  <si>
    <t>REC_IMP_TV_26_GEST_PD</t>
  </si>
  <si>
    <t>REC_FATT_TV_26_GEST_DETR</t>
  </si>
  <si>
    <t>REC_FATT_TV_26_GEST_PD</t>
  </si>
  <si>
    <t>RCTOT_TV_26_GEST_DETR</t>
  </si>
  <si>
    <t>RCTOT_TV_26_GEST_PD</t>
  </si>
  <si>
    <t>REC_CO116_TV_26_COM_DETR</t>
  </si>
  <si>
    <t>REC_CO116_TV_26_COM_PD</t>
  </si>
  <si>
    <t>REC_IMP_TV_26_COM_DETR</t>
  </si>
  <si>
    <t>REC_IMP_TV_26_COM_PD</t>
  </si>
  <si>
    <t>REC_FATT_TV_26_COM_DETR</t>
  </si>
  <si>
    <t>REC_FATT_TV_26_COM_PD</t>
  </si>
  <si>
    <t>RCTOT_TV_26_COM_DETR</t>
  </si>
  <si>
    <t>RCTOT_TV_26_COM_PD</t>
  </si>
  <si>
    <t>IVAVAR_26_COM</t>
  </si>
  <si>
    <t>IVAVAR_26_COM_DETR</t>
  </si>
  <si>
    <t>IVAVAR_26_COM_PD</t>
  </si>
  <si>
    <t>CSL_26_GEST</t>
  </si>
  <si>
    <t>CSL_26_GEST_DETR</t>
  </si>
  <si>
    <t>CSL_26_GEST_PD</t>
  </si>
  <si>
    <t>CSL_26_COM</t>
  </si>
  <si>
    <t>CSL_26_COM_DETR</t>
  </si>
  <si>
    <t>CSL_26_COM_PD</t>
  </si>
  <si>
    <t>CARC_26_GEST</t>
  </si>
  <si>
    <t>CARC_26_GEST_DETR</t>
  </si>
  <si>
    <t>CARC_26_GEST_PD</t>
  </si>
  <si>
    <t>CARC_26_COM</t>
  </si>
  <si>
    <t>CARC_26_COM_DETR</t>
  </si>
  <si>
    <t>CARC_26_COM_PD</t>
  </si>
  <si>
    <t>CGG_26_GEST</t>
  </si>
  <si>
    <t>CGG_26_GEST_DETR</t>
  </si>
  <si>
    <t>CGG_26_GEST_PD</t>
  </si>
  <si>
    <t>CGG_26_COM</t>
  </si>
  <si>
    <t>CGG_26_COM_DETR</t>
  </si>
  <si>
    <t>CGG_26_COM_PD</t>
  </si>
  <si>
    <t>CCD_26_GEST</t>
  </si>
  <si>
    <t>CCD_26_GEST_DETR</t>
  </si>
  <si>
    <t>CCD_26_GEST_PD</t>
  </si>
  <si>
    <t>CCD_26_COM</t>
  </si>
  <si>
    <t>CCD_26_COM_DETR</t>
  </si>
  <si>
    <t>CCD_26_COM_PD</t>
  </si>
  <si>
    <t>COAL_26_GEST</t>
  </si>
  <si>
    <t>COAL_26_GEST_DETR</t>
  </si>
  <si>
    <t>COAL_26_GEST_PD</t>
  </si>
  <si>
    <t>COAL_26_COM</t>
  </si>
  <si>
    <t>COAL_26_COM_DETR</t>
  </si>
  <si>
    <t>COAL_26_COM_PD</t>
  </si>
  <si>
    <t>AMM_26_GEST</t>
  </si>
  <si>
    <t>AMM_26_GEST_DETR</t>
  </si>
  <si>
    <t>AMM_26_GEST_PD</t>
  </si>
  <si>
    <t>AMM_26_COM</t>
  </si>
  <si>
    <t>AMM_26_COM_DETR</t>
  </si>
  <si>
    <t>AMM_26_COM_PD</t>
  </si>
  <si>
    <t>ACC_DETT1_26_GEST</t>
  </si>
  <si>
    <t>ACC_DETT1_26_GEST_DETR</t>
  </si>
  <si>
    <t>ACC_DETT1_26_GEST_PD</t>
  </si>
  <si>
    <t>ACC_DETT2_26_GEST</t>
  </si>
  <si>
    <t>ACC_DETT2_26_GEST_DETR</t>
  </si>
  <si>
    <t>ACC_DETT2_26_GEST_PD</t>
  </si>
  <si>
    <t>ACC_DETT3_26_GEST</t>
  </si>
  <si>
    <t>ACC_DETT3_26_GEST_DETR</t>
  </si>
  <si>
    <t>ACC_DETT3_26_GEST_PD</t>
  </si>
  <si>
    <t>ACC_DETT4_26_GEST</t>
  </si>
  <si>
    <t>ACC_DETT4_26_GEST_DETR</t>
  </si>
  <si>
    <t>ACC_DETT4_26_GEST_PD</t>
  </si>
  <si>
    <t>ACC_26_GEST</t>
  </si>
  <si>
    <t>ACC_26_GEST_DETR</t>
  </si>
  <si>
    <t>ACC_26_GEST_PD</t>
  </si>
  <si>
    <t>ACC_DETT1_26_COM</t>
  </si>
  <si>
    <t>ACC_DETT1_26_COM_DETR</t>
  </si>
  <si>
    <t>ACC_DETT1_26_COM_PD</t>
  </si>
  <si>
    <t>ACC_DETT2_26_COM</t>
  </si>
  <si>
    <t>ACC_DETT2_26_COM_DETR</t>
  </si>
  <si>
    <t>ACC_DETT2_26_COM_PD</t>
  </si>
  <si>
    <t>ACC_DETT3_26_COM</t>
  </si>
  <si>
    <t>ACC_DETT3_26_COM_DETR</t>
  </si>
  <si>
    <t>ACC_DETT3_26_COM_PD</t>
  </si>
  <si>
    <t>ACC_DETT4_26_COM</t>
  </si>
  <si>
    <t>ACC_DETT4_26_COM_DETR</t>
  </si>
  <si>
    <t>ACC_DETT4_26_COM_PD</t>
  </si>
  <si>
    <t>ACC_26_COM</t>
  </si>
  <si>
    <t>ACC_26_COM_DETR</t>
  </si>
  <si>
    <t>ACC_26_COM_PD</t>
  </si>
  <si>
    <t>R_26_GEST</t>
  </si>
  <si>
    <t>R_26_GEST_DETR</t>
  </si>
  <si>
    <t>R_26_GEST_PD</t>
  </si>
  <si>
    <t>R_26_COM</t>
  </si>
  <si>
    <t>R_26_COM_DETR</t>
  </si>
  <si>
    <t>R_26_COM_PD</t>
  </si>
  <si>
    <t>RLIC_26_GEST</t>
  </si>
  <si>
    <t>RLIC_26_GEST_DETR</t>
  </si>
  <si>
    <t>RLIC_26_GEST_PD</t>
  </si>
  <si>
    <t>RLIC_26_COM</t>
  </si>
  <si>
    <t>RLIC_26_COM_DETR</t>
  </si>
  <si>
    <t>RLIC_26_COM_PD</t>
  </si>
  <si>
    <t>CKPROP_26_GEST</t>
  </si>
  <si>
    <t>CKPROP_26_GEST_DETR</t>
  </si>
  <si>
    <t>CKPROP_26_GEST_PD</t>
  </si>
  <si>
    <t>CKPROP_26_COM</t>
  </si>
  <si>
    <t>CKPROP_26_COM_DETR</t>
  </si>
  <si>
    <t>CKPROP_26_COM_PD</t>
  </si>
  <si>
    <t>REC_CO116_TF_26_GEST_DETR</t>
  </si>
  <si>
    <t>REC_CO116_TF_26_GEST_PD</t>
  </si>
  <si>
    <t>REC_FATT_TF_26_GEST_DETR</t>
  </si>
  <si>
    <t>REC_FATT_TF_26_GEST_PD</t>
  </si>
  <si>
    <t>RCTOT_TF_26_GEST_DETR</t>
  </si>
  <si>
    <t>RCTOT_TF_26_GEST_PD</t>
  </si>
  <si>
    <t>REC_CO116_TF_26_COM_DETR</t>
  </si>
  <si>
    <t>REC_CO116_TF_26_COM_PD</t>
  </si>
  <si>
    <t>REC_FATT_TF_26_COM_DETR</t>
  </si>
  <si>
    <t>REC_FATT_TF_26_COM_PD</t>
  </si>
  <si>
    <t>RCTOT_TF_26_COM_DETR</t>
  </si>
  <si>
    <t>RCTOT_TF_26_COM_PD</t>
  </si>
  <si>
    <t>IVAFIS_26_COM</t>
  </si>
  <si>
    <t>IVAFIS_26_COM_DETR</t>
  </si>
  <si>
    <t>IVAFIS_26_COM_PD</t>
  </si>
  <si>
    <t>TV_26_GEST</t>
  </si>
  <si>
    <t>AR_26_GEST</t>
  </si>
  <si>
    <t>ARSC_26_GEST</t>
  </si>
  <si>
    <t>IVAVAR_26_GEST</t>
  </si>
  <si>
    <t>TF_26_GEST</t>
  </si>
  <si>
    <t>CC_26_GEST</t>
  </si>
  <si>
    <t>CK_26_GEST</t>
  </si>
  <si>
    <t>IVAFIS_26_GEST</t>
  </si>
  <si>
    <t>T_26_GEST</t>
  </si>
  <si>
    <t>TV_26_GEST_PD</t>
  </si>
  <si>
    <t>TF_26_GEST_PD</t>
  </si>
  <si>
    <t>CC_26_GEST_PD</t>
  </si>
  <si>
    <t>CK_26_GEST_PD</t>
  </si>
  <si>
    <t>T_26_GEST_PD</t>
  </si>
  <si>
    <t>PEF GESTORE 2026</t>
  </si>
  <si>
    <t>CRT_27_GEST</t>
  </si>
  <si>
    <t>CRT_27_GEST_DETR</t>
  </si>
  <si>
    <t>CRT_27_GEST_PD</t>
  </si>
  <si>
    <t>CRT_27_COM</t>
  </si>
  <si>
    <t>CRT_27_COM_DETR</t>
  </si>
  <si>
    <t>CRT_27_COM_PD</t>
  </si>
  <si>
    <t>CTS_27_GEST</t>
  </si>
  <si>
    <t>CTS_27_GEST_DETR</t>
  </si>
  <si>
    <t>CTS_27_GEST_PD</t>
  </si>
  <si>
    <t>CTS_27_COM</t>
  </si>
  <si>
    <t>CTS_27_COM_DETR</t>
  </si>
  <si>
    <t>CTS_27_COM_PD</t>
  </si>
  <si>
    <t>CTR_27_GEST</t>
  </si>
  <si>
    <t>CTR_27_GEST_DETR</t>
  </si>
  <si>
    <t>CTR_27_GEST_PD</t>
  </si>
  <si>
    <t>CTR_27_COM</t>
  </si>
  <si>
    <t>CTR_27_COM_DETR</t>
  </si>
  <si>
    <t>CTR_27_COM_PD</t>
  </si>
  <si>
    <t>CRD_27_GEST</t>
  </si>
  <si>
    <t>CRD_27_GEST_DETR</t>
  </si>
  <si>
    <t>CRD_27_GEST_PD</t>
  </si>
  <si>
    <t>CRD_27_COM</t>
  </si>
  <si>
    <t>CRD_27_COM_DETR</t>
  </si>
  <si>
    <t>CRD_27_COM_PD</t>
  </si>
  <si>
    <t>REC_CO116_TV_27_GEST_DETR</t>
  </si>
  <si>
    <t>REC_CO116_TV_27_GEST_PD</t>
  </si>
  <si>
    <t>REC_IMP_TV_27_GEST_DETR</t>
  </si>
  <si>
    <t>REC_IMP_TV_27_GEST_PD</t>
  </si>
  <si>
    <t>REC_FATT_TV_27_GEST_DETR</t>
  </si>
  <si>
    <t>REC_FATT_TV_27_GEST_PD</t>
  </si>
  <si>
    <t>RCTOT_TV_27_GEST_DETR</t>
  </si>
  <si>
    <t>RCTOT_TV_27_GEST_PD</t>
  </si>
  <si>
    <t>REC_CO116_TV_27_COM_DETR</t>
  </si>
  <si>
    <t>REC_CO116_TV_27_COM_PD</t>
  </si>
  <si>
    <t>REC_IMP_TV_27_COM_DETR</t>
  </si>
  <si>
    <t>REC_IMP_TV_27_COM_PD</t>
  </si>
  <si>
    <t>REC_FATT_TV_27_COM_DETR</t>
  </si>
  <si>
    <t>REC_FATT_TV_27_COM_PD</t>
  </si>
  <si>
    <t>RCTOT_TV_27_COM_DETR</t>
  </si>
  <si>
    <t>RCTOT_TV_27_COM_PD</t>
  </si>
  <si>
    <t>IVAVAR_27_COM</t>
  </si>
  <si>
    <t>IVAVAR_27_COM_DETR</t>
  </si>
  <si>
    <t>IVAVAR_27_COM_PD</t>
  </si>
  <si>
    <t>CSL_27_GEST</t>
  </si>
  <si>
    <t>CSL_27_GEST_DETR</t>
  </si>
  <si>
    <t>CSL_27_GEST_PD</t>
  </si>
  <si>
    <t>CSL_27_COM</t>
  </si>
  <si>
    <t>CSL_27_COM_DETR</t>
  </si>
  <si>
    <t>CSL_27_COM_PD</t>
  </si>
  <si>
    <t>CARC_27_GEST</t>
  </si>
  <si>
    <t>CARC_27_GEST_DETR</t>
  </si>
  <si>
    <t>CARC_27_GEST_PD</t>
  </si>
  <si>
    <t>CARC_27_COM</t>
  </si>
  <si>
    <t>CARC_27_COM_DETR</t>
  </si>
  <si>
    <t>CARC_27_COM_PD</t>
  </si>
  <si>
    <t>CGG_27_GEST</t>
  </si>
  <si>
    <t>CGG_27_GEST_DETR</t>
  </si>
  <si>
    <t>CGG_27_GEST_PD</t>
  </si>
  <si>
    <t>CGG_27_COM</t>
  </si>
  <si>
    <t>CGG_27_COM_DETR</t>
  </si>
  <si>
    <t>CGG_27_COM_PD</t>
  </si>
  <si>
    <t>CCD_27_GEST</t>
  </si>
  <si>
    <t>CCD_27_GEST_DETR</t>
  </si>
  <si>
    <t>CCD_27_GEST_PD</t>
  </si>
  <si>
    <t>CCD_27_COM</t>
  </si>
  <si>
    <t>CCD_27_COM_DETR</t>
  </si>
  <si>
    <t>CCD_27_COM_PD</t>
  </si>
  <si>
    <t>COAL_27_GEST</t>
  </si>
  <si>
    <t>COAL_27_GEST_DETR</t>
  </si>
  <si>
    <t>COAL_27_GEST_PD</t>
  </si>
  <si>
    <t>COAL_27_COM</t>
  </si>
  <si>
    <t>COAL_27_COM_DETR</t>
  </si>
  <si>
    <t>COAL_27_COM_PD</t>
  </si>
  <si>
    <t>AMM_27_GEST</t>
  </si>
  <si>
    <t>AMM_27_GEST_DETR</t>
  </si>
  <si>
    <t>AMM_27_GEST_PD</t>
  </si>
  <si>
    <t>AMM_27_COM</t>
  </si>
  <si>
    <t>AMM_27_COM_DETR</t>
  </si>
  <si>
    <t>AMM_27_COM_PD</t>
  </si>
  <si>
    <t>ACC_DETT1_27_GEST</t>
  </si>
  <si>
    <t>ACC_DETT1_27_GEST_DETR</t>
  </si>
  <si>
    <t>ACC_DETT1_27_GEST_PD</t>
  </si>
  <si>
    <t>ACC_DETT2_27_GEST</t>
  </si>
  <si>
    <t>ACC_DETT2_27_GEST_DETR</t>
  </si>
  <si>
    <t>ACC_DETT2_27_GEST_PD</t>
  </si>
  <si>
    <t>ACC_DETT3_27_GEST</t>
  </si>
  <si>
    <t>ACC_DETT3_27_GEST_DETR</t>
  </si>
  <si>
    <t>ACC_DETT3_27_GEST_PD</t>
  </si>
  <si>
    <t>ACC_DETT4_27_GEST</t>
  </si>
  <si>
    <t>ACC_DETT4_27_GEST_DETR</t>
  </si>
  <si>
    <t>ACC_DETT4_27_GEST_PD</t>
  </si>
  <si>
    <t>ACC_27_GEST</t>
  </si>
  <si>
    <t>ACC_27_GEST_DETR</t>
  </si>
  <si>
    <t>ACC_27_GEST_PD</t>
  </si>
  <si>
    <t>ACC_DETT1_27_COM</t>
  </si>
  <si>
    <t>ACC_DETT1_27_COM_DETR</t>
  </si>
  <si>
    <t>ACC_DETT1_27_COM_PD</t>
  </si>
  <si>
    <t>ACC_DETT2_27_COM</t>
  </si>
  <si>
    <t>ACC_DETT2_27_COM_DETR</t>
  </si>
  <si>
    <t>ACC_DETT2_27_COM_PD</t>
  </si>
  <si>
    <t>ACC_DETT3_27_COM</t>
  </si>
  <si>
    <t>ACC_DETT3_27_COM_DETR</t>
  </si>
  <si>
    <t>ACC_DETT3_27_COM_PD</t>
  </si>
  <si>
    <t>ACC_DETT4_27_COM</t>
  </si>
  <si>
    <t>ACC_DETT4_27_COM_DETR</t>
  </si>
  <si>
    <t>ACC_DETT4_27_COM_PD</t>
  </si>
  <si>
    <t>ACC_27_COM</t>
  </si>
  <si>
    <t>ACC_27_COM_DETR</t>
  </si>
  <si>
    <t>ACC_27_COM_PD</t>
  </si>
  <si>
    <t>R_27_GEST</t>
  </si>
  <si>
    <t>R_27_GEST_DETR</t>
  </si>
  <si>
    <t>R_27_GEST_PD</t>
  </si>
  <si>
    <t>R_27_COM</t>
  </si>
  <si>
    <t>R_27_COM_DETR</t>
  </si>
  <si>
    <t>R_27_COM_PD</t>
  </si>
  <si>
    <t>RLIC_27_GEST</t>
  </si>
  <si>
    <t>RLIC_27_GEST_DETR</t>
  </si>
  <si>
    <t>RLIC_27_GEST_PD</t>
  </si>
  <si>
    <t>RLIC_27_COM</t>
  </si>
  <si>
    <t>RLIC_27_COM_DETR</t>
  </si>
  <si>
    <t>RLIC_27_COM_PD</t>
  </si>
  <si>
    <t>CKPROP_27_GEST</t>
  </si>
  <si>
    <t>CKPROP_27_GEST_DETR</t>
  </si>
  <si>
    <t>CKPROP_27_GEST_PD</t>
  </si>
  <si>
    <t>CKPROP_27_COM</t>
  </si>
  <si>
    <t>CKPROP_27_COM_DETR</t>
  </si>
  <si>
    <t>CKPROP_27_COM_PD</t>
  </si>
  <si>
    <t>REC_CO116_TF_27_GEST_DETR</t>
  </si>
  <si>
    <t>REC_CO116_TF_27_GEST_PD</t>
  </si>
  <si>
    <t>REC_FATT_TF_27_GEST_DETR</t>
  </si>
  <si>
    <t>REC_FATT_TF_27_GEST_PD</t>
  </si>
  <si>
    <t>RCTOT_TF_27_GEST_DETR</t>
  </si>
  <si>
    <t>RCTOT_TF_27_GEST_PD</t>
  </si>
  <si>
    <t>REC_CO116_TF_27_COM_DETR</t>
  </si>
  <si>
    <t>REC_CO116_TF_27_COM_PD</t>
  </si>
  <si>
    <t>REC_FATT_TF_27_COM_DETR</t>
  </si>
  <si>
    <t>REC_FATT_TF_27_COM_PD</t>
  </si>
  <si>
    <t>RCTOT_TF_27_COM_DETR</t>
  </si>
  <si>
    <t>RCTOT_TF_27_COM_PD</t>
  </si>
  <si>
    <t>IVAFIS_27_COM</t>
  </si>
  <si>
    <t>IVAFIS_27_COM_DETR</t>
  </si>
  <si>
    <t>IVAFIS_27_COM_PD</t>
  </si>
  <si>
    <r>
      <t>CRT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Gestore</t>
    </r>
  </si>
  <si>
    <r>
      <t>CRT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Gestore - Detrazione</t>
    </r>
  </si>
  <si>
    <r>
      <t>CRT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Gestore - Post Detrazioni</t>
    </r>
  </si>
  <si>
    <r>
      <t>CRT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Comune</t>
    </r>
  </si>
  <si>
    <r>
      <t>CRT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Comune - Detrazione</t>
    </r>
  </si>
  <si>
    <r>
      <t>CRT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Comune - Post Detrazioni</t>
    </r>
  </si>
  <si>
    <r>
      <t>CTS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Gestore</t>
    </r>
  </si>
  <si>
    <r>
      <t>CTS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Gestore - Detrazione</t>
    </r>
  </si>
  <si>
    <r>
      <t>CTS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Gestore - Post Detrazioni</t>
    </r>
  </si>
  <si>
    <r>
      <t>CTS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Comune</t>
    </r>
  </si>
  <si>
    <r>
      <t>CTS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Comune - Detrazione</t>
    </r>
  </si>
  <si>
    <r>
      <t>CTS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Comune - Post Detrazioni</t>
    </r>
  </si>
  <si>
    <r>
      <t>CTR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Gestore</t>
    </r>
  </si>
  <si>
    <r>
      <t>CTR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Gestore - Detrazione</t>
    </r>
  </si>
  <si>
    <r>
      <t>CTR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Gestore - Post Detrazioni</t>
    </r>
  </si>
  <si>
    <r>
      <t>CTR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Comune</t>
    </r>
  </si>
  <si>
    <r>
      <t>CTR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Comune - Detrazione</t>
    </r>
  </si>
  <si>
    <r>
      <t>CTR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Comune - Post Detrazioni</t>
    </r>
  </si>
  <si>
    <r>
      <t>CRD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Gestore</t>
    </r>
  </si>
  <si>
    <r>
      <t>CRD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Gestore - Detrazione</t>
    </r>
  </si>
  <si>
    <r>
      <t>CRD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Gestore - Post Detrazioni</t>
    </r>
  </si>
  <si>
    <r>
      <t>CRD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Comune</t>
    </r>
  </si>
  <si>
    <r>
      <t>CRD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Comune - Detrazione</t>
    </r>
  </si>
  <si>
    <r>
      <t>CRD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Comune - Post Detrazioni</t>
    </r>
  </si>
  <si>
    <r>
      <t>RC</t>
    </r>
    <r>
      <rPr>
        <vertAlign val="subscript"/>
        <sz val="8"/>
        <color theme="1"/>
        <rFont val="Tahoma"/>
        <family val="2"/>
      </rPr>
      <t>SMAL</t>
    </r>
    <r>
      <rPr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2026</t>
    </r>
    <r>
      <rPr>
        <sz val="8"/>
        <color theme="1"/>
        <rFont val="Tahoma"/>
        <family val="2"/>
      </rPr>
      <t xml:space="preserve"> - Gestore - Detrazione</t>
    </r>
  </si>
  <si>
    <r>
      <t>Recupero CO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116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2026</t>
    </r>
    <r>
      <rPr>
        <i/>
        <sz val="8"/>
        <color theme="1"/>
        <rFont val="Tahoma"/>
        <family val="2"/>
      </rPr>
      <t xml:space="preserve"> - Gestore</t>
    </r>
  </si>
  <si>
    <r>
      <t>Recupero CO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116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2026</t>
    </r>
    <r>
      <rPr>
        <sz val="8"/>
        <color theme="1"/>
        <rFont val="Tahoma"/>
        <family val="2"/>
      </rPr>
      <t xml:space="preserve"> - Gestore - Detrazione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</si>
  <si>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Gestore - Post Detrazioni</t>
    </r>
  </si>
  <si>
    <t>RCSMAL_TV_26_GEST_DETR</t>
  </si>
  <si>
    <t>RCSMAL_TV_26_GEST_PD</t>
  </si>
  <si>
    <r>
      <t>RC</t>
    </r>
    <r>
      <rPr>
        <i/>
        <vertAlign val="subscript"/>
        <sz val="8"/>
        <color theme="1"/>
        <rFont val="Tahoma"/>
        <family val="2"/>
      </rPr>
      <t>SMAL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2026</t>
    </r>
    <r>
      <rPr>
        <i/>
        <sz val="8"/>
        <color theme="1"/>
        <rFont val="Tahoma"/>
        <family val="2"/>
      </rPr>
      <t xml:space="preserve"> - Gestore</t>
    </r>
  </si>
  <si>
    <r>
      <t>Recupero CQ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TV, 2026</t>
    </r>
    <r>
      <rPr>
        <sz val="8"/>
        <color theme="1"/>
        <rFont val="Tahoma"/>
        <family val="2"/>
      </rPr>
      <t xml:space="preserve"> - Gestore - Detrazione</t>
    </r>
  </si>
  <si>
    <t>REC_CQ_TV_26_GEST_DETR</t>
  </si>
  <si>
    <t>REC_CQ_TV_26_GEST_PD</t>
  </si>
  <si>
    <t>REC_COnew_TV_26_GEST_DETR</t>
  </si>
  <si>
    <t>REC_COnew_TV_26_GEST_PD</t>
  </si>
  <si>
    <t>REC_COI_TV_26_GEST_DETR</t>
  </si>
  <si>
    <t>REC_COI_TV_26_GEST_PD</t>
  </si>
  <si>
    <r>
      <t>Recupero COnew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TV, 2026</t>
    </r>
    <r>
      <rPr>
        <sz val="8"/>
        <color theme="1"/>
        <rFont val="Tahoma"/>
        <family val="2"/>
      </rPr>
      <t xml:space="preserve"> - Gestore - Detrazione</t>
    </r>
  </si>
  <si>
    <r>
      <t xml:space="preserve">RC </t>
    </r>
    <r>
      <rPr>
        <vertAlign val="subscript"/>
        <sz val="8"/>
        <color theme="1"/>
        <rFont val="Tahoma"/>
        <family val="2"/>
      </rPr>
      <t>CTS 2026</t>
    </r>
    <r>
      <rPr>
        <sz val="8"/>
        <color theme="1"/>
        <rFont val="Tahoma"/>
        <family val="2"/>
      </rPr>
      <t xml:space="preserve"> - Gestore - Detrazione</t>
    </r>
  </si>
  <si>
    <r>
      <t xml:space="preserve">RC </t>
    </r>
    <r>
      <rPr>
        <b/>
        <vertAlign val="subscript"/>
        <sz val="8"/>
        <color theme="1"/>
        <rFont val="Tahoma"/>
        <family val="2"/>
      </rPr>
      <t>CTS 2026</t>
    </r>
    <r>
      <rPr>
        <b/>
        <sz val="8"/>
        <color theme="1"/>
        <rFont val="Tahoma"/>
        <family val="2"/>
      </rPr>
      <t xml:space="preserve"> - Gestore - Post Detrazioni</t>
    </r>
  </si>
  <si>
    <r>
      <t>Differenza fatturato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2026</t>
    </r>
    <r>
      <rPr>
        <i/>
        <sz val="8"/>
        <color theme="1"/>
        <rFont val="Tahoma"/>
        <family val="2"/>
      </rPr>
      <t xml:space="preserve"> - Gestore</t>
    </r>
  </si>
  <si>
    <r>
      <t>Differenza fatturato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2026</t>
    </r>
    <r>
      <rPr>
        <sz val="8"/>
        <color theme="1"/>
        <rFont val="Tahoma"/>
        <family val="2"/>
      </rPr>
      <t xml:space="preserve"> - Gestore - Detrazione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</si>
  <si>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Gestore - Post Detrazioni</t>
    </r>
  </si>
  <si>
    <t>I_25_TV_GEST_26_DETR</t>
  </si>
  <si>
    <t>I_25_TV_GEST_26_PD</t>
  </si>
  <si>
    <r>
      <t>Conguaglio Inflazione PEF25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2026</t>
    </r>
    <r>
      <rPr>
        <sz val="8"/>
        <color theme="1"/>
        <rFont val="Tahoma"/>
        <family val="2"/>
      </rPr>
      <t xml:space="preserve"> - Gestore - Detrazione</t>
    </r>
  </si>
  <si>
    <r>
      <t>Conguaglio Inflazione PEF25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Gestore - Post Detrazioni</t>
    </r>
  </si>
  <si>
    <t>I_27_TV_GEST_26_DETR</t>
  </si>
  <si>
    <t>I_27_TV_GEST_26_PD</t>
  </si>
  <si>
    <r>
      <t>Conguaglio Inflazione PEF27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2026</t>
    </r>
    <r>
      <rPr>
        <sz val="8"/>
        <color theme="1"/>
        <rFont val="Tahoma"/>
        <family val="2"/>
      </rPr>
      <t xml:space="preserve"> - Gestore - Detrazione</t>
    </r>
  </si>
  <si>
    <r>
      <t>Conguaglio Inflazione PEF27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Gestore - Post Detrazioni</t>
    </r>
  </si>
  <si>
    <t>RC_CORD_TV_GEST_26_DETR</t>
  </si>
  <si>
    <t>RC_CORD_TV_GEST_26_PD</t>
  </si>
  <si>
    <r>
      <t>RC</t>
    </r>
    <r>
      <rPr>
        <i/>
        <vertAlign val="subscript"/>
        <sz val="8"/>
        <color theme="1"/>
        <rFont val="Tahoma"/>
        <family val="2"/>
      </rPr>
      <t xml:space="preserve">TMAX </t>
    </r>
    <r>
      <rPr>
        <i/>
        <sz val="8"/>
        <color theme="1"/>
        <rFont val="Tahoma"/>
        <family val="2"/>
      </rPr>
      <t xml:space="preserve">Anni pregressi </t>
    </r>
    <r>
      <rPr>
        <i/>
        <vertAlign val="subscript"/>
        <sz val="8"/>
        <color theme="1"/>
        <rFont val="Tahoma"/>
        <family val="2"/>
      </rPr>
      <t>TV, 2026</t>
    </r>
    <r>
      <rPr>
        <i/>
        <sz val="8"/>
        <color theme="1"/>
        <rFont val="Tahoma"/>
        <family val="2"/>
      </rPr>
      <t xml:space="preserve"> - Gestore</t>
    </r>
  </si>
  <si>
    <t>RCSMAL_TV_26_COM_DETR</t>
  </si>
  <si>
    <t>RCSMAL_TV_26_COM_PD</t>
  </si>
  <si>
    <t>REC_CQ_TV_26_COM_DETR</t>
  </si>
  <si>
    <t>REC_CQ_TV_26_COM_PD</t>
  </si>
  <si>
    <t>REC_COnew_TV_26_COM_DETR</t>
  </si>
  <si>
    <t>REC_COnew_TV_26_COM_PD</t>
  </si>
  <si>
    <t>REC_COI_TV_26_COM_DETR</t>
  </si>
  <si>
    <t>REC_COI_TV_26_COM_PD</t>
  </si>
  <si>
    <t>I_25_TV_COM_26_DETR</t>
  </si>
  <si>
    <t>I_25_TV_COM_26_PD</t>
  </si>
  <si>
    <t>I_27_TV_COM_26_DETR</t>
  </si>
  <si>
    <t>I_27_TV_COM_26_PD</t>
  </si>
  <si>
    <t>RC_CORD_TV_COM_26_DETR</t>
  </si>
  <si>
    <t>RC_CORD_TV_COM_26_PD</t>
  </si>
  <si>
    <r>
      <t>RC</t>
    </r>
    <r>
      <rPr>
        <i/>
        <vertAlign val="subscript"/>
        <sz val="8"/>
        <color theme="1"/>
        <rFont val="Tahoma"/>
        <family val="2"/>
      </rPr>
      <t>SMAL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2026</t>
    </r>
    <r>
      <rPr>
        <i/>
        <sz val="8"/>
        <color theme="1"/>
        <rFont val="Tahoma"/>
        <family val="2"/>
      </rPr>
      <t xml:space="preserve"> - Comune</t>
    </r>
  </si>
  <si>
    <r>
      <t>RC</t>
    </r>
    <r>
      <rPr>
        <vertAlign val="subscript"/>
        <sz val="8"/>
        <color theme="1"/>
        <rFont val="Tahoma"/>
        <family val="2"/>
      </rPr>
      <t>SMAL</t>
    </r>
    <r>
      <rPr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2026</t>
    </r>
    <r>
      <rPr>
        <sz val="8"/>
        <color theme="1"/>
        <rFont val="Tahoma"/>
        <family val="2"/>
      </rPr>
      <t xml:space="preserve"> - Comune - Detrazione</t>
    </r>
  </si>
  <si>
    <r>
      <t>Recupero CO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116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2026</t>
    </r>
    <r>
      <rPr>
        <i/>
        <sz val="8"/>
        <color theme="1"/>
        <rFont val="Tahoma"/>
        <family val="2"/>
      </rPr>
      <t xml:space="preserve"> - Comune</t>
    </r>
  </si>
  <si>
    <r>
      <t>Recupero CO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116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2026</t>
    </r>
    <r>
      <rPr>
        <sz val="8"/>
        <color theme="1"/>
        <rFont val="Tahoma"/>
        <family val="2"/>
      </rPr>
      <t xml:space="preserve"> - Comune - Detrazione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</si>
  <si>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Comune - Post Detrazioni</t>
    </r>
  </si>
  <si>
    <r>
      <t>Recupero CQ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TV, 2026</t>
    </r>
    <r>
      <rPr>
        <sz val="8"/>
        <color theme="1"/>
        <rFont val="Tahoma"/>
        <family val="2"/>
      </rPr>
      <t xml:space="preserve"> - Comune - Detrazione</t>
    </r>
  </si>
  <si>
    <r>
      <t>Recupero COnew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TV, 2026</t>
    </r>
    <r>
      <rPr>
        <sz val="8"/>
        <color theme="1"/>
        <rFont val="Tahoma"/>
        <family val="2"/>
      </rPr>
      <t xml:space="preserve"> - Comune - Detrazione</t>
    </r>
  </si>
  <si>
    <r>
      <t xml:space="preserve">RC </t>
    </r>
    <r>
      <rPr>
        <vertAlign val="subscript"/>
        <sz val="8"/>
        <color theme="1"/>
        <rFont val="Tahoma"/>
        <family val="2"/>
      </rPr>
      <t>CTS 2026</t>
    </r>
    <r>
      <rPr>
        <sz val="8"/>
        <color theme="1"/>
        <rFont val="Tahoma"/>
        <family val="2"/>
      </rPr>
      <t xml:space="preserve"> - Comune - Detrazione</t>
    </r>
  </si>
  <si>
    <r>
      <t xml:space="preserve">RC </t>
    </r>
    <r>
      <rPr>
        <b/>
        <vertAlign val="subscript"/>
        <sz val="8"/>
        <color theme="1"/>
        <rFont val="Tahoma"/>
        <family val="2"/>
      </rPr>
      <t>CTS 2026</t>
    </r>
    <r>
      <rPr>
        <b/>
        <sz val="8"/>
        <color theme="1"/>
        <rFont val="Tahoma"/>
        <family val="2"/>
      </rPr>
      <t xml:space="preserve"> - Comune - Post Detrazioni</t>
    </r>
  </si>
  <si>
    <r>
      <t>Differenza fatturato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2026</t>
    </r>
    <r>
      <rPr>
        <i/>
        <sz val="8"/>
        <color theme="1"/>
        <rFont val="Tahoma"/>
        <family val="2"/>
      </rPr>
      <t xml:space="preserve"> - Comune</t>
    </r>
  </si>
  <si>
    <r>
      <t>Differenza fatturato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2026</t>
    </r>
    <r>
      <rPr>
        <sz val="8"/>
        <color theme="1"/>
        <rFont val="Tahoma"/>
        <family val="2"/>
      </rPr>
      <t xml:space="preserve"> - Comune - Detrazione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</si>
  <si>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Comune - Post Detrazioni</t>
    </r>
  </si>
  <si>
    <r>
      <t>Conguaglio Inflazione PEF25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2026</t>
    </r>
    <r>
      <rPr>
        <sz val="8"/>
        <color theme="1"/>
        <rFont val="Tahoma"/>
        <family val="2"/>
      </rPr>
      <t xml:space="preserve"> - Comune - Detrazione</t>
    </r>
  </si>
  <si>
    <r>
      <t>Conguaglio Inflazione PEF25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Comune - Post Detrazioni</t>
    </r>
  </si>
  <si>
    <r>
      <t>Conguaglio Inflazione PEF27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2026</t>
    </r>
    <r>
      <rPr>
        <sz val="8"/>
        <color theme="1"/>
        <rFont val="Tahoma"/>
        <family val="2"/>
      </rPr>
      <t xml:space="preserve"> - Comune - Detrazione</t>
    </r>
  </si>
  <si>
    <r>
      <t>Conguaglio Inflazione PEF27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Comune - Post Detrazioni</t>
    </r>
  </si>
  <si>
    <r>
      <t>RC</t>
    </r>
    <r>
      <rPr>
        <i/>
        <vertAlign val="subscript"/>
        <sz val="8"/>
        <color theme="1"/>
        <rFont val="Tahoma"/>
        <family val="2"/>
      </rPr>
      <t xml:space="preserve">TMAX </t>
    </r>
    <r>
      <rPr>
        <i/>
        <sz val="8"/>
        <color theme="1"/>
        <rFont val="Tahoma"/>
        <family val="2"/>
      </rPr>
      <t xml:space="preserve">Anni pregressi </t>
    </r>
    <r>
      <rPr>
        <i/>
        <vertAlign val="subscript"/>
        <sz val="8"/>
        <color theme="1"/>
        <rFont val="Tahoma"/>
        <family val="2"/>
      </rPr>
      <t>TV, 2026</t>
    </r>
    <r>
      <rPr>
        <i/>
        <sz val="8"/>
        <color theme="1"/>
        <rFont val="Tahoma"/>
        <family val="2"/>
      </rPr>
      <t xml:space="preserve"> - Comune</t>
    </r>
  </si>
  <si>
    <r>
      <t>IVA VARIABILE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Comune</t>
    </r>
  </si>
  <si>
    <r>
      <t>IVA VARIABILE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Comune - Detrazione</t>
    </r>
  </si>
  <si>
    <r>
      <t>IVA VARIABILE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Comune - Post Detrazioni</t>
    </r>
  </si>
  <si>
    <r>
      <t>CSL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Gestore</t>
    </r>
  </si>
  <si>
    <r>
      <t>CSL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Gestore - Detrazione</t>
    </r>
  </si>
  <si>
    <r>
      <t>CSL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Gestore - Post Detrazioni</t>
    </r>
  </si>
  <si>
    <r>
      <t>CSL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Comune</t>
    </r>
  </si>
  <si>
    <r>
      <t>CSL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Comune - Detrazione</t>
    </r>
  </si>
  <si>
    <r>
      <t>CSL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Comune - Post Detrazioni</t>
    </r>
  </si>
  <si>
    <r>
      <t>CARC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Gestore</t>
    </r>
  </si>
  <si>
    <r>
      <t>CARC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Gestore - Detrazione</t>
    </r>
  </si>
  <si>
    <r>
      <t>CARC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Gestore - Post Detrazioni</t>
    </r>
  </si>
  <si>
    <r>
      <t>CARC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Comune</t>
    </r>
  </si>
  <si>
    <r>
      <t>CARC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Comune - Detrazione</t>
    </r>
  </si>
  <si>
    <r>
      <t>CARC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Comune - Post Detrazioni</t>
    </r>
  </si>
  <si>
    <r>
      <t>CGG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Gestore</t>
    </r>
  </si>
  <si>
    <r>
      <t>CGG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Gestore - Detrazione</t>
    </r>
  </si>
  <si>
    <r>
      <t>CGG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Gestore - Post Detrazioni</t>
    </r>
  </si>
  <si>
    <r>
      <t>CGG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Comune</t>
    </r>
  </si>
  <si>
    <r>
      <t>CGG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Comune - Detrazione</t>
    </r>
  </si>
  <si>
    <r>
      <t>CGG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Comune - Post Detrazioni</t>
    </r>
  </si>
  <si>
    <r>
      <t>CCD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Gestore</t>
    </r>
  </si>
  <si>
    <r>
      <t>CCD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Gestore - Detrazione</t>
    </r>
  </si>
  <si>
    <r>
      <t>CCD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Gestore - Post Detrazioni</t>
    </r>
  </si>
  <si>
    <r>
      <t>CCD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Comune</t>
    </r>
  </si>
  <si>
    <r>
      <t>CCD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Comune - Detrazione</t>
    </r>
  </si>
  <si>
    <r>
      <t>CCD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Comune - Post Detrazioni</t>
    </r>
  </si>
  <si>
    <r>
      <t>COal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Gestore</t>
    </r>
  </si>
  <si>
    <r>
      <t>COal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Gestore - Detrazione</t>
    </r>
  </si>
  <si>
    <r>
      <t>COal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Gestore - Post Detrazioni</t>
    </r>
  </si>
  <si>
    <r>
      <t>COal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Comune</t>
    </r>
  </si>
  <si>
    <r>
      <t>COal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Comune - Detrazione</t>
    </r>
  </si>
  <si>
    <r>
      <t>COal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Comune - Post Detrazioni</t>
    </r>
  </si>
  <si>
    <r>
      <t>AMM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Gestore</t>
    </r>
  </si>
  <si>
    <r>
      <t>AMM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Gestore - Detrazione</t>
    </r>
  </si>
  <si>
    <r>
      <t>AMM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Gestore - Post Detrazioni</t>
    </r>
  </si>
  <si>
    <r>
      <t>AMM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Comune</t>
    </r>
  </si>
  <si>
    <r>
      <t>AMM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Comune - Detrazione</t>
    </r>
  </si>
  <si>
    <r>
      <t>AMM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Comune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</si>
  <si>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Gest. Post-operativa discariche - Gestore</t>
    </r>
  </si>
  <si>
    <r>
      <t>ACC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Gest. Post-operativa discariche - Gestore - Detrazione</t>
    </r>
  </si>
  <si>
    <r>
      <t>ACC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Gest. Post-operativa discariche - Gestore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</si>
  <si>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Per crediti - Gestore</t>
    </r>
  </si>
  <si>
    <r>
      <t>ACC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Per crediti - Gestore - Detrazione</t>
    </r>
  </si>
  <si>
    <r>
      <t>ACC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Per crediti - Gestore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</si>
  <si>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Rischi e oneri previsti dalla normativa - Gestore</t>
    </r>
  </si>
  <si>
    <r>
      <t>ACC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Rischi e oneri previsti dalla normativa - Gestore - Detrazione</t>
    </r>
  </si>
  <si>
    <r>
      <t>ACC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Rischi e oneri previsti dalla normativa - Gestore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</si>
  <si>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Altri, non in eccesso delle norme tributarie - Gestore</t>
    </r>
  </si>
  <si>
    <r>
      <t>ACC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Altri, non in eccesso delle norme tributarie - Gestore - Detrazione</t>
    </r>
  </si>
  <si>
    <r>
      <t>ACC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Altri, non in eccesso delle norme tributarie - Gestore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</si>
  <si>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Gestore</t>
    </r>
  </si>
  <si>
    <r>
      <t>ACC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Gestore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</si>
  <si>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Gest. Post-operativa discariche - Comune</t>
    </r>
  </si>
  <si>
    <r>
      <t>ACC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Gest. Post-operativa discariche - Comune - Detrazione</t>
    </r>
  </si>
  <si>
    <r>
      <t>ACC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Gest. Post-operativa discariche - Comune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</si>
  <si>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Per crediti - Comune</t>
    </r>
  </si>
  <si>
    <r>
      <t>ACC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Per crediti - Comune - Detrazione</t>
    </r>
  </si>
  <si>
    <r>
      <t>ACC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Per crediti - Comune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</si>
  <si>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Rischi e oneri previsti dalla normativa - Comune</t>
    </r>
  </si>
  <si>
    <r>
      <t>ACC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Rischi e oneri previsti dalla normativa - Comune - Detrazione</t>
    </r>
  </si>
  <si>
    <r>
      <t>ACC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Rischi e oneri previsti dalla normativa - Comune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</si>
  <si>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Altri, non in eccesso delle norme tributarie - Comune</t>
    </r>
  </si>
  <si>
    <r>
      <t>ACC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Altri, non in eccesso delle norme tributarie - Comune - Detrazione</t>
    </r>
  </si>
  <si>
    <r>
      <t>ACC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Altri, non in eccesso delle norme tributarie - Comune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</si>
  <si>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Comune</t>
    </r>
  </si>
  <si>
    <r>
      <t>ACC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Comune - Post Detrazioni</t>
    </r>
  </si>
  <si>
    <r>
      <t>R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Gestore</t>
    </r>
  </si>
  <si>
    <r>
      <t>R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Gestore - Detrazione</t>
    </r>
  </si>
  <si>
    <r>
      <t>R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Gestore - Post Detrazioni</t>
    </r>
  </si>
  <si>
    <r>
      <t>R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Comune</t>
    </r>
  </si>
  <si>
    <r>
      <t>R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Comune - Detrazione</t>
    </r>
  </si>
  <si>
    <r>
      <t>R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Comune - Post Detrazioni</t>
    </r>
  </si>
  <si>
    <r>
      <t>RLIC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Gestore</t>
    </r>
  </si>
  <si>
    <r>
      <t>RLIC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Gestore - Detrazione</t>
    </r>
  </si>
  <si>
    <r>
      <t>RLIC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Gestore - Post Detrazioni</t>
    </r>
  </si>
  <si>
    <r>
      <t>RLIC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Comune</t>
    </r>
  </si>
  <si>
    <r>
      <t>RLIC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Comune - Detrazione</t>
    </r>
  </si>
  <si>
    <r>
      <t>RLIC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Comune - Post Detrazioni</t>
    </r>
  </si>
  <si>
    <r>
      <t>CKprop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Gestore</t>
    </r>
  </si>
  <si>
    <r>
      <t>CKprop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Gestore - Detrazione</t>
    </r>
  </si>
  <si>
    <r>
      <t>CKprop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Gestore - Post Detrazioni</t>
    </r>
  </si>
  <si>
    <r>
      <t>CKprop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Comune</t>
    </r>
  </si>
  <si>
    <r>
      <t>CKprop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Comune - Detrazione</t>
    </r>
  </si>
  <si>
    <r>
      <t>CKprop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Comune - Post Detrazioni</t>
    </r>
  </si>
  <si>
    <t>RCRET_TV_26_GEST_DETR</t>
  </si>
  <si>
    <t>RCRET_TV_26_GEST_PD</t>
  </si>
  <si>
    <t>RCRET_TF_26_GEST_DETR</t>
  </si>
  <si>
    <t>RCRET_TF_26_GEST_PD</t>
  </si>
  <si>
    <t>REC_CQ_TF_26_GEST_DETR</t>
  </si>
  <si>
    <t>REC_CQ_TF_26_GEST_PD</t>
  </si>
  <si>
    <t>REC_COnew_TF_26_GEST_DETR</t>
  </si>
  <si>
    <t>REC_COnew_TF_26_GEST_PD</t>
  </si>
  <si>
    <t>REC_COI_TF_26_GEST_DETR</t>
  </si>
  <si>
    <t>REC_COI_TF_26_GEST_PD</t>
  </si>
  <si>
    <t>I_25_TF_GEST_26_DETR</t>
  </si>
  <si>
    <t>I_25_TF_GEST_26_PD</t>
  </si>
  <si>
    <t>I_27_TF_GEST_26_DETR</t>
  </si>
  <si>
    <t>I_27_TF_GEST_26_PD</t>
  </si>
  <si>
    <t>REC_CQ_TF_26_COM_DETR</t>
  </si>
  <si>
    <t>REC_CQ_TF_26_COM_PD</t>
  </si>
  <si>
    <t>REC_COnew_TF_26_COM_DETR</t>
  </si>
  <si>
    <t>REC_COnew_TF_26_COM_PD</t>
  </si>
  <si>
    <t>REC_COI_TF_26_COM_DETR</t>
  </si>
  <si>
    <t>REC_COI_TF_26_COM_PD</t>
  </si>
  <si>
    <t>I_25_TF_COM_26_DETR</t>
  </si>
  <si>
    <t>I_25_TF_COM_26_PD</t>
  </si>
  <si>
    <t>I_27_TF_COM_26_DETR</t>
  </si>
  <si>
    <t>I_27_TF_COM_26_PD</t>
  </si>
  <si>
    <t>RCRET_TF_26_COM_DETR</t>
  </si>
  <si>
    <t>RCRET_TF_26_COM_PD</t>
  </si>
  <si>
    <t>RCRET_TV_26_COM_DETR</t>
  </si>
  <si>
    <t>RCRET_TV_26_COM_PD</t>
  </si>
  <si>
    <t>CONG_CK_TF_26_GEST_DETR</t>
  </si>
  <si>
    <t>CONG_CK_TF_26_GEST_PD</t>
  </si>
  <si>
    <r>
      <t>Recupero CO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116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2026</t>
    </r>
    <r>
      <rPr>
        <i/>
        <sz val="8"/>
        <color theme="1"/>
        <rFont val="Tahoma"/>
        <family val="2"/>
      </rPr>
      <t xml:space="preserve"> - Gestore</t>
    </r>
  </si>
  <si>
    <r>
      <t>Recupero CO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116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2026</t>
    </r>
    <r>
      <rPr>
        <sz val="8"/>
        <color theme="1"/>
        <rFont val="Tahoma"/>
        <family val="2"/>
      </rPr>
      <t xml:space="preserve"> - Gestore - Detrazione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</si>
  <si>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Gestore - Post Detrazioni</t>
    </r>
  </si>
  <si>
    <r>
      <t>Recupero CQ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TF, 2026</t>
    </r>
    <r>
      <rPr>
        <sz val="8"/>
        <color theme="1"/>
        <rFont val="Tahoma"/>
        <family val="2"/>
      </rPr>
      <t xml:space="preserve"> - Gestore - Detrazione</t>
    </r>
  </si>
  <si>
    <r>
      <t>Recupero COnew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TF, 2026</t>
    </r>
    <r>
      <rPr>
        <sz val="8"/>
        <color theme="1"/>
        <rFont val="Tahoma"/>
        <family val="2"/>
      </rPr>
      <t xml:space="preserve"> - Gestore - Detrazione</t>
    </r>
  </si>
  <si>
    <r>
      <t>Differenza fatturato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2026</t>
    </r>
    <r>
      <rPr>
        <i/>
        <sz val="8"/>
        <color theme="1"/>
        <rFont val="Tahoma"/>
        <family val="2"/>
      </rPr>
      <t xml:space="preserve"> - Gestore</t>
    </r>
  </si>
  <si>
    <r>
      <t>Differenza fatturato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2026</t>
    </r>
    <r>
      <rPr>
        <sz val="8"/>
        <color theme="1"/>
        <rFont val="Tahoma"/>
        <family val="2"/>
      </rPr>
      <t xml:space="preserve"> - Gestore - Detrazione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</si>
  <si>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Gestore - Post Detrazioni</t>
    </r>
  </si>
  <si>
    <r>
      <t>Conguaglio Inflazione PEF25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2026</t>
    </r>
    <r>
      <rPr>
        <sz val="8"/>
        <color theme="1"/>
        <rFont val="Tahoma"/>
        <family val="2"/>
      </rPr>
      <t xml:space="preserve"> - Gestore - Detrazione</t>
    </r>
  </si>
  <si>
    <r>
      <t>Conguaglio Inflazione PEF25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Gestore - Post Detrazioni</t>
    </r>
  </si>
  <si>
    <r>
      <t>Conguaglio Inflazione PEF27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2026</t>
    </r>
    <r>
      <rPr>
        <sz val="8"/>
        <color theme="1"/>
        <rFont val="Tahoma"/>
        <family val="2"/>
      </rPr>
      <t xml:space="preserve"> - Gestore - Detrazione</t>
    </r>
  </si>
  <si>
    <r>
      <t>Conguaglio Inflazione PEF27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Gestore - Post Detrazioni</t>
    </r>
  </si>
  <si>
    <r>
      <t>RC</t>
    </r>
    <r>
      <rPr>
        <i/>
        <vertAlign val="subscript"/>
        <sz val="8"/>
        <color theme="1"/>
        <rFont val="Tahoma"/>
        <family val="2"/>
      </rPr>
      <t xml:space="preserve">TMAX </t>
    </r>
    <r>
      <rPr>
        <i/>
        <sz val="8"/>
        <color theme="1"/>
        <rFont val="Tahoma"/>
        <family val="2"/>
      </rPr>
      <t xml:space="preserve">Anni pregressi </t>
    </r>
    <r>
      <rPr>
        <i/>
        <vertAlign val="subscript"/>
        <sz val="8"/>
        <color theme="1"/>
        <rFont val="Tahoma"/>
        <family val="2"/>
      </rPr>
      <t>TF, 2026</t>
    </r>
    <r>
      <rPr>
        <i/>
        <sz val="8"/>
        <color theme="1"/>
        <rFont val="Tahoma"/>
        <family val="2"/>
      </rPr>
      <t xml:space="preserve"> - Gestore</t>
    </r>
  </si>
  <si>
    <t>CONG_CK_TF_26_COM_DETR</t>
  </si>
  <si>
    <t>CONG_CK_TF_26_COM_PD</t>
  </si>
  <si>
    <r>
      <t>Recupero CO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116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2026</t>
    </r>
    <r>
      <rPr>
        <i/>
        <sz val="8"/>
        <color theme="1"/>
        <rFont val="Tahoma"/>
        <family val="2"/>
      </rPr>
      <t xml:space="preserve"> - Comune</t>
    </r>
  </si>
  <si>
    <r>
      <t>Recupero CO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116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2026</t>
    </r>
    <r>
      <rPr>
        <sz val="8"/>
        <color theme="1"/>
        <rFont val="Tahoma"/>
        <family val="2"/>
      </rPr>
      <t xml:space="preserve"> - Comune - Detrazione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</si>
  <si>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Comune - Post Detrazioni</t>
    </r>
  </si>
  <si>
    <r>
      <t>Recupero CQ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TF, 2026</t>
    </r>
    <r>
      <rPr>
        <sz val="8"/>
        <color theme="1"/>
        <rFont val="Tahoma"/>
        <family val="2"/>
      </rPr>
      <t xml:space="preserve"> - Comune - Detrazione</t>
    </r>
  </si>
  <si>
    <r>
      <t>Recupero COnew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TF, 2026</t>
    </r>
    <r>
      <rPr>
        <sz val="8"/>
        <color theme="1"/>
        <rFont val="Tahoma"/>
        <family val="2"/>
      </rPr>
      <t xml:space="preserve"> - Comune - Detrazione</t>
    </r>
  </si>
  <si>
    <r>
      <t>Differenza fatturato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2026</t>
    </r>
    <r>
      <rPr>
        <i/>
        <sz val="8"/>
        <color theme="1"/>
        <rFont val="Tahoma"/>
        <family val="2"/>
      </rPr>
      <t xml:space="preserve"> - Comune</t>
    </r>
  </si>
  <si>
    <r>
      <t>Differenza fatturato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2026</t>
    </r>
    <r>
      <rPr>
        <sz val="8"/>
        <color theme="1"/>
        <rFont val="Tahoma"/>
        <family val="2"/>
      </rPr>
      <t xml:space="preserve"> - Comune - Detrazione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</si>
  <si>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Comune - Post Detrazioni</t>
    </r>
  </si>
  <si>
    <r>
      <t>Conguaglio Inflazione PEF25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2026</t>
    </r>
    <r>
      <rPr>
        <sz val="8"/>
        <color theme="1"/>
        <rFont val="Tahoma"/>
        <family val="2"/>
      </rPr>
      <t xml:space="preserve"> - Comune - Detrazione</t>
    </r>
  </si>
  <si>
    <r>
      <t>Conguaglio Inflazione PEF25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Comune - Post Detrazioni</t>
    </r>
  </si>
  <si>
    <r>
      <t>Conguaglio Inflazione PEF27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2026</t>
    </r>
    <r>
      <rPr>
        <sz val="8"/>
        <color theme="1"/>
        <rFont val="Tahoma"/>
        <family val="2"/>
      </rPr>
      <t xml:space="preserve"> - Comune - Detrazione</t>
    </r>
  </si>
  <si>
    <r>
      <t>Conguaglio Inflazione PEF27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Comune - Post Detrazioni</t>
    </r>
  </si>
  <si>
    <r>
      <t>RC</t>
    </r>
    <r>
      <rPr>
        <i/>
        <vertAlign val="subscript"/>
        <sz val="8"/>
        <color theme="1"/>
        <rFont val="Tahoma"/>
        <family val="2"/>
      </rPr>
      <t xml:space="preserve">TMAX </t>
    </r>
    <r>
      <rPr>
        <i/>
        <sz val="8"/>
        <color theme="1"/>
        <rFont val="Tahoma"/>
        <family val="2"/>
      </rPr>
      <t xml:space="preserve">Anni pregressi </t>
    </r>
    <r>
      <rPr>
        <i/>
        <vertAlign val="subscript"/>
        <sz val="8"/>
        <color theme="1"/>
        <rFont val="Tahoma"/>
        <family val="2"/>
      </rPr>
      <t>TF, 2026</t>
    </r>
    <r>
      <rPr>
        <i/>
        <sz val="8"/>
        <color theme="1"/>
        <rFont val="Tahoma"/>
        <family val="2"/>
      </rPr>
      <t xml:space="preserve"> - Comune</t>
    </r>
  </si>
  <si>
    <r>
      <t>IVA FISSA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Comune</t>
    </r>
  </si>
  <si>
    <r>
      <t>IVA FISSA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Comune - Detrazione</t>
    </r>
  </si>
  <si>
    <r>
      <t>IVA FISSA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Comune - Post Detrazioni</t>
    </r>
  </si>
  <si>
    <t>DETR4.5_TF_26_GEST</t>
  </si>
  <si>
    <t>DETR4.5_TF_26_COM</t>
  </si>
  <si>
    <t>DETR4.5_TF_26</t>
  </si>
  <si>
    <t>DETR4.5_TV_26_GEST</t>
  </si>
  <si>
    <t>DETR4.5_TV_26_COM</t>
  </si>
  <si>
    <t>DETR4.5_TV_26</t>
  </si>
  <si>
    <t>DETR4.5_26</t>
  </si>
  <si>
    <t>DETR4.5_TV_27_GEST</t>
  </si>
  <si>
    <t>DETR4.5_TV_27_COM</t>
  </si>
  <si>
    <t>DETR4.5_TV_27</t>
  </si>
  <si>
    <t>DETR4.5_TF_27_GEST</t>
  </si>
  <si>
    <t>DETR4.5_TF_27_COM</t>
  </si>
  <si>
    <t>DETR4.5_TF_27</t>
  </si>
  <si>
    <t>DETR4.5_27</t>
  </si>
  <si>
    <r>
      <t>RC</t>
    </r>
    <r>
      <rPr>
        <vertAlign val="subscript"/>
        <sz val="8"/>
        <color theme="1"/>
        <rFont val="Tahoma"/>
        <family val="2"/>
      </rPr>
      <t>RET TV, 2026</t>
    </r>
    <r>
      <rPr>
        <sz val="8"/>
        <color theme="1"/>
        <rFont val="Tahoma"/>
        <family val="2"/>
      </rPr>
      <t xml:space="preserve"> - Gestore - Detrazione</t>
    </r>
  </si>
  <si>
    <r>
      <t>Recupero COI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TV, 2027</t>
    </r>
    <r>
      <rPr>
        <sz val="8"/>
        <color theme="1"/>
        <rFont val="Tahoma"/>
        <family val="2"/>
      </rPr>
      <t xml:space="preserve"> - Gestore - Detrazione</t>
    </r>
  </si>
  <si>
    <r>
      <t xml:space="preserve">Conguaglio Efficientamento COrd </t>
    </r>
    <r>
      <rPr>
        <vertAlign val="subscript"/>
        <sz val="8"/>
        <color theme="1"/>
        <rFont val="Tahoma"/>
        <family val="2"/>
      </rPr>
      <t>TV, 2026</t>
    </r>
    <r>
      <rPr>
        <sz val="8"/>
        <color theme="1"/>
        <rFont val="Tahoma"/>
        <family val="2"/>
      </rPr>
      <t xml:space="preserve"> - Gestore - Detrazione</t>
    </r>
  </si>
  <si>
    <r>
      <t>RC</t>
    </r>
    <r>
      <rPr>
        <vertAlign val="subscript"/>
        <sz val="8"/>
        <color theme="1"/>
        <rFont val="Tahoma"/>
        <family val="2"/>
      </rPr>
      <t xml:space="preserve">TMAX </t>
    </r>
    <r>
      <rPr>
        <sz val="8"/>
        <color theme="1"/>
        <rFont val="Tahoma"/>
        <family val="2"/>
      </rPr>
      <t xml:space="preserve">Anni pregressi </t>
    </r>
    <r>
      <rPr>
        <vertAlign val="subscript"/>
        <sz val="8"/>
        <color theme="1"/>
        <rFont val="Tahoma"/>
        <family val="2"/>
      </rPr>
      <t>TV, 2026</t>
    </r>
    <r>
      <rPr>
        <sz val="8"/>
        <color theme="1"/>
        <rFont val="Tahoma"/>
        <family val="2"/>
      </rPr>
      <t xml:space="preserve"> - Gestore - Detrazione</t>
    </r>
  </si>
  <si>
    <r>
      <t>RC</t>
    </r>
    <r>
      <rPr>
        <vertAlign val="subscript"/>
        <sz val="8"/>
        <color theme="1"/>
        <rFont val="Tahoma"/>
        <family val="2"/>
      </rPr>
      <t>RET TV, 2026</t>
    </r>
    <r>
      <rPr>
        <sz val="8"/>
        <color theme="1"/>
        <rFont val="Tahoma"/>
        <family val="2"/>
      </rPr>
      <t xml:space="preserve"> - Comune - Detrazione</t>
    </r>
  </si>
  <si>
    <r>
      <t>Recupero COI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TV, 2027</t>
    </r>
    <r>
      <rPr>
        <sz val="8"/>
        <color theme="1"/>
        <rFont val="Tahoma"/>
        <family val="2"/>
      </rPr>
      <t xml:space="preserve"> - Comune - Detrazione</t>
    </r>
  </si>
  <si>
    <r>
      <t xml:space="preserve">Conguaglio Efficientamento COrd </t>
    </r>
    <r>
      <rPr>
        <vertAlign val="subscript"/>
        <sz val="8"/>
        <color theme="1"/>
        <rFont val="Tahoma"/>
        <family val="2"/>
      </rPr>
      <t>TV, 2026</t>
    </r>
    <r>
      <rPr>
        <sz val="8"/>
        <color theme="1"/>
        <rFont val="Tahoma"/>
        <family val="2"/>
      </rPr>
      <t xml:space="preserve"> - Comune - Detrazione</t>
    </r>
  </si>
  <si>
    <r>
      <t>RC</t>
    </r>
    <r>
      <rPr>
        <vertAlign val="subscript"/>
        <sz val="8"/>
        <color theme="1"/>
        <rFont val="Tahoma"/>
        <family val="2"/>
      </rPr>
      <t xml:space="preserve">TMAX </t>
    </r>
    <r>
      <rPr>
        <sz val="8"/>
        <color theme="1"/>
        <rFont val="Tahoma"/>
        <family val="2"/>
      </rPr>
      <t xml:space="preserve">Anni pregressi </t>
    </r>
    <r>
      <rPr>
        <vertAlign val="subscript"/>
        <sz val="8"/>
        <color theme="1"/>
        <rFont val="Tahoma"/>
        <family val="2"/>
      </rPr>
      <t>TV, 2026</t>
    </r>
    <r>
      <rPr>
        <sz val="8"/>
        <color theme="1"/>
        <rFont val="Tahoma"/>
        <family val="2"/>
      </rPr>
      <t xml:space="preserve"> - Comune - Detrazione</t>
    </r>
  </si>
  <si>
    <r>
      <t>RC</t>
    </r>
    <r>
      <rPr>
        <vertAlign val="subscript"/>
        <sz val="8"/>
        <color theme="1"/>
        <rFont val="Tahoma"/>
        <family val="2"/>
      </rPr>
      <t>RET TF, 2026</t>
    </r>
    <r>
      <rPr>
        <sz val="8"/>
        <color theme="1"/>
        <rFont val="Tahoma"/>
        <family val="2"/>
      </rPr>
      <t xml:space="preserve"> - Gestore - Detrazione</t>
    </r>
  </si>
  <si>
    <r>
      <t>Recupero COI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TF, 2027</t>
    </r>
    <r>
      <rPr>
        <sz val="8"/>
        <color theme="1"/>
        <rFont val="Tahoma"/>
        <family val="2"/>
      </rPr>
      <t xml:space="preserve"> - Gestore - Detrazione</t>
    </r>
  </si>
  <si>
    <r>
      <t>Conguaglio CK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2026</t>
    </r>
    <r>
      <rPr>
        <sz val="8"/>
        <color theme="1"/>
        <rFont val="Tahoma"/>
        <family val="2"/>
      </rPr>
      <t xml:space="preserve"> - Gestore - Detrazione</t>
    </r>
  </si>
  <si>
    <r>
      <t>RC</t>
    </r>
    <r>
      <rPr>
        <vertAlign val="subscript"/>
        <sz val="8"/>
        <color theme="1"/>
        <rFont val="Tahoma"/>
        <family val="2"/>
      </rPr>
      <t xml:space="preserve">TMAX </t>
    </r>
    <r>
      <rPr>
        <sz val="8"/>
        <color theme="1"/>
        <rFont val="Tahoma"/>
        <family val="2"/>
      </rPr>
      <t xml:space="preserve">Anni pregressi </t>
    </r>
    <r>
      <rPr>
        <vertAlign val="subscript"/>
        <sz val="8"/>
        <color theme="1"/>
        <rFont val="Tahoma"/>
        <family val="2"/>
      </rPr>
      <t>TF, 2026</t>
    </r>
    <r>
      <rPr>
        <sz val="8"/>
        <color theme="1"/>
        <rFont val="Tahoma"/>
        <family val="2"/>
      </rPr>
      <t xml:space="preserve"> - Gestore - Detrazione</t>
    </r>
  </si>
  <si>
    <r>
      <t>RC</t>
    </r>
    <r>
      <rPr>
        <vertAlign val="subscript"/>
        <sz val="8"/>
        <color theme="1"/>
        <rFont val="Tahoma"/>
        <family val="2"/>
      </rPr>
      <t>RET TF, 2026</t>
    </r>
    <r>
      <rPr>
        <sz val="8"/>
        <color theme="1"/>
        <rFont val="Tahoma"/>
        <family val="2"/>
      </rPr>
      <t xml:space="preserve"> - Comune - Detrazione</t>
    </r>
  </si>
  <si>
    <r>
      <t>Recupero COI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TF, 2027</t>
    </r>
    <r>
      <rPr>
        <sz val="8"/>
        <color theme="1"/>
        <rFont val="Tahoma"/>
        <family val="2"/>
      </rPr>
      <t xml:space="preserve"> - Comune - Detrazione</t>
    </r>
  </si>
  <si>
    <r>
      <t>Conguaglio CK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2026</t>
    </r>
    <r>
      <rPr>
        <sz val="8"/>
        <color theme="1"/>
        <rFont val="Tahoma"/>
        <family val="2"/>
      </rPr>
      <t xml:space="preserve"> - Comune - Detrazione</t>
    </r>
  </si>
  <si>
    <r>
      <t>RC</t>
    </r>
    <r>
      <rPr>
        <vertAlign val="subscript"/>
        <sz val="8"/>
        <color theme="1"/>
        <rFont val="Tahoma"/>
        <family val="2"/>
      </rPr>
      <t xml:space="preserve">TMAX </t>
    </r>
    <r>
      <rPr>
        <sz val="8"/>
        <color theme="1"/>
        <rFont val="Tahoma"/>
        <family val="2"/>
      </rPr>
      <t xml:space="preserve">Anni pregressi </t>
    </r>
    <r>
      <rPr>
        <vertAlign val="subscript"/>
        <sz val="8"/>
        <color theme="1"/>
        <rFont val="Tahoma"/>
        <family val="2"/>
      </rPr>
      <t>TF, 2026</t>
    </r>
    <r>
      <rPr>
        <sz val="8"/>
        <color theme="1"/>
        <rFont val="Tahoma"/>
        <family val="2"/>
      </rPr>
      <t xml:space="preserve"> - Comune - Detrazione</t>
    </r>
  </si>
  <si>
    <r>
      <t>RC</t>
    </r>
    <r>
      <rPr>
        <b/>
        <vertAlign val="subscript"/>
        <sz val="8"/>
        <color theme="1"/>
        <rFont val="Tahoma"/>
        <family val="2"/>
      </rPr>
      <t>TOT TV, 2026</t>
    </r>
    <r>
      <rPr>
        <b/>
        <sz val="8"/>
        <color theme="1"/>
        <rFont val="Tahoma"/>
        <family val="2"/>
      </rPr>
      <t xml:space="preserve"> - Gestore - Detrazione</t>
    </r>
  </si>
  <si>
    <r>
      <t>RC</t>
    </r>
    <r>
      <rPr>
        <b/>
        <vertAlign val="subscript"/>
        <sz val="8"/>
        <color theme="1"/>
        <rFont val="Tahoma"/>
        <family val="2"/>
      </rPr>
      <t>TOT TV, 2026</t>
    </r>
    <r>
      <rPr>
        <b/>
        <sz val="8"/>
        <color theme="1"/>
        <rFont val="Tahoma"/>
        <family val="2"/>
      </rPr>
      <t xml:space="preserve"> - Comune - Detrazione</t>
    </r>
  </si>
  <si>
    <r>
      <t>ACC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Gestore - Detrazione</t>
    </r>
  </si>
  <si>
    <r>
      <t>ACC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Comune - Detrazione</t>
    </r>
  </si>
  <si>
    <r>
      <t>RC</t>
    </r>
    <r>
      <rPr>
        <b/>
        <vertAlign val="subscript"/>
        <sz val="8"/>
        <color theme="1"/>
        <rFont val="Tahoma"/>
        <family val="2"/>
      </rPr>
      <t>TOT TF, 2026</t>
    </r>
    <r>
      <rPr>
        <b/>
        <sz val="8"/>
        <color theme="1"/>
        <rFont val="Tahoma"/>
        <family val="2"/>
      </rPr>
      <t xml:space="preserve"> - Gestore - Detrazione</t>
    </r>
  </si>
  <si>
    <r>
      <t>RC</t>
    </r>
    <r>
      <rPr>
        <b/>
        <vertAlign val="subscript"/>
        <sz val="8"/>
        <color theme="1"/>
        <rFont val="Tahoma"/>
        <family val="2"/>
      </rPr>
      <t>TOT TF, 2026</t>
    </r>
    <r>
      <rPr>
        <b/>
        <sz val="8"/>
        <color theme="1"/>
        <rFont val="Tahoma"/>
        <family val="2"/>
      </rPr>
      <t xml:space="preserve"> - Comune - Detrazione</t>
    </r>
  </si>
  <si>
    <r>
      <t>RC</t>
    </r>
    <r>
      <rPr>
        <b/>
        <vertAlign val="subscript"/>
        <sz val="8"/>
        <color theme="1"/>
        <rFont val="Tahoma"/>
        <family val="2"/>
      </rPr>
      <t>RET TV, 2026</t>
    </r>
    <r>
      <rPr>
        <b/>
        <sz val="8"/>
        <color theme="1"/>
        <rFont val="Tahoma"/>
        <family val="2"/>
      </rPr>
      <t xml:space="preserve"> - Gestore -Post Detrazioni</t>
    </r>
  </si>
  <si>
    <r>
      <t>RC</t>
    </r>
    <r>
      <rPr>
        <b/>
        <vertAlign val="subscript"/>
        <sz val="8"/>
        <color theme="1"/>
        <rFont val="Tahoma"/>
        <family val="2"/>
      </rPr>
      <t>SMAL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Gestore - Post Detrazioni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</si>
  <si>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Gestore - Post Detrazioni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</si>
  <si>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Gestore - Post Detrazioni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</si>
  <si>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Gestore - Post Detrazioni</t>
    </r>
  </si>
  <si>
    <r>
      <t xml:space="preserve">Conguaglio Efficientamento COrd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Gestore - Post Detrazioni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</si>
  <si>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Gestore - Post Detrazioni</t>
    </r>
  </si>
  <si>
    <r>
      <t>RC</t>
    </r>
    <r>
      <rPr>
        <b/>
        <vertAlign val="subscript"/>
        <sz val="8"/>
        <color theme="1"/>
        <rFont val="Tahoma"/>
        <family val="2"/>
      </rPr>
      <t>TOT TV, 2026</t>
    </r>
    <r>
      <rPr>
        <b/>
        <sz val="8"/>
        <color theme="1"/>
        <rFont val="Tahoma"/>
        <family val="2"/>
      </rPr>
      <t xml:space="preserve"> - Gestore - Post Detrazioni</t>
    </r>
  </si>
  <si>
    <r>
      <t>RC</t>
    </r>
    <r>
      <rPr>
        <b/>
        <vertAlign val="subscript"/>
        <sz val="8"/>
        <color theme="1"/>
        <rFont val="Tahoma"/>
        <family val="2"/>
      </rPr>
      <t>RET TV, 2026</t>
    </r>
    <r>
      <rPr>
        <b/>
        <sz val="8"/>
        <color theme="1"/>
        <rFont val="Tahoma"/>
        <family val="2"/>
      </rPr>
      <t xml:space="preserve"> - Comune -Post Detrazioni</t>
    </r>
  </si>
  <si>
    <r>
      <t>RC</t>
    </r>
    <r>
      <rPr>
        <b/>
        <vertAlign val="subscript"/>
        <sz val="8"/>
        <color theme="1"/>
        <rFont val="Tahoma"/>
        <family val="2"/>
      </rPr>
      <t>SMAL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Comune - Post Detrazioni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</si>
  <si>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Comune - Post Detrazioni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</si>
  <si>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Comune - Post Detrazioni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</si>
  <si>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Comune - Post Detrazioni</t>
    </r>
  </si>
  <si>
    <r>
      <t xml:space="preserve">Conguaglio Efficientamento COrd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Comune - Post Detrazioni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</si>
  <si>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Comune - Post Detrazioni</t>
    </r>
  </si>
  <si>
    <r>
      <t>RC</t>
    </r>
    <r>
      <rPr>
        <b/>
        <vertAlign val="subscript"/>
        <sz val="8"/>
        <color theme="1"/>
        <rFont val="Tahoma"/>
        <family val="2"/>
      </rPr>
      <t>TOT TV, 2026</t>
    </r>
    <r>
      <rPr>
        <b/>
        <sz val="8"/>
        <color theme="1"/>
        <rFont val="Tahoma"/>
        <family val="2"/>
      </rPr>
      <t xml:space="preserve"> - Comune - Post Detrazioni</t>
    </r>
  </si>
  <si>
    <r>
      <t>RC</t>
    </r>
    <r>
      <rPr>
        <b/>
        <vertAlign val="subscript"/>
        <sz val="8"/>
        <color theme="1"/>
        <rFont val="Tahoma"/>
        <family val="2"/>
      </rPr>
      <t>RET TF, 2026</t>
    </r>
    <r>
      <rPr>
        <b/>
        <sz val="8"/>
        <color theme="1"/>
        <rFont val="Tahoma"/>
        <family val="2"/>
      </rPr>
      <t xml:space="preserve"> - Gestore -Post Detrazioni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</si>
  <si>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Gestore - Post Detrazioni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</si>
  <si>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Gestore - Post Detrazioni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</si>
  <si>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Gestore - Post Detrazioni</t>
    </r>
  </si>
  <si>
    <r>
      <t>Conguaglio CK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Gestore - Post Detrazioni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</si>
  <si>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Gestore - Post Detrazioni</t>
    </r>
  </si>
  <si>
    <r>
      <t>RC</t>
    </r>
    <r>
      <rPr>
        <b/>
        <vertAlign val="subscript"/>
        <sz val="8"/>
        <color theme="1"/>
        <rFont val="Tahoma"/>
        <family val="2"/>
      </rPr>
      <t>TOT TF, 2026</t>
    </r>
    <r>
      <rPr>
        <b/>
        <sz val="8"/>
        <color theme="1"/>
        <rFont val="Tahoma"/>
        <family val="2"/>
      </rPr>
      <t xml:space="preserve"> - Gestore - Post Detrazioni</t>
    </r>
  </si>
  <si>
    <r>
      <t>RC</t>
    </r>
    <r>
      <rPr>
        <b/>
        <vertAlign val="subscript"/>
        <sz val="8"/>
        <color theme="1"/>
        <rFont val="Tahoma"/>
        <family val="2"/>
      </rPr>
      <t>RET TF, 2026</t>
    </r>
    <r>
      <rPr>
        <b/>
        <sz val="8"/>
        <color theme="1"/>
        <rFont val="Tahoma"/>
        <family val="2"/>
      </rPr>
      <t xml:space="preserve"> - Comune -Post Detrazioni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</si>
  <si>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Comune - Post Detrazioni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</si>
  <si>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Comune - Post Detrazioni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</si>
  <si>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Comune - Post Detrazioni</t>
    </r>
  </si>
  <si>
    <r>
      <t>Conguaglio CK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Comune - Post Detrazioni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</si>
  <si>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Comune - Post Detrazioni</t>
    </r>
  </si>
  <si>
    <r>
      <t>RC</t>
    </r>
    <r>
      <rPr>
        <b/>
        <vertAlign val="subscript"/>
        <sz val="8"/>
        <color theme="1"/>
        <rFont val="Tahoma"/>
        <family val="2"/>
      </rPr>
      <t>TOT TF, 2026</t>
    </r>
    <r>
      <rPr>
        <b/>
        <sz val="8"/>
        <color theme="1"/>
        <rFont val="Tahoma"/>
        <family val="2"/>
      </rPr>
      <t xml:space="preserve"> - Comune - Post Detrazioni</t>
    </r>
  </si>
  <si>
    <r>
      <t>RC</t>
    </r>
    <r>
      <rPr>
        <i/>
        <vertAlign val="subscript"/>
        <sz val="8"/>
        <color theme="1"/>
        <rFont val="Tahoma"/>
        <family val="2"/>
      </rPr>
      <t>RET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2026</t>
    </r>
    <r>
      <rPr>
        <i/>
        <sz val="8"/>
        <color theme="1"/>
        <rFont val="Tahoma"/>
        <family val="2"/>
      </rPr>
      <t xml:space="preserve"> - Gestore</t>
    </r>
  </si>
  <si>
    <r>
      <t>Recupero CQ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TV, 2026</t>
    </r>
    <r>
      <rPr>
        <i/>
        <sz val="8"/>
        <color theme="1"/>
        <rFont val="Tahoma"/>
        <family val="2"/>
      </rPr>
      <t xml:space="preserve"> - Gestore</t>
    </r>
  </si>
  <si>
    <r>
      <t>Recupero COnew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TV, 2026</t>
    </r>
    <r>
      <rPr>
        <i/>
        <sz val="8"/>
        <color theme="1"/>
        <rFont val="Tahoma"/>
        <family val="2"/>
      </rPr>
      <t xml:space="preserve"> - Gestore</t>
    </r>
  </si>
  <si>
    <r>
      <t>Recupero COI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TV, 2027</t>
    </r>
    <r>
      <rPr>
        <i/>
        <sz val="8"/>
        <color theme="1"/>
        <rFont val="Tahoma"/>
        <family val="2"/>
      </rPr>
      <t xml:space="preserve"> - Gestore</t>
    </r>
  </si>
  <si>
    <r>
      <t xml:space="preserve">RC </t>
    </r>
    <r>
      <rPr>
        <i/>
        <vertAlign val="subscript"/>
        <sz val="8"/>
        <color theme="1"/>
        <rFont val="Tahoma"/>
        <family val="2"/>
      </rPr>
      <t>CTS 2026</t>
    </r>
    <r>
      <rPr>
        <i/>
        <sz val="8"/>
        <color theme="1"/>
        <rFont val="Tahoma"/>
        <family val="2"/>
      </rPr>
      <t xml:space="preserve"> - Gestore</t>
    </r>
  </si>
  <si>
    <r>
      <t xml:space="preserve">Conguaglio Inflazione PEF25 </t>
    </r>
    <r>
      <rPr>
        <i/>
        <vertAlign val="subscript"/>
        <sz val="8"/>
        <color theme="1"/>
        <rFont val="Tahoma"/>
        <family val="2"/>
      </rPr>
      <t>TV, 2026</t>
    </r>
    <r>
      <rPr>
        <i/>
        <sz val="8"/>
        <color theme="1"/>
        <rFont val="Tahoma"/>
        <family val="2"/>
      </rPr>
      <t xml:space="preserve"> - Gestore</t>
    </r>
  </si>
  <si>
    <r>
      <t xml:space="preserve">Conguaglio Inflazione PEF27 </t>
    </r>
    <r>
      <rPr>
        <i/>
        <vertAlign val="subscript"/>
        <sz val="8"/>
        <color theme="1"/>
        <rFont val="Tahoma"/>
        <family val="2"/>
      </rPr>
      <t>TV, 2026</t>
    </r>
    <r>
      <rPr>
        <i/>
        <sz val="8"/>
        <color theme="1"/>
        <rFont val="Tahoma"/>
        <family val="2"/>
      </rPr>
      <t xml:space="preserve"> - Gestore</t>
    </r>
  </si>
  <si>
    <r>
      <t xml:space="preserve">Conguaglio Efficientamento COrd </t>
    </r>
    <r>
      <rPr>
        <i/>
        <vertAlign val="subscript"/>
        <sz val="8"/>
        <color theme="1"/>
        <rFont val="Tahoma"/>
        <family val="2"/>
      </rPr>
      <t>TV, 2026</t>
    </r>
    <r>
      <rPr>
        <i/>
        <sz val="8"/>
        <color theme="1"/>
        <rFont val="Tahoma"/>
        <family val="2"/>
      </rPr>
      <t xml:space="preserve"> - Gestore</t>
    </r>
  </si>
  <si>
    <r>
      <t>RC</t>
    </r>
    <r>
      <rPr>
        <i/>
        <vertAlign val="subscript"/>
        <sz val="8"/>
        <color theme="1"/>
        <rFont val="Tahoma"/>
        <family val="2"/>
      </rPr>
      <t>RET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2026</t>
    </r>
    <r>
      <rPr>
        <i/>
        <sz val="8"/>
        <color theme="1"/>
        <rFont val="Tahoma"/>
        <family val="2"/>
      </rPr>
      <t xml:space="preserve"> - Comune</t>
    </r>
  </si>
  <si>
    <r>
      <t>Recupero CQ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TV, 2026</t>
    </r>
    <r>
      <rPr>
        <i/>
        <sz val="8"/>
        <color theme="1"/>
        <rFont val="Tahoma"/>
        <family val="2"/>
      </rPr>
      <t xml:space="preserve"> - Comune</t>
    </r>
  </si>
  <si>
    <r>
      <t>Recupero COnew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TV, 2026</t>
    </r>
    <r>
      <rPr>
        <i/>
        <sz val="8"/>
        <color theme="1"/>
        <rFont val="Tahoma"/>
        <family val="2"/>
      </rPr>
      <t xml:space="preserve"> - Comune</t>
    </r>
  </si>
  <si>
    <r>
      <t>Recupero COI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TV, 2027</t>
    </r>
    <r>
      <rPr>
        <i/>
        <sz val="8"/>
        <color theme="1"/>
        <rFont val="Tahoma"/>
        <family val="2"/>
      </rPr>
      <t xml:space="preserve"> - Comune</t>
    </r>
  </si>
  <si>
    <r>
      <t xml:space="preserve">RC </t>
    </r>
    <r>
      <rPr>
        <i/>
        <vertAlign val="subscript"/>
        <sz val="8"/>
        <color theme="1"/>
        <rFont val="Tahoma"/>
        <family val="2"/>
      </rPr>
      <t>CTS 2026</t>
    </r>
    <r>
      <rPr>
        <i/>
        <sz val="8"/>
        <color theme="1"/>
        <rFont val="Tahoma"/>
        <family val="2"/>
      </rPr>
      <t xml:space="preserve"> - Comune</t>
    </r>
  </si>
  <si>
    <r>
      <t xml:space="preserve">Conguaglio Inflazione PEF25 </t>
    </r>
    <r>
      <rPr>
        <i/>
        <vertAlign val="subscript"/>
        <sz val="8"/>
        <color theme="1"/>
        <rFont val="Tahoma"/>
        <family val="2"/>
      </rPr>
      <t>TV, 2026</t>
    </r>
    <r>
      <rPr>
        <i/>
        <sz val="8"/>
        <color theme="1"/>
        <rFont val="Tahoma"/>
        <family val="2"/>
      </rPr>
      <t xml:space="preserve"> - Comune</t>
    </r>
  </si>
  <si>
    <r>
      <t xml:space="preserve">Conguaglio Inflazione PEF27 </t>
    </r>
    <r>
      <rPr>
        <i/>
        <vertAlign val="subscript"/>
        <sz val="8"/>
        <color theme="1"/>
        <rFont val="Tahoma"/>
        <family val="2"/>
      </rPr>
      <t>TV, 2026</t>
    </r>
    <r>
      <rPr>
        <i/>
        <sz val="8"/>
        <color theme="1"/>
        <rFont val="Tahoma"/>
        <family val="2"/>
      </rPr>
      <t xml:space="preserve"> - Comune</t>
    </r>
  </si>
  <si>
    <r>
      <t xml:space="preserve">Conguaglio Efficientamento COrd </t>
    </r>
    <r>
      <rPr>
        <i/>
        <vertAlign val="subscript"/>
        <sz val="8"/>
        <color theme="1"/>
        <rFont val="Tahoma"/>
        <family val="2"/>
      </rPr>
      <t>TV, 2026</t>
    </r>
    <r>
      <rPr>
        <i/>
        <sz val="8"/>
        <color theme="1"/>
        <rFont val="Tahoma"/>
        <family val="2"/>
      </rPr>
      <t xml:space="preserve"> - Comune</t>
    </r>
  </si>
  <si>
    <r>
      <t>RC</t>
    </r>
    <r>
      <rPr>
        <i/>
        <vertAlign val="subscript"/>
        <sz val="8"/>
        <color theme="1"/>
        <rFont val="Tahoma"/>
        <family val="2"/>
      </rPr>
      <t>RET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2026</t>
    </r>
    <r>
      <rPr>
        <i/>
        <sz val="8"/>
        <color theme="1"/>
        <rFont val="Tahoma"/>
        <family val="2"/>
      </rPr>
      <t xml:space="preserve"> - Gestore</t>
    </r>
  </si>
  <si>
    <r>
      <t>Recupero CQ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TF, 2026</t>
    </r>
    <r>
      <rPr>
        <i/>
        <sz val="8"/>
        <color theme="1"/>
        <rFont val="Tahoma"/>
        <family val="2"/>
      </rPr>
      <t xml:space="preserve"> - Gestore</t>
    </r>
  </si>
  <si>
    <r>
      <t>Recupero COnew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TF, 2026</t>
    </r>
    <r>
      <rPr>
        <i/>
        <sz val="8"/>
        <color theme="1"/>
        <rFont val="Tahoma"/>
        <family val="2"/>
      </rPr>
      <t xml:space="preserve"> - Gestore</t>
    </r>
  </si>
  <si>
    <r>
      <t>Recupero COI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TF, 2027</t>
    </r>
    <r>
      <rPr>
        <i/>
        <sz val="8"/>
        <color theme="1"/>
        <rFont val="Tahoma"/>
        <family val="2"/>
      </rPr>
      <t xml:space="preserve"> - Gestore</t>
    </r>
  </si>
  <si>
    <r>
      <t xml:space="preserve">Conguaglio Inflazione PEF25 </t>
    </r>
    <r>
      <rPr>
        <i/>
        <vertAlign val="subscript"/>
        <sz val="8"/>
        <color theme="1"/>
        <rFont val="Tahoma"/>
        <family val="2"/>
      </rPr>
      <t>TF, 2026</t>
    </r>
    <r>
      <rPr>
        <i/>
        <sz val="8"/>
        <color theme="1"/>
        <rFont val="Tahoma"/>
        <family val="2"/>
      </rPr>
      <t xml:space="preserve"> - Gestore</t>
    </r>
  </si>
  <si>
    <r>
      <t xml:space="preserve">Conguaglio Inflazione PEF27 </t>
    </r>
    <r>
      <rPr>
        <i/>
        <vertAlign val="subscript"/>
        <sz val="8"/>
        <color theme="1"/>
        <rFont val="Tahoma"/>
        <family val="2"/>
      </rPr>
      <t>TF, 2026</t>
    </r>
    <r>
      <rPr>
        <i/>
        <sz val="8"/>
        <color theme="1"/>
        <rFont val="Tahoma"/>
        <family val="2"/>
      </rPr>
      <t xml:space="preserve"> - Gestore</t>
    </r>
  </si>
  <si>
    <r>
      <t>Conguaglio CK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2026</t>
    </r>
    <r>
      <rPr>
        <i/>
        <sz val="8"/>
        <color theme="1"/>
        <rFont val="Tahoma"/>
        <family val="2"/>
      </rPr>
      <t xml:space="preserve"> - Gestore</t>
    </r>
  </si>
  <si>
    <r>
      <t>RC</t>
    </r>
    <r>
      <rPr>
        <i/>
        <vertAlign val="subscript"/>
        <sz val="8"/>
        <color theme="1"/>
        <rFont val="Tahoma"/>
        <family val="2"/>
      </rPr>
      <t>RET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2026</t>
    </r>
    <r>
      <rPr>
        <i/>
        <sz val="8"/>
        <color theme="1"/>
        <rFont val="Tahoma"/>
        <family val="2"/>
      </rPr>
      <t xml:space="preserve"> - Comune</t>
    </r>
  </si>
  <si>
    <r>
      <t>Recupero CQ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TF, 2026</t>
    </r>
    <r>
      <rPr>
        <i/>
        <sz val="8"/>
        <color theme="1"/>
        <rFont val="Tahoma"/>
        <family val="2"/>
      </rPr>
      <t xml:space="preserve"> - Comune</t>
    </r>
  </si>
  <si>
    <r>
      <t>Recupero COnew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TF, 2026</t>
    </r>
    <r>
      <rPr>
        <i/>
        <sz val="8"/>
        <color theme="1"/>
        <rFont val="Tahoma"/>
        <family val="2"/>
      </rPr>
      <t xml:space="preserve"> - Comune</t>
    </r>
  </si>
  <si>
    <r>
      <t>Recupero COI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TF, 2027</t>
    </r>
    <r>
      <rPr>
        <i/>
        <sz val="8"/>
        <color theme="1"/>
        <rFont val="Tahoma"/>
        <family val="2"/>
      </rPr>
      <t xml:space="preserve"> - Comune</t>
    </r>
  </si>
  <si>
    <r>
      <t xml:space="preserve">Conguaglio Inflazione PEF25 </t>
    </r>
    <r>
      <rPr>
        <i/>
        <vertAlign val="subscript"/>
        <sz val="8"/>
        <color theme="1"/>
        <rFont val="Tahoma"/>
        <family val="2"/>
      </rPr>
      <t>TF, 2026</t>
    </r>
    <r>
      <rPr>
        <i/>
        <sz val="8"/>
        <color theme="1"/>
        <rFont val="Tahoma"/>
        <family val="2"/>
      </rPr>
      <t xml:space="preserve"> - Comune</t>
    </r>
  </si>
  <si>
    <r>
      <t xml:space="preserve">Conguaglio Inflazione PEF27 </t>
    </r>
    <r>
      <rPr>
        <i/>
        <vertAlign val="subscript"/>
        <sz val="8"/>
        <color theme="1"/>
        <rFont val="Tahoma"/>
        <family val="2"/>
      </rPr>
      <t>TF, 2026</t>
    </r>
    <r>
      <rPr>
        <i/>
        <sz val="8"/>
        <color theme="1"/>
        <rFont val="Tahoma"/>
        <family val="2"/>
      </rPr>
      <t xml:space="preserve"> - Comune</t>
    </r>
  </si>
  <si>
    <r>
      <t>Conguaglio CK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2026</t>
    </r>
    <r>
      <rPr>
        <i/>
        <sz val="8"/>
        <color theme="1"/>
        <rFont val="Tahoma"/>
        <family val="2"/>
      </rPr>
      <t xml:space="preserve"> - Comune</t>
    </r>
  </si>
  <si>
    <t>RCRET_TV_27_GEST_DETR</t>
  </si>
  <si>
    <t>RCRET_TV_27_GEST_PD</t>
  </si>
  <si>
    <t>RCSMAL_TV_27_GEST_DETR</t>
  </si>
  <si>
    <t>RCSMAL_TV_27_GEST_PD</t>
  </si>
  <si>
    <t>REC_CQ_TV_27_GEST_DETR</t>
  </si>
  <si>
    <t>REC_CQ_TV_27_GEST_PD</t>
  </si>
  <si>
    <t>REC_COnew_TV_27_GEST_DETR</t>
  </si>
  <si>
    <t>REC_COnew_TV_27_GEST_PD</t>
  </si>
  <si>
    <t>REC_COI_TV_27_GEST_DETR</t>
  </si>
  <si>
    <t>REC_COI_TV_27_GEST_PD</t>
  </si>
  <si>
    <t>I_25_TV_GEST_27_DETR</t>
  </si>
  <si>
    <t>I_25_TV_GEST_27_PD</t>
  </si>
  <si>
    <t>I_27_TV_GEST_27_DETR</t>
  </si>
  <si>
    <t>I_27_TV_GEST_27_PD</t>
  </si>
  <si>
    <t>RC_CORD_TV_GEST_27_DETR</t>
  </si>
  <si>
    <t>RC_CORD_TV_GEST_27_PD</t>
  </si>
  <si>
    <t>RCRET_TV_27_COM_DETR</t>
  </si>
  <si>
    <t>RCRET_TV_27_COM_PD</t>
  </si>
  <si>
    <t>RCSMAL_TV_27_COM_DETR</t>
  </si>
  <si>
    <t>RCSMAL_TV_27_COM_PD</t>
  </si>
  <si>
    <t>REC_CQ_TV_27_COM_DETR</t>
  </si>
  <si>
    <t>REC_CQ_TV_27_COM_PD</t>
  </si>
  <si>
    <t>REC_COnew_TV_27_COM_DETR</t>
  </si>
  <si>
    <t>REC_COnew_TV_27_COM_PD</t>
  </si>
  <si>
    <t>REC_COI_TV_27_COM_DETR</t>
  </si>
  <si>
    <t>REC_COI_TV_27_COM_PD</t>
  </si>
  <si>
    <t>I_25_TV_COM_27_DETR</t>
  </si>
  <si>
    <t>I_25_TV_COM_27_PD</t>
  </si>
  <si>
    <t>I_27_TV_COM_27_DETR</t>
  </si>
  <si>
    <t>I_27_TV_COM_27_PD</t>
  </si>
  <si>
    <t>RC_CORD_TV_COM_27_DETR</t>
  </si>
  <si>
    <t>RC_CORD_TV_COM_27_PD</t>
  </si>
  <si>
    <t>RCRET_TF_27_GEST_DETR</t>
  </si>
  <si>
    <t>RCRET_TF_27_GEST_PD</t>
  </si>
  <si>
    <t>REC_CQ_TF_27_GEST_DETR</t>
  </si>
  <si>
    <t>REC_CQ_TF_27_GEST_PD</t>
  </si>
  <si>
    <t>REC_COnew_TF_27_GEST_DETR</t>
  </si>
  <si>
    <t>REC_COnew_TF_27_GEST_PD</t>
  </si>
  <si>
    <t>REC_COI_TF_27_GEST_DETR</t>
  </si>
  <si>
    <t>REC_COI_TF_27_GEST_PD</t>
  </si>
  <si>
    <t>I_25_TF_GEST_27_DETR</t>
  </si>
  <si>
    <t>I_25_TF_GEST_27_PD</t>
  </si>
  <si>
    <t>I_27_TF_GEST_27_DETR</t>
  </si>
  <si>
    <t>I_27_TF_GEST_27_PD</t>
  </si>
  <si>
    <t>CONG_CK_TF_27_GEST_DETR</t>
  </si>
  <si>
    <t>CONG_CK_TF_27_GEST_PD</t>
  </si>
  <si>
    <t>RCRET_TF_27_COM_DETR</t>
  </si>
  <si>
    <t>RCRET_TF_27_COM_PD</t>
  </si>
  <si>
    <t>REC_CQ_TF_27_COM_DETR</t>
  </si>
  <si>
    <t>REC_CQ_TF_27_COM_PD</t>
  </si>
  <si>
    <t>REC_COnew_TF_27_COM_DETR</t>
  </si>
  <si>
    <t>REC_COnew_TF_27_COM_PD</t>
  </si>
  <si>
    <t>REC_COI_TF_27_COM_DETR</t>
  </si>
  <si>
    <t>REC_COI_TF_27_COM_PD</t>
  </si>
  <si>
    <t>I_25_TF_COM_27_DETR</t>
  </si>
  <si>
    <t>I_25_TF_COM_27_PD</t>
  </si>
  <si>
    <t>I_27_TF_COM_27_DETR</t>
  </si>
  <si>
    <t>I_27_TF_COM_27_PD</t>
  </si>
  <si>
    <t>CONG_CK_TF_27_COM_DETR</t>
  </si>
  <si>
    <t>CONG_CK_TF_27_COM_PD</t>
  </si>
  <si>
    <r>
      <t>CRT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Gestore</t>
    </r>
  </si>
  <si>
    <r>
      <t>CRT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Gestore - Detrazione</t>
    </r>
  </si>
  <si>
    <r>
      <t>CRT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Gestore - Post Detrazioni</t>
    </r>
  </si>
  <si>
    <r>
      <t>CRT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Comune</t>
    </r>
  </si>
  <si>
    <r>
      <t>CRT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Comune - Detrazione</t>
    </r>
  </si>
  <si>
    <r>
      <t>CRT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Comune - Post Detrazioni</t>
    </r>
  </si>
  <si>
    <r>
      <t>CTS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Gestore</t>
    </r>
  </si>
  <si>
    <r>
      <t>CTS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Gestore - Detrazione</t>
    </r>
  </si>
  <si>
    <r>
      <t>CTS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Gestore - Post Detrazioni</t>
    </r>
  </si>
  <si>
    <r>
      <t>CTS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Comune</t>
    </r>
  </si>
  <si>
    <r>
      <t>CTS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Comune - Detrazione</t>
    </r>
  </si>
  <si>
    <r>
      <t>CTS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Comune - Post Detrazioni</t>
    </r>
  </si>
  <si>
    <r>
      <t>CTR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Gestore</t>
    </r>
  </si>
  <si>
    <r>
      <t>CTR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Gestore - Detrazione</t>
    </r>
  </si>
  <si>
    <r>
      <t>CTR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Gestore - Post Detrazioni</t>
    </r>
  </si>
  <si>
    <r>
      <t>CTR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Comune</t>
    </r>
  </si>
  <si>
    <r>
      <t>CTR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Comune - Detrazione</t>
    </r>
  </si>
  <si>
    <r>
      <t>CTR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Comune - Post Detrazioni</t>
    </r>
  </si>
  <si>
    <r>
      <t>CRD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Gestore</t>
    </r>
  </si>
  <si>
    <r>
      <t>CRD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Gestore - Detrazione</t>
    </r>
  </si>
  <si>
    <r>
      <t>CRD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Gestore - Post Detrazioni</t>
    </r>
  </si>
  <si>
    <r>
      <t>CRD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Comune</t>
    </r>
  </si>
  <si>
    <r>
      <t>CRD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Comune - Detrazione</t>
    </r>
  </si>
  <si>
    <r>
      <t>CRD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Comune - Post Detrazioni</t>
    </r>
  </si>
  <si>
    <r>
      <t>RC</t>
    </r>
    <r>
      <rPr>
        <i/>
        <vertAlign val="subscript"/>
        <sz val="8"/>
        <color theme="1"/>
        <rFont val="Tahoma"/>
        <family val="2"/>
      </rPr>
      <t>RET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2027</t>
    </r>
    <r>
      <rPr>
        <i/>
        <sz val="8"/>
        <color theme="1"/>
        <rFont val="Tahoma"/>
        <family val="2"/>
      </rPr>
      <t xml:space="preserve"> - Gestore</t>
    </r>
  </si>
  <si>
    <r>
      <t>RC</t>
    </r>
    <r>
      <rPr>
        <vertAlign val="subscript"/>
        <sz val="8"/>
        <color theme="1"/>
        <rFont val="Tahoma"/>
        <family val="2"/>
      </rPr>
      <t>RET TV, 2027</t>
    </r>
    <r>
      <rPr>
        <sz val="8"/>
        <color theme="1"/>
        <rFont val="Tahoma"/>
        <family val="2"/>
      </rPr>
      <t xml:space="preserve"> - Gestore - Detrazione</t>
    </r>
  </si>
  <si>
    <r>
      <t>RC</t>
    </r>
    <r>
      <rPr>
        <b/>
        <vertAlign val="subscript"/>
        <sz val="8"/>
        <color theme="1"/>
        <rFont val="Tahoma"/>
        <family val="2"/>
      </rPr>
      <t>RET TV, 2027</t>
    </r>
    <r>
      <rPr>
        <b/>
        <sz val="8"/>
        <color theme="1"/>
        <rFont val="Tahoma"/>
        <family val="2"/>
      </rPr>
      <t xml:space="preserve"> - Gestore -Post Detrazioni</t>
    </r>
  </si>
  <si>
    <r>
      <t>RC</t>
    </r>
    <r>
      <rPr>
        <i/>
        <vertAlign val="subscript"/>
        <sz val="8"/>
        <color theme="1"/>
        <rFont val="Tahoma"/>
        <family val="2"/>
      </rPr>
      <t>SMAL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2027</t>
    </r>
    <r>
      <rPr>
        <i/>
        <sz val="8"/>
        <color theme="1"/>
        <rFont val="Tahoma"/>
        <family val="2"/>
      </rPr>
      <t xml:space="preserve"> - Gestore</t>
    </r>
  </si>
  <si>
    <r>
      <t>RC</t>
    </r>
    <r>
      <rPr>
        <vertAlign val="subscript"/>
        <sz val="8"/>
        <color theme="1"/>
        <rFont val="Tahoma"/>
        <family val="2"/>
      </rPr>
      <t>SMAL</t>
    </r>
    <r>
      <rPr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2027</t>
    </r>
    <r>
      <rPr>
        <sz val="8"/>
        <color theme="1"/>
        <rFont val="Tahoma"/>
        <family val="2"/>
      </rPr>
      <t xml:space="preserve"> - Gestore - Detrazione</t>
    </r>
  </si>
  <si>
    <r>
      <t>RC</t>
    </r>
    <r>
      <rPr>
        <b/>
        <vertAlign val="subscript"/>
        <sz val="8"/>
        <color theme="1"/>
        <rFont val="Tahoma"/>
        <family val="2"/>
      </rPr>
      <t>SMAL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Gestore - Post Detrazioni</t>
    </r>
  </si>
  <si>
    <r>
      <t>Recupero CO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116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2027</t>
    </r>
    <r>
      <rPr>
        <i/>
        <sz val="8"/>
        <color theme="1"/>
        <rFont val="Tahoma"/>
        <family val="2"/>
      </rPr>
      <t xml:space="preserve"> - Gestore</t>
    </r>
  </si>
  <si>
    <r>
      <t>Recupero CO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116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2027</t>
    </r>
    <r>
      <rPr>
        <sz val="8"/>
        <color theme="1"/>
        <rFont val="Tahoma"/>
        <family val="2"/>
      </rPr>
      <t xml:space="preserve"> - Gestore - Detrazione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</si>
  <si>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Gestore - Post Detrazioni</t>
    </r>
  </si>
  <si>
    <r>
      <t>Recupero CQ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TV, 2027</t>
    </r>
    <r>
      <rPr>
        <i/>
        <sz val="8"/>
        <color theme="1"/>
        <rFont val="Tahoma"/>
        <family val="2"/>
      </rPr>
      <t xml:space="preserve"> - Gestore</t>
    </r>
  </si>
  <si>
    <r>
      <t>Recupero CQ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TV, 2027</t>
    </r>
    <r>
      <rPr>
        <sz val="8"/>
        <color theme="1"/>
        <rFont val="Tahoma"/>
        <family val="2"/>
      </rPr>
      <t xml:space="preserve"> - Gestore - Detrazione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</si>
  <si>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Gestore - Post Detrazioni</t>
    </r>
  </si>
  <si>
    <r>
      <t>Recupero COnew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TV, 2027</t>
    </r>
    <r>
      <rPr>
        <i/>
        <sz val="8"/>
        <color theme="1"/>
        <rFont val="Tahoma"/>
        <family val="2"/>
      </rPr>
      <t xml:space="preserve"> - Gestore</t>
    </r>
  </si>
  <si>
    <r>
      <t>Recupero COnew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TV, 2027</t>
    </r>
    <r>
      <rPr>
        <sz val="8"/>
        <color theme="1"/>
        <rFont val="Tahoma"/>
        <family val="2"/>
      </rPr>
      <t xml:space="preserve"> - Gestore - Detrazione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</si>
  <si>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Gestore - Post Detrazioni</t>
    </r>
  </si>
  <si>
    <r>
      <t xml:space="preserve">RC </t>
    </r>
    <r>
      <rPr>
        <i/>
        <vertAlign val="subscript"/>
        <sz val="8"/>
        <color theme="1"/>
        <rFont val="Tahoma"/>
        <family val="2"/>
      </rPr>
      <t>CTS 2027</t>
    </r>
    <r>
      <rPr>
        <i/>
        <sz val="8"/>
        <color theme="1"/>
        <rFont val="Tahoma"/>
        <family val="2"/>
      </rPr>
      <t xml:space="preserve"> - Gestore</t>
    </r>
  </si>
  <si>
    <r>
      <t xml:space="preserve">RC </t>
    </r>
    <r>
      <rPr>
        <vertAlign val="subscript"/>
        <sz val="8"/>
        <color theme="1"/>
        <rFont val="Tahoma"/>
        <family val="2"/>
      </rPr>
      <t>CTS 2027</t>
    </r>
    <r>
      <rPr>
        <sz val="8"/>
        <color theme="1"/>
        <rFont val="Tahoma"/>
        <family val="2"/>
      </rPr>
      <t xml:space="preserve"> - Gestore - Detrazione</t>
    </r>
  </si>
  <si>
    <r>
      <t xml:space="preserve">RC </t>
    </r>
    <r>
      <rPr>
        <b/>
        <vertAlign val="subscript"/>
        <sz val="8"/>
        <color theme="1"/>
        <rFont val="Tahoma"/>
        <family val="2"/>
      </rPr>
      <t>CTS 2027</t>
    </r>
    <r>
      <rPr>
        <b/>
        <sz val="8"/>
        <color theme="1"/>
        <rFont val="Tahoma"/>
        <family val="2"/>
      </rPr>
      <t xml:space="preserve"> - Gestore - Post Detrazioni</t>
    </r>
  </si>
  <si>
    <r>
      <t>Recupero COI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TV, 2026</t>
    </r>
    <r>
      <rPr>
        <i/>
        <sz val="8"/>
        <color theme="1"/>
        <rFont val="Tahoma"/>
        <family val="2"/>
      </rPr>
      <t xml:space="preserve"> - Gestore</t>
    </r>
  </si>
  <si>
    <r>
      <t>Recupero COI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TV, 2026</t>
    </r>
    <r>
      <rPr>
        <sz val="8"/>
        <color theme="1"/>
        <rFont val="Tahoma"/>
        <family val="2"/>
      </rPr>
      <t xml:space="preserve"> - Gestore - Detrazione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</si>
  <si>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Gestore - Post Detrazioni</t>
    </r>
  </si>
  <si>
    <r>
      <t>Recupero COI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TV, 2026</t>
    </r>
    <r>
      <rPr>
        <i/>
        <sz val="8"/>
        <color theme="1"/>
        <rFont val="Tahoma"/>
        <family val="2"/>
      </rPr>
      <t xml:space="preserve"> - Comune</t>
    </r>
  </si>
  <si>
    <r>
      <t>Recupero COI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TV, 2026</t>
    </r>
    <r>
      <rPr>
        <sz val="8"/>
        <color theme="1"/>
        <rFont val="Tahoma"/>
        <family val="2"/>
      </rPr>
      <t xml:space="preserve"> - Comune - Detrazione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</si>
  <si>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2026</t>
    </r>
    <r>
      <rPr>
        <b/>
        <sz val="8"/>
        <color theme="1"/>
        <rFont val="Tahoma"/>
        <family val="2"/>
      </rPr>
      <t xml:space="preserve"> - Comune - Post Detrazioni</t>
    </r>
  </si>
  <si>
    <r>
      <t>Recupero COI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TF, 2026</t>
    </r>
    <r>
      <rPr>
        <i/>
        <sz val="8"/>
        <color theme="1"/>
        <rFont val="Tahoma"/>
        <family val="2"/>
      </rPr>
      <t xml:space="preserve"> - Gestore</t>
    </r>
  </si>
  <si>
    <r>
      <t>Recupero COI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TF, 2026</t>
    </r>
    <r>
      <rPr>
        <sz val="8"/>
        <color theme="1"/>
        <rFont val="Tahoma"/>
        <family val="2"/>
      </rPr>
      <t xml:space="preserve"> - Gestore - Detrazione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</si>
  <si>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Gestore - Post Detrazioni</t>
    </r>
  </si>
  <si>
    <r>
      <t>Recupero COI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TF, 2026</t>
    </r>
    <r>
      <rPr>
        <i/>
        <sz val="8"/>
        <color theme="1"/>
        <rFont val="Tahoma"/>
        <family val="2"/>
      </rPr>
      <t xml:space="preserve"> - Comune</t>
    </r>
  </si>
  <si>
    <r>
      <t>Recupero COI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TF, 2026</t>
    </r>
    <r>
      <rPr>
        <sz val="8"/>
        <color theme="1"/>
        <rFont val="Tahoma"/>
        <family val="2"/>
      </rPr>
      <t xml:space="preserve"> - Comune - Detrazione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</si>
  <si>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2026</t>
    </r>
    <r>
      <rPr>
        <b/>
        <sz val="8"/>
        <color theme="1"/>
        <rFont val="Tahoma"/>
        <family val="2"/>
      </rPr>
      <t xml:space="preserve"> - Comune - Post Detrazioni</t>
    </r>
  </si>
  <si>
    <r>
      <t>Differenza fatturato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2027</t>
    </r>
    <r>
      <rPr>
        <i/>
        <sz val="8"/>
        <color theme="1"/>
        <rFont val="Tahoma"/>
        <family val="2"/>
      </rPr>
      <t xml:space="preserve"> - Gestore</t>
    </r>
  </si>
  <si>
    <r>
      <t>Differenza fatturato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2027</t>
    </r>
    <r>
      <rPr>
        <sz val="8"/>
        <color theme="1"/>
        <rFont val="Tahoma"/>
        <family val="2"/>
      </rPr>
      <t xml:space="preserve"> - Gestore - Detrazione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</si>
  <si>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Gestore - Post Detrazioni</t>
    </r>
  </si>
  <si>
    <r>
      <t xml:space="preserve">Conguaglio Inflazione PEF25 </t>
    </r>
    <r>
      <rPr>
        <i/>
        <vertAlign val="subscript"/>
        <sz val="8"/>
        <color theme="1"/>
        <rFont val="Tahoma"/>
        <family val="2"/>
      </rPr>
      <t>TV, 2027</t>
    </r>
    <r>
      <rPr>
        <i/>
        <sz val="8"/>
        <color theme="1"/>
        <rFont val="Tahoma"/>
        <family val="2"/>
      </rPr>
      <t xml:space="preserve"> - Gestore</t>
    </r>
  </si>
  <si>
    <r>
      <t>Conguaglio Inflazione PEF25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2027</t>
    </r>
    <r>
      <rPr>
        <sz val="8"/>
        <color theme="1"/>
        <rFont val="Tahoma"/>
        <family val="2"/>
      </rPr>
      <t xml:space="preserve"> - Gestore - Detrazione</t>
    </r>
  </si>
  <si>
    <r>
      <t>Conguaglio Inflazione PEF25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Gestore - Post Detrazioni</t>
    </r>
  </si>
  <si>
    <r>
      <t xml:space="preserve">Conguaglio Inflazione PEF27 </t>
    </r>
    <r>
      <rPr>
        <i/>
        <vertAlign val="subscript"/>
        <sz val="8"/>
        <color theme="1"/>
        <rFont val="Tahoma"/>
        <family val="2"/>
      </rPr>
      <t>TV, 2027</t>
    </r>
    <r>
      <rPr>
        <i/>
        <sz val="8"/>
        <color theme="1"/>
        <rFont val="Tahoma"/>
        <family val="2"/>
      </rPr>
      <t xml:space="preserve"> - Gestore</t>
    </r>
  </si>
  <si>
    <r>
      <t>Conguaglio Inflazione PEF27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2027</t>
    </r>
    <r>
      <rPr>
        <sz val="8"/>
        <color theme="1"/>
        <rFont val="Tahoma"/>
        <family val="2"/>
      </rPr>
      <t xml:space="preserve"> - Gestore - Detrazione</t>
    </r>
  </si>
  <si>
    <r>
      <t>Conguaglio Inflazione PEF27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Gestore - Post Detrazioni</t>
    </r>
  </si>
  <si>
    <r>
      <t xml:space="preserve">Conguaglio Efficientamento COrd </t>
    </r>
    <r>
      <rPr>
        <i/>
        <vertAlign val="subscript"/>
        <sz val="8"/>
        <color theme="1"/>
        <rFont val="Tahoma"/>
        <family val="2"/>
      </rPr>
      <t>TV, 2027</t>
    </r>
    <r>
      <rPr>
        <i/>
        <sz val="8"/>
        <color theme="1"/>
        <rFont val="Tahoma"/>
        <family val="2"/>
      </rPr>
      <t xml:space="preserve"> - Gestore</t>
    </r>
  </si>
  <si>
    <r>
      <t xml:space="preserve">Conguaglio Efficientamento COrd </t>
    </r>
    <r>
      <rPr>
        <vertAlign val="subscript"/>
        <sz val="8"/>
        <color theme="1"/>
        <rFont val="Tahoma"/>
        <family val="2"/>
      </rPr>
      <t>TV, 2027</t>
    </r>
    <r>
      <rPr>
        <sz val="8"/>
        <color theme="1"/>
        <rFont val="Tahoma"/>
        <family val="2"/>
      </rPr>
      <t xml:space="preserve"> - Gestore - Detrazione</t>
    </r>
  </si>
  <si>
    <r>
      <t xml:space="preserve">Conguaglio Efficientamento COrd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Gestore - Post Detrazioni</t>
    </r>
  </si>
  <si>
    <r>
      <t>RC</t>
    </r>
    <r>
      <rPr>
        <i/>
        <vertAlign val="subscript"/>
        <sz val="8"/>
        <color theme="1"/>
        <rFont val="Tahoma"/>
        <family val="2"/>
      </rPr>
      <t xml:space="preserve">TMAX </t>
    </r>
    <r>
      <rPr>
        <i/>
        <sz val="8"/>
        <color theme="1"/>
        <rFont val="Tahoma"/>
        <family val="2"/>
      </rPr>
      <t xml:space="preserve">Anni pregressi </t>
    </r>
    <r>
      <rPr>
        <i/>
        <vertAlign val="subscript"/>
        <sz val="8"/>
        <color theme="1"/>
        <rFont val="Tahoma"/>
        <family val="2"/>
      </rPr>
      <t>TV, 2027</t>
    </r>
    <r>
      <rPr>
        <i/>
        <sz val="8"/>
        <color theme="1"/>
        <rFont val="Tahoma"/>
        <family val="2"/>
      </rPr>
      <t xml:space="preserve"> - Gestore</t>
    </r>
  </si>
  <si>
    <r>
      <t>RC</t>
    </r>
    <r>
      <rPr>
        <vertAlign val="subscript"/>
        <sz val="8"/>
        <color theme="1"/>
        <rFont val="Tahoma"/>
        <family val="2"/>
      </rPr>
      <t xml:space="preserve">TMAX </t>
    </r>
    <r>
      <rPr>
        <sz val="8"/>
        <color theme="1"/>
        <rFont val="Tahoma"/>
        <family val="2"/>
      </rPr>
      <t xml:space="preserve">Anni pregressi </t>
    </r>
    <r>
      <rPr>
        <vertAlign val="subscript"/>
        <sz val="8"/>
        <color theme="1"/>
        <rFont val="Tahoma"/>
        <family val="2"/>
      </rPr>
      <t>TV, 2027</t>
    </r>
    <r>
      <rPr>
        <sz val="8"/>
        <color theme="1"/>
        <rFont val="Tahoma"/>
        <family val="2"/>
      </rPr>
      <t xml:space="preserve"> - Gestore - Detrazione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</si>
  <si>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Gestore - Post Detrazioni</t>
    </r>
  </si>
  <si>
    <r>
      <t>RC</t>
    </r>
    <r>
      <rPr>
        <b/>
        <vertAlign val="subscript"/>
        <sz val="8"/>
        <color theme="1"/>
        <rFont val="Tahoma"/>
        <family val="2"/>
      </rPr>
      <t>TOT TV, 2027</t>
    </r>
    <r>
      <rPr>
        <b/>
        <sz val="8"/>
        <color theme="1"/>
        <rFont val="Tahoma"/>
        <family val="2"/>
      </rPr>
      <t xml:space="preserve"> - Gestore - Detrazione</t>
    </r>
  </si>
  <si>
    <r>
      <t>RC</t>
    </r>
    <r>
      <rPr>
        <b/>
        <vertAlign val="subscript"/>
        <sz val="8"/>
        <color theme="1"/>
        <rFont val="Tahoma"/>
        <family val="2"/>
      </rPr>
      <t>TOT TV, 2027</t>
    </r>
    <r>
      <rPr>
        <b/>
        <sz val="8"/>
        <color theme="1"/>
        <rFont val="Tahoma"/>
        <family val="2"/>
      </rPr>
      <t xml:space="preserve"> - Gestore - Post Detrazioni</t>
    </r>
  </si>
  <si>
    <r>
      <t>RC</t>
    </r>
    <r>
      <rPr>
        <i/>
        <vertAlign val="subscript"/>
        <sz val="8"/>
        <color theme="1"/>
        <rFont val="Tahoma"/>
        <family val="2"/>
      </rPr>
      <t>RET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2027</t>
    </r>
    <r>
      <rPr>
        <i/>
        <sz val="8"/>
        <color theme="1"/>
        <rFont val="Tahoma"/>
        <family val="2"/>
      </rPr>
      <t xml:space="preserve"> - Comune</t>
    </r>
  </si>
  <si>
    <r>
      <t>RC</t>
    </r>
    <r>
      <rPr>
        <vertAlign val="subscript"/>
        <sz val="8"/>
        <color theme="1"/>
        <rFont val="Tahoma"/>
        <family val="2"/>
      </rPr>
      <t>RET TV, 2027</t>
    </r>
    <r>
      <rPr>
        <sz val="8"/>
        <color theme="1"/>
        <rFont val="Tahoma"/>
        <family val="2"/>
      </rPr>
      <t xml:space="preserve"> - Comune - Detrazione</t>
    </r>
  </si>
  <si>
    <r>
      <t>RC</t>
    </r>
    <r>
      <rPr>
        <b/>
        <vertAlign val="subscript"/>
        <sz val="8"/>
        <color theme="1"/>
        <rFont val="Tahoma"/>
        <family val="2"/>
      </rPr>
      <t>RET TV, 2027</t>
    </r>
    <r>
      <rPr>
        <b/>
        <sz val="8"/>
        <color theme="1"/>
        <rFont val="Tahoma"/>
        <family val="2"/>
      </rPr>
      <t xml:space="preserve"> - Comune -Post Detrazioni</t>
    </r>
  </si>
  <si>
    <r>
      <t>RC</t>
    </r>
    <r>
      <rPr>
        <i/>
        <vertAlign val="subscript"/>
        <sz val="8"/>
        <color theme="1"/>
        <rFont val="Tahoma"/>
        <family val="2"/>
      </rPr>
      <t>SMAL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2027</t>
    </r>
    <r>
      <rPr>
        <i/>
        <sz val="8"/>
        <color theme="1"/>
        <rFont val="Tahoma"/>
        <family val="2"/>
      </rPr>
      <t xml:space="preserve"> - Comune</t>
    </r>
  </si>
  <si>
    <r>
      <t>RC</t>
    </r>
    <r>
      <rPr>
        <vertAlign val="subscript"/>
        <sz val="8"/>
        <color theme="1"/>
        <rFont val="Tahoma"/>
        <family val="2"/>
      </rPr>
      <t>SMAL</t>
    </r>
    <r>
      <rPr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2027</t>
    </r>
    <r>
      <rPr>
        <sz val="8"/>
        <color theme="1"/>
        <rFont val="Tahoma"/>
        <family val="2"/>
      </rPr>
      <t xml:space="preserve"> - Comune - Detrazione</t>
    </r>
  </si>
  <si>
    <r>
      <t>RC</t>
    </r>
    <r>
      <rPr>
        <b/>
        <vertAlign val="subscript"/>
        <sz val="8"/>
        <color theme="1"/>
        <rFont val="Tahoma"/>
        <family val="2"/>
      </rPr>
      <t>SMAL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Comune - Post Detrazioni</t>
    </r>
  </si>
  <si>
    <r>
      <t>Recupero CO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116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2027</t>
    </r>
    <r>
      <rPr>
        <i/>
        <sz val="8"/>
        <color theme="1"/>
        <rFont val="Tahoma"/>
        <family val="2"/>
      </rPr>
      <t xml:space="preserve"> - Comune</t>
    </r>
  </si>
  <si>
    <r>
      <t>Recupero CO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116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2027</t>
    </r>
    <r>
      <rPr>
        <sz val="8"/>
        <color theme="1"/>
        <rFont val="Tahoma"/>
        <family val="2"/>
      </rPr>
      <t xml:space="preserve"> - Comune - Detrazione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</si>
  <si>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Comune - Post Detrazioni</t>
    </r>
  </si>
  <si>
    <r>
      <t>Recupero CQ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TV, 2027</t>
    </r>
    <r>
      <rPr>
        <i/>
        <sz val="8"/>
        <color theme="1"/>
        <rFont val="Tahoma"/>
        <family val="2"/>
      </rPr>
      <t xml:space="preserve"> - Comune</t>
    </r>
  </si>
  <si>
    <r>
      <t>Recupero CQ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TV, 2027</t>
    </r>
    <r>
      <rPr>
        <sz val="8"/>
        <color theme="1"/>
        <rFont val="Tahoma"/>
        <family val="2"/>
      </rPr>
      <t xml:space="preserve"> - Comune - Detrazione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</si>
  <si>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Comune - Post Detrazioni</t>
    </r>
  </si>
  <si>
    <r>
      <t>Recupero COnew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TV, 2027</t>
    </r>
    <r>
      <rPr>
        <i/>
        <sz val="8"/>
        <color theme="1"/>
        <rFont val="Tahoma"/>
        <family val="2"/>
      </rPr>
      <t xml:space="preserve"> - Comune</t>
    </r>
  </si>
  <si>
    <r>
      <t>Recupero COnew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TV, 2027</t>
    </r>
    <r>
      <rPr>
        <sz val="8"/>
        <color theme="1"/>
        <rFont val="Tahoma"/>
        <family val="2"/>
      </rPr>
      <t xml:space="preserve"> - Comune - Detrazione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</si>
  <si>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Comune - Post Detrazioni</t>
    </r>
  </si>
  <si>
    <r>
      <t xml:space="preserve">RC </t>
    </r>
    <r>
      <rPr>
        <i/>
        <vertAlign val="subscript"/>
        <sz val="8"/>
        <color theme="1"/>
        <rFont val="Tahoma"/>
        <family val="2"/>
      </rPr>
      <t>CTS 2027</t>
    </r>
    <r>
      <rPr>
        <i/>
        <sz val="8"/>
        <color theme="1"/>
        <rFont val="Tahoma"/>
        <family val="2"/>
      </rPr>
      <t xml:space="preserve"> - Comune</t>
    </r>
  </si>
  <si>
    <r>
      <t xml:space="preserve">RC </t>
    </r>
    <r>
      <rPr>
        <vertAlign val="subscript"/>
        <sz val="8"/>
        <color theme="1"/>
        <rFont val="Tahoma"/>
        <family val="2"/>
      </rPr>
      <t>CTS 2027</t>
    </r>
    <r>
      <rPr>
        <sz val="8"/>
        <color theme="1"/>
        <rFont val="Tahoma"/>
        <family val="2"/>
      </rPr>
      <t xml:space="preserve"> - Comune - Detrazione</t>
    </r>
  </si>
  <si>
    <r>
      <t xml:space="preserve">RC </t>
    </r>
    <r>
      <rPr>
        <b/>
        <vertAlign val="subscript"/>
        <sz val="8"/>
        <color theme="1"/>
        <rFont val="Tahoma"/>
        <family val="2"/>
      </rPr>
      <t>CTS 2027</t>
    </r>
    <r>
      <rPr>
        <b/>
        <sz val="8"/>
        <color theme="1"/>
        <rFont val="Tahoma"/>
        <family val="2"/>
      </rPr>
      <t xml:space="preserve"> - Comune - Post Detrazioni</t>
    </r>
  </si>
  <si>
    <r>
      <t>Differenza fatturato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2027</t>
    </r>
    <r>
      <rPr>
        <i/>
        <sz val="8"/>
        <color theme="1"/>
        <rFont val="Tahoma"/>
        <family val="2"/>
      </rPr>
      <t xml:space="preserve"> - Comune</t>
    </r>
  </si>
  <si>
    <r>
      <t>Differenza fatturato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2027</t>
    </r>
    <r>
      <rPr>
        <sz val="8"/>
        <color theme="1"/>
        <rFont val="Tahoma"/>
        <family val="2"/>
      </rPr>
      <t xml:space="preserve"> - Comune - Detrazione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</si>
  <si>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Comune - Post Detrazioni</t>
    </r>
  </si>
  <si>
    <r>
      <t xml:space="preserve">Conguaglio Inflazione PEF25 </t>
    </r>
    <r>
      <rPr>
        <i/>
        <vertAlign val="subscript"/>
        <sz val="8"/>
        <color theme="1"/>
        <rFont val="Tahoma"/>
        <family val="2"/>
      </rPr>
      <t>TV, 2027</t>
    </r>
    <r>
      <rPr>
        <i/>
        <sz val="8"/>
        <color theme="1"/>
        <rFont val="Tahoma"/>
        <family val="2"/>
      </rPr>
      <t xml:space="preserve"> - Comune</t>
    </r>
  </si>
  <si>
    <r>
      <t>Conguaglio Inflazione PEF25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2027</t>
    </r>
    <r>
      <rPr>
        <sz val="8"/>
        <color theme="1"/>
        <rFont val="Tahoma"/>
        <family val="2"/>
      </rPr>
      <t xml:space="preserve"> - Comune - Detrazione</t>
    </r>
  </si>
  <si>
    <r>
      <t>Conguaglio Inflazione PEF25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Comune - Post Detrazioni</t>
    </r>
  </si>
  <si>
    <r>
      <t xml:space="preserve">Conguaglio Inflazione PEF27 </t>
    </r>
    <r>
      <rPr>
        <i/>
        <vertAlign val="subscript"/>
        <sz val="8"/>
        <color theme="1"/>
        <rFont val="Tahoma"/>
        <family val="2"/>
      </rPr>
      <t>TV, 2027</t>
    </r>
    <r>
      <rPr>
        <i/>
        <sz val="8"/>
        <color theme="1"/>
        <rFont val="Tahoma"/>
        <family val="2"/>
      </rPr>
      <t xml:space="preserve"> - Comune</t>
    </r>
  </si>
  <si>
    <r>
      <t>Conguaglio Inflazione PEF27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2027</t>
    </r>
    <r>
      <rPr>
        <sz val="8"/>
        <color theme="1"/>
        <rFont val="Tahoma"/>
        <family val="2"/>
      </rPr>
      <t xml:space="preserve"> - Comune - Detrazione</t>
    </r>
  </si>
  <si>
    <r>
      <t>Conguaglio Inflazione PEF27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Comune - Post Detrazioni</t>
    </r>
  </si>
  <si>
    <r>
      <t xml:space="preserve">Conguaglio Efficientamento COrd </t>
    </r>
    <r>
      <rPr>
        <i/>
        <vertAlign val="subscript"/>
        <sz val="8"/>
        <color theme="1"/>
        <rFont val="Tahoma"/>
        <family val="2"/>
      </rPr>
      <t>TV, 2027</t>
    </r>
    <r>
      <rPr>
        <i/>
        <sz val="8"/>
        <color theme="1"/>
        <rFont val="Tahoma"/>
        <family val="2"/>
      </rPr>
      <t xml:space="preserve"> - Comune</t>
    </r>
  </si>
  <si>
    <r>
      <t xml:space="preserve">Conguaglio Efficientamento COrd </t>
    </r>
    <r>
      <rPr>
        <vertAlign val="subscript"/>
        <sz val="8"/>
        <color theme="1"/>
        <rFont val="Tahoma"/>
        <family val="2"/>
      </rPr>
      <t>TV, 2027</t>
    </r>
    <r>
      <rPr>
        <sz val="8"/>
        <color theme="1"/>
        <rFont val="Tahoma"/>
        <family val="2"/>
      </rPr>
      <t xml:space="preserve"> - Comune - Detrazione</t>
    </r>
  </si>
  <si>
    <r>
      <t xml:space="preserve">Conguaglio Efficientamento COrd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Comune - Post Detrazioni</t>
    </r>
  </si>
  <si>
    <r>
      <t>RC</t>
    </r>
    <r>
      <rPr>
        <i/>
        <vertAlign val="subscript"/>
        <sz val="8"/>
        <color theme="1"/>
        <rFont val="Tahoma"/>
        <family val="2"/>
      </rPr>
      <t xml:space="preserve">TMAX </t>
    </r>
    <r>
      <rPr>
        <i/>
        <sz val="8"/>
        <color theme="1"/>
        <rFont val="Tahoma"/>
        <family val="2"/>
      </rPr>
      <t xml:space="preserve">Anni pregressi </t>
    </r>
    <r>
      <rPr>
        <i/>
        <vertAlign val="subscript"/>
        <sz val="8"/>
        <color theme="1"/>
        <rFont val="Tahoma"/>
        <family val="2"/>
      </rPr>
      <t>TV, 2027</t>
    </r>
    <r>
      <rPr>
        <i/>
        <sz val="8"/>
        <color theme="1"/>
        <rFont val="Tahoma"/>
        <family val="2"/>
      </rPr>
      <t xml:space="preserve"> - Comune</t>
    </r>
  </si>
  <si>
    <r>
      <t>RC</t>
    </r>
    <r>
      <rPr>
        <vertAlign val="subscript"/>
        <sz val="8"/>
        <color theme="1"/>
        <rFont val="Tahoma"/>
        <family val="2"/>
      </rPr>
      <t xml:space="preserve">TMAX </t>
    </r>
    <r>
      <rPr>
        <sz val="8"/>
        <color theme="1"/>
        <rFont val="Tahoma"/>
        <family val="2"/>
      </rPr>
      <t xml:space="preserve">Anni pregressi </t>
    </r>
    <r>
      <rPr>
        <vertAlign val="subscript"/>
        <sz val="8"/>
        <color theme="1"/>
        <rFont val="Tahoma"/>
        <family val="2"/>
      </rPr>
      <t>TV, 2027</t>
    </r>
    <r>
      <rPr>
        <sz val="8"/>
        <color theme="1"/>
        <rFont val="Tahoma"/>
        <family val="2"/>
      </rPr>
      <t xml:space="preserve"> - Comune - Detrazione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</si>
  <si>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TV, 2027</t>
    </r>
    <r>
      <rPr>
        <b/>
        <sz val="8"/>
        <color theme="1"/>
        <rFont val="Tahoma"/>
        <family val="2"/>
      </rPr>
      <t xml:space="preserve"> - Comune - Post Detrazioni</t>
    </r>
  </si>
  <si>
    <r>
      <t>RC</t>
    </r>
    <r>
      <rPr>
        <b/>
        <vertAlign val="subscript"/>
        <sz val="8"/>
        <color theme="1"/>
        <rFont val="Tahoma"/>
        <family val="2"/>
      </rPr>
      <t>TOT TV, 2027</t>
    </r>
    <r>
      <rPr>
        <b/>
        <sz val="8"/>
        <color theme="1"/>
        <rFont val="Tahoma"/>
        <family val="2"/>
      </rPr>
      <t xml:space="preserve"> - Comune - Detrazione</t>
    </r>
  </si>
  <si>
    <r>
      <t>RC</t>
    </r>
    <r>
      <rPr>
        <b/>
        <vertAlign val="subscript"/>
        <sz val="8"/>
        <color theme="1"/>
        <rFont val="Tahoma"/>
        <family val="2"/>
      </rPr>
      <t>TOT TV, 2027</t>
    </r>
    <r>
      <rPr>
        <b/>
        <sz val="8"/>
        <color theme="1"/>
        <rFont val="Tahoma"/>
        <family val="2"/>
      </rPr>
      <t xml:space="preserve"> - Comune - Post Detrazioni</t>
    </r>
  </si>
  <si>
    <r>
      <t>IVA VARIABILE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Comune</t>
    </r>
  </si>
  <si>
    <r>
      <t>IVA VARIABILE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Comune - Detrazione</t>
    </r>
  </si>
  <si>
    <r>
      <t>IVA VARIABILE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Comune - Post Detrazioni</t>
    </r>
  </si>
  <si>
    <r>
      <t>CSL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Gestore</t>
    </r>
  </si>
  <si>
    <r>
      <t>CSL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Gestore - Detrazione</t>
    </r>
  </si>
  <si>
    <r>
      <t>CSL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Gestore - Post Detrazioni</t>
    </r>
  </si>
  <si>
    <r>
      <t>CSL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Comune</t>
    </r>
  </si>
  <si>
    <r>
      <t>CSL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Comune - Detrazione</t>
    </r>
  </si>
  <si>
    <r>
      <t>CSL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Comune - Post Detrazioni</t>
    </r>
  </si>
  <si>
    <r>
      <t>CARC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Gestore</t>
    </r>
  </si>
  <si>
    <r>
      <t>CARC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Gestore - Detrazione</t>
    </r>
  </si>
  <si>
    <r>
      <t>CARC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Gestore - Post Detrazioni</t>
    </r>
  </si>
  <si>
    <r>
      <t>CARC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Comune</t>
    </r>
  </si>
  <si>
    <r>
      <t>CARC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Comune - Detrazione</t>
    </r>
  </si>
  <si>
    <r>
      <t>CARC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Comune - Post Detrazioni</t>
    </r>
  </si>
  <si>
    <r>
      <t>CGG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Gestore</t>
    </r>
  </si>
  <si>
    <r>
      <t>CGG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Gestore - Detrazione</t>
    </r>
  </si>
  <si>
    <r>
      <t>CGG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Gestore - Post Detrazioni</t>
    </r>
  </si>
  <si>
    <r>
      <t>CGG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Comune</t>
    </r>
  </si>
  <si>
    <r>
      <t>CGG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Comune - Detrazione</t>
    </r>
  </si>
  <si>
    <r>
      <t>CGG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Comune - Post Detrazioni</t>
    </r>
  </si>
  <si>
    <r>
      <t>CCD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Gestore</t>
    </r>
  </si>
  <si>
    <r>
      <t>CCD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Gestore - Detrazione</t>
    </r>
  </si>
  <si>
    <r>
      <t>CCD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Gestore - Post Detrazioni</t>
    </r>
  </si>
  <si>
    <r>
      <t>CCD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Comune</t>
    </r>
  </si>
  <si>
    <r>
      <t>CCD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Comune - Detrazione</t>
    </r>
  </si>
  <si>
    <r>
      <t>CCD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Comune - Post Detrazioni</t>
    </r>
  </si>
  <si>
    <r>
      <t>COal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Gestore</t>
    </r>
  </si>
  <si>
    <r>
      <t>COal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Gestore - Detrazione</t>
    </r>
  </si>
  <si>
    <r>
      <t>COal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Gestore - Post Detrazioni</t>
    </r>
  </si>
  <si>
    <r>
      <t>COal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Comune</t>
    </r>
  </si>
  <si>
    <r>
      <t>COal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Comune - Detrazione</t>
    </r>
  </si>
  <si>
    <r>
      <t>COal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Comune - Post Detrazioni</t>
    </r>
  </si>
  <si>
    <r>
      <t>AMM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Gestore</t>
    </r>
  </si>
  <si>
    <r>
      <t>AMM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Gestore - Detrazione</t>
    </r>
  </si>
  <si>
    <r>
      <t>AMM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Gestore - Post Detrazioni</t>
    </r>
  </si>
  <si>
    <r>
      <t>AMM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Comune</t>
    </r>
  </si>
  <si>
    <r>
      <t>AMM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Comune - Detrazione</t>
    </r>
  </si>
  <si>
    <r>
      <t>AMM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Comune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</si>
  <si>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Gest. Post-operativa discariche - Gestore</t>
    </r>
  </si>
  <si>
    <r>
      <t>ACC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Gest. Post-operativa discariche - Gestore - Detrazione</t>
    </r>
  </si>
  <si>
    <r>
      <t>ACC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Gest. Post-operativa discariche - Gestore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</si>
  <si>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Per crediti - Gestore</t>
    </r>
  </si>
  <si>
    <r>
      <t>ACC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Per crediti - Gestore - Detrazione</t>
    </r>
  </si>
  <si>
    <r>
      <t>ACC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Per crediti - Gestore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</si>
  <si>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Rischi e oneri previsti dalla normativa - Gestore</t>
    </r>
  </si>
  <si>
    <r>
      <t>ACC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Rischi e oneri previsti dalla normativa - Gestore - Detrazione</t>
    </r>
  </si>
  <si>
    <r>
      <t>ACC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Rischi e oneri previsti dalla normativa - Gestore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</si>
  <si>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Altri, non in eccesso delle norme tributarie - Gestore</t>
    </r>
  </si>
  <si>
    <r>
      <t>ACC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Altri, non in eccesso delle norme tributarie - Gestore - Detrazione</t>
    </r>
  </si>
  <si>
    <r>
      <t>ACC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Altri, non in eccesso delle norme tributarie - Gestore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</si>
  <si>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Gestore</t>
    </r>
  </si>
  <si>
    <r>
      <t>ACC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Gestore - Detrazione</t>
    </r>
  </si>
  <si>
    <r>
      <t>ACC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Gestore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</si>
  <si>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Gest. Post-operativa discariche - Comune</t>
    </r>
  </si>
  <si>
    <r>
      <t>ACC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Gest. Post-operativa discariche - Comune - Detrazione</t>
    </r>
  </si>
  <si>
    <r>
      <t>ACC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Gest. Post-operativa discariche - Comune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</si>
  <si>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Per crediti - Comune</t>
    </r>
  </si>
  <si>
    <r>
      <t>ACC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Per crediti - Comune - Detrazione</t>
    </r>
  </si>
  <si>
    <r>
      <t>ACC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Per crediti - Comune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</si>
  <si>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Rischi e oneri previsti dalla normativa - Comune</t>
    </r>
  </si>
  <si>
    <r>
      <t>ACC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Rischi e oneri previsti dalla normativa - Comune - Detrazione</t>
    </r>
  </si>
  <si>
    <r>
      <t>ACC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Rischi e oneri previsti dalla normativa - Comune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</si>
  <si>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Altri, non in eccesso delle norme tributarie - Comune</t>
    </r>
  </si>
  <si>
    <r>
      <t>ACC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Altri, non in eccesso delle norme tributarie - Comune - Detrazione</t>
    </r>
  </si>
  <si>
    <r>
      <t>ACC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Altri, non in eccesso delle norme tributarie - Comune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</si>
  <si>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Comune</t>
    </r>
  </si>
  <si>
    <r>
      <t>ACC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Comune - Detrazione</t>
    </r>
  </si>
  <si>
    <r>
      <t>ACC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Comune - Post Detrazioni</t>
    </r>
  </si>
  <si>
    <r>
      <t>R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Gestore</t>
    </r>
  </si>
  <si>
    <r>
      <t>R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Gestore - Detrazione</t>
    </r>
  </si>
  <si>
    <r>
      <t>R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Gestore - Post Detrazioni</t>
    </r>
  </si>
  <si>
    <r>
      <t>R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Comune</t>
    </r>
  </si>
  <si>
    <r>
      <t>R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Comune - Detrazione</t>
    </r>
  </si>
  <si>
    <r>
      <t>R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Comune - Post Detrazioni</t>
    </r>
  </si>
  <si>
    <r>
      <t>RLIC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Gestore</t>
    </r>
  </si>
  <si>
    <r>
      <t>RLIC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Gestore - Detrazione</t>
    </r>
  </si>
  <si>
    <r>
      <t>RLIC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Gestore - Post Detrazioni</t>
    </r>
  </si>
  <si>
    <r>
      <t>RLIC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Comune</t>
    </r>
  </si>
  <si>
    <r>
      <t>RLIC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Comune - Detrazione</t>
    </r>
  </si>
  <si>
    <r>
      <t>RLIC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Comune - Post Detrazioni</t>
    </r>
  </si>
  <si>
    <r>
      <t>CKprop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Gestore</t>
    </r>
  </si>
  <si>
    <r>
      <t>CKprop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Gestore - Detrazione</t>
    </r>
  </si>
  <si>
    <r>
      <t>CKprop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Gestore - Post Detrazioni</t>
    </r>
  </si>
  <si>
    <r>
      <t>CKprop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Comune</t>
    </r>
  </si>
  <si>
    <r>
      <t>CKprop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Comune - Detrazione</t>
    </r>
  </si>
  <si>
    <r>
      <t>CKprop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Comune - Post Detrazioni</t>
    </r>
  </si>
  <si>
    <r>
      <t>RC</t>
    </r>
    <r>
      <rPr>
        <i/>
        <vertAlign val="subscript"/>
        <sz val="8"/>
        <color theme="1"/>
        <rFont val="Tahoma"/>
        <family val="2"/>
      </rPr>
      <t>RET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2027</t>
    </r>
    <r>
      <rPr>
        <i/>
        <sz val="8"/>
        <color theme="1"/>
        <rFont val="Tahoma"/>
        <family val="2"/>
      </rPr>
      <t xml:space="preserve"> - Gestore</t>
    </r>
  </si>
  <si>
    <r>
      <t>RC</t>
    </r>
    <r>
      <rPr>
        <vertAlign val="subscript"/>
        <sz val="8"/>
        <color theme="1"/>
        <rFont val="Tahoma"/>
        <family val="2"/>
      </rPr>
      <t>RET TF, 2027</t>
    </r>
    <r>
      <rPr>
        <sz val="8"/>
        <color theme="1"/>
        <rFont val="Tahoma"/>
        <family val="2"/>
      </rPr>
      <t xml:space="preserve"> - Gestore - Detrazione</t>
    </r>
  </si>
  <si>
    <r>
      <t>RC</t>
    </r>
    <r>
      <rPr>
        <b/>
        <vertAlign val="subscript"/>
        <sz val="8"/>
        <color theme="1"/>
        <rFont val="Tahoma"/>
        <family val="2"/>
      </rPr>
      <t>RET TF, 2027</t>
    </r>
    <r>
      <rPr>
        <b/>
        <sz val="8"/>
        <color theme="1"/>
        <rFont val="Tahoma"/>
        <family val="2"/>
      </rPr>
      <t xml:space="preserve"> - Gestore -Post Detrazioni</t>
    </r>
  </si>
  <si>
    <r>
      <t>Recupero CO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116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2027</t>
    </r>
    <r>
      <rPr>
        <i/>
        <sz val="8"/>
        <color theme="1"/>
        <rFont val="Tahoma"/>
        <family val="2"/>
      </rPr>
      <t xml:space="preserve"> - Gestore</t>
    </r>
  </si>
  <si>
    <r>
      <t>Recupero CO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116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2027</t>
    </r>
    <r>
      <rPr>
        <sz val="8"/>
        <color theme="1"/>
        <rFont val="Tahoma"/>
        <family val="2"/>
      </rPr>
      <t xml:space="preserve"> - Gestore - Detrazione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</si>
  <si>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Gestore - Post Detrazioni</t>
    </r>
  </si>
  <si>
    <r>
      <t>Recupero CQ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TF, 2027</t>
    </r>
    <r>
      <rPr>
        <i/>
        <sz val="8"/>
        <color theme="1"/>
        <rFont val="Tahoma"/>
        <family val="2"/>
      </rPr>
      <t xml:space="preserve"> - Gestore</t>
    </r>
  </si>
  <si>
    <r>
      <t>Recupero CQ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TF, 2027</t>
    </r>
    <r>
      <rPr>
        <sz val="8"/>
        <color theme="1"/>
        <rFont val="Tahoma"/>
        <family val="2"/>
      </rPr>
      <t xml:space="preserve"> - Gestore - Detrazione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</si>
  <si>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Gestore - Post Detrazioni</t>
    </r>
  </si>
  <si>
    <r>
      <t>Recupero COnew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TF, 2027</t>
    </r>
    <r>
      <rPr>
        <i/>
        <sz val="8"/>
        <color theme="1"/>
        <rFont val="Tahoma"/>
        <family val="2"/>
      </rPr>
      <t xml:space="preserve"> - Gestore</t>
    </r>
  </si>
  <si>
    <r>
      <t>Recupero COnew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TF, 2027</t>
    </r>
    <r>
      <rPr>
        <sz val="8"/>
        <color theme="1"/>
        <rFont val="Tahoma"/>
        <family val="2"/>
      </rPr>
      <t xml:space="preserve"> - Gestore - Detrazione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</si>
  <si>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Gestore - Post Detrazioni</t>
    </r>
  </si>
  <si>
    <r>
      <t>Differenza fatturato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2027</t>
    </r>
    <r>
      <rPr>
        <i/>
        <sz val="8"/>
        <color theme="1"/>
        <rFont val="Tahoma"/>
        <family val="2"/>
      </rPr>
      <t xml:space="preserve"> - Gestore</t>
    </r>
  </si>
  <si>
    <r>
      <t>Differenza fatturato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2027</t>
    </r>
    <r>
      <rPr>
        <sz val="8"/>
        <color theme="1"/>
        <rFont val="Tahoma"/>
        <family val="2"/>
      </rPr>
      <t xml:space="preserve"> - Gestore - Detrazione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</si>
  <si>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Gestore - Post Detrazioni</t>
    </r>
  </si>
  <si>
    <r>
      <t xml:space="preserve">Conguaglio Inflazione PEF25 </t>
    </r>
    <r>
      <rPr>
        <i/>
        <vertAlign val="subscript"/>
        <sz val="8"/>
        <color theme="1"/>
        <rFont val="Tahoma"/>
        <family val="2"/>
      </rPr>
      <t>TF, 2027</t>
    </r>
    <r>
      <rPr>
        <i/>
        <sz val="8"/>
        <color theme="1"/>
        <rFont val="Tahoma"/>
        <family val="2"/>
      </rPr>
      <t xml:space="preserve"> - Gestore</t>
    </r>
  </si>
  <si>
    <r>
      <t>Conguaglio Inflazione PEF25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2027</t>
    </r>
    <r>
      <rPr>
        <sz val="8"/>
        <color theme="1"/>
        <rFont val="Tahoma"/>
        <family val="2"/>
      </rPr>
      <t xml:space="preserve"> - Gestore - Detrazione</t>
    </r>
  </si>
  <si>
    <r>
      <t>Conguaglio Inflazione PEF25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Gestore - Post Detrazioni</t>
    </r>
  </si>
  <si>
    <r>
      <t xml:space="preserve">Conguaglio Inflazione PEF27 </t>
    </r>
    <r>
      <rPr>
        <i/>
        <vertAlign val="subscript"/>
        <sz val="8"/>
        <color theme="1"/>
        <rFont val="Tahoma"/>
        <family val="2"/>
      </rPr>
      <t>TF, 2027</t>
    </r>
    <r>
      <rPr>
        <i/>
        <sz val="8"/>
        <color theme="1"/>
        <rFont val="Tahoma"/>
        <family val="2"/>
      </rPr>
      <t xml:space="preserve"> - Gestore</t>
    </r>
  </si>
  <si>
    <r>
      <t>Conguaglio Inflazione PEF27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2027</t>
    </r>
    <r>
      <rPr>
        <sz val="8"/>
        <color theme="1"/>
        <rFont val="Tahoma"/>
        <family val="2"/>
      </rPr>
      <t xml:space="preserve"> - Gestore - Detrazione</t>
    </r>
  </si>
  <si>
    <r>
      <t>Conguaglio Inflazione PEF27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Gestore - Post Detrazioni</t>
    </r>
  </si>
  <si>
    <r>
      <t>Conguaglio CK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2027</t>
    </r>
    <r>
      <rPr>
        <i/>
        <sz val="8"/>
        <color theme="1"/>
        <rFont val="Tahoma"/>
        <family val="2"/>
      </rPr>
      <t xml:space="preserve"> - Gestore</t>
    </r>
  </si>
  <si>
    <r>
      <t>Conguaglio CK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2027</t>
    </r>
    <r>
      <rPr>
        <sz val="8"/>
        <color theme="1"/>
        <rFont val="Tahoma"/>
        <family val="2"/>
      </rPr>
      <t xml:space="preserve"> - Gestore - Detrazione</t>
    </r>
  </si>
  <si>
    <r>
      <t>Conguaglio CK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Gestore - Post Detrazioni</t>
    </r>
  </si>
  <si>
    <r>
      <t>RC</t>
    </r>
    <r>
      <rPr>
        <i/>
        <vertAlign val="subscript"/>
        <sz val="8"/>
        <color theme="1"/>
        <rFont val="Tahoma"/>
        <family val="2"/>
      </rPr>
      <t xml:space="preserve">TMAX </t>
    </r>
    <r>
      <rPr>
        <i/>
        <sz val="8"/>
        <color theme="1"/>
        <rFont val="Tahoma"/>
        <family val="2"/>
      </rPr>
      <t xml:space="preserve">Anni pregressi </t>
    </r>
    <r>
      <rPr>
        <i/>
        <vertAlign val="subscript"/>
        <sz val="8"/>
        <color theme="1"/>
        <rFont val="Tahoma"/>
        <family val="2"/>
      </rPr>
      <t>TF, 2027</t>
    </r>
    <r>
      <rPr>
        <i/>
        <sz val="8"/>
        <color theme="1"/>
        <rFont val="Tahoma"/>
        <family val="2"/>
      </rPr>
      <t xml:space="preserve"> - Gestore</t>
    </r>
  </si>
  <si>
    <r>
      <t>RC</t>
    </r>
    <r>
      <rPr>
        <vertAlign val="subscript"/>
        <sz val="8"/>
        <color theme="1"/>
        <rFont val="Tahoma"/>
        <family val="2"/>
      </rPr>
      <t xml:space="preserve">TMAX </t>
    </r>
    <r>
      <rPr>
        <sz val="8"/>
        <color theme="1"/>
        <rFont val="Tahoma"/>
        <family val="2"/>
      </rPr>
      <t xml:space="preserve">Anni pregressi </t>
    </r>
    <r>
      <rPr>
        <vertAlign val="subscript"/>
        <sz val="8"/>
        <color theme="1"/>
        <rFont val="Tahoma"/>
        <family val="2"/>
      </rPr>
      <t>TF, 2027</t>
    </r>
    <r>
      <rPr>
        <sz val="8"/>
        <color theme="1"/>
        <rFont val="Tahoma"/>
        <family val="2"/>
      </rPr>
      <t xml:space="preserve"> - Gestore - Detrazione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</si>
  <si>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Gestore - Post Detrazioni</t>
    </r>
  </si>
  <si>
    <r>
      <t>RC</t>
    </r>
    <r>
      <rPr>
        <b/>
        <vertAlign val="subscript"/>
        <sz val="8"/>
        <color theme="1"/>
        <rFont val="Tahoma"/>
        <family val="2"/>
      </rPr>
      <t>TOT TF, 2027</t>
    </r>
    <r>
      <rPr>
        <b/>
        <sz val="8"/>
        <color theme="1"/>
        <rFont val="Tahoma"/>
        <family val="2"/>
      </rPr>
      <t xml:space="preserve"> - Gestore - Detrazione</t>
    </r>
  </si>
  <si>
    <r>
      <t>RC</t>
    </r>
    <r>
      <rPr>
        <b/>
        <vertAlign val="subscript"/>
        <sz val="8"/>
        <color theme="1"/>
        <rFont val="Tahoma"/>
        <family val="2"/>
      </rPr>
      <t>TOT TF, 2027</t>
    </r>
    <r>
      <rPr>
        <b/>
        <sz val="8"/>
        <color theme="1"/>
        <rFont val="Tahoma"/>
        <family val="2"/>
      </rPr>
      <t xml:space="preserve"> - Gestore - Post Detrazioni</t>
    </r>
  </si>
  <si>
    <r>
      <t>RC</t>
    </r>
    <r>
      <rPr>
        <i/>
        <vertAlign val="subscript"/>
        <sz val="8"/>
        <color theme="1"/>
        <rFont val="Tahoma"/>
        <family val="2"/>
      </rPr>
      <t>RET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2027</t>
    </r>
    <r>
      <rPr>
        <i/>
        <sz val="8"/>
        <color theme="1"/>
        <rFont val="Tahoma"/>
        <family val="2"/>
      </rPr>
      <t xml:space="preserve"> - Comune</t>
    </r>
  </si>
  <si>
    <r>
      <t>RC</t>
    </r>
    <r>
      <rPr>
        <vertAlign val="subscript"/>
        <sz val="8"/>
        <color theme="1"/>
        <rFont val="Tahoma"/>
        <family val="2"/>
      </rPr>
      <t>RET TF, 2027</t>
    </r>
    <r>
      <rPr>
        <sz val="8"/>
        <color theme="1"/>
        <rFont val="Tahoma"/>
        <family val="2"/>
      </rPr>
      <t xml:space="preserve"> - Comune - Detrazione</t>
    </r>
  </si>
  <si>
    <r>
      <t>RC</t>
    </r>
    <r>
      <rPr>
        <b/>
        <vertAlign val="subscript"/>
        <sz val="8"/>
        <color theme="1"/>
        <rFont val="Tahoma"/>
        <family val="2"/>
      </rPr>
      <t>RET TF, 2027</t>
    </r>
    <r>
      <rPr>
        <b/>
        <sz val="8"/>
        <color theme="1"/>
        <rFont val="Tahoma"/>
        <family val="2"/>
      </rPr>
      <t xml:space="preserve"> - Comune -Post Detrazioni</t>
    </r>
  </si>
  <si>
    <r>
      <t>Recupero CO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116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2027</t>
    </r>
    <r>
      <rPr>
        <i/>
        <sz val="8"/>
        <color theme="1"/>
        <rFont val="Tahoma"/>
        <family val="2"/>
      </rPr>
      <t xml:space="preserve"> - Comune</t>
    </r>
  </si>
  <si>
    <r>
      <t>Recupero CO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116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2027</t>
    </r>
    <r>
      <rPr>
        <sz val="8"/>
        <color theme="1"/>
        <rFont val="Tahoma"/>
        <family val="2"/>
      </rPr>
      <t xml:space="preserve"> - Comune - Detrazione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</si>
  <si>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Comune - Post Detrazioni</t>
    </r>
  </si>
  <si>
    <r>
      <t>Recupero CQ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TF, 2027</t>
    </r>
    <r>
      <rPr>
        <i/>
        <sz val="8"/>
        <color theme="1"/>
        <rFont val="Tahoma"/>
        <family val="2"/>
      </rPr>
      <t xml:space="preserve"> - Comune</t>
    </r>
  </si>
  <si>
    <r>
      <t>Recupero CQ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TF, 2027</t>
    </r>
    <r>
      <rPr>
        <sz val="8"/>
        <color theme="1"/>
        <rFont val="Tahoma"/>
        <family val="2"/>
      </rPr>
      <t xml:space="preserve"> - Comune - Detrazione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</si>
  <si>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Comune - Post Detrazioni</t>
    </r>
  </si>
  <si>
    <r>
      <t>Recupero COnew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TF, 2027</t>
    </r>
    <r>
      <rPr>
        <i/>
        <sz val="8"/>
        <color theme="1"/>
        <rFont val="Tahoma"/>
        <family val="2"/>
      </rPr>
      <t xml:space="preserve"> - Comune</t>
    </r>
  </si>
  <si>
    <r>
      <t>Recupero COnew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TF, 2027</t>
    </r>
    <r>
      <rPr>
        <sz val="8"/>
        <color theme="1"/>
        <rFont val="Tahoma"/>
        <family val="2"/>
      </rPr>
      <t xml:space="preserve"> - Comune - Detrazione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</si>
  <si>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Comune - Post Detrazioni</t>
    </r>
  </si>
  <si>
    <r>
      <t>Differenza fatturato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2027</t>
    </r>
    <r>
      <rPr>
        <i/>
        <sz val="8"/>
        <color theme="1"/>
        <rFont val="Tahoma"/>
        <family val="2"/>
      </rPr>
      <t xml:space="preserve"> - Comune</t>
    </r>
  </si>
  <si>
    <r>
      <t>Differenza fatturato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2027</t>
    </r>
    <r>
      <rPr>
        <sz val="8"/>
        <color theme="1"/>
        <rFont val="Tahoma"/>
        <family val="2"/>
      </rPr>
      <t xml:space="preserve"> - Comune - Detrazione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</si>
  <si>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Comune - Post Detrazioni</t>
    </r>
  </si>
  <si>
    <r>
      <t xml:space="preserve">Conguaglio Inflazione PEF25 </t>
    </r>
    <r>
      <rPr>
        <i/>
        <vertAlign val="subscript"/>
        <sz val="8"/>
        <color theme="1"/>
        <rFont val="Tahoma"/>
        <family val="2"/>
      </rPr>
      <t>TF, 2027</t>
    </r>
    <r>
      <rPr>
        <i/>
        <sz val="8"/>
        <color theme="1"/>
        <rFont val="Tahoma"/>
        <family val="2"/>
      </rPr>
      <t xml:space="preserve"> - Comune</t>
    </r>
  </si>
  <si>
    <r>
      <t>Conguaglio Inflazione PEF25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2027</t>
    </r>
    <r>
      <rPr>
        <sz val="8"/>
        <color theme="1"/>
        <rFont val="Tahoma"/>
        <family val="2"/>
      </rPr>
      <t xml:space="preserve"> - Comune - Detrazione</t>
    </r>
  </si>
  <si>
    <r>
      <t>Conguaglio Inflazione PEF25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Comune - Post Detrazioni</t>
    </r>
  </si>
  <si>
    <r>
      <t xml:space="preserve">Conguaglio Inflazione PEF27 </t>
    </r>
    <r>
      <rPr>
        <i/>
        <vertAlign val="subscript"/>
        <sz val="8"/>
        <color theme="1"/>
        <rFont val="Tahoma"/>
        <family val="2"/>
      </rPr>
      <t>TF, 2027</t>
    </r>
    <r>
      <rPr>
        <i/>
        <sz val="8"/>
        <color theme="1"/>
        <rFont val="Tahoma"/>
        <family val="2"/>
      </rPr>
      <t xml:space="preserve"> - Comune</t>
    </r>
  </si>
  <si>
    <r>
      <t>Conguaglio Inflazione PEF27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2027</t>
    </r>
    <r>
      <rPr>
        <sz val="8"/>
        <color theme="1"/>
        <rFont val="Tahoma"/>
        <family val="2"/>
      </rPr>
      <t xml:space="preserve"> - Comune - Detrazione</t>
    </r>
  </si>
  <si>
    <r>
      <t>Conguaglio Inflazione PEF27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Comune - Post Detrazioni</t>
    </r>
  </si>
  <si>
    <r>
      <t>Conguaglio CK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2027</t>
    </r>
    <r>
      <rPr>
        <i/>
        <sz val="8"/>
        <color theme="1"/>
        <rFont val="Tahoma"/>
        <family val="2"/>
      </rPr>
      <t xml:space="preserve"> - Comune</t>
    </r>
  </si>
  <si>
    <r>
      <t>Conguaglio CK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2027</t>
    </r>
    <r>
      <rPr>
        <sz val="8"/>
        <color theme="1"/>
        <rFont val="Tahoma"/>
        <family val="2"/>
      </rPr>
      <t xml:space="preserve"> - Comune - Detrazione</t>
    </r>
  </si>
  <si>
    <r>
      <t>Conguaglio CK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Comune - Post Detrazioni</t>
    </r>
  </si>
  <si>
    <r>
      <t>RC</t>
    </r>
    <r>
      <rPr>
        <i/>
        <vertAlign val="subscript"/>
        <sz val="8"/>
        <color theme="1"/>
        <rFont val="Tahoma"/>
        <family val="2"/>
      </rPr>
      <t xml:space="preserve">TMAX </t>
    </r>
    <r>
      <rPr>
        <i/>
        <sz val="8"/>
        <color theme="1"/>
        <rFont val="Tahoma"/>
        <family val="2"/>
      </rPr>
      <t xml:space="preserve">Anni pregressi </t>
    </r>
    <r>
      <rPr>
        <i/>
        <vertAlign val="subscript"/>
        <sz val="8"/>
        <color theme="1"/>
        <rFont val="Tahoma"/>
        <family val="2"/>
      </rPr>
      <t>TF, 2027</t>
    </r>
    <r>
      <rPr>
        <i/>
        <sz val="8"/>
        <color theme="1"/>
        <rFont val="Tahoma"/>
        <family val="2"/>
      </rPr>
      <t xml:space="preserve"> - Comune</t>
    </r>
  </si>
  <si>
    <r>
      <t>RC</t>
    </r>
    <r>
      <rPr>
        <vertAlign val="subscript"/>
        <sz val="8"/>
        <color theme="1"/>
        <rFont val="Tahoma"/>
        <family val="2"/>
      </rPr>
      <t xml:space="preserve">TMAX </t>
    </r>
    <r>
      <rPr>
        <sz val="8"/>
        <color theme="1"/>
        <rFont val="Tahoma"/>
        <family val="2"/>
      </rPr>
      <t xml:space="preserve">Anni pregressi </t>
    </r>
    <r>
      <rPr>
        <vertAlign val="subscript"/>
        <sz val="8"/>
        <color theme="1"/>
        <rFont val="Tahoma"/>
        <family val="2"/>
      </rPr>
      <t>TF, 2027</t>
    </r>
    <r>
      <rPr>
        <sz val="8"/>
        <color theme="1"/>
        <rFont val="Tahoma"/>
        <family val="2"/>
      </rPr>
      <t xml:space="preserve"> - Comune - Detrazione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</si>
  <si>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TF, 2027</t>
    </r>
    <r>
      <rPr>
        <b/>
        <sz val="8"/>
        <color theme="1"/>
        <rFont val="Tahoma"/>
        <family val="2"/>
      </rPr>
      <t xml:space="preserve"> - Comune - Post Detrazioni</t>
    </r>
  </si>
  <si>
    <r>
      <t>RC</t>
    </r>
    <r>
      <rPr>
        <b/>
        <vertAlign val="subscript"/>
        <sz val="8"/>
        <color theme="1"/>
        <rFont val="Tahoma"/>
        <family val="2"/>
      </rPr>
      <t>TOT TF, 2027</t>
    </r>
    <r>
      <rPr>
        <b/>
        <sz val="8"/>
        <color theme="1"/>
        <rFont val="Tahoma"/>
        <family val="2"/>
      </rPr>
      <t xml:space="preserve"> - Comune - Detrazione</t>
    </r>
  </si>
  <si>
    <r>
      <t>RC</t>
    </r>
    <r>
      <rPr>
        <b/>
        <vertAlign val="subscript"/>
        <sz val="8"/>
        <color theme="1"/>
        <rFont val="Tahoma"/>
        <family val="2"/>
      </rPr>
      <t>TOT TF, 2027</t>
    </r>
    <r>
      <rPr>
        <b/>
        <sz val="8"/>
        <color theme="1"/>
        <rFont val="Tahoma"/>
        <family val="2"/>
      </rPr>
      <t xml:space="preserve"> - Comune - Post Detrazioni</t>
    </r>
  </si>
  <si>
    <r>
      <t>IVA FISSA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Comune</t>
    </r>
  </si>
  <si>
    <r>
      <t>IVA FISSA</t>
    </r>
    <r>
      <rPr>
        <vertAlign val="subscript"/>
        <sz val="8"/>
        <color theme="1"/>
        <rFont val="Tahoma"/>
        <family val="2"/>
      </rPr>
      <t>2027</t>
    </r>
    <r>
      <rPr>
        <sz val="8"/>
        <color theme="1"/>
        <rFont val="Tahoma"/>
        <family val="2"/>
      </rPr>
      <t xml:space="preserve"> - Comune - Detrazione</t>
    </r>
  </si>
  <si>
    <r>
      <t>IVA FISSA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Comune - Post Detrazioni</t>
    </r>
  </si>
  <si>
    <t>CRT_28_GEST</t>
  </si>
  <si>
    <t>CRT_28_GEST_DETR</t>
  </si>
  <si>
    <t>CRT_28_GEST_PD</t>
  </si>
  <si>
    <t>CRT_28_COM</t>
  </si>
  <si>
    <t>CRT_28_COM_DETR</t>
  </si>
  <si>
    <t>CRT_28_COM_PD</t>
  </si>
  <si>
    <t>CTS_28_GEST</t>
  </si>
  <si>
    <t>CTS_28_GEST_DETR</t>
  </si>
  <si>
    <t>CTS_28_GEST_PD</t>
  </si>
  <si>
    <t>CTS_28_COM</t>
  </si>
  <si>
    <t>CTS_28_COM_DETR</t>
  </si>
  <si>
    <t>CTS_28_COM_PD</t>
  </si>
  <si>
    <t>CTR_28_GEST</t>
  </si>
  <si>
    <t>CTR_28_GEST_DETR</t>
  </si>
  <si>
    <t>CTR_28_GEST_PD</t>
  </si>
  <si>
    <t>CTR_28_COM</t>
  </si>
  <si>
    <t>CTR_28_COM_DETR</t>
  </si>
  <si>
    <t>CTR_28_COM_PD</t>
  </si>
  <si>
    <t>CRD_28_GEST</t>
  </si>
  <si>
    <t>CRD_28_GEST_DETR</t>
  </si>
  <si>
    <t>CRD_28_GEST_PD</t>
  </si>
  <si>
    <t>CRD_28_COM</t>
  </si>
  <si>
    <t>CRD_28_COM_DETR</t>
  </si>
  <si>
    <t>CRD_28_COM_PD</t>
  </si>
  <si>
    <t>RCRET_TV_28_GEST_DETR</t>
  </si>
  <si>
    <t>RCRET_TV_28_GEST_PD</t>
  </si>
  <si>
    <t>RCSMAL_TV_28_GEST_DETR</t>
  </si>
  <si>
    <t>RCSMAL_TV_28_GEST_PD</t>
  </si>
  <si>
    <t>REC_CO116_TV_28_GEST_DETR</t>
  </si>
  <si>
    <t>REC_CO116_TV_28_GEST_PD</t>
  </si>
  <si>
    <t>REC_CQ_TV_28_GEST_DETR</t>
  </si>
  <si>
    <t>REC_CQ_TV_28_GEST_PD</t>
  </si>
  <si>
    <t>REC_COnew_TV_28_GEST_DETR</t>
  </si>
  <si>
    <t>REC_COnew_TV_28_GEST_PD</t>
  </si>
  <si>
    <t>REC_COI_TV_28_GEST_DETR</t>
  </si>
  <si>
    <t>REC_COI_TV_28_GEST_PD</t>
  </si>
  <si>
    <t>REC_IMP_TV_28_GEST_DETR</t>
  </si>
  <si>
    <t>REC_IMP_TV_28_GEST_PD</t>
  </si>
  <si>
    <t>REC_FATT_TV_28_GEST_DETR</t>
  </si>
  <si>
    <t>REC_FATT_TV_28_GEST_PD</t>
  </si>
  <si>
    <t>I_25_TV_GEST_28_DETR</t>
  </si>
  <si>
    <t>I_25_TV_GEST_28_PD</t>
  </si>
  <si>
    <t>I_27_TV_GEST_28_DETR</t>
  </si>
  <si>
    <t>I_27_TV_GEST_28_PD</t>
  </si>
  <si>
    <t>RC_CORD_TV_GEST_28_DETR</t>
  </si>
  <si>
    <t>RC_CORD_TV_GEST_28_PD</t>
  </si>
  <si>
    <t>RCTOT_TV_28_GEST_DETR</t>
  </si>
  <si>
    <t>RCTOT_TV_28_GEST_PD</t>
  </si>
  <si>
    <t>RCRET_TV_28_COM_DETR</t>
  </si>
  <si>
    <t>RCRET_TV_28_COM_PD</t>
  </si>
  <si>
    <t>RCSMAL_TV_28_COM_DETR</t>
  </si>
  <si>
    <t>RCSMAL_TV_28_COM_PD</t>
  </si>
  <si>
    <t>REC_CO116_TV_28_COM_DETR</t>
  </si>
  <si>
    <t>REC_CO116_TV_28_COM_PD</t>
  </si>
  <si>
    <t>REC_CQ_TV_28_COM_DETR</t>
  </si>
  <si>
    <t>REC_CQ_TV_28_COM_PD</t>
  </si>
  <si>
    <t>REC_COnew_TV_28_COM_DETR</t>
  </si>
  <si>
    <t>REC_COnew_TV_28_COM_PD</t>
  </si>
  <si>
    <t>REC_COI_TV_28_COM_DETR</t>
  </si>
  <si>
    <t>REC_COI_TV_28_COM_PD</t>
  </si>
  <si>
    <t>REC_IMP_TV_28_COM_DETR</t>
  </si>
  <si>
    <t>REC_IMP_TV_28_COM_PD</t>
  </si>
  <si>
    <t>REC_FATT_TV_28_COM_DETR</t>
  </si>
  <si>
    <t>REC_FATT_TV_28_COM_PD</t>
  </si>
  <si>
    <t>I_25_TV_COM_28_DETR</t>
  </si>
  <si>
    <t>I_25_TV_COM_28_PD</t>
  </si>
  <si>
    <t>I_27_TV_COM_28_DETR</t>
  </si>
  <si>
    <t>I_27_TV_COM_28_PD</t>
  </si>
  <si>
    <t>RC_CORD_TV_COM_28_DETR</t>
  </si>
  <si>
    <t>RC_CORD_TV_COM_28_PD</t>
  </si>
  <si>
    <t>RCTOT_TV_28_COM_DETR</t>
  </si>
  <si>
    <t>RCTOT_TV_28_COM_PD</t>
  </si>
  <si>
    <t>IVAVAR_28_COM</t>
  </si>
  <si>
    <t>IVAVAR_28_COM_DETR</t>
  </si>
  <si>
    <t>IVAVAR_28_COM_PD</t>
  </si>
  <si>
    <t>CSL_28_GEST</t>
  </si>
  <si>
    <t>CSL_28_GEST_DETR</t>
  </si>
  <si>
    <t>CSL_28_GEST_PD</t>
  </si>
  <si>
    <t>CSL_28_COM</t>
  </si>
  <si>
    <t>CSL_28_COM_DETR</t>
  </si>
  <si>
    <t>CSL_28_COM_PD</t>
  </si>
  <si>
    <t>CARC_28_GEST</t>
  </si>
  <si>
    <t>CARC_28_GEST_DETR</t>
  </si>
  <si>
    <t>CARC_28_GEST_PD</t>
  </si>
  <si>
    <t>CARC_28_COM</t>
  </si>
  <si>
    <t>CARC_28_COM_DETR</t>
  </si>
  <si>
    <t>CARC_28_COM_PD</t>
  </si>
  <si>
    <t>CGG_28_GEST</t>
  </si>
  <si>
    <t>CGG_28_GEST_DETR</t>
  </si>
  <si>
    <t>CGG_28_GEST_PD</t>
  </si>
  <si>
    <t>CGG_28_COM</t>
  </si>
  <si>
    <t>CGG_28_COM_DETR</t>
  </si>
  <si>
    <t>CGG_28_COM_PD</t>
  </si>
  <si>
    <t>CCD_28_GEST</t>
  </si>
  <si>
    <t>CCD_28_GEST_DETR</t>
  </si>
  <si>
    <t>CCD_28_GEST_PD</t>
  </si>
  <si>
    <t>CCD_28_COM</t>
  </si>
  <si>
    <t>CCD_28_COM_DETR</t>
  </si>
  <si>
    <t>CCD_28_COM_PD</t>
  </si>
  <si>
    <t>COAL_28_GEST</t>
  </si>
  <si>
    <t>COAL_28_GEST_DETR</t>
  </si>
  <si>
    <t>COAL_28_GEST_PD</t>
  </si>
  <si>
    <t>COAL_28_COM</t>
  </si>
  <si>
    <t>COAL_28_COM_DETR</t>
  </si>
  <si>
    <t>COAL_28_COM_PD</t>
  </si>
  <si>
    <t>AMM_28_GEST</t>
  </si>
  <si>
    <t>AMM_28_GEST_DETR</t>
  </si>
  <si>
    <t>AMM_28_GEST_PD</t>
  </si>
  <si>
    <t>AMM_28_COM</t>
  </si>
  <si>
    <t>AMM_28_COM_DETR</t>
  </si>
  <si>
    <t>AMM_28_COM_PD</t>
  </si>
  <si>
    <t>ACC_DETT1_28_GEST</t>
  </si>
  <si>
    <t>ACC_DETT1_28_GEST_DETR</t>
  </si>
  <si>
    <t>ACC_DETT1_28_GEST_PD</t>
  </si>
  <si>
    <t>ACC_DETT2_28_GEST</t>
  </si>
  <si>
    <t>ACC_DETT2_28_GEST_DETR</t>
  </si>
  <si>
    <t>ACC_DETT2_28_GEST_PD</t>
  </si>
  <si>
    <t>ACC_DETT3_28_GEST</t>
  </si>
  <si>
    <t>ACC_DETT3_28_GEST_DETR</t>
  </si>
  <si>
    <t>ACC_DETT3_28_GEST_PD</t>
  </si>
  <si>
    <t>ACC_DETT4_28_GEST</t>
  </si>
  <si>
    <t>ACC_DETT4_28_GEST_DETR</t>
  </si>
  <si>
    <t>ACC_DETT4_28_GEST_PD</t>
  </si>
  <si>
    <t>ACC_28_GEST</t>
  </si>
  <si>
    <t>ACC_28_GEST_DETR</t>
  </si>
  <si>
    <t>ACC_28_GEST_PD</t>
  </si>
  <si>
    <t>ACC_DETT1_28_COM</t>
  </si>
  <si>
    <t>ACC_DETT1_28_COM_DETR</t>
  </si>
  <si>
    <t>ACC_DETT1_28_COM_PD</t>
  </si>
  <si>
    <t>ACC_DETT2_28_COM</t>
  </si>
  <si>
    <t>ACC_DETT2_28_COM_DETR</t>
  </si>
  <si>
    <t>ACC_DETT2_28_COM_PD</t>
  </si>
  <si>
    <t>ACC_DETT3_28_COM</t>
  </si>
  <si>
    <t>ACC_DETT3_28_COM_DETR</t>
  </si>
  <si>
    <t>ACC_DETT3_28_COM_PD</t>
  </si>
  <si>
    <t>ACC_DETT4_28_COM</t>
  </si>
  <si>
    <t>ACC_DETT4_28_COM_DETR</t>
  </si>
  <si>
    <t>ACC_DETT4_28_COM_PD</t>
  </si>
  <si>
    <t>ACC_28_COM</t>
  </si>
  <si>
    <t>ACC_28_COM_DETR</t>
  </si>
  <si>
    <t>ACC_28_COM_PD</t>
  </si>
  <si>
    <t>R_28_GEST</t>
  </si>
  <si>
    <t>R_28_GEST_DETR</t>
  </si>
  <si>
    <t>R_28_GEST_PD</t>
  </si>
  <si>
    <t>R_28_COM</t>
  </si>
  <si>
    <t>R_28_COM_DETR</t>
  </si>
  <si>
    <t>R_28_COM_PD</t>
  </si>
  <si>
    <t>RLIC_28_GEST</t>
  </si>
  <si>
    <t>RLIC_28_GEST_DETR</t>
  </si>
  <si>
    <t>RLIC_28_GEST_PD</t>
  </si>
  <si>
    <t>RLIC_28_COM</t>
  </si>
  <si>
    <t>RLIC_28_COM_DETR</t>
  </si>
  <si>
    <t>RLIC_28_COM_PD</t>
  </si>
  <si>
    <t>CKPROP_28_GEST</t>
  </si>
  <si>
    <t>CKPROP_28_GEST_DETR</t>
  </si>
  <si>
    <t>CKPROP_28_GEST_PD</t>
  </si>
  <si>
    <t>CKPROP_28_COM</t>
  </si>
  <si>
    <t>CKPROP_28_COM_DETR</t>
  </si>
  <si>
    <t>CKPROP_28_COM_PD</t>
  </si>
  <si>
    <t>RCRET_TF_28_GEST_DETR</t>
  </si>
  <si>
    <t>RCRET_TF_28_GEST_PD</t>
  </si>
  <si>
    <t>REC_CO116_TF_28_GEST_DETR</t>
  </si>
  <si>
    <t>REC_CO116_TF_28_GEST_PD</t>
  </si>
  <si>
    <t>REC_CQ_TF_28_GEST_DETR</t>
  </si>
  <si>
    <t>REC_CQ_TF_28_GEST_PD</t>
  </si>
  <si>
    <t>REC_COnew_TF_28_GEST_DETR</t>
  </si>
  <si>
    <t>REC_COnew_TF_28_GEST_PD</t>
  </si>
  <si>
    <t>REC_COI_TF_28_GEST_DETR</t>
  </si>
  <si>
    <t>REC_COI_TF_28_GEST_PD</t>
  </si>
  <si>
    <t>REC_FATT_TF_28_GEST_DETR</t>
  </si>
  <si>
    <t>REC_FATT_TF_28_GEST_PD</t>
  </si>
  <si>
    <t>I_25_TF_GEST_28_DETR</t>
  </si>
  <si>
    <t>I_25_TF_GEST_28_PD</t>
  </si>
  <si>
    <t>I_27_TF_GEST_28_DETR</t>
  </si>
  <si>
    <t>I_27_TF_GEST_28_PD</t>
  </si>
  <si>
    <t>CONG_CK_TF_28_GEST_DETR</t>
  </si>
  <si>
    <t>CONG_CK_TF_28_GEST_PD</t>
  </si>
  <si>
    <t>RCTOT_TF_28_GEST_DETR</t>
  </si>
  <si>
    <t>RCTOT_TF_28_GEST_PD</t>
  </si>
  <si>
    <t>RCRET_TF_28_COM_DETR</t>
  </si>
  <si>
    <t>RCRET_TF_28_COM_PD</t>
  </si>
  <si>
    <t>REC_CO116_TF_28_COM_DETR</t>
  </si>
  <si>
    <t>REC_CO116_TF_28_COM_PD</t>
  </si>
  <si>
    <t>REC_CQ_TF_28_COM_DETR</t>
  </si>
  <si>
    <t>REC_CQ_TF_28_COM_PD</t>
  </si>
  <si>
    <t>REC_COnew_TF_28_COM_DETR</t>
  </si>
  <si>
    <t>REC_COnew_TF_28_COM_PD</t>
  </si>
  <si>
    <t>REC_COI_TF_28_COM_DETR</t>
  </si>
  <si>
    <t>REC_COI_TF_28_COM_PD</t>
  </si>
  <si>
    <t>REC_FATT_TF_28_COM_DETR</t>
  </si>
  <si>
    <t>REC_FATT_TF_28_COM_PD</t>
  </si>
  <si>
    <t>I_25_TF_COM_28_DETR</t>
  </si>
  <si>
    <t>I_25_TF_COM_28_PD</t>
  </si>
  <si>
    <t>I_27_TF_COM_28_DETR</t>
  </si>
  <si>
    <t>I_27_TF_COM_28_PD</t>
  </si>
  <si>
    <t>CONG_CK_TF_28_COM_DETR</t>
  </si>
  <si>
    <t>CONG_CK_TF_28_COM_PD</t>
  </si>
  <si>
    <t>RCTOT_TF_28_COM_DETR</t>
  </si>
  <si>
    <t>RCTOT_TF_28_COM_PD</t>
  </si>
  <si>
    <t>IVAFIS_28_COM</t>
  </si>
  <si>
    <t>IVAFIS_28_COM_DETR</t>
  </si>
  <si>
    <t>IVAFIS_28_COM_PD</t>
  </si>
  <si>
    <t>DETR4.5_TF_28_GEST</t>
  </si>
  <si>
    <t>DETR4.5_TF_28_COM</t>
  </si>
  <si>
    <t>DETR4.5_TF_28</t>
  </si>
  <si>
    <t>CRT_29_GEST</t>
  </si>
  <si>
    <t>CRT_29_GEST_DETR</t>
  </si>
  <si>
    <t>CRT_29_GEST_PD</t>
  </si>
  <si>
    <t>CRT_29_COM</t>
  </si>
  <si>
    <t>CRT_29_COM_DETR</t>
  </si>
  <si>
    <t>CRT_29_COM_PD</t>
  </si>
  <si>
    <t>CTS_29_GEST</t>
  </si>
  <si>
    <t>CTS_29_GEST_DETR</t>
  </si>
  <si>
    <t>CTS_29_GEST_PD</t>
  </si>
  <si>
    <t>CTS_29_COM</t>
  </si>
  <si>
    <t>CTS_29_COM_DETR</t>
  </si>
  <si>
    <t>CTS_29_COM_PD</t>
  </si>
  <si>
    <t>CTR_29_GEST</t>
  </si>
  <si>
    <t>CTR_29_GEST_DETR</t>
  </si>
  <si>
    <t>CTR_29_GEST_PD</t>
  </si>
  <si>
    <t>CTR_29_COM</t>
  </si>
  <si>
    <t>CTR_29_COM_DETR</t>
  </si>
  <si>
    <t>CTR_29_COM_PD</t>
  </si>
  <si>
    <t>CRD_29_GEST</t>
  </si>
  <si>
    <t>CRD_29_GEST_DETR</t>
  </si>
  <si>
    <t>CRD_29_GEST_PD</t>
  </si>
  <si>
    <t>CRD_29_COM</t>
  </si>
  <si>
    <t>CRD_29_COM_DETR</t>
  </si>
  <si>
    <t>CRD_29_COM_PD</t>
  </si>
  <si>
    <t>RCRET_TV_29_GEST_DETR</t>
  </si>
  <si>
    <t>RCRET_TV_29_GEST_PD</t>
  </si>
  <si>
    <t>RCSMAL_TV_29_GEST_DETR</t>
  </si>
  <si>
    <t>RCSMAL_TV_29_GEST_PD</t>
  </si>
  <si>
    <t>REC_CO116_TV_29_GEST_DETR</t>
  </si>
  <si>
    <t>REC_CO116_TV_29_GEST_PD</t>
  </si>
  <si>
    <t>REC_CQ_TV_29_GEST_DETR</t>
  </si>
  <si>
    <t>REC_CQ_TV_29_GEST_PD</t>
  </si>
  <si>
    <t>REC_COnew_TV_29_GEST_DETR</t>
  </si>
  <si>
    <t>REC_COnew_TV_29_GEST_PD</t>
  </si>
  <si>
    <t>REC_COI_TV_29_GEST_DETR</t>
  </si>
  <si>
    <t>REC_COI_TV_29_GEST_PD</t>
  </si>
  <si>
    <t>REC_IMP_TV_29_GEST_DETR</t>
  </si>
  <si>
    <t>REC_IMP_TV_29_GEST_PD</t>
  </si>
  <si>
    <t>REC_FATT_TV_29_GEST_DETR</t>
  </si>
  <si>
    <t>REC_FATT_TV_29_GEST_PD</t>
  </si>
  <si>
    <t>I_25_TV_GEST_29_DETR</t>
  </si>
  <si>
    <t>I_25_TV_GEST_29_PD</t>
  </si>
  <si>
    <t>RC_CORD_TV_GEST_29_DETR</t>
  </si>
  <si>
    <t>RC_CORD_TV_GEST_29_PD</t>
  </si>
  <si>
    <t>RCTOT_TV_29_GEST_DETR</t>
  </si>
  <si>
    <t>RCTOT_TV_29_GEST_PD</t>
  </si>
  <si>
    <t>RCRET_TV_29_COM_DETR</t>
  </si>
  <si>
    <t>RCRET_TV_29_COM_PD</t>
  </si>
  <si>
    <t>RCSMAL_TV_29_COM_DETR</t>
  </si>
  <si>
    <t>RCSMAL_TV_29_COM_PD</t>
  </si>
  <si>
    <t>REC_CO116_TV_29_COM_DETR</t>
  </si>
  <si>
    <t>REC_CO116_TV_29_COM_PD</t>
  </si>
  <si>
    <t>REC_CQ_TV_29_COM_DETR</t>
  </si>
  <si>
    <t>REC_CQ_TV_29_COM_PD</t>
  </si>
  <si>
    <t>REC_COnew_TV_29_COM_DETR</t>
  </si>
  <si>
    <t>REC_COnew_TV_29_COM_PD</t>
  </si>
  <si>
    <t>REC_COI_TV_29_COM_DETR</t>
  </si>
  <si>
    <t>REC_COI_TV_29_COM_PD</t>
  </si>
  <si>
    <t>REC_IMP_TV_29_COM_DETR</t>
  </si>
  <si>
    <t>REC_IMP_TV_29_COM_PD</t>
  </si>
  <si>
    <t>REC_FATT_TV_29_COM_DETR</t>
  </si>
  <si>
    <t>REC_FATT_TV_29_COM_PD</t>
  </si>
  <si>
    <t>I_25_TV_COM_29_DETR</t>
  </si>
  <si>
    <t>I_25_TV_COM_29_PD</t>
  </si>
  <si>
    <t>RC_CORD_TV_COM_29_DETR</t>
  </si>
  <si>
    <t>RC_CORD_TV_COM_29_PD</t>
  </si>
  <si>
    <t>RCTOT_TV_29_COM_DETR</t>
  </si>
  <si>
    <t>RCTOT_TV_29_COM_PD</t>
  </si>
  <si>
    <t>IVAVAR_29_COM</t>
  </si>
  <si>
    <t>IVAVAR_29_COM_DETR</t>
  </si>
  <si>
    <t>IVAVAR_29_COM_PD</t>
  </si>
  <si>
    <t>CSL_29_GEST</t>
  </si>
  <si>
    <t>CSL_29_GEST_DETR</t>
  </si>
  <si>
    <t>CSL_29_GEST_PD</t>
  </si>
  <si>
    <t>CSL_29_COM</t>
  </si>
  <si>
    <t>CSL_29_COM_DETR</t>
  </si>
  <si>
    <t>CSL_29_COM_PD</t>
  </si>
  <si>
    <t>CARC_29_GEST</t>
  </si>
  <si>
    <t>CARC_29_GEST_DETR</t>
  </si>
  <si>
    <t>CARC_29_GEST_PD</t>
  </si>
  <si>
    <t>CARC_29_COM</t>
  </si>
  <si>
    <t>CARC_29_COM_DETR</t>
  </si>
  <si>
    <t>CARC_29_COM_PD</t>
  </si>
  <si>
    <t>CGG_29_GEST</t>
  </si>
  <si>
    <t>CGG_29_GEST_DETR</t>
  </si>
  <si>
    <t>CGG_29_GEST_PD</t>
  </si>
  <si>
    <t>CGG_29_COM</t>
  </si>
  <si>
    <t>CGG_29_COM_DETR</t>
  </si>
  <si>
    <t>CGG_29_COM_PD</t>
  </si>
  <si>
    <t>CCD_29_GEST</t>
  </si>
  <si>
    <t>CCD_29_GEST_DETR</t>
  </si>
  <si>
    <t>CCD_29_GEST_PD</t>
  </si>
  <si>
    <t>CCD_29_COM</t>
  </si>
  <si>
    <t>CCD_29_COM_DETR</t>
  </si>
  <si>
    <t>CCD_29_COM_PD</t>
  </si>
  <si>
    <t>COAL_29_GEST</t>
  </si>
  <si>
    <t>COAL_29_GEST_DETR</t>
  </si>
  <si>
    <t>COAL_29_GEST_PD</t>
  </si>
  <si>
    <t>COAL_29_COM</t>
  </si>
  <si>
    <t>COAL_29_COM_DETR</t>
  </si>
  <si>
    <t>COAL_29_COM_PD</t>
  </si>
  <si>
    <t>AMM_29_GEST</t>
  </si>
  <si>
    <t>AMM_29_GEST_DETR</t>
  </si>
  <si>
    <t>AMM_29_GEST_PD</t>
  </si>
  <si>
    <t>AMM_29_COM</t>
  </si>
  <si>
    <t>AMM_29_COM_DETR</t>
  </si>
  <si>
    <t>AMM_29_COM_PD</t>
  </si>
  <si>
    <t>ACC_DETT1_29_GEST</t>
  </si>
  <si>
    <t>ACC_DETT1_29_GEST_DETR</t>
  </si>
  <si>
    <t>ACC_DETT1_29_GEST_PD</t>
  </si>
  <si>
    <t>ACC_DETT2_29_GEST</t>
  </si>
  <si>
    <t>ACC_DETT2_29_GEST_DETR</t>
  </si>
  <si>
    <t>ACC_DETT2_29_GEST_PD</t>
  </si>
  <si>
    <t>ACC_DETT3_29_GEST</t>
  </si>
  <si>
    <t>ACC_DETT3_29_GEST_DETR</t>
  </si>
  <si>
    <t>ACC_DETT3_29_GEST_PD</t>
  </si>
  <si>
    <t>ACC_DETT4_29_GEST</t>
  </si>
  <si>
    <t>ACC_DETT4_29_GEST_DETR</t>
  </si>
  <si>
    <t>ACC_DETT4_29_GEST_PD</t>
  </si>
  <si>
    <t>ACC_29_GEST</t>
  </si>
  <si>
    <t>ACC_29_GEST_DETR</t>
  </si>
  <si>
    <t>ACC_29_GEST_PD</t>
  </si>
  <si>
    <t>ACC_DETT1_29_COM</t>
  </si>
  <si>
    <t>ACC_DETT1_29_COM_DETR</t>
  </si>
  <si>
    <t>ACC_DETT1_29_COM_PD</t>
  </si>
  <si>
    <t>ACC_DETT2_29_COM</t>
  </si>
  <si>
    <t>ACC_DETT2_29_COM_DETR</t>
  </si>
  <si>
    <t>ACC_DETT2_29_COM_PD</t>
  </si>
  <si>
    <t>ACC_DETT3_29_COM</t>
  </si>
  <si>
    <t>ACC_DETT3_29_COM_DETR</t>
  </si>
  <si>
    <t>ACC_DETT3_29_COM_PD</t>
  </si>
  <si>
    <t>ACC_DETT4_29_COM</t>
  </si>
  <si>
    <t>ACC_DETT4_29_COM_DETR</t>
  </si>
  <si>
    <t>ACC_DETT4_29_COM_PD</t>
  </si>
  <si>
    <t>ACC_29_COM</t>
  </si>
  <si>
    <t>ACC_29_COM_DETR</t>
  </si>
  <si>
    <t>ACC_29_COM_PD</t>
  </si>
  <si>
    <t>R_29_GEST</t>
  </si>
  <si>
    <t>R_29_GEST_DETR</t>
  </si>
  <si>
    <t>R_29_GEST_PD</t>
  </si>
  <si>
    <t>R_29_COM</t>
  </si>
  <si>
    <t>R_29_COM_DETR</t>
  </si>
  <si>
    <t>R_29_COM_PD</t>
  </si>
  <si>
    <t>RLIC_29_GEST</t>
  </si>
  <si>
    <t>RLIC_29_GEST_DETR</t>
  </si>
  <si>
    <t>RLIC_29_GEST_PD</t>
  </si>
  <si>
    <t>RLIC_29_COM</t>
  </si>
  <si>
    <t>RLIC_29_COM_DETR</t>
  </si>
  <si>
    <t>RLIC_29_COM_PD</t>
  </si>
  <si>
    <t>CKPROP_29_GEST</t>
  </si>
  <si>
    <t>CKPROP_29_GEST_DETR</t>
  </si>
  <si>
    <t>CKPROP_29_GEST_PD</t>
  </si>
  <si>
    <t>CKPROP_29_COM</t>
  </si>
  <si>
    <t>CKPROP_29_COM_DETR</t>
  </si>
  <si>
    <t>CKPROP_29_COM_PD</t>
  </si>
  <si>
    <t>RCRET_TF_29_GEST_DETR</t>
  </si>
  <si>
    <t>RCRET_TF_29_GEST_PD</t>
  </si>
  <si>
    <t>REC_CO116_TF_29_GEST_DETR</t>
  </si>
  <si>
    <t>REC_CO116_TF_29_GEST_PD</t>
  </si>
  <si>
    <t>REC_CQ_TF_29_GEST_DETR</t>
  </si>
  <si>
    <t>REC_CQ_TF_29_GEST_PD</t>
  </si>
  <si>
    <t>REC_COnew_TF_29_GEST_DETR</t>
  </si>
  <si>
    <t>REC_COnew_TF_29_GEST_PD</t>
  </si>
  <si>
    <t>REC_COI_TF_29_GEST_DETR</t>
  </si>
  <si>
    <t>REC_COI_TF_29_GEST_PD</t>
  </si>
  <si>
    <t>REC_FATT_TF_29_GEST_DETR</t>
  </si>
  <si>
    <t>REC_FATT_TF_29_GEST_PD</t>
  </si>
  <si>
    <t>I_25_TF_GEST_29_DETR</t>
  </si>
  <si>
    <t>I_25_TF_GEST_29_PD</t>
  </si>
  <si>
    <t>CONG_CK_TF_29_GEST_DETR</t>
  </si>
  <si>
    <t>CONG_CK_TF_29_GEST_PD</t>
  </si>
  <si>
    <t>RCTOT_TF_29_GEST_DETR</t>
  </si>
  <si>
    <t>RCTOT_TF_29_GEST_PD</t>
  </si>
  <si>
    <t>RCRET_TF_29_COM_DETR</t>
  </si>
  <si>
    <t>RCRET_TF_29_COM_PD</t>
  </si>
  <si>
    <t>REC_CO116_TF_29_COM_DETR</t>
  </si>
  <si>
    <t>REC_CO116_TF_29_COM_PD</t>
  </si>
  <si>
    <t>REC_CQ_TF_29_COM_DETR</t>
  </si>
  <si>
    <t>REC_CQ_TF_29_COM_PD</t>
  </si>
  <si>
    <t>REC_COnew_TF_29_COM_DETR</t>
  </si>
  <si>
    <t>REC_COnew_TF_29_COM_PD</t>
  </si>
  <si>
    <t>REC_COI_TF_29_COM_DETR</t>
  </si>
  <si>
    <t>REC_COI_TF_29_COM_PD</t>
  </si>
  <si>
    <t>REC_FATT_TF_29_COM_DETR</t>
  </si>
  <si>
    <t>REC_FATT_TF_29_COM_PD</t>
  </si>
  <si>
    <t>I_25_TF_COM_29_DETR</t>
  </si>
  <si>
    <t>I_25_TF_COM_29_PD</t>
  </si>
  <si>
    <t>CONG_CK_TF_29_COM_DETR</t>
  </si>
  <si>
    <t>CONG_CK_TF_29_COM_PD</t>
  </si>
  <si>
    <t>RCTOT_TF_29_COM_DETR</t>
  </si>
  <si>
    <t>RCTOT_TF_29_COM_PD</t>
  </si>
  <si>
    <t>IVAFIS_29_COM</t>
  </si>
  <si>
    <t>IVAFIS_29_COM_DETR</t>
  </si>
  <si>
    <t>IVAFIS_29_COM_PD</t>
  </si>
  <si>
    <t>DETR4.5_TF_29_GEST</t>
  </si>
  <si>
    <t>DETR4.5_TF_29_COM</t>
  </si>
  <si>
    <t>DETR4.5_TF_29</t>
  </si>
  <si>
    <t>I_27_TF_COM_29_DETR</t>
  </si>
  <si>
    <t>I_27_TF_COM_29_PD</t>
  </si>
  <si>
    <t>I_27_TF_GEST_29_DETR</t>
  </si>
  <si>
    <t>I_27_TF_GEST_29_PD</t>
  </si>
  <si>
    <t>I_27_TV_COM_29_DETR</t>
  </si>
  <si>
    <t>I_27_TV_COM_29_PD</t>
  </si>
  <si>
    <t>I_27_TV_GEST_29_DETR</t>
  </si>
  <si>
    <t>I_27_TV_GEST_29_PD</t>
  </si>
  <si>
    <r>
      <t>CRT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Gestore</t>
    </r>
  </si>
  <si>
    <r>
      <t>CRT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Gestore - Detrazione</t>
    </r>
  </si>
  <si>
    <r>
      <t>CRT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Gestore - Post Detrazioni</t>
    </r>
  </si>
  <si>
    <r>
      <t>CRT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Comune</t>
    </r>
  </si>
  <si>
    <r>
      <t>CRT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Comune - Detrazione</t>
    </r>
  </si>
  <si>
    <r>
      <t>CRT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Comune - Post Detrazioni</t>
    </r>
  </si>
  <si>
    <r>
      <t>CTS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Gestore</t>
    </r>
  </si>
  <si>
    <r>
      <t>CTS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Gestore - Detrazione</t>
    </r>
  </si>
  <si>
    <r>
      <t>CTS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Gestore - Post Detrazioni</t>
    </r>
  </si>
  <si>
    <r>
      <t>CTS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Comune</t>
    </r>
  </si>
  <si>
    <r>
      <t>CTS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Comune - Detrazione</t>
    </r>
  </si>
  <si>
    <r>
      <t>CTS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Comune - Post Detrazioni</t>
    </r>
  </si>
  <si>
    <r>
      <t>CTR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Gestore</t>
    </r>
  </si>
  <si>
    <r>
      <t>CTR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Gestore - Detrazione</t>
    </r>
  </si>
  <si>
    <r>
      <t>CTR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Gestore - Post Detrazioni</t>
    </r>
  </si>
  <si>
    <r>
      <t>CTR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Comune</t>
    </r>
  </si>
  <si>
    <r>
      <t>CTR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Comune - Detrazione</t>
    </r>
  </si>
  <si>
    <r>
      <t>CTR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Comune - Post Detrazioni</t>
    </r>
  </si>
  <si>
    <r>
      <t>CRD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Gestore</t>
    </r>
  </si>
  <si>
    <r>
      <t>CRD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Gestore - Detrazione</t>
    </r>
  </si>
  <si>
    <r>
      <t>CRD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Gestore - Post Detrazioni</t>
    </r>
  </si>
  <si>
    <r>
      <t>CRD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Comune</t>
    </r>
  </si>
  <si>
    <r>
      <t>CRD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Comune - Detrazione</t>
    </r>
  </si>
  <si>
    <r>
      <t>CRD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Comune - Post Detrazioni</t>
    </r>
  </si>
  <si>
    <r>
      <t>RC</t>
    </r>
    <r>
      <rPr>
        <i/>
        <vertAlign val="subscript"/>
        <sz val="8"/>
        <color theme="1"/>
        <rFont val="Tahoma"/>
        <family val="2"/>
      </rPr>
      <t>RET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2028</t>
    </r>
    <r>
      <rPr>
        <i/>
        <sz val="8"/>
        <color theme="1"/>
        <rFont val="Tahoma"/>
        <family val="2"/>
      </rPr>
      <t xml:space="preserve"> - Gestore</t>
    </r>
  </si>
  <si>
    <r>
      <t>RC</t>
    </r>
    <r>
      <rPr>
        <vertAlign val="subscript"/>
        <sz val="8"/>
        <color theme="1"/>
        <rFont val="Tahoma"/>
        <family val="2"/>
      </rPr>
      <t>RET TV, 2028</t>
    </r>
    <r>
      <rPr>
        <sz val="8"/>
        <color theme="1"/>
        <rFont val="Tahoma"/>
        <family val="2"/>
      </rPr>
      <t xml:space="preserve"> - Gestore - Detrazione</t>
    </r>
  </si>
  <si>
    <r>
      <t>RC</t>
    </r>
    <r>
      <rPr>
        <b/>
        <vertAlign val="subscript"/>
        <sz val="8"/>
        <color theme="1"/>
        <rFont val="Tahoma"/>
        <family val="2"/>
      </rPr>
      <t>RET TV, 2028</t>
    </r>
    <r>
      <rPr>
        <b/>
        <sz val="8"/>
        <color theme="1"/>
        <rFont val="Tahoma"/>
        <family val="2"/>
      </rPr>
      <t xml:space="preserve"> - Gestore -Post Detrazioni</t>
    </r>
  </si>
  <si>
    <r>
      <t>RC</t>
    </r>
    <r>
      <rPr>
        <i/>
        <vertAlign val="subscript"/>
        <sz val="8"/>
        <color theme="1"/>
        <rFont val="Tahoma"/>
        <family val="2"/>
      </rPr>
      <t>SMAL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2028</t>
    </r>
    <r>
      <rPr>
        <i/>
        <sz val="8"/>
        <color theme="1"/>
        <rFont val="Tahoma"/>
        <family val="2"/>
      </rPr>
      <t xml:space="preserve"> - Gestore</t>
    </r>
  </si>
  <si>
    <r>
      <t>RC</t>
    </r>
    <r>
      <rPr>
        <vertAlign val="subscript"/>
        <sz val="8"/>
        <color theme="1"/>
        <rFont val="Tahoma"/>
        <family val="2"/>
      </rPr>
      <t>SMAL</t>
    </r>
    <r>
      <rPr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2028</t>
    </r>
    <r>
      <rPr>
        <sz val="8"/>
        <color theme="1"/>
        <rFont val="Tahoma"/>
        <family val="2"/>
      </rPr>
      <t xml:space="preserve"> - Gestore - Detrazione</t>
    </r>
  </si>
  <si>
    <r>
      <t>RC</t>
    </r>
    <r>
      <rPr>
        <b/>
        <vertAlign val="subscript"/>
        <sz val="8"/>
        <color theme="1"/>
        <rFont val="Tahoma"/>
        <family val="2"/>
      </rPr>
      <t>SMAL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Gestore - Post Detrazioni</t>
    </r>
  </si>
  <si>
    <r>
      <t>Recupero CO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116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2028</t>
    </r>
    <r>
      <rPr>
        <i/>
        <sz val="8"/>
        <color theme="1"/>
        <rFont val="Tahoma"/>
        <family val="2"/>
      </rPr>
      <t xml:space="preserve"> - Gestore</t>
    </r>
  </si>
  <si>
    <r>
      <t>Recupero CO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116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2028</t>
    </r>
    <r>
      <rPr>
        <sz val="8"/>
        <color theme="1"/>
        <rFont val="Tahoma"/>
        <family val="2"/>
      </rPr>
      <t xml:space="preserve"> - Gestore - Detrazione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</si>
  <si>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Gestore - Post Detrazioni</t>
    </r>
  </si>
  <si>
    <r>
      <t>Recupero CQ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TV, 2028</t>
    </r>
    <r>
      <rPr>
        <i/>
        <sz val="8"/>
        <color theme="1"/>
        <rFont val="Tahoma"/>
        <family val="2"/>
      </rPr>
      <t xml:space="preserve"> - Gestore</t>
    </r>
  </si>
  <si>
    <r>
      <t>Recupero CQ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TV, 2028</t>
    </r>
    <r>
      <rPr>
        <sz val="8"/>
        <color theme="1"/>
        <rFont val="Tahoma"/>
        <family val="2"/>
      </rPr>
      <t xml:space="preserve"> - Gestore - Detrazione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</si>
  <si>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Gestore - Post Detrazioni</t>
    </r>
  </si>
  <si>
    <r>
      <t>Recupero COnew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TV, 2028</t>
    </r>
    <r>
      <rPr>
        <i/>
        <sz val="8"/>
        <color theme="1"/>
        <rFont val="Tahoma"/>
        <family val="2"/>
      </rPr>
      <t xml:space="preserve"> - Gestore</t>
    </r>
  </si>
  <si>
    <r>
      <t>Recupero COnew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TV, 2028</t>
    </r>
    <r>
      <rPr>
        <sz val="8"/>
        <color theme="1"/>
        <rFont val="Tahoma"/>
        <family val="2"/>
      </rPr>
      <t xml:space="preserve"> - Gestore - Detrazione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</si>
  <si>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Gestore - Post Detrazioni</t>
    </r>
  </si>
  <si>
    <r>
      <t>Recupero COI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TV, 2028</t>
    </r>
    <r>
      <rPr>
        <i/>
        <sz val="8"/>
        <color theme="1"/>
        <rFont val="Tahoma"/>
        <family val="2"/>
      </rPr>
      <t xml:space="preserve"> - Gestore</t>
    </r>
  </si>
  <si>
    <r>
      <t>Recupero COI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TV, 2028</t>
    </r>
    <r>
      <rPr>
        <sz val="8"/>
        <color theme="1"/>
        <rFont val="Tahoma"/>
        <family val="2"/>
      </rPr>
      <t xml:space="preserve"> - Gestore - Detrazione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</si>
  <si>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Gestore - Post Detrazioni</t>
    </r>
  </si>
  <si>
    <r>
      <t xml:space="preserve">RC </t>
    </r>
    <r>
      <rPr>
        <i/>
        <vertAlign val="subscript"/>
        <sz val="8"/>
        <color theme="1"/>
        <rFont val="Tahoma"/>
        <family val="2"/>
      </rPr>
      <t>CTS 2028</t>
    </r>
    <r>
      <rPr>
        <i/>
        <sz val="8"/>
        <color theme="1"/>
        <rFont val="Tahoma"/>
        <family val="2"/>
      </rPr>
      <t xml:space="preserve"> - Gestore</t>
    </r>
  </si>
  <si>
    <r>
      <t xml:space="preserve">RC </t>
    </r>
    <r>
      <rPr>
        <vertAlign val="subscript"/>
        <sz val="8"/>
        <color theme="1"/>
        <rFont val="Tahoma"/>
        <family val="2"/>
      </rPr>
      <t>CTS 2028</t>
    </r>
    <r>
      <rPr>
        <sz val="8"/>
        <color theme="1"/>
        <rFont val="Tahoma"/>
        <family val="2"/>
      </rPr>
      <t xml:space="preserve"> - Gestore - Detrazione</t>
    </r>
  </si>
  <si>
    <r>
      <t xml:space="preserve">RC </t>
    </r>
    <r>
      <rPr>
        <b/>
        <vertAlign val="subscript"/>
        <sz val="8"/>
        <color theme="1"/>
        <rFont val="Tahoma"/>
        <family val="2"/>
      </rPr>
      <t>CTS 2028</t>
    </r>
    <r>
      <rPr>
        <b/>
        <sz val="8"/>
        <color theme="1"/>
        <rFont val="Tahoma"/>
        <family val="2"/>
      </rPr>
      <t xml:space="preserve"> - Gestore - Post Detrazioni</t>
    </r>
  </si>
  <si>
    <r>
      <t>Differenza fatturato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2028</t>
    </r>
    <r>
      <rPr>
        <i/>
        <sz val="8"/>
        <color theme="1"/>
        <rFont val="Tahoma"/>
        <family val="2"/>
      </rPr>
      <t xml:space="preserve"> - Gestore</t>
    </r>
  </si>
  <si>
    <r>
      <t>Differenza fatturato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2028</t>
    </r>
    <r>
      <rPr>
        <sz val="8"/>
        <color theme="1"/>
        <rFont val="Tahoma"/>
        <family val="2"/>
      </rPr>
      <t xml:space="preserve"> - Gestore - Detrazione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</si>
  <si>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Gestore - Post Detrazioni</t>
    </r>
  </si>
  <si>
    <r>
      <t xml:space="preserve">Conguaglio Inflazione PEF25 </t>
    </r>
    <r>
      <rPr>
        <i/>
        <vertAlign val="subscript"/>
        <sz val="8"/>
        <color theme="1"/>
        <rFont val="Tahoma"/>
        <family val="2"/>
      </rPr>
      <t>TV, 2028</t>
    </r>
    <r>
      <rPr>
        <i/>
        <sz val="8"/>
        <color theme="1"/>
        <rFont val="Tahoma"/>
        <family val="2"/>
      </rPr>
      <t xml:space="preserve"> - Gestore</t>
    </r>
  </si>
  <si>
    <r>
      <t>Conguaglio Inflazione PEF25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2028</t>
    </r>
    <r>
      <rPr>
        <sz val="8"/>
        <color theme="1"/>
        <rFont val="Tahoma"/>
        <family val="2"/>
      </rPr>
      <t xml:space="preserve"> - Gestore - Detrazione</t>
    </r>
  </si>
  <si>
    <r>
      <t>Conguaglio Inflazione PEF25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Gestore - Post Detrazioni</t>
    </r>
  </si>
  <si>
    <r>
      <t xml:space="preserve">Conguaglio Inflazione PEF27 </t>
    </r>
    <r>
      <rPr>
        <i/>
        <vertAlign val="subscript"/>
        <sz val="8"/>
        <color theme="1"/>
        <rFont val="Tahoma"/>
        <family val="2"/>
      </rPr>
      <t>TV, 2028</t>
    </r>
    <r>
      <rPr>
        <i/>
        <sz val="8"/>
        <color theme="1"/>
        <rFont val="Tahoma"/>
        <family val="2"/>
      </rPr>
      <t xml:space="preserve"> - Gestore</t>
    </r>
  </si>
  <si>
    <r>
      <t>Conguaglio Inflazione PEF27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2028</t>
    </r>
    <r>
      <rPr>
        <sz val="8"/>
        <color theme="1"/>
        <rFont val="Tahoma"/>
        <family val="2"/>
      </rPr>
      <t xml:space="preserve"> - Gestore - Detrazione</t>
    </r>
  </si>
  <si>
    <r>
      <t>Conguaglio Inflazione PEF27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Gestore - Post Detrazioni</t>
    </r>
  </si>
  <si>
    <r>
      <t xml:space="preserve">Conguaglio Efficientamento COrd </t>
    </r>
    <r>
      <rPr>
        <i/>
        <vertAlign val="subscript"/>
        <sz val="8"/>
        <color theme="1"/>
        <rFont val="Tahoma"/>
        <family val="2"/>
      </rPr>
      <t>TV, 2028</t>
    </r>
    <r>
      <rPr>
        <i/>
        <sz val="8"/>
        <color theme="1"/>
        <rFont val="Tahoma"/>
        <family val="2"/>
      </rPr>
      <t xml:space="preserve"> - Gestore</t>
    </r>
  </si>
  <si>
    <r>
      <t xml:space="preserve">Conguaglio Efficientamento COrd </t>
    </r>
    <r>
      <rPr>
        <vertAlign val="subscript"/>
        <sz val="8"/>
        <color theme="1"/>
        <rFont val="Tahoma"/>
        <family val="2"/>
      </rPr>
      <t>TV, 2028</t>
    </r>
    <r>
      <rPr>
        <sz val="8"/>
        <color theme="1"/>
        <rFont val="Tahoma"/>
        <family val="2"/>
      </rPr>
      <t xml:space="preserve"> - Gestore - Detrazione</t>
    </r>
  </si>
  <si>
    <r>
      <t xml:space="preserve">Conguaglio Efficientamento COrd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Gestore - Post Detrazioni</t>
    </r>
  </si>
  <si>
    <r>
      <t>RC</t>
    </r>
    <r>
      <rPr>
        <i/>
        <vertAlign val="subscript"/>
        <sz val="8"/>
        <color theme="1"/>
        <rFont val="Tahoma"/>
        <family val="2"/>
      </rPr>
      <t xml:space="preserve">TMAX </t>
    </r>
    <r>
      <rPr>
        <i/>
        <sz val="8"/>
        <color theme="1"/>
        <rFont val="Tahoma"/>
        <family val="2"/>
      </rPr>
      <t xml:space="preserve">Anni pregressi </t>
    </r>
    <r>
      <rPr>
        <i/>
        <vertAlign val="subscript"/>
        <sz val="8"/>
        <color theme="1"/>
        <rFont val="Tahoma"/>
        <family val="2"/>
      </rPr>
      <t>TV, 2028</t>
    </r>
    <r>
      <rPr>
        <i/>
        <sz val="8"/>
        <color theme="1"/>
        <rFont val="Tahoma"/>
        <family val="2"/>
      </rPr>
      <t xml:space="preserve"> - Gestore</t>
    </r>
  </si>
  <si>
    <r>
      <t>RC</t>
    </r>
    <r>
      <rPr>
        <vertAlign val="subscript"/>
        <sz val="8"/>
        <color theme="1"/>
        <rFont val="Tahoma"/>
        <family val="2"/>
      </rPr>
      <t xml:space="preserve">TMAX </t>
    </r>
    <r>
      <rPr>
        <sz val="8"/>
        <color theme="1"/>
        <rFont val="Tahoma"/>
        <family val="2"/>
      </rPr>
      <t xml:space="preserve">Anni pregressi </t>
    </r>
    <r>
      <rPr>
        <vertAlign val="subscript"/>
        <sz val="8"/>
        <color theme="1"/>
        <rFont val="Tahoma"/>
        <family val="2"/>
      </rPr>
      <t>TV, 2028</t>
    </r>
    <r>
      <rPr>
        <sz val="8"/>
        <color theme="1"/>
        <rFont val="Tahoma"/>
        <family val="2"/>
      </rPr>
      <t xml:space="preserve"> - Gestore - Detrazione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</si>
  <si>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Gestore - Post Detrazioni</t>
    </r>
  </si>
  <si>
    <r>
      <t>RC</t>
    </r>
    <r>
      <rPr>
        <b/>
        <vertAlign val="subscript"/>
        <sz val="8"/>
        <color theme="1"/>
        <rFont val="Tahoma"/>
        <family val="2"/>
      </rPr>
      <t>TOT TV, 2028</t>
    </r>
    <r>
      <rPr>
        <b/>
        <sz val="8"/>
        <color theme="1"/>
        <rFont val="Tahoma"/>
        <family val="2"/>
      </rPr>
      <t xml:space="preserve"> - Gestore - Detrazione</t>
    </r>
  </si>
  <si>
    <r>
      <t>RC</t>
    </r>
    <r>
      <rPr>
        <b/>
        <vertAlign val="subscript"/>
        <sz val="8"/>
        <color theme="1"/>
        <rFont val="Tahoma"/>
        <family val="2"/>
      </rPr>
      <t>TOT TV, 2028</t>
    </r>
    <r>
      <rPr>
        <b/>
        <sz val="8"/>
        <color theme="1"/>
        <rFont val="Tahoma"/>
        <family val="2"/>
      </rPr>
      <t xml:space="preserve"> - Gestore - Post Detrazioni</t>
    </r>
  </si>
  <si>
    <r>
      <t>RC</t>
    </r>
    <r>
      <rPr>
        <i/>
        <vertAlign val="subscript"/>
        <sz val="8"/>
        <color theme="1"/>
        <rFont val="Tahoma"/>
        <family val="2"/>
      </rPr>
      <t>RET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2028</t>
    </r>
    <r>
      <rPr>
        <i/>
        <sz val="8"/>
        <color theme="1"/>
        <rFont val="Tahoma"/>
        <family val="2"/>
      </rPr>
      <t xml:space="preserve"> - Comune</t>
    </r>
  </si>
  <si>
    <r>
      <t>RC</t>
    </r>
    <r>
      <rPr>
        <vertAlign val="subscript"/>
        <sz val="8"/>
        <color theme="1"/>
        <rFont val="Tahoma"/>
        <family val="2"/>
      </rPr>
      <t>RET TV, 2028</t>
    </r>
    <r>
      <rPr>
        <sz val="8"/>
        <color theme="1"/>
        <rFont val="Tahoma"/>
        <family val="2"/>
      </rPr>
      <t xml:space="preserve"> - Comune - Detrazione</t>
    </r>
  </si>
  <si>
    <r>
      <t>RC</t>
    </r>
    <r>
      <rPr>
        <b/>
        <vertAlign val="subscript"/>
        <sz val="8"/>
        <color theme="1"/>
        <rFont val="Tahoma"/>
        <family val="2"/>
      </rPr>
      <t>RET TV, 2028</t>
    </r>
    <r>
      <rPr>
        <b/>
        <sz val="8"/>
        <color theme="1"/>
        <rFont val="Tahoma"/>
        <family val="2"/>
      </rPr>
      <t xml:space="preserve"> - Comune -Post Detrazioni</t>
    </r>
  </si>
  <si>
    <r>
      <t>RC</t>
    </r>
    <r>
      <rPr>
        <i/>
        <vertAlign val="subscript"/>
        <sz val="8"/>
        <color theme="1"/>
        <rFont val="Tahoma"/>
        <family val="2"/>
      </rPr>
      <t>SMAL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2028</t>
    </r>
    <r>
      <rPr>
        <i/>
        <sz val="8"/>
        <color theme="1"/>
        <rFont val="Tahoma"/>
        <family val="2"/>
      </rPr>
      <t xml:space="preserve"> - Comune</t>
    </r>
  </si>
  <si>
    <r>
      <t>RC</t>
    </r>
    <r>
      <rPr>
        <vertAlign val="subscript"/>
        <sz val="8"/>
        <color theme="1"/>
        <rFont val="Tahoma"/>
        <family val="2"/>
      </rPr>
      <t>SMAL</t>
    </r>
    <r>
      <rPr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2028</t>
    </r>
    <r>
      <rPr>
        <sz val="8"/>
        <color theme="1"/>
        <rFont val="Tahoma"/>
        <family val="2"/>
      </rPr>
      <t xml:space="preserve"> - Comune - Detrazione</t>
    </r>
  </si>
  <si>
    <r>
      <t>RC</t>
    </r>
    <r>
      <rPr>
        <b/>
        <vertAlign val="subscript"/>
        <sz val="8"/>
        <color theme="1"/>
        <rFont val="Tahoma"/>
        <family val="2"/>
      </rPr>
      <t>SMAL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Comune - Post Detrazioni</t>
    </r>
  </si>
  <si>
    <r>
      <t>Recupero CO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116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2028</t>
    </r>
    <r>
      <rPr>
        <i/>
        <sz val="8"/>
        <color theme="1"/>
        <rFont val="Tahoma"/>
        <family val="2"/>
      </rPr>
      <t xml:space="preserve"> - Comune</t>
    </r>
  </si>
  <si>
    <r>
      <t>Recupero CO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116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2028</t>
    </r>
    <r>
      <rPr>
        <sz val="8"/>
        <color theme="1"/>
        <rFont val="Tahoma"/>
        <family val="2"/>
      </rPr>
      <t xml:space="preserve"> - Comune - Detrazione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</si>
  <si>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Comune - Post Detrazioni</t>
    </r>
  </si>
  <si>
    <r>
      <t>Recupero CQ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TV, 2028</t>
    </r>
    <r>
      <rPr>
        <i/>
        <sz val="8"/>
        <color theme="1"/>
        <rFont val="Tahoma"/>
        <family val="2"/>
      </rPr>
      <t xml:space="preserve"> - Comune</t>
    </r>
  </si>
  <si>
    <r>
      <t>Recupero CQ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TV, 2028</t>
    </r>
    <r>
      <rPr>
        <sz val="8"/>
        <color theme="1"/>
        <rFont val="Tahoma"/>
        <family val="2"/>
      </rPr>
      <t xml:space="preserve"> - Comune - Detrazione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</si>
  <si>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Comune - Post Detrazioni</t>
    </r>
  </si>
  <si>
    <r>
      <t>Recupero COnew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TV, 2028</t>
    </r>
    <r>
      <rPr>
        <i/>
        <sz val="8"/>
        <color theme="1"/>
        <rFont val="Tahoma"/>
        <family val="2"/>
      </rPr>
      <t xml:space="preserve"> - Comune</t>
    </r>
  </si>
  <si>
    <r>
      <t>Recupero COnew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TV, 2028</t>
    </r>
    <r>
      <rPr>
        <sz val="8"/>
        <color theme="1"/>
        <rFont val="Tahoma"/>
        <family val="2"/>
      </rPr>
      <t xml:space="preserve"> - Comune - Detrazione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</si>
  <si>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Comune - Post Detrazioni</t>
    </r>
  </si>
  <si>
    <r>
      <t>Recupero COI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TV, 2028</t>
    </r>
    <r>
      <rPr>
        <i/>
        <sz val="8"/>
        <color theme="1"/>
        <rFont val="Tahoma"/>
        <family val="2"/>
      </rPr>
      <t xml:space="preserve"> - Comune</t>
    </r>
  </si>
  <si>
    <r>
      <t>Recupero COI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TV, 2028</t>
    </r>
    <r>
      <rPr>
        <sz val="8"/>
        <color theme="1"/>
        <rFont val="Tahoma"/>
        <family val="2"/>
      </rPr>
      <t xml:space="preserve"> - Comune - Detrazione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</si>
  <si>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Comune - Post Detrazioni</t>
    </r>
  </si>
  <si>
    <r>
      <t xml:space="preserve">RC </t>
    </r>
    <r>
      <rPr>
        <i/>
        <vertAlign val="subscript"/>
        <sz val="8"/>
        <color theme="1"/>
        <rFont val="Tahoma"/>
        <family val="2"/>
      </rPr>
      <t>CTS 2028</t>
    </r>
    <r>
      <rPr>
        <i/>
        <sz val="8"/>
        <color theme="1"/>
        <rFont val="Tahoma"/>
        <family val="2"/>
      </rPr>
      <t xml:space="preserve"> - Comune</t>
    </r>
  </si>
  <si>
    <r>
      <t xml:space="preserve">RC </t>
    </r>
    <r>
      <rPr>
        <vertAlign val="subscript"/>
        <sz val="8"/>
        <color theme="1"/>
        <rFont val="Tahoma"/>
        <family val="2"/>
      </rPr>
      <t>CTS 2028</t>
    </r>
    <r>
      <rPr>
        <sz val="8"/>
        <color theme="1"/>
        <rFont val="Tahoma"/>
        <family val="2"/>
      </rPr>
      <t xml:space="preserve"> - Comune - Detrazione</t>
    </r>
  </si>
  <si>
    <r>
      <t xml:space="preserve">RC </t>
    </r>
    <r>
      <rPr>
        <b/>
        <vertAlign val="subscript"/>
        <sz val="8"/>
        <color theme="1"/>
        <rFont val="Tahoma"/>
        <family val="2"/>
      </rPr>
      <t>CTS 2028</t>
    </r>
    <r>
      <rPr>
        <b/>
        <sz val="8"/>
        <color theme="1"/>
        <rFont val="Tahoma"/>
        <family val="2"/>
      </rPr>
      <t xml:space="preserve"> - Comune - Post Detrazioni</t>
    </r>
  </si>
  <si>
    <r>
      <t>Differenza fatturato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2028</t>
    </r>
    <r>
      <rPr>
        <i/>
        <sz val="8"/>
        <color theme="1"/>
        <rFont val="Tahoma"/>
        <family val="2"/>
      </rPr>
      <t xml:space="preserve"> - Comune</t>
    </r>
  </si>
  <si>
    <r>
      <t>Differenza fatturato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2028</t>
    </r>
    <r>
      <rPr>
        <sz val="8"/>
        <color theme="1"/>
        <rFont val="Tahoma"/>
        <family val="2"/>
      </rPr>
      <t xml:space="preserve"> - Comune - Detrazione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</si>
  <si>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Comune - Post Detrazioni</t>
    </r>
  </si>
  <si>
    <r>
      <t xml:space="preserve">Conguaglio Inflazione PEF25 </t>
    </r>
    <r>
      <rPr>
        <i/>
        <vertAlign val="subscript"/>
        <sz val="8"/>
        <color theme="1"/>
        <rFont val="Tahoma"/>
        <family val="2"/>
      </rPr>
      <t>TV, 2028</t>
    </r>
    <r>
      <rPr>
        <i/>
        <sz val="8"/>
        <color theme="1"/>
        <rFont val="Tahoma"/>
        <family val="2"/>
      </rPr>
      <t xml:space="preserve"> - Comune</t>
    </r>
  </si>
  <si>
    <r>
      <t>Conguaglio Inflazione PEF25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2028</t>
    </r>
    <r>
      <rPr>
        <sz val="8"/>
        <color theme="1"/>
        <rFont val="Tahoma"/>
        <family val="2"/>
      </rPr>
      <t xml:space="preserve"> - Comune - Detrazione</t>
    </r>
  </si>
  <si>
    <r>
      <t>Conguaglio Inflazione PEF25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Comune - Post Detrazioni</t>
    </r>
  </si>
  <si>
    <r>
      <t xml:space="preserve">Conguaglio Inflazione PEF27 </t>
    </r>
    <r>
      <rPr>
        <i/>
        <vertAlign val="subscript"/>
        <sz val="8"/>
        <color theme="1"/>
        <rFont val="Tahoma"/>
        <family val="2"/>
      </rPr>
      <t>TV, 2028</t>
    </r>
    <r>
      <rPr>
        <i/>
        <sz val="8"/>
        <color theme="1"/>
        <rFont val="Tahoma"/>
        <family val="2"/>
      </rPr>
      <t xml:space="preserve"> - Comune</t>
    </r>
  </si>
  <si>
    <r>
      <t>Conguaglio Inflazione PEF27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2028</t>
    </r>
    <r>
      <rPr>
        <sz val="8"/>
        <color theme="1"/>
        <rFont val="Tahoma"/>
        <family val="2"/>
      </rPr>
      <t xml:space="preserve"> - Comune - Detrazione</t>
    </r>
  </si>
  <si>
    <r>
      <t>Conguaglio Inflazione PEF27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Comune - Post Detrazioni</t>
    </r>
  </si>
  <si>
    <r>
      <t xml:space="preserve">Conguaglio Efficientamento COrd </t>
    </r>
    <r>
      <rPr>
        <i/>
        <vertAlign val="subscript"/>
        <sz val="8"/>
        <color theme="1"/>
        <rFont val="Tahoma"/>
        <family val="2"/>
      </rPr>
      <t>TV, 2028</t>
    </r>
    <r>
      <rPr>
        <i/>
        <sz val="8"/>
        <color theme="1"/>
        <rFont val="Tahoma"/>
        <family val="2"/>
      </rPr>
      <t xml:space="preserve"> - Comune</t>
    </r>
  </si>
  <si>
    <r>
      <t xml:space="preserve">Conguaglio Efficientamento COrd </t>
    </r>
    <r>
      <rPr>
        <vertAlign val="subscript"/>
        <sz val="8"/>
        <color theme="1"/>
        <rFont val="Tahoma"/>
        <family val="2"/>
      </rPr>
      <t>TV, 2028</t>
    </r>
    <r>
      <rPr>
        <sz val="8"/>
        <color theme="1"/>
        <rFont val="Tahoma"/>
        <family val="2"/>
      </rPr>
      <t xml:space="preserve"> - Comune - Detrazione</t>
    </r>
  </si>
  <si>
    <r>
      <t xml:space="preserve">Conguaglio Efficientamento COrd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Comune - Post Detrazioni</t>
    </r>
  </si>
  <si>
    <r>
      <t>RC</t>
    </r>
    <r>
      <rPr>
        <i/>
        <vertAlign val="subscript"/>
        <sz val="8"/>
        <color theme="1"/>
        <rFont val="Tahoma"/>
        <family val="2"/>
      </rPr>
      <t xml:space="preserve">TMAX </t>
    </r>
    <r>
      <rPr>
        <i/>
        <sz val="8"/>
        <color theme="1"/>
        <rFont val="Tahoma"/>
        <family val="2"/>
      </rPr>
      <t xml:space="preserve">Anni pregressi </t>
    </r>
    <r>
      <rPr>
        <i/>
        <vertAlign val="subscript"/>
        <sz val="8"/>
        <color theme="1"/>
        <rFont val="Tahoma"/>
        <family val="2"/>
      </rPr>
      <t>TV, 2028</t>
    </r>
    <r>
      <rPr>
        <i/>
        <sz val="8"/>
        <color theme="1"/>
        <rFont val="Tahoma"/>
        <family val="2"/>
      </rPr>
      <t xml:space="preserve"> - Comune</t>
    </r>
  </si>
  <si>
    <r>
      <t>RC</t>
    </r>
    <r>
      <rPr>
        <vertAlign val="subscript"/>
        <sz val="8"/>
        <color theme="1"/>
        <rFont val="Tahoma"/>
        <family val="2"/>
      </rPr>
      <t xml:space="preserve">TMAX </t>
    </r>
    <r>
      <rPr>
        <sz val="8"/>
        <color theme="1"/>
        <rFont val="Tahoma"/>
        <family val="2"/>
      </rPr>
      <t xml:space="preserve">Anni pregressi </t>
    </r>
    <r>
      <rPr>
        <vertAlign val="subscript"/>
        <sz val="8"/>
        <color theme="1"/>
        <rFont val="Tahoma"/>
        <family val="2"/>
      </rPr>
      <t>TV, 2028</t>
    </r>
    <r>
      <rPr>
        <sz val="8"/>
        <color theme="1"/>
        <rFont val="Tahoma"/>
        <family val="2"/>
      </rPr>
      <t xml:space="preserve"> - Comune - Detrazione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</si>
  <si>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TV, 2028</t>
    </r>
    <r>
      <rPr>
        <b/>
        <sz val="8"/>
        <color theme="1"/>
        <rFont val="Tahoma"/>
        <family val="2"/>
      </rPr>
      <t xml:space="preserve"> - Comune - Post Detrazioni</t>
    </r>
  </si>
  <si>
    <r>
      <t>RC</t>
    </r>
    <r>
      <rPr>
        <b/>
        <vertAlign val="subscript"/>
        <sz val="8"/>
        <color theme="1"/>
        <rFont val="Tahoma"/>
        <family val="2"/>
      </rPr>
      <t>TOT TV, 2028</t>
    </r>
    <r>
      <rPr>
        <b/>
        <sz val="8"/>
        <color theme="1"/>
        <rFont val="Tahoma"/>
        <family val="2"/>
      </rPr>
      <t xml:space="preserve"> - Comune - Detrazione</t>
    </r>
  </si>
  <si>
    <r>
      <t>RC</t>
    </r>
    <r>
      <rPr>
        <b/>
        <vertAlign val="subscript"/>
        <sz val="8"/>
        <color theme="1"/>
        <rFont val="Tahoma"/>
        <family val="2"/>
      </rPr>
      <t>TOT TV, 2028</t>
    </r>
    <r>
      <rPr>
        <b/>
        <sz val="8"/>
        <color theme="1"/>
        <rFont val="Tahoma"/>
        <family val="2"/>
      </rPr>
      <t xml:space="preserve"> - Comune - Post Detrazioni</t>
    </r>
  </si>
  <si>
    <r>
      <t>IVA VARIABILE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Comune</t>
    </r>
  </si>
  <si>
    <r>
      <t>IVA VARIABILE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Comune - Detrazione</t>
    </r>
  </si>
  <si>
    <r>
      <t>IVA VARIABILE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Comune - Post Detrazioni</t>
    </r>
  </si>
  <si>
    <r>
      <t>CSL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Gestore</t>
    </r>
  </si>
  <si>
    <r>
      <t>CSL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Gestore - Detrazione</t>
    </r>
  </si>
  <si>
    <r>
      <t>CSL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Gestore - Post Detrazioni</t>
    </r>
  </si>
  <si>
    <r>
      <t>CSL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Comune</t>
    </r>
  </si>
  <si>
    <r>
      <t>CSL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Comune - Detrazione</t>
    </r>
  </si>
  <si>
    <r>
      <t>CSL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Comune - Post Detrazioni</t>
    </r>
  </si>
  <si>
    <r>
      <t>CARC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Gestore</t>
    </r>
  </si>
  <si>
    <r>
      <t>CARC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Gestore - Detrazione</t>
    </r>
  </si>
  <si>
    <r>
      <t>CARC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Gestore - Post Detrazioni</t>
    </r>
  </si>
  <si>
    <r>
      <t>CARC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Comune</t>
    </r>
  </si>
  <si>
    <r>
      <t>CARC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Comune - Detrazione</t>
    </r>
  </si>
  <si>
    <r>
      <t>CARC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Comune - Post Detrazioni</t>
    </r>
  </si>
  <si>
    <r>
      <t>CGG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Gestore</t>
    </r>
  </si>
  <si>
    <r>
      <t>CGG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Gestore - Detrazione</t>
    </r>
  </si>
  <si>
    <r>
      <t>CGG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Gestore - Post Detrazioni</t>
    </r>
  </si>
  <si>
    <r>
      <t>CGG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Comune</t>
    </r>
  </si>
  <si>
    <r>
      <t>CGG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Comune - Detrazione</t>
    </r>
  </si>
  <si>
    <r>
      <t>CGG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Comune - Post Detrazioni</t>
    </r>
  </si>
  <si>
    <r>
      <t>CCD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Gestore</t>
    </r>
  </si>
  <si>
    <r>
      <t>CCD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Gestore - Detrazione</t>
    </r>
  </si>
  <si>
    <r>
      <t>CCD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Gestore - Post Detrazioni</t>
    </r>
  </si>
  <si>
    <r>
      <t>CCD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Comune</t>
    </r>
  </si>
  <si>
    <r>
      <t>CCD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Comune - Detrazione</t>
    </r>
  </si>
  <si>
    <r>
      <t>CCD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Comune - Post Detrazioni</t>
    </r>
  </si>
  <si>
    <r>
      <t>COal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Gestore</t>
    </r>
  </si>
  <si>
    <r>
      <t>COal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Gestore - Detrazione</t>
    </r>
  </si>
  <si>
    <r>
      <t>COal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Gestore - Post Detrazioni</t>
    </r>
  </si>
  <si>
    <r>
      <t>COal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Comune</t>
    </r>
  </si>
  <si>
    <r>
      <t>COal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Comune - Detrazione</t>
    </r>
  </si>
  <si>
    <r>
      <t>COal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Comune - Post Detrazioni</t>
    </r>
  </si>
  <si>
    <r>
      <t>AMM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Gestore</t>
    </r>
  </si>
  <si>
    <r>
      <t>AMM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Gestore - Detrazione</t>
    </r>
  </si>
  <si>
    <r>
      <t>AMM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Gestore - Post Detrazioni</t>
    </r>
  </si>
  <si>
    <r>
      <t>AMM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Comune</t>
    </r>
  </si>
  <si>
    <r>
      <t>AMM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Comune - Detrazione</t>
    </r>
  </si>
  <si>
    <r>
      <t>AMM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Comune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</si>
  <si>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Gest. Post-operativa discariche - Gestore</t>
    </r>
  </si>
  <si>
    <r>
      <t>ACC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Gest. Post-operativa discariche - Gestore - Detrazione</t>
    </r>
  </si>
  <si>
    <r>
      <t>ACC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Gest. Post-operativa discariche - Gestore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</si>
  <si>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Per crediti - Gestore</t>
    </r>
  </si>
  <si>
    <r>
      <t>ACC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Per crediti - Gestore - Detrazione</t>
    </r>
  </si>
  <si>
    <r>
      <t>ACC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Per crediti - Gestore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</si>
  <si>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Rischi e oneri previsti dalla normativa - Gestore</t>
    </r>
  </si>
  <si>
    <r>
      <t>ACC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Rischi e oneri previsti dalla normativa - Gestore - Detrazione</t>
    </r>
  </si>
  <si>
    <r>
      <t>ACC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Rischi e oneri previsti dalla normativa - Gestore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</si>
  <si>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Altri, non in eccesso delle norme tributarie - Gestore</t>
    </r>
  </si>
  <si>
    <r>
      <t>ACC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Altri, non in eccesso delle norme tributarie - Gestore - Detrazione</t>
    </r>
  </si>
  <si>
    <r>
      <t>ACC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Altri, non in eccesso delle norme tributarie - Gestore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</si>
  <si>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Gestore</t>
    </r>
  </si>
  <si>
    <r>
      <t>ACC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Gestore - Detrazione</t>
    </r>
  </si>
  <si>
    <r>
      <t>ACC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Gestore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</si>
  <si>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Gest. Post-operativa discariche - Comune</t>
    </r>
  </si>
  <si>
    <r>
      <t>ACC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Gest. Post-operativa discariche - Comune - Detrazione</t>
    </r>
  </si>
  <si>
    <r>
      <t>ACC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Gest. Post-operativa discariche - Comune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</si>
  <si>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Per crediti - Comune</t>
    </r>
  </si>
  <si>
    <r>
      <t>ACC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Per crediti - Comune - Detrazione</t>
    </r>
  </si>
  <si>
    <r>
      <t>ACC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Per crediti - Comune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</si>
  <si>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Rischi e oneri previsti dalla normativa - Comune</t>
    </r>
  </si>
  <si>
    <r>
      <t>ACC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Rischi e oneri previsti dalla normativa - Comune - Detrazione</t>
    </r>
  </si>
  <si>
    <r>
      <t>ACC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Rischi e oneri previsti dalla normativa - Comune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</si>
  <si>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Altri, non in eccesso delle norme tributarie - Comune</t>
    </r>
  </si>
  <si>
    <r>
      <t>ACC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Altri, non in eccesso delle norme tributarie - Comune - Detrazione</t>
    </r>
  </si>
  <si>
    <r>
      <t>ACC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Altri, non in eccesso delle norme tributarie - Comune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</si>
  <si>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Comune</t>
    </r>
  </si>
  <si>
    <r>
      <t>ACC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Comune - Detrazione</t>
    </r>
  </si>
  <si>
    <r>
      <t>ACC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Comune - Post Detrazioni</t>
    </r>
  </si>
  <si>
    <r>
      <t>R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Gestore</t>
    </r>
  </si>
  <si>
    <r>
      <t>R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Gestore - Detrazione</t>
    </r>
  </si>
  <si>
    <r>
      <t>R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Gestore - Post Detrazioni</t>
    </r>
  </si>
  <si>
    <r>
      <t>R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Comune</t>
    </r>
  </si>
  <si>
    <r>
      <t>R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Comune - Detrazione</t>
    </r>
  </si>
  <si>
    <r>
      <t>R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Comune - Post Detrazioni</t>
    </r>
  </si>
  <si>
    <r>
      <t>RLIC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Gestore</t>
    </r>
  </si>
  <si>
    <r>
      <t>RLIC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Gestore - Detrazione</t>
    </r>
  </si>
  <si>
    <r>
      <t>RLIC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Gestore - Post Detrazioni</t>
    </r>
  </si>
  <si>
    <r>
      <t>RLIC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Comune</t>
    </r>
  </si>
  <si>
    <r>
      <t>RLIC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Comune - Detrazione</t>
    </r>
  </si>
  <si>
    <r>
      <t>RLIC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Comune - Post Detrazioni</t>
    </r>
  </si>
  <si>
    <r>
      <t>CKprop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Gestore</t>
    </r>
  </si>
  <si>
    <r>
      <t>CKprop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Gestore - Detrazione</t>
    </r>
  </si>
  <si>
    <r>
      <t>CKprop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Gestore - Post Detrazioni</t>
    </r>
  </si>
  <si>
    <r>
      <t>CKprop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Comune</t>
    </r>
  </si>
  <si>
    <r>
      <t>CKprop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Comune - Detrazione</t>
    </r>
  </si>
  <si>
    <r>
      <t>CKprop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Comune - Post Detrazioni</t>
    </r>
  </si>
  <si>
    <r>
      <t>RC</t>
    </r>
    <r>
      <rPr>
        <i/>
        <vertAlign val="subscript"/>
        <sz val="8"/>
        <color theme="1"/>
        <rFont val="Tahoma"/>
        <family val="2"/>
      </rPr>
      <t>RET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2028</t>
    </r>
    <r>
      <rPr>
        <i/>
        <sz val="8"/>
        <color theme="1"/>
        <rFont val="Tahoma"/>
        <family val="2"/>
      </rPr>
      <t xml:space="preserve"> - Gestore</t>
    </r>
  </si>
  <si>
    <r>
      <t>RC</t>
    </r>
    <r>
      <rPr>
        <vertAlign val="subscript"/>
        <sz val="8"/>
        <color theme="1"/>
        <rFont val="Tahoma"/>
        <family val="2"/>
      </rPr>
      <t>RET TF, 2028</t>
    </r>
    <r>
      <rPr>
        <sz val="8"/>
        <color theme="1"/>
        <rFont val="Tahoma"/>
        <family val="2"/>
      </rPr>
      <t xml:space="preserve"> - Gestore - Detrazione</t>
    </r>
  </si>
  <si>
    <r>
      <t>RC</t>
    </r>
    <r>
      <rPr>
        <b/>
        <vertAlign val="subscript"/>
        <sz val="8"/>
        <color theme="1"/>
        <rFont val="Tahoma"/>
        <family val="2"/>
      </rPr>
      <t>RET TF, 2028</t>
    </r>
    <r>
      <rPr>
        <b/>
        <sz val="8"/>
        <color theme="1"/>
        <rFont val="Tahoma"/>
        <family val="2"/>
      </rPr>
      <t xml:space="preserve"> - Gestore -Post Detrazioni</t>
    </r>
  </si>
  <si>
    <r>
      <t>Recupero CO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116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2028</t>
    </r>
    <r>
      <rPr>
        <i/>
        <sz val="8"/>
        <color theme="1"/>
        <rFont val="Tahoma"/>
        <family val="2"/>
      </rPr>
      <t xml:space="preserve"> - Gestore</t>
    </r>
  </si>
  <si>
    <r>
      <t>Recupero CO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116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2028</t>
    </r>
    <r>
      <rPr>
        <sz val="8"/>
        <color theme="1"/>
        <rFont val="Tahoma"/>
        <family val="2"/>
      </rPr>
      <t xml:space="preserve"> - Gestore - Detrazione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</si>
  <si>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Gestore - Post Detrazioni</t>
    </r>
  </si>
  <si>
    <r>
      <t>Recupero CQ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TF, 2028</t>
    </r>
    <r>
      <rPr>
        <i/>
        <sz val="8"/>
        <color theme="1"/>
        <rFont val="Tahoma"/>
        <family val="2"/>
      </rPr>
      <t xml:space="preserve"> - Gestore</t>
    </r>
  </si>
  <si>
    <r>
      <t>Recupero CQ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TF, 2028</t>
    </r>
    <r>
      <rPr>
        <sz val="8"/>
        <color theme="1"/>
        <rFont val="Tahoma"/>
        <family val="2"/>
      </rPr>
      <t xml:space="preserve"> - Gestore - Detrazione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</si>
  <si>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Gestore - Post Detrazioni</t>
    </r>
  </si>
  <si>
    <r>
      <t>Recupero COnew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TF, 2028</t>
    </r>
    <r>
      <rPr>
        <i/>
        <sz val="8"/>
        <color theme="1"/>
        <rFont val="Tahoma"/>
        <family val="2"/>
      </rPr>
      <t xml:space="preserve"> - Gestore</t>
    </r>
  </si>
  <si>
    <r>
      <t>Recupero COnew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TF, 2028</t>
    </r>
    <r>
      <rPr>
        <sz val="8"/>
        <color theme="1"/>
        <rFont val="Tahoma"/>
        <family val="2"/>
      </rPr>
      <t xml:space="preserve"> - Gestore - Detrazione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</si>
  <si>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Gestore - Post Detrazioni</t>
    </r>
  </si>
  <si>
    <r>
      <t>Recupero COI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TF, 2028</t>
    </r>
    <r>
      <rPr>
        <i/>
        <sz val="8"/>
        <color theme="1"/>
        <rFont val="Tahoma"/>
        <family val="2"/>
      </rPr>
      <t xml:space="preserve"> - Gestore</t>
    </r>
  </si>
  <si>
    <r>
      <t>Recupero COI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TF, 2028</t>
    </r>
    <r>
      <rPr>
        <sz val="8"/>
        <color theme="1"/>
        <rFont val="Tahoma"/>
        <family val="2"/>
      </rPr>
      <t xml:space="preserve"> - Gestore - Detrazione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</si>
  <si>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Gestore - Post Detrazioni</t>
    </r>
  </si>
  <si>
    <r>
      <t>Differenza fatturato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2028</t>
    </r>
    <r>
      <rPr>
        <i/>
        <sz val="8"/>
        <color theme="1"/>
        <rFont val="Tahoma"/>
        <family val="2"/>
      </rPr>
      <t xml:space="preserve"> - Gestore</t>
    </r>
  </si>
  <si>
    <r>
      <t>Differenza fatturato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2028</t>
    </r>
    <r>
      <rPr>
        <sz val="8"/>
        <color theme="1"/>
        <rFont val="Tahoma"/>
        <family val="2"/>
      </rPr>
      <t xml:space="preserve"> - Gestore - Detrazione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</si>
  <si>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Gestore - Post Detrazioni</t>
    </r>
  </si>
  <si>
    <r>
      <t xml:space="preserve">Conguaglio Inflazione PEF25 </t>
    </r>
    <r>
      <rPr>
        <i/>
        <vertAlign val="subscript"/>
        <sz val="8"/>
        <color theme="1"/>
        <rFont val="Tahoma"/>
        <family val="2"/>
      </rPr>
      <t>TF, 2028</t>
    </r>
    <r>
      <rPr>
        <i/>
        <sz val="8"/>
        <color theme="1"/>
        <rFont val="Tahoma"/>
        <family val="2"/>
      </rPr>
      <t xml:space="preserve"> - Gestore</t>
    </r>
  </si>
  <si>
    <r>
      <t>Conguaglio Inflazione PEF25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2028</t>
    </r>
    <r>
      <rPr>
        <sz val="8"/>
        <color theme="1"/>
        <rFont val="Tahoma"/>
        <family val="2"/>
      </rPr>
      <t xml:space="preserve"> - Gestore - Detrazione</t>
    </r>
  </si>
  <si>
    <r>
      <t>Conguaglio Inflazione PEF25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Gestore - Post Detrazioni</t>
    </r>
  </si>
  <si>
    <r>
      <t xml:space="preserve">Conguaglio Inflazione PEF27 </t>
    </r>
    <r>
      <rPr>
        <i/>
        <vertAlign val="subscript"/>
        <sz val="8"/>
        <color theme="1"/>
        <rFont val="Tahoma"/>
        <family val="2"/>
      </rPr>
      <t>TF, 2028</t>
    </r>
    <r>
      <rPr>
        <i/>
        <sz val="8"/>
        <color theme="1"/>
        <rFont val="Tahoma"/>
        <family val="2"/>
      </rPr>
      <t xml:space="preserve"> - Gestore</t>
    </r>
  </si>
  <si>
    <r>
      <t>Conguaglio Inflazione PEF27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2028</t>
    </r>
    <r>
      <rPr>
        <sz val="8"/>
        <color theme="1"/>
        <rFont val="Tahoma"/>
        <family val="2"/>
      </rPr>
      <t xml:space="preserve"> - Gestore - Detrazione</t>
    </r>
  </si>
  <si>
    <r>
      <t>Conguaglio Inflazione PEF27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Gestore - Post Detrazioni</t>
    </r>
  </si>
  <si>
    <r>
      <t>Conguaglio CK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2028</t>
    </r>
    <r>
      <rPr>
        <i/>
        <sz val="8"/>
        <color theme="1"/>
        <rFont val="Tahoma"/>
        <family val="2"/>
      </rPr>
      <t xml:space="preserve"> - Gestore</t>
    </r>
  </si>
  <si>
    <r>
      <t>Conguaglio CK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2028</t>
    </r>
    <r>
      <rPr>
        <sz val="8"/>
        <color theme="1"/>
        <rFont val="Tahoma"/>
        <family val="2"/>
      </rPr>
      <t xml:space="preserve"> - Gestore - Detrazione</t>
    </r>
  </si>
  <si>
    <r>
      <t>Conguaglio CK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Gestore - Post Detrazioni</t>
    </r>
  </si>
  <si>
    <r>
      <t>RC</t>
    </r>
    <r>
      <rPr>
        <i/>
        <vertAlign val="subscript"/>
        <sz val="8"/>
        <color theme="1"/>
        <rFont val="Tahoma"/>
        <family val="2"/>
      </rPr>
      <t xml:space="preserve">TMAX </t>
    </r>
    <r>
      <rPr>
        <i/>
        <sz val="8"/>
        <color theme="1"/>
        <rFont val="Tahoma"/>
        <family val="2"/>
      </rPr>
      <t xml:space="preserve">Anni pregressi </t>
    </r>
    <r>
      <rPr>
        <i/>
        <vertAlign val="subscript"/>
        <sz val="8"/>
        <color theme="1"/>
        <rFont val="Tahoma"/>
        <family val="2"/>
      </rPr>
      <t>TF, 2028</t>
    </r>
    <r>
      <rPr>
        <i/>
        <sz val="8"/>
        <color theme="1"/>
        <rFont val="Tahoma"/>
        <family val="2"/>
      </rPr>
      <t xml:space="preserve"> - Gestore</t>
    </r>
  </si>
  <si>
    <r>
      <t>RC</t>
    </r>
    <r>
      <rPr>
        <vertAlign val="subscript"/>
        <sz val="8"/>
        <color theme="1"/>
        <rFont val="Tahoma"/>
        <family val="2"/>
      </rPr>
      <t xml:space="preserve">TMAX </t>
    </r>
    <r>
      <rPr>
        <sz val="8"/>
        <color theme="1"/>
        <rFont val="Tahoma"/>
        <family val="2"/>
      </rPr>
      <t xml:space="preserve">Anni pregressi </t>
    </r>
    <r>
      <rPr>
        <vertAlign val="subscript"/>
        <sz val="8"/>
        <color theme="1"/>
        <rFont val="Tahoma"/>
        <family val="2"/>
      </rPr>
      <t>TF, 2028</t>
    </r>
    <r>
      <rPr>
        <sz val="8"/>
        <color theme="1"/>
        <rFont val="Tahoma"/>
        <family val="2"/>
      </rPr>
      <t xml:space="preserve"> - Gestore - Detrazione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</si>
  <si>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Gestore - Post Detrazioni</t>
    </r>
  </si>
  <si>
    <r>
      <t>RC</t>
    </r>
    <r>
      <rPr>
        <b/>
        <vertAlign val="subscript"/>
        <sz val="8"/>
        <color theme="1"/>
        <rFont val="Tahoma"/>
        <family val="2"/>
      </rPr>
      <t>TOT TF, 2028</t>
    </r>
    <r>
      <rPr>
        <b/>
        <sz val="8"/>
        <color theme="1"/>
        <rFont val="Tahoma"/>
        <family val="2"/>
      </rPr>
      <t xml:space="preserve"> - Gestore - Detrazione</t>
    </r>
  </si>
  <si>
    <r>
      <t>RC</t>
    </r>
    <r>
      <rPr>
        <b/>
        <vertAlign val="subscript"/>
        <sz val="8"/>
        <color theme="1"/>
        <rFont val="Tahoma"/>
        <family val="2"/>
      </rPr>
      <t>TOT TF, 2028</t>
    </r>
    <r>
      <rPr>
        <b/>
        <sz val="8"/>
        <color theme="1"/>
        <rFont val="Tahoma"/>
        <family val="2"/>
      </rPr>
      <t xml:space="preserve"> - Gestore - Post Detrazioni</t>
    </r>
  </si>
  <si>
    <r>
      <t>RC</t>
    </r>
    <r>
      <rPr>
        <i/>
        <vertAlign val="subscript"/>
        <sz val="8"/>
        <color theme="1"/>
        <rFont val="Tahoma"/>
        <family val="2"/>
      </rPr>
      <t>RET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2028</t>
    </r>
    <r>
      <rPr>
        <i/>
        <sz val="8"/>
        <color theme="1"/>
        <rFont val="Tahoma"/>
        <family val="2"/>
      </rPr>
      <t xml:space="preserve"> - Comune</t>
    </r>
  </si>
  <si>
    <r>
      <t>RC</t>
    </r>
    <r>
      <rPr>
        <vertAlign val="subscript"/>
        <sz val="8"/>
        <color theme="1"/>
        <rFont val="Tahoma"/>
        <family val="2"/>
      </rPr>
      <t>RET TF, 2028</t>
    </r>
    <r>
      <rPr>
        <sz val="8"/>
        <color theme="1"/>
        <rFont val="Tahoma"/>
        <family val="2"/>
      </rPr>
      <t xml:space="preserve"> - Comune - Detrazione</t>
    </r>
  </si>
  <si>
    <r>
      <t>RC</t>
    </r>
    <r>
      <rPr>
        <b/>
        <vertAlign val="subscript"/>
        <sz val="8"/>
        <color theme="1"/>
        <rFont val="Tahoma"/>
        <family val="2"/>
      </rPr>
      <t>RET TF, 2028</t>
    </r>
    <r>
      <rPr>
        <b/>
        <sz val="8"/>
        <color theme="1"/>
        <rFont val="Tahoma"/>
        <family val="2"/>
      </rPr>
      <t xml:space="preserve"> - Comune -Post Detrazioni</t>
    </r>
  </si>
  <si>
    <r>
      <t>Recupero CO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116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2028</t>
    </r>
    <r>
      <rPr>
        <i/>
        <sz val="8"/>
        <color theme="1"/>
        <rFont val="Tahoma"/>
        <family val="2"/>
      </rPr>
      <t xml:space="preserve"> - Comune</t>
    </r>
  </si>
  <si>
    <r>
      <t>Recupero CO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116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2028</t>
    </r>
    <r>
      <rPr>
        <sz val="8"/>
        <color theme="1"/>
        <rFont val="Tahoma"/>
        <family val="2"/>
      </rPr>
      <t xml:space="preserve"> - Comune - Detrazione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</si>
  <si>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Comune - Post Detrazioni</t>
    </r>
  </si>
  <si>
    <r>
      <t>Recupero CQ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TF, 2028</t>
    </r>
    <r>
      <rPr>
        <i/>
        <sz val="8"/>
        <color theme="1"/>
        <rFont val="Tahoma"/>
        <family val="2"/>
      </rPr>
      <t xml:space="preserve"> - Comune</t>
    </r>
  </si>
  <si>
    <r>
      <t>Recupero CQ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TF, 2028</t>
    </r>
    <r>
      <rPr>
        <sz val="8"/>
        <color theme="1"/>
        <rFont val="Tahoma"/>
        <family val="2"/>
      </rPr>
      <t xml:space="preserve"> - Comune - Detrazione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</si>
  <si>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Comune - Post Detrazioni</t>
    </r>
  </si>
  <si>
    <r>
      <t>Recupero COnew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TF, 2028</t>
    </r>
    <r>
      <rPr>
        <i/>
        <sz val="8"/>
        <color theme="1"/>
        <rFont val="Tahoma"/>
        <family val="2"/>
      </rPr>
      <t xml:space="preserve"> - Comune</t>
    </r>
  </si>
  <si>
    <r>
      <t>Recupero COnew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TF, 2028</t>
    </r>
    <r>
      <rPr>
        <sz val="8"/>
        <color theme="1"/>
        <rFont val="Tahoma"/>
        <family val="2"/>
      </rPr>
      <t xml:space="preserve"> - Comune - Detrazione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</si>
  <si>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Comune - Post Detrazioni</t>
    </r>
  </si>
  <si>
    <r>
      <t>Recupero COI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TF, 2028</t>
    </r>
    <r>
      <rPr>
        <i/>
        <sz val="8"/>
        <color theme="1"/>
        <rFont val="Tahoma"/>
        <family val="2"/>
      </rPr>
      <t xml:space="preserve"> - Comune</t>
    </r>
  </si>
  <si>
    <r>
      <t>Recupero COI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TF, 2028</t>
    </r>
    <r>
      <rPr>
        <sz val="8"/>
        <color theme="1"/>
        <rFont val="Tahoma"/>
        <family val="2"/>
      </rPr>
      <t xml:space="preserve"> - Comune - Detrazione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</si>
  <si>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Comune - Post Detrazioni</t>
    </r>
  </si>
  <si>
    <r>
      <t>Differenza fatturato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2028</t>
    </r>
    <r>
      <rPr>
        <i/>
        <sz val="8"/>
        <color theme="1"/>
        <rFont val="Tahoma"/>
        <family val="2"/>
      </rPr>
      <t xml:space="preserve"> - Comune</t>
    </r>
  </si>
  <si>
    <r>
      <t>Differenza fatturato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2028</t>
    </r>
    <r>
      <rPr>
        <sz val="8"/>
        <color theme="1"/>
        <rFont val="Tahoma"/>
        <family val="2"/>
      </rPr>
      <t xml:space="preserve"> - Comune - Detrazione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</si>
  <si>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Comune - Post Detrazioni</t>
    </r>
  </si>
  <si>
    <r>
      <t xml:space="preserve">Conguaglio Inflazione PEF25 </t>
    </r>
    <r>
      <rPr>
        <i/>
        <vertAlign val="subscript"/>
        <sz val="8"/>
        <color theme="1"/>
        <rFont val="Tahoma"/>
        <family val="2"/>
      </rPr>
      <t>TF, 2028</t>
    </r>
    <r>
      <rPr>
        <i/>
        <sz val="8"/>
        <color theme="1"/>
        <rFont val="Tahoma"/>
        <family val="2"/>
      </rPr>
      <t xml:space="preserve"> - Comune</t>
    </r>
  </si>
  <si>
    <r>
      <t>Conguaglio Inflazione PEF25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2028</t>
    </r>
    <r>
      <rPr>
        <sz val="8"/>
        <color theme="1"/>
        <rFont val="Tahoma"/>
        <family val="2"/>
      </rPr>
      <t xml:space="preserve"> - Comune - Detrazione</t>
    </r>
  </si>
  <si>
    <r>
      <t>Conguaglio Inflazione PEF25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Comune - Post Detrazioni</t>
    </r>
  </si>
  <si>
    <r>
      <t xml:space="preserve">Conguaglio Inflazione PEF27 </t>
    </r>
    <r>
      <rPr>
        <i/>
        <vertAlign val="subscript"/>
        <sz val="8"/>
        <color theme="1"/>
        <rFont val="Tahoma"/>
        <family val="2"/>
      </rPr>
      <t>TF, 2028</t>
    </r>
    <r>
      <rPr>
        <i/>
        <sz val="8"/>
        <color theme="1"/>
        <rFont val="Tahoma"/>
        <family val="2"/>
      </rPr>
      <t xml:space="preserve"> - Comune</t>
    </r>
  </si>
  <si>
    <r>
      <t>Conguaglio Inflazione PEF27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2028</t>
    </r>
    <r>
      <rPr>
        <sz val="8"/>
        <color theme="1"/>
        <rFont val="Tahoma"/>
        <family val="2"/>
      </rPr>
      <t xml:space="preserve"> - Comune - Detrazione</t>
    </r>
  </si>
  <si>
    <r>
      <t>Conguaglio Inflazione PEF27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Comune - Post Detrazioni</t>
    </r>
  </si>
  <si>
    <r>
      <t>Conguaglio CK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2028</t>
    </r>
    <r>
      <rPr>
        <i/>
        <sz val="8"/>
        <color theme="1"/>
        <rFont val="Tahoma"/>
        <family val="2"/>
      </rPr>
      <t xml:space="preserve"> - Comune</t>
    </r>
  </si>
  <si>
    <r>
      <t>Conguaglio CK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2028</t>
    </r>
    <r>
      <rPr>
        <sz val="8"/>
        <color theme="1"/>
        <rFont val="Tahoma"/>
        <family val="2"/>
      </rPr>
      <t xml:space="preserve"> - Comune - Detrazione</t>
    </r>
  </si>
  <si>
    <r>
      <t>Conguaglio CK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Comune - Post Detrazioni</t>
    </r>
  </si>
  <si>
    <r>
      <t>RC</t>
    </r>
    <r>
      <rPr>
        <i/>
        <vertAlign val="subscript"/>
        <sz val="8"/>
        <color theme="1"/>
        <rFont val="Tahoma"/>
        <family val="2"/>
      </rPr>
      <t xml:space="preserve">TMAX </t>
    </r>
    <r>
      <rPr>
        <i/>
        <sz val="8"/>
        <color theme="1"/>
        <rFont val="Tahoma"/>
        <family val="2"/>
      </rPr>
      <t xml:space="preserve">Anni pregressi </t>
    </r>
    <r>
      <rPr>
        <i/>
        <vertAlign val="subscript"/>
        <sz val="8"/>
        <color theme="1"/>
        <rFont val="Tahoma"/>
        <family val="2"/>
      </rPr>
      <t>TF, 2028</t>
    </r>
    <r>
      <rPr>
        <i/>
        <sz val="8"/>
        <color theme="1"/>
        <rFont val="Tahoma"/>
        <family val="2"/>
      </rPr>
      <t xml:space="preserve"> - Comune</t>
    </r>
  </si>
  <si>
    <r>
      <t>RC</t>
    </r>
    <r>
      <rPr>
        <vertAlign val="subscript"/>
        <sz val="8"/>
        <color theme="1"/>
        <rFont val="Tahoma"/>
        <family val="2"/>
      </rPr>
      <t xml:space="preserve">TMAX </t>
    </r>
    <r>
      <rPr>
        <sz val="8"/>
        <color theme="1"/>
        <rFont val="Tahoma"/>
        <family val="2"/>
      </rPr>
      <t xml:space="preserve">Anni pregressi </t>
    </r>
    <r>
      <rPr>
        <vertAlign val="subscript"/>
        <sz val="8"/>
        <color theme="1"/>
        <rFont val="Tahoma"/>
        <family val="2"/>
      </rPr>
      <t>TF, 2028</t>
    </r>
    <r>
      <rPr>
        <sz val="8"/>
        <color theme="1"/>
        <rFont val="Tahoma"/>
        <family val="2"/>
      </rPr>
      <t xml:space="preserve"> - Comune - Detrazione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</si>
  <si>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TF, 2028</t>
    </r>
    <r>
      <rPr>
        <b/>
        <sz val="8"/>
        <color theme="1"/>
        <rFont val="Tahoma"/>
        <family val="2"/>
      </rPr>
      <t xml:space="preserve"> - Comune - Post Detrazioni</t>
    </r>
  </si>
  <si>
    <r>
      <t>RC</t>
    </r>
    <r>
      <rPr>
        <b/>
        <vertAlign val="subscript"/>
        <sz val="8"/>
        <color theme="1"/>
        <rFont val="Tahoma"/>
        <family val="2"/>
      </rPr>
      <t>TOT TF, 2028</t>
    </r>
    <r>
      <rPr>
        <b/>
        <sz val="8"/>
        <color theme="1"/>
        <rFont val="Tahoma"/>
        <family val="2"/>
      </rPr>
      <t xml:space="preserve"> - Comune - Detrazione</t>
    </r>
  </si>
  <si>
    <r>
      <t>RC</t>
    </r>
    <r>
      <rPr>
        <b/>
        <vertAlign val="subscript"/>
        <sz val="8"/>
        <color theme="1"/>
        <rFont val="Tahoma"/>
        <family val="2"/>
      </rPr>
      <t>TOT TF, 2028</t>
    </r>
    <r>
      <rPr>
        <b/>
        <sz val="8"/>
        <color theme="1"/>
        <rFont val="Tahoma"/>
        <family val="2"/>
      </rPr>
      <t xml:space="preserve"> - Comune - Post Detrazioni</t>
    </r>
  </si>
  <si>
    <r>
      <t>IVA FISSA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Comune</t>
    </r>
  </si>
  <si>
    <r>
      <t>IVA FISSA</t>
    </r>
    <r>
      <rPr>
        <vertAlign val="subscript"/>
        <sz val="8"/>
        <color theme="1"/>
        <rFont val="Tahoma"/>
        <family val="2"/>
      </rPr>
      <t>2028</t>
    </r>
    <r>
      <rPr>
        <sz val="8"/>
        <color theme="1"/>
        <rFont val="Tahoma"/>
        <family val="2"/>
      </rPr>
      <t xml:space="preserve"> - Comune - Detrazione</t>
    </r>
  </si>
  <si>
    <r>
      <t>IVA FISSA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Comune - Post Detrazioni</t>
    </r>
  </si>
  <si>
    <r>
      <t>CRT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Gestore</t>
    </r>
  </si>
  <si>
    <r>
      <t>CRT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Gestore - Detrazione</t>
    </r>
  </si>
  <si>
    <r>
      <t>CRT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Gestore - Post Detrazioni</t>
    </r>
  </si>
  <si>
    <r>
      <t>CRT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Comune</t>
    </r>
  </si>
  <si>
    <r>
      <t>CRT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Comune - Detrazione</t>
    </r>
  </si>
  <si>
    <r>
      <t>CRT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Comune - Post Detrazioni</t>
    </r>
  </si>
  <si>
    <r>
      <t>CTS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Gestore</t>
    </r>
  </si>
  <si>
    <r>
      <t>CTS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Gestore - Detrazione</t>
    </r>
  </si>
  <si>
    <r>
      <t>CTS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Gestore - Post Detrazioni</t>
    </r>
  </si>
  <si>
    <r>
      <t>CTS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Comune</t>
    </r>
  </si>
  <si>
    <r>
      <t>CTS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Comune - Detrazione</t>
    </r>
  </si>
  <si>
    <r>
      <t>CTS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Comune - Post Detrazioni</t>
    </r>
  </si>
  <si>
    <r>
      <t>CTR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Gestore</t>
    </r>
  </si>
  <si>
    <r>
      <t>CTR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Gestore - Detrazione</t>
    </r>
  </si>
  <si>
    <r>
      <t>CTR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Gestore - Post Detrazioni</t>
    </r>
  </si>
  <si>
    <r>
      <t>CTR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Comune</t>
    </r>
  </si>
  <si>
    <r>
      <t>CTR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Comune - Detrazione</t>
    </r>
  </si>
  <si>
    <r>
      <t>CTR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Comune - Post Detrazioni</t>
    </r>
  </si>
  <si>
    <r>
      <t>CRD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Gestore</t>
    </r>
  </si>
  <si>
    <r>
      <t>CRD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Gestore - Detrazione</t>
    </r>
  </si>
  <si>
    <r>
      <t>CRD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Gestore - Post Detrazioni</t>
    </r>
  </si>
  <si>
    <r>
      <t>CRD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Comune</t>
    </r>
  </si>
  <si>
    <r>
      <t>CRD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Comune - Detrazione</t>
    </r>
  </si>
  <si>
    <r>
      <t>CRD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Comune - Post Detrazioni</t>
    </r>
  </si>
  <si>
    <r>
      <t>RC</t>
    </r>
    <r>
      <rPr>
        <i/>
        <vertAlign val="subscript"/>
        <sz val="8"/>
        <color theme="1"/>
        <rFont val="Tahoma"/>
        <family val="2"/>
      </rPr>
      <t>RET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2029</t>
    </r>
    <r>
      <rPr>
        <i/>
        <sz val="8"/>
        <color theme="1"/>
        <rFont val="Tahoma"/>
        <family val="2"/>
      </rPr>
      <t xml:space="preserve"> - Gestore</t>
    </r>
  </si>
  <si>
    <r>
      <t>RC</t>
    </r>
    <r>
      <rPr>
        <vertAlign val="subscript"/>
        <sz val="8"/>
        <color theme="1"/>
        <rFont val="Tahoma"/>
        <family val="2"/>
      </rPr>
      <t>RET TV, 2029</t>
    </r>
    <r>
      <rPr>
        <sz val="8"/>
        <color theme="1"/>
        <rFont val="Tahoma"/>
        <family val="2"/>
      </rPr>
      <t xml:space="preserve"> - Gestore - Detrazione</t>
    </r>
  </si>
  <si>
    <r>
      <t>RC</t>
    </r>
    <r>
      <rPr>
        <b/>
        <vertAlign val="subscript"/>
        <sz val="8"/>
        <color theme="1"/>
        <rFont val="Tahoma"/>
        <family val="2"/>
      </rPr>
      <t>RET TV, 2029</t>
    </r>
    <r>
      <rPr>
        <b/>
        <sz val="8"/>
        <color theme="1"/>
        <rFont val="Tahoma"/>
        <family val="2"/>
      </rPr>
      <t xml:space="preserve"> - Gestore -Post Detrazioni</t>
    </r>
  </si>
  <si>
    <r>
      <t>RC</t>
    </r>
    <r>
      <rPr>
        <i/>
        <vertAlign val="subscript"/>
        <sz val="8"/>
        <color theme="1"/>
        <rFont val="Tahoma"/>
        <family val="2"/>
      </rPr>
      <t>SMAL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2029</t>
    </r>
    <r>
      <rPr>
        <i/>
        <sz val="8"/>
        <color theme="1"/>
        <rFont val="Tahoma"/>
        <family val="2"/>
      </rPr>
      <t xml:space="preserve"> - Gestore</t>
    </r>
  </si>
  <si>
    <r>
      <t>RC</t>
    </r>
    <r>
      <rPr>
        <vertAlign val="subscript"/>
        <sz val="8"/>
        <color theme="1"/>
        <rFont val="Tahoma"/>
        <family val="2"/>
      </rPr>
      <t>SMAL</t>
    </r>
    <r>
      <rPr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2029</t>
    </r>
    <r>
      <rPr>
        <sz val="8"/>
        <color theme="1"/>
        <rFont val="Tahoma"/>
        <family val="2"/>
      </rPr>
      <t xml:space="preserve"> - Gestore - Detrazione</t>
    </r>
  </si>
  <si>
    <r>
      <t>RC</t>
    </r>
    <r>
      <rPr>
        <b/>
        <vertAlign val="subscript"/>
        <sz val="8"/>
        <color theme="1"/>
        <rFont val="Tahoma"/>
        <family val="2"/>
      </rPr>
      <t>SMAL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Gestore - Post Detrazioni</t>
    </r>
  </si>
  <si>
    <r>
      <t>Recupero CO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116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2029</t>
    </r>
    <r>
      <rPr>
        <i/>
        <sz val="8"/>
        <color theme="1"/>
        <rFont val="Tahoma"/>
        <family val="2"/>
      </rPr>
      <t xml:space="preserve"> - Gestore</t>
    </r>
  </si>
  <si>
    <r>
      <t>Recupero CO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116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2029</t>
    </r>
    <r>
      <rPr>
        <sz val="8"/>
        <color theme="1"/>
        <rFont val="Tahoma"/>
        <family val="2"/>
      </rPr>
      <t xml:space="preserve"> - Gestore - Detrazione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</si>
  <si>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Gestore - Post Detrazioni</t>
    </r>
  </si>
  <si>
    <r>
      <t>Recupero CQ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TV, 2029</t>
    </r>
    <r>
      <rPr>
        <i/>
        <sz val="8"/>
        <color theme="1"/>
        <rFont val="Tahoma"/>
        <family val="2"/>
      </rPr>
      <t xml:space="preserve"> - Gestore</t>
    </r>
  </si>
  <si>
    <r>
      <t>Recupero CQ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TV, 2029</t>
    </r>
    <r>
      <rPr>
        <sz val="8"/>
        <color theme="1"/>
        <rFont val="Tahoma"/>
        <family val="2"/>
      </rPr>
      <t xml:space="preserve"> - Gestore - Detrazione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</si>
  <si>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Gestore - Post Detrazioni</t>
    </r>
  </si>
  <si>
    <r>
      <t>Recupero COnew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TV, 2029</t>
    </r>
    <r>
      <rPr>
        <i/>
        <sz val="8"/>
        <color theme="1"/>
        <rFont val="Tahoma"/>
        <family val="2"/>
      </rPr>
      <t xml:space="preserve"> - Gestore</t>
    </r>
  </si>
  <si>
    <r>
      <t>Recupero COnew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TV, 2029</t>
    </r>
    <r>
      <rPr>
        <sz val="8"/>
        <color theme="1"/>
        <rFont val="Tahoma"/>
        <family val="2"/>
      </rPr>
      <t xml:space="preserve"> - Gestore - Detrazione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</si>
  <si>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Gestore - Post Detrazioni</t>
    </r>
  </si>
  <si>
    <r>
      <t>Recupero COI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TV, 2029</t>
    </r>
    <r>
      <rPr>
        <i/>
        <sz val="8"/>
        <color theme="1"/>
        <rFont val="Tahoma"/>
        <family val="2"/>
      </rPr>
      <t xml:space="preserve"> - Gestore</t>
    </r>
  </si>
  <si>
    <r>
      <t>Recupero COI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TV, 2029</t>
    </r>
    <r>
      <rPr>
        <sz val="8"/>
        <color theme="1"/>
        <rFont val="Tahoma"/>
        <family val="2"/>
      </rPr>
      <t xml:space="preserve"> - Gestore - Detrazione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</si>
  <si>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Gestore - Post Detrazioni</t>
    </r>
  </si>
  <si>
    <r>
      <t xml:space="preserve">RC </t>
    </r>
    <r>
      <rPr>
        <i/>
        <vertAlign val="subscript"/>
        <sz val="8"/>
        <color theme="1"/>
        <rFont val="Tahoma"/>
        <family val="2"/>
      </rPr>
      <t>CTS 2029</t>
    </r>
    <r>
      <rPr>
        <i/>
        <sz val="8"/>
        <color theme="1"/>
        <rFont val="Tahoma"/>
        <family val="2"/>
      </rPr>
      <t xml:space="preserve"> - Gestore</t>
    </r>
  </si>
  <si>
    <r>
      <t xml:space="preserve">RC </t>
    </r>
    <r>
      <rPr>
        <vertAlign val="subscript"/>
        <sz val="8"/>
        <color theme="1"/>
        <rFont val="Tahoma"/>
        <family val="2"/>
      </rPr>
      <t>CTS 2029</t>
    </r>
    <r>
      <rPr>
        <sz val="8"/>
        <color theme="1"/>
        <rFont val="Tahoma"/>
        <family val="2"/>
      </rPr>
      <t xml:space="preserve"> - Gestore - Detrazione</t>
    </r>
  </si>
  <si>
    <r>
      <t xml:space="preserve">RC </t>
    </r>
    <r>
      <rPr>
        <b/>
        <vertAlign val="subscript"/>
        <sz val="8"/>
        <color theme="1"/>
        <rFont val="Tahoma"/>
        <family val="2"/>
      </rPr>
      <t>CTS 2029</t>
    </r>
    <r>
      <rPr>
        <b/>
        <sz val="8"/>
        <color theme="1"/>
        <rFont val="Tahoma"/>
        <family val="2"/>
      </rPr>
      <t xml:space="preserve"> - Gestore - Post Detrazioni</t>
    </r>
  </si>
  <si>
    <r>
      <t>Differenza fatturato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2029</t>
    </r>
    <r>
      <rPr>
        <i/>
        <sz val="8"/>
        <color theme="1"/>
        <rFont val="Tahoma"/>
        <family val="2"/>
      </rPr>
      <t xml:space="preserve"> - Gestore</t>
    </r>
  </si>
  <si>
    <r>
      <t>Differenza fatturato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2029</t>
    </r>
    <r>
      <rPr>
        <sz val="8"/>
        <color theme="1"/>
        <rFont val="Tahoma"/>
        <family val="2"/>
      </rPr>
      <t xml:space="preserve"> - Gestore - Detrazione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</si>
  <si>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Gestore - Post Detrazioni</t>
    </r>
  </si>
  <si>
    <r>
      <t xml:space="preserve">Conguaglio Inflazione PEF25 </t>
    </r>
    <r>
      <rPr>
        <i/>
        <vertAlign val="subscript"/>
        <sz val="8"/>
        <color theme="1"/>
        <rFont val="Tahoma"/>
        <family val="2"/>
      </rPr>
      <t>TV, 2029</t>
    </r>
    <r>
      <rPr>
        <i/>
        <sz val="8"/>
        <color theme="1"/>
        <rFont val="Tahoma"/>
        <family val="2"/>
      </rPr>
      <t xml:space="preserve"> - Gestore</t>
    </r>
  </si>
  <si>
    <r>
      <t>Conguaglio Inflazione PEF25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2029</t>
    </r>
    <r>
      <rPr>
        <sz val="8"/>
        <color theme="1"/>
        <rFont val="Tahoma"/>
        <family val="2"/>
      </rPr>
      <t xml:space="preserve"> - Gestore - Detrazione</t>
    </r>
  </si>
  <si>
    <r>
      <t>Conguaglio Inflazione PEF25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Gestore - Post Detrazioni</t>
    </r>
  </si>
  <si>
    <r>
      <t xml:space="preserve">Conguaglio Inflazione PEF27 </t>
    </r>
    <r>
      <rPr>
        <i/>
        <vertAlign val="subscript"/>
        <sz val="8"/>
        <color theme="1"/>
        <rFont val="Tahoma"/>
        <family val="2"/>
      </rPr>
      <t>TV, 2029</t>
    </r>
    <r>
      <rPr>
        <i/>
        <sz val="8"/>
        <color theme="1"/>
        <rFont val="Tahoma"/>
        <family val="2"/>
      </rPr>
      <t xml:space="preserve"> - Gestore</t>
    </r>
  </si>
  <si>
    <r>
      <t>Conguaglio Inflazione PEF27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2029</t>
    </r>
    <r>
      <rPr>
        <sz val="8"/>
        <color theme="1"/>
        <rFont val="Tahoma"/>
        <family val="2"/>
      </rPr>
      <t xml:space="preserve"> - Gestore - Detrazione</t>
    </r>
  </si>
  <si>
    <r>
      <t>Conguaglio Inflazione PEF27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Gestore - Post Detrazioni</t>
    </r>
  </si>
  <si>
    <r>
      <t xml:space="preserve">Conguaglio Efficientamento COrd </t>
    </r>
    <r>
      <rPr>
        <i/>
        <vertAlign val="subscript"/>
        <sz val="8"/>
        <color theme="1"/>
        <rFont val="Tahoma"/>
        <family val="2"/>
      </rPr>
      <t>TV, 2029</t>
    </r>
    <r>
      <rPr>
        <i/>
        <sz val="8"/>
        <color theme="1"/>
        <rFont val="Tahoma"/>
        <family val="2"/>
      </rPr>
      <t xml:space="preserve"> - Gestore</t>
    </r>
  </si>
  <si>
    <r>
      <t xml:space="preserve">Conguaglio Efficientamento COrd </t>
    </r>
    <r>
      <rPr>
        <vertAlign val="subscript"/>
        <sz val="8"/>
        <color theme="1"/>
        <rFont val="Tahoma"/>
        <family val="2"/>
      </rPr>
      <t>TV, 2029</t>
    </r>
    <r>
      <rPr>
        <sz val="8"/>
        <color theme="1"/>
        <rFont val="Tahoma"/>
        <family val="2"/>
      </rPr>
      <t xml:space="preserve"> - Gestore - Detrazione</t>
    </r>
  </si>
  <si>
    <r>
      <t xml:space="preserve">Conguaglio Efficientamento COrd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Gestore - Post Detrazioni</t>
    </r>
  </si>
  <si>
    <r>
      <t>RC</t>
    </r>
    <r>
      <rPr>
        <i/>
        <vertAlign val="subscript"/>
        <sz val="8"/>
        <color theme="1"/>
        <rFont val="Tahoma"/>
        <family val="2"/>
      </rPr>
      <t xml:space="preserve">TMAX </t>
    </r>
    <r>
      <rPr>
        <i/>
        <sz val="8"/>
        <color theme="1"/>
        <rFont val="Tahoma"/>
        <family val="2"/>
      </rPr>
      <t xml:space="preserve">Anni pregressi </t>
    </r>
    <r>
      <rPr>
        <i/>
        <vertAlign val="subscript"/>
        <sz val="8"/>
        <color theme="1"/>
        <rFont val="Tahoma"/>
        <family val="2"/>
      </rPr>
      <t>TV, 2029</t>
    </r>
    <r>
      <rPr>
        <i/>
        <sz val="8"/>
        <color theme="1"/>
        <rFont val="Tahoma"/>
        <family val="2"/>
      </rPr>
      <t xml:space="preserve"> - Gestore</t>
    </r>
  </si>
  <si>
    <r>
      <t>RC</t>
    </r>
    <r>
      <rPr>
        <vertAlign val="subscript"/>
        <sz val="8"/>
        <color theme="1"/>
        <rFont val="Tahoma"/>
        <family val="2"/>
      </rPr>
      <t xml:space="preserve">TMAX </t>
    </r>
    <r>
      <rPr>
        <sz val="8"/>
        <color theme="1"/>
        <rFont val="Tahoma"/>
        <family val="2"/>
      </rPr>
      <t xml:space="preserve">Anni pregressi </t>
    </r>
    <r>
      <rPr>
        <vertAlign val="subscript"/>
        <sz val="8"/>
        <color theme="1"/>
        <rFont val="Tahoma"/>
        <family val="2"/>
      </rPr>
      <t>TV, 2029</t>
    </r>
    <r>
      <rPr>
        <sz val="8"/>
        <color theme="1"/>
        <rFont val="Tahoma"/>
        <family val="2"/>
      </rPr>
      <t xml:space="preserve"> - Gestore - Detrazione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</si>
  <si>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Gestore - Post Detrazioni</t>
    </r>
  </si>
  <si>
    <r>
      <t>RC</t>
    </r>
    <r>
      <rPr>
        <b/>
        <vertAlign val="subscript"/>
        <sz val="8"/>
        <color theme="1"/>
        <rFont val="Tahoma"/>
        <family val="2"/>
      </rPr>
      <t>TOT TV, 2029</t>
    </r>
    <r>
      <rPr>
        <b/>
        <sz val="8"/>
        <color theme="1"/>
        <rFont val="Tahoma"/>
        <family val="2"/>
      </rPr>
      <t xml:space="preserve"> - Gestore - Detrazione</t>
    </r>
  </si>
  <si>
    <r>
      <t>RC</t>
    </r>
    <r>
      <rPr>
        <b/>
        <vertAlign val="subscript"/>
        <sz val="8"/>
        <color theme="1"/>
        <rFont val="Tahoma"/>
        <family val="2"/>
      </rPr>
      <t>TOT TV, 2029</t>
    </r>
    <r>
      <rPr>
        <b/>
        <sz val="8"/>
        <color theme="1"/>
        <rFont val="Tahoma"/>
        <family val="2"/>
      </rPr>
      <t xml:space="preserve"> - Gestore - Post Detrazioni</t>
    </r>
  </si>
  <si>
    <r>
      <t>RC</t>
    </r>
    <r>
      <rPr>
        <i/>
        <vertAlign val="subscript"/>
        <sz val="8"/>
        <color theme="1"/>
        <rFont val="Tahoma"/>
        <family val="2"/>
      </rPr>
      <t>RET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2029</t>
    </r>
    <r>
      <rPr>
        <i/>
        <sz val="8"/>
        <color theme="1"/>
        <rFont val="Tahoma"/>
        <family val="2"/>
      </rPr>
      <t xml:space="preserve"> - Comune</t>
    </r>
  </si>
  <si>
    <r>
      <t>RC</t>
    </r>
    <r>
      <rPr>
        <vertAlign val="subscript"/>
        <sz val="8"/>
        <color theme="1"/>
        <rFont val="Tahoma"/>
        <family val="2"/>
      </rPr>
      <t>RET TV, 2029</t>
    </r>
    <r>
      <rPr>
        <sz val="8"/>
        <color theme="1"/>
        <rFont val="Tahoma"/>
        <family val="2"/>
      </rPr>
      <t xml:space="preserve"> - Comune - Detrazione</t>
    </r>
  </si>
  <si>
    <r>
      <t>RC</t>
    </r>
    <r>
      <rPr>
        <b/>
        <vertAlign val="subscript"/>
        <sz val="8"/>
        <color theme="1"/>
        <rFont val="Tahoma"/>
        <family val="2"/>
      </rPr>
      <t>RET TV, 2029</t>
    </r>
    <r>
      <rPr>
        <b/>
        <sz val="8"/>
        <color theme="1"/>
        <rFont val="Tahoma"/>
        <family val="2"/>
      </rPr>
      <t xml:space="preserve"> - Comune -Post Detrazioni</t>
    </r>
  </si>
  <si>
    <r>
      <t>RC</t>
    </r>
    <r>
      <rPr>
        <i/>
        <vertAlign val="subscript"/>
        <sz val="8"/>
        <color theme="1"/>
        <rFont val="Tahoma"/>
        <family val="2"/>
      </rPr>
      <t>SMAL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2029</t>
    </r>
    <r>
      <rPr>
        <i/>
        <sz val="8"/>
        <color theme="1"/>
        <rFont val="Tahoma"/>
        <family val="2"/>
      </rPr>
      <t xml:space="preserve"> - Comune</t>
    </r>
  </si>
  <si>
    <r>
      <t>RC</t>
    </r>
    <r>
      <rPr>
        <vertAlign val="subscript"/>
        <sz val="8"/>
        <color theme="1"/>
        <rFont val="Tahoma"/>
        <family val="2"/>
      </rPr>
      <t>SMAL</t>
    </r>
    <r>
      <rPr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2029</t>
    </r>
    <r>
      <rPr>
        <sz val="8"/>
        <color theme="1"/>
        <rFont val="Tahoma"/>
        <family val="2"/>
      </rPr>
      <t xml:space="preserve"> - Comune - Detrazione</t>
    </r>
  </si>
  <si>
    <r>
      <t>RC</t>
    </r>
    <r>
      <rPr>
        <b/>
        <vertAlign val="subscript"/>
        <sz val="8"/>
        <color theme="1"/>
        <rFont val="Tahoma"/>
        <family val="2"/>
      </rPr>
      <t>SMAL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Comune - Post Detrazioni</t>
    </r>
  </si>
  <si>
    <r>
      <t>Recupero CO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116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2029</t>
    </r>
    <r>
      <rPr>
        <i/>
        <sz val="8"/>
        <color theme="1"/>
        <rFont val="Tahoma"/>
        <family val="2"/>
      </rPr>
      <t xml:space="preserve"> - Comune</t>
    </r>
  </si>
  <si>
    <r>
      <t>Recupero CO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116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2029</t>
    </r>
    <r>
      <rPr>
        <sz val="8"/>
        <color theme="1"/>
        <rFont val="Tahoma"/>
        <family val="2"/>
      </rPr>
      <t xml:space="preserve"> - Comune - Detrazione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</si>
  <si>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Comune - Post Detrazioni</t>
    </r>
  </si>
  <si>
    <r>
      <t>Recupero CQ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TV, 2029</t>
    </r>
    <r>
      <rPr>
        <i/>
        <sz val="8"/>
        <color theme="1"/>
        <rFont val="Tahoma"/>
        <family val="2"/>
      </rPr>
      <t xml:space="preserve"> - Comune</t>
    </r>
  </si>
  <si>
    <r>
      <t>Recupero CQ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TV, 2029</t>
    </r>
    <r>
      <rPr>
        <sz val="8"/>
        <color theme="1"/>
        <rFont val="Tahoma"/>
        <family val="2"/>
      </rPr>
      <t xml:space="preserve"> - Comune - Detrazione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</si>
  <si>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Comune - Post Detrazioni</t>
    </r>
  </si>
  <si>
    <r>
      <t>Recupero COnew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TV, 2029</t>
    </r>
    <r>
      <rPr>
        <i/>
        <sz val="8"/>
        <color theme="1"/>
        <rFont val="Tahoma"/>
        <family val="2"/>
      </rPr>
      <t xml:space="preserve"> - Comune</t>
    </r>
  </si>
  <si>
    <r>
      <t>Recupero COnew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TV, 2029</t>
    </r>
    <r>
      <rPr>
        <sz val="8"/>
        <color theme="1"/>
        <rFont val="Tahoma"/>
        <family val="2"/>
      </rPr>
      <t xml:space="preserve"> - Comune - Detrazione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</si>
  <si>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Comune - Post Detrazioni</t>
    </r>
  </si>
  <si>
    <r>
      <t>Recupero COI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TV, 2029</t>
    </r>
    <r>
      <rPr>
        <i/>
        <sz val="8"/>
        <color theme="1"/>
        <rFont val="Tahoma"/>
        <family val="2"/>
      </rPr>
      <t xml:space="preserve"> - Comune</t>
    </r>
  </si>
  <si>
    <r>
      <t>Recupero COI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TV, 2029</t>
    </r>
    <r>
      <rPr>
        <sz val="8"/>
        <color theme="1"/>
        <rFont val="Tahoma"/>
        <family val="2"/>
      </rPr>
      <t xml:space="preserve"> - Comune - Detrazione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</si>
  <si>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Comune - Post Detrazioni</t>
    </r>
  </si>
  <si>
    <r>
      <t xml:space="preserve">RC </t>
    </r>
    <r>
      <rPr>
        <i/>
        <vertAlign val="subscript"/>
        <sz val="8"/>
        <color theme="1"/>
        <rFont val="Tahoma"/>
        <family val="2"/>
      </rPr>
      <t>CTS 2029</t>
    </r>
    <r>
      <rPr>
        <i/>
        <sz val="8"/>
        <color theme="1"/>
        <rFont val="Tahoma"/>
        <family val="2"/>
      </rPr>
      <t xml:space="preserve"> - Comune</t>
    </r>
  </si>
  <si>
    <r>
      <t xml:space="preserve">RC </t>
    </r>
    <r>
      <rPr>
        <vertAlign val="subscript"/>
        <sz val="8"/>
        <color theme="1"/>
        <rFont val="Tahoma"/>
        <family val="2"/>
      </rPr>
      <t>CTS 2029</t>
    </r>
    <r>
      <rPr>
        <sz val="8"/>
        <color theme="1"/>
        <rFont val="Tahoma"/>
        <family val="2"/>
      </rPr>
      <t xml:space="preserve"> - Comune - Detrazione</t>
    </r>
  </si>
  <si>
    <r>
      <t xml:space="preserve">RC </t>
    </r>
    <r>
      <rPr>
        <b/>
        <vertAlign val="subscript"/>
        <sz val="8"/>
        <color theme="1"/>
        <rFont val="Tahoma"/>
        <family val="2"/>
      </rPr>
      <t>CTS 2029</t>
    </r>
    <r>
      <rPr>
        <b/>
        <sz val="8"/>
        <color theme="1"/>
        <rFont val="Tahoma"/>
        <family val="2"/>
      </rPr>
      <t xml:space="preserve"> - Comune - Post Detrazioni</t>
    </r>
  </si>
  <si>
    <r>
      <t>Differenza fatturato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TV, 2029</t>
    </r>
    <r>
      <rPr>
        <i/>
        <sz val="8"/>
        <color theme="1"/>
        <rFont val="Tahoma"/>
        <family val="2"/>
      </rPr>
      <t xml:space="preserve"> - Comune</t>
    </r>
  </si>
  <si>
    <r>
      <t>Differenza fatturato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2029</t>
    </r>
    <r>
      <rPr>
        <sz val="8"/>
        <color theme="1"/>
        <rFont val="Tahoma"/>
        <family val="2"/>
      </rPr>
      <t xml:space="preserve"> - Comune - Detrazione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</si>
  <si>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Comune - Post Detrazioni</t>
    </r>
  </si>
  <si>
    <r>
      <t xml:space="preserve">Conguaglio Inflazione PEF25 </t>
    </r>
    <r>
      <rPr>
        <i/>
        <vertAlign val="subscript"/>
        <sz val="8"/>
        <color theme="1"/>
        <rFont val="Tahoma"/>
        <family val="2"/>
      </rPr>
      <t>TV, 2029</t>
    </r>
    <r>
      <rPr>
        <i/>
        <sz val="8"/>
        <color theme="1"/>
        <rFont val="Tahoma"/>
        <family val="2"/>
      </rPr>
      <t xml:space="preserve"> - Comune</t>
    </r>
  </si>
  <si>
    <r>
      <t>Conguaglio Inflazione PEF25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2029</t>
    </r>
    <r>
      <rPr>
        <sz val="8"/>
        <color theme="1"/>
        <rFont val="Tahoma"/>
        <family val="2"/>
      </rPr>
      <t xml:space="preserve"> - Comune - Detrazione</t>
    </r>
  </si>
  <si>
    <r>
      <t>Conguaglio Inflazione PEF25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Comune - Post Detrazioni</t>
    </r>
  </si>
  <si>
    <r>
      <t xml:space="preserve">Conguaglio Inflazione PEF27 </t>
    </r>
    <r>
      <rPr>
        <i/>
        <vertAlign val="subscript"/>
        <sz val="8"/>
        <color theme="1"/>
        <rFont val="Tahoma"/>
        <family val="2"/>
      </rPr>
      <t>TV, 2029</t>
    </r>
    <r>
      <rPr>
        <i/>
        <sz val="8"/>
        <color theme="1"/>
        <rFont val="Tahoma"/>
        <family val="2"/>
      </rPr>
      <t xml:space="preserve"> - Comune</t>
    </r>
  </si>
  <si>
    <r>
      <t>Conguaglio Inflazione PEF27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TV, 2029</t>
    </r>
    <r>
      <rPr>
        <sz val="8"/>
        <color theme="1"/>
        <rFont val="Tahoma"/>
        <family val="2"/>
      </rPr>
      <t xml:space="preserve"> - Comune - Detrazione</t>
    </r>
  </si>
  <si>
    <r>
      <t>Conguaglio Inflazione PEF27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Comune - Post Detrazioni</t>
    </r>
  </si>
  <si>
    <r>
      <t xml:space="preserve">Conguaglio Efficientamento COrd </t>
    </r>
    <r>
      <rPr>
        <i/>
        <vertAlign val="subscript"/>
        <sz val="8"/>
        <color theme="1"/>
        <rFont val="Tahoma"/>
        <family val="2"/>
      </rPr>
      <t>TV, 2029</t>
    </r>
    <r>
      <rPr>
        <i/>
        <sz val="8"/>
        <color theme="1"/>
        <rFont val="Tahoma"/>
        <family val="2"/>
      </rPr>
      <t xml:space="preserve"> - Comune</t>
    </r>
  </si>
  <si>
    <r>
      <t xml:space="preserve">Conguaglio Efficientamento COrd </t>
    </r>
    <r>
      <rPr>
        <vertAlign val="subscript"/>
        <sz val="8"/>
        <color theme="1"/>
        <rFont val="Tahoma"/>
        <family val="2"/>
      </rPr>
      <t>TV, 2029</t>
    </r>
    <r>
      <rPr>
        <sz val="8"/>
        <color theme="1"/>
        <rFont val="Tahoma"/>
        <family val="2"/>
      </rPr>
      <t xml:space="preserve"> - Comune - Detrazione</t>
    </r>
  </si>
  <si>
    <r>
      <t xml:space="preserve">Conguaglio Efficientamento COrd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Comune - Post Detrazioni</t>
    </r>
  </si>
  <si>
    <r>
      <t>RC</t>
    </r>
    <r>
      <rPr>
        <i/>
        <vertAlign val="subscript"/>
        <sz val="8"/>
        <color theme="1"/>
        <rFont val="Tahoma"/>
        <family val="2"/>
      </rPr>
      <t xml:space="preserve">TMAX </t>
    </r>
    <r>
      <rPr>
        <i/>
        <sz val="8"/>
        <color theme="1"/>
        <rFont val="Tahoma"/>
        <family val="2"/>
      </rPr>
      <t xml:space="preserve">Anni pregressi </t>
    </r>
    <r>
      <rPr>
        <i/>
        <vertAlign val="subscript"/>
        <sz val="8"/>
        <color theme="1"/>
        <rFont val="Tahoma"/>
        <family val="2"/>
      </rPr>
      <t>TV, 2029</t>
    </r>
    <r>
      <rPr>
        <i/>
        <sz val="8"/>
        <color theme="1"/>
        <rFont val="Tahoma"/>
        <family val="2"/>
      </rPr>
      <t xml:space="preserve"> - Comune</t>
    </r>
  </si>
  <si>
    <r>
      <t>RC</t>
    </r>
    <r>
      <rPr>
        <vertAlign val="subscript"/>
        <sz val="8"/>
        <color theme="1"/>
        <rFont val="Tahoma"/>
        <family val="2"/>
      </rPr>
      <t xml:space="preserve">TMAX </t>
    </r>
    <r>
      <rPr>
        <sz val="8"/>
        <color theme="1"/>
        <rFont val="Tahoma"/>
        <family val="2"/>
      </rPr>
      <t xml:space="preserve">Anni pregressi </t>
    </r>
    <r>
      <rPr>
        <vertAlign val="subscript"/>
        <sz val="8"/>
        <color theme="1"/>
        <rFont val="Tahoma"/>
        <family val="2"/>
      </rPr>
      <t>TV, 2029</t>
    </r>
    <r>
      <rPr>
        <sz val="8"/>
        <color theme="1"/>
        <rFont val="Tahoma"/>
        <family val="2"/>
      </rPr>
      <t xml:space="preserve"> - Comune - Detrazione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</si>
  <si>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TV, 2029</t>
    </r>
    <r>
      <rPr>
        <b/>
        <sz val="8"/>
        <color theme="1"/>
        <rFont val="Tahoma"/>
        <family val="2"/>
      </rPr>
      <t xml:space="preserve"> - Comune - Post Detrazioni</t>
    </r>
  </si>
  <si>
    <r>
      <t>RC</t>
    </r>
    <r>
      <rPr>
        <b/>
        <vertAlign val="subscript"/>
        <sz val="8"/>
        <color theme="1"/>
        <rFont val="Tahoma"/>
        <family val="2"/>
      </rPr>
      <t>TOT TV, 2029</t>
    </r>
    <r>
      <rPr>
        <b/>
        <sz val="8"/>
        <color theme="1"/>
        <rFont val="Tahoma"/>
        <family val="2"/>
      </rPr>
      <t xml:space="preserve"> - Comune - Detrazione</t>
    </r>
  </si>
  <si>
    <r>
      <t>RC</t>
    </r>
    <r>
      <rPr>
        <b/>
        <vertAlign val="subscript"/>
        <sz val="8"/>
        <color theme="1"/>
        <rFont val="Tahoma"/>
        <family val="2"/>
      </rPr>
      <t>TOT TV, 2029</t>
    </r>
    <r>
      <rPr>
        <b/>
        <sz val="8"/>
        <color theme="1"/>
        <rFont val="Tahoma"/>
        <family val="2"/>
      </rPr>
      <t xml:space="preserve"> - Comune - Post Detrazioni</t>
    </r>
  </si>
  <si>
    <r>
      <t>IVA VARIABILE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Comune</t>
    </r>
  </si>
  <si>
    <r>
      <t>IVA VARIABILE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Comune - Detrazione</t>
    </r>
  </si>
  <si>
    <r>
      <t>IVA VARIABILE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Comune - Post Detrazioni</t>
    </r>
  </si>
  <si>
    <r>
      <t>CSL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Gestore</t>
    </r>
  </si>
  <si>
    <r>
      <t>CSL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Gestore - Detrazione</t>
    </r>
  </si>
  <si>
    <r>
      <t>CSL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Gestore - Post Detrazioni</t>
    </r>
  </si>
  <si>
    <r>
      <t>CSL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Comune</t>
    </r>
  </si>
  <si>
    <r>
      <t>CSL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Comune - Detrazione</t>
    </r>
  </si>
  <si>
    <r>
      <t>CSL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Comune - Post Detrazioni</t>
    </r>
  </si>
  <si>
    <r>
      <t>CARC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Gestore</t>
    </r>
  </si>
  <si>
    <r>
      <t>CARC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Gestore - Detrazione</t>
    </r>
  </si>
  <si>
    <r>
      <t>CARC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Gestore - Post Detrazioni</t>
    </r>
  </si>
  <si>
    <r>
      <t>CARC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Comune</t>
    </r>
  </si>
  <si>
    <r>
      <t>CARC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Comune - Detrazione</t>
    </r>
  </si>
  <si>
    <r>
      <t>CARC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Comune - Post Detrazioni</t>
    </r>
  </si>
  <si>
    <r>
      <t>CGG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Gestore</t>
    </r>
  </si>
  <si>
    <r>
      <t>CGG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Gestore - Detrazione</t>
    </r>
  </si>
  <si>
    <r>
      <t>CGG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Gestore - Post Detrazioni</t>
    </r>
  </si>
  <si>
    <r>
      <t>CGG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Comune</t>
    </r>
  </si>
  <si>
    <r>
      <t>CGG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Comune - Detrazione</t>
    </r>
  </si>
  <si>
    <r>
      <t>CGG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Comune - Post Detrazioni</t>
    </r>
  </si>
  <si>
    <r>
      <t>CCD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Gestore</t>
    </r>
  </si>
  <si>
    <r>
      <t>CCD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Gestore - Detrazione</t>
    </r>
  </si>
  <si>
    <r>
      <t>CCD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Gestore - Post Detrazioni</t>
    </r>
  </si>
  <si>
    <r>
      <t>CCD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Comune</t>
    </r>
  </si>
  <si>
    <r>
      <t>CCD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Comune - Detrazione</t>
    </r>
  </si>
  <si>
    <r>
      <t>CCD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Comune - Post Detrazioni</t>
    </r>
  </si>
  <si>
    <r>
      <t>COal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Gestore</t>
    </r>
  </si>
  <si>
    <r>
      <t>COal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Gestore - Detrazione</t>
    </r>
  </si>
  <si>
    <r>
      <t>COal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Gestore - Post Detrazioni</t>
    </r>
  </si>
  <si>
    <r>
      <t>COal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Comune</t>
    </r>
  </si>
  <si>
    <r>
      <t>COal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Comune - Detrazione</t>
    </r>
  </si>
  <si>
    <r>
      <t>COal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Comune - Post Detrazioni</t>
    </r>
  </si>
  <si>
    <r>
      <t>AMM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Gestore</t>
    </r>
  </si>
  <si>
    <r>
      <t>AMM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Gestore - Detrazione</t>
    </r>
  </si>
  <si>
    <r>
      <t>AMM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Gestore - Post Detrazioni</t>
    </r>
  </si>
  <si>
    <r>
      <t>AMM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Comune</t>
    </r>
  </si>
  <si>
    <r>
      <t>AMM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Comune - Detrazione</t>
    </r>
  </si>
  <si>
    <r>
      <t>AMM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Comune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</si>
  <si>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Gest. Post-operativa discariche - Gestore</t>
    </r>
  </si>
  <si>
    <r>
      <t>ACC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Gest. Post-operativa discariche - Gestore - Detrazione</t>
    </r>
  </si>
  <si>
    <r>
      <t>ACC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Gest. Post-operativa discariche - Gestore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</si>
  <si>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Per crediti - Gestore</t>
    </r>
  </si>
  <si>
    <r>
      <t>ACC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Per crediti - Gestore - Detrazione</t>
    </r>
  </si>
  <si>
    <r>
      <t>ACC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Per crediti - Gestore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</si>
  <si>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Rischi e oneri previsti dalla normativa - Gestore</t>
    </r>
  </si>
  <si>
    <r>
      <t>ACC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Rischi e oneri previsti dalla normativa - Gestore - Detrazione</t>
    </r>
  </si>
  <si>
    <r>
      <t>ACC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Rischi e oneri previsti dalla normativa - Gestore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</si>
  <si>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Altri, non in eccesso delle norme tributarie - Gestore</t>
    </r>
  </si>
  <si>
    <r>
      <t>ACC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Altri, non in eccesso delle norme tributarie - Gestore - Detrazione</t>
    </r>
  </si>
  <si>
    <r>
      <t>ACC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Altri, non in eccesso delle norme tributarie - Gestore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</si>
  <si>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Gestore</t>
    </r>
  </si>
  <si>
    <r>
      <t>ACC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Gestore - Detrazione</t>
    </r>
  </si>
  <si>
    <r>
      <t>ACC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Gestore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</si>
  <si>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Gest. Post-operativa discariche - Comune</t>
    </r>
  </si>
  <si>
    <r>
      <t>ACC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Gest. Post-operativa discariche - Comune - Detrazione</t>
    </r>
  </si>
  <si>
    <r>
      <t>ACC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Gest. Post-operativa discariche - Comune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</si>
  <si>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Per crediti - Comune</t>
    </r>
  </si>
  <si>
    <r>
      <t>ACC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Per crediti - Comune - Detrazione</t>
    </r>
  </si>
  <si>
    <r>
      <t>ACC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Per crediti - Comune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</si>
  <si>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Rischi e oneri previsti dalla normativa - Comune</t>
    </r>
  </si>
  <si>
    <r>
      <t>ACC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Rischi e oneri previsti dalla normativa - Comune - Detrazione</t>
    </r>
  </si>
  <si>
    <r>
      <t>ACC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Rischi e oneri previsti dalla normativa - Comune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</si>
  <si>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Altri, non in eccesso delle norme tributarie - Comune</t>
    </r>
  </si>
  <si>
    <r>
      <t>ACC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Altri, non in eccesso delle norme tributarie - Comune - Detrazione</t>
    </r>
  </si>
  <si>
    <r>
      <t>ACC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Altri, non in eccesso delle norme tributarie - Comune - Post Detrazioni</t>
    </r>
  </si>
  <si>
    <r>
      <t>ACC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Comune</t>
    </r>
  </si>
  <si>
    <r>
      <t>ACC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Comune - Detrazione</t>
    </r>
  </si>
  <si>
    <r>
      <t>ACC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Comune - Post Detrazioni</t>
    </r>
  </si>
  <si>
    <r>
      <t>R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Gestore</t>
    </r>
  </si>
  <si>
    <r>
      <t>R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Gestore - Detrazione</t>
    </r>
  </si>
  <si>
    <r>
      <t>R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Gestore - Post Detrazioni</t>
    </r>
  </si>
  <si>
    <r>
      <t>R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Comune</t>
    </r>
  </si>
  <si>
    <r>
      <t>R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Comune - Detrazione</t>
    </r>
  </si>
  <si>
    <r>
      <t>R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Comune - Post Detrazioni</t>
    </r>
  </si>
  <si>
    <r>
      <t>RLIC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Gestore</t>
    </r>
  </si>
  <si>
    <r>
      <t>RLIC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Gestore - Detrazione</t>
    </r>
  </si>
  <si>
    <r>
      <t>RLIC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Gestore - Post Detrazioni</t>
    </r>
  </si>
  <si>
    <r>
      <t>RLIC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Comune</t>
    </r>
  </si>
  <si>
    <r>
      <t>RLIC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Comune - Detrazione</t>
    </r>
  </si>
  <si>
    <r>
      <t>RLIC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Comune - Post Detrazioni</t>
    </r>
  </si>
  <si>
    <r>
      <t>CKprop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Gestore</t>
    </r>
  </si>
  <si>
    <r>
      <t>CKprop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Gestore - Detrazione</t>
    </r>
  </si>
  <si>
    <r>
      <t>CKprop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Gestore - Post Detrazioni</t>
    </r>
  </si>
  <si>
    <r>
      <t>CKprop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Comune</t>
    </r>
  </si>
  <si>
    <r>
      <t>CKprop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Comune - Detrazione</t>
    </r>
  </si>
  <si>
    <r>
      <t>CKprop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Comune - Post Detrazioni</t>
    </r>
  </si>
  <si>
    <r>
      <t>RC</t>
    </r>
    <r>
      <rPr>
        <i/>
        <vertAlign val="subscript"/>
        <sz val="8"/>
        <color theme="1"/>
        <rFont val="Tahoma"/>
        <family val="2"/>
      </rPr>
      <t>RET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2029</t>
    </r>
    <r>
      <rPr>
        <i/>
        <sz val="8"/>
        <color theme="1"/>
        <rFont val="Tahoma"/>
        <family val="2"/>
      </rPr>
      <t xml:space="preserve"> - Gestore</t>
    </r>
  </si>
  <si>
    <r>
      <t>RC</t>
    </r>
    <r>
      <rPr>
        <vertAlign val="subscript"/>
        <sz val="8"/>
        <color theme="1"/>
        <rFont val="Tahoma"/>
        <family val="2"/>
      </rPr>
      <t>RET TF, 2029</t>
    </r>
    <r>
      <rPr>
        <sz val="8"/>
        <color theme="1"/>
        <rFont val="Tahoma"/>
        <family val="2"/>
      </rPr>
      <t xml:space="preserve"> - Gestore - Detrazione</t>
    </r>
  </si>
  <si>
    <r>
      <t>RC</t>
    </r>
    <r>
      <rPr>
        <b/>
        <vertAlign val="subscript"/>
        <sz val="8"/>
        <color theme="1"/>
        <rFont val="Tahoma"/>
        <family val="2"/>
      </rPr>
      <t>RET TF, 2029</t>
    </r>
    <r>
      <rPr>
        <b/>
        <sz val="8"/>
        <color theme="1"/>
        <rFont val="Tahoma"/>
        <family val="2"/>
      </rPr>
      <t xml:space="preserve"> - Gestore -Post Detrazioni</t>
    </r>
  </si>
  <si>
    <r>
      <t>Recupero CO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116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2029</t>
    </r>
    <r>
      <rPr>
        <i/>
        <sz val="8"/>
        <color theme="1"/>
        <rFont val="Tahoma"/>
        <family val="2"/>
      </rPr>
      <t xml:space="preserve"> - Gestore</t>
    </r>
  </si>
  <si>
    <r>
      <t>Recupero CO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116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2029</t>
    </r>
    <r>
      <rPr>
        <sz val="8"/>
        <color theme="1"/>
        <rFont val="Tahoma"/>
        <family val="2"/>
      </rPr>
      <t xml:space="preserve"> - Gestore - Detrazione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</si>
  <si>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Gestore - Post Detrazioni</t>
    </r>
  </si>
  <si>
    <r>
      <t>Recupero CQ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TF, 2029</t>
    </r>
    <r>
      <rPr>
        <i/>
        <sz val="8"/>
        <color theme="1"/>
        <rFont val="Tahoma"/>
        <family val="2"/>
      </rPr>
      <t xml:space="preserve"> - Gestore</t>
    </r>
  </si>
  <si>
    <r>
      <t>Recupero CQ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TF, 2029</t>
    </r>
    <r>
      <rPr>
        <sz val="8"/>
        <color theme="1"/>
        <rFont val="Tahoma"/>
        <family val="2"/>
      </rPr>
      <t xml:space="preserve"> - Gestore - Detrazione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</si>
  <si>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Gestore - Post Detrazioni</t>
    </r>
  </si>
  <si>
    <r>
      <t>Recupero COnew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TF, 2029</t>
    </r>
    <r>
      <rPr>
        <i/>
        <sz val="8"/>
        <color theme="1"/>
        <rFont val="Tahoma"/>
        <family val="2"/>
      </rPr>
      <t xml:space="preserve"> - Gestore</t>
    </r>
  </si>
  <si>
    <r>
      <t>Recupero COnew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TF, 2029</t>
    </r>
    <r>
      <rPr>
        <sz val="8"/>
        <color theme="1"/>
        <rFont val="Tahoma"/>
        <family val="2"/>
      </rPr>
      <t xml:space="preserve"> - Gestore - Detrazione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</si>
  <si>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Gestore - Post Detrazioni</t>
    </r>
  </si>
  <si>
    <r>
      <t>Recupero COI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TF, 2029</t>
    </r>
    <r>
      <rPr>
        <i/>
        <sz val="8"/>
        <color theme="1"/>
        <rFont val="Tahoma"/>
        <family val="2"/>
      </rPr>
      <t xml:space="preserve"> - Gestore</t>
    </r>
  </si>
  <si>
    <r>
      <t>Recupero COI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TF, 2029</t>
    </r>
    <r>
      <rPr>
        <sz val="8"/>
        <color theme="1"/>
        <rFont val="Tahoma"/>
        <family val="2"/>
      </rPr>
      <t xml:space="preserve"> - Gestore - Detrazione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</si>
  <si>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Gestore - Post Detrazioni</t>
    </r>
  </si>
  <si>
    <r>
      <t>Differenza fatturato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2029</t>
    </r>
    <r>
      <rPr>
        <i/>
        <sz val="8"/>
        <color theme="1"/>
        <rFont val="Tahoma"/>
        <family val="2"/>
      </rPr>
      <t xml:space="preserve"> - Gestore</t>
    </r>
  </si>
  <si>
    <r>
      <t>Differenza fatturato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2029</t>
    </r>
    <r>
      <rPr>
        <sz val="8"/>
        <color theme="1"/>
        <rFont val="Tahoma"/>
        <family val="2"/>
      </rPr>
      <t xml:space="preserve"> - Gestore - Detrazione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</si>
  <si>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Gestore - Post Detrazioni</t>
    </r>
  </si>
  <si>
    <r>
      <t xml:space="preserve">Conguaglio Inflazione PEF25 </t>
    </r>
    <r>
      <rPr>
        <i/>
        <vertAlign val="subscript"/>
        <sz val="8"/>
        <color theme="1"/>
        <rFont val="Tahoma"/>
        <family val="2"/>
      </rPr>
      <t>TF, 2029</t>
    </r>
    <r>
      <rPr>
        <i/>
        <sz val="8"/>
        <color theme="1"/>
        <rFont val="Tahoma"/>
        <family val="2"/>
      </rPr>
      <t xml:space="preserve"> - Gestore</t>
    </r>
  </si>
  <si>
    <r>
      <t>Conguaglio Inflazione PEF25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2029</t>
    </r>
    <r>
      <rPr>
        <sz val="8"/>
        <color theme="1"/>
        <rFont val="Tahoma"/>
        <family val="2"/>
      </rPr>
      <t xml:space="preserve"> - Gestore - Detrazione</t>
    </r>
  </si>
  <si>
    <r>
      <t>Conguaglio Inflazione PEF25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Gestore - Post Detrazioni</t>
    </r>
  </si>
  <si>
    <r>
      <t xml:space="preserve">Conguaglio Inflazione PEF27 </t>
    </r>
    <r>
      <rPr>
        <i/>
        <vertAlign val="subscript"/>
        <sz val="8"/>
        <color theme="1"/>
        <rFont val="Tahoma"/>
        <family val="2"/>
      </rPr>
      <t>TF, 2029</t>
    </r>
    <r>
      <rPr>
        <i/>
        <sz val="8"/>
        <color theme="1"/>
        <rFont val="Tahoma"/>
        <family val="2"/>
      </rPr>
      <t xml:space="preserve"> - Gestore</t>
    </r>
  </si>
  <si>
    <r>
      <t>Conguaglio Inflazione PEF27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2029</t>
    </r>
    <r>
      <rPr>
        <sz val="8"/>
        <color theme="1"/>
        <rFont val="Tahoma"/>
        <family val="2"/>
      </rPr>
      <t xml:space="preserve"> - Gestore - Detrazione</t>
    </r>
  </si>
  <si>
    <r>
      <t>Conguaglio Inflazione PEF27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Gestore - Post Detrazioni</t>
    </r>
  </si>
  <si>
    <r>
      <t>Conguaglio CK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2029</t>
    </r>
    <r>
      <rPr>
        <i/>
        <sz val="8"/>
        <color theme="1"/>
        <rFont val="Tahoma"/>
        <family val="2"/>
      </rPr>
      <t xml:space="preserve"> - Gestore</t>
    </r>
  </si>
  <si>
    <r>
      <t>Conguaglio CK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2029</t>
    </r>
    <r>
      <rPr>
        <sz val="8"/>
        <color theme="1"/>
        <rFont val="Tahoma"/>
        <family val="2"/>
      </rPr>
      <t xml:space="preserve"> - Gestore - Detrazione</t>
    </r>
  </si>
  <si>
    <r>
      <t>Conguaglio CK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Gestore - Post Detrazioni</t>
    </r>
  </si>
  <si>
    <r>
      <t>RC</t>
    </r>
    <r>
      <rPr>
        <i/>
        <vertAlign val="subscript"/>
        <sz val="8"/>
        <color theme="1"/>
        <rFont val="Tahoma"/>
        <family val="2"/>
      </rPr>
      <t xml:space="preserve">TMAX </t>
    </r>
    <r>
      <rPr>
        <i/>
        <sz val="8"/>
        <color theme="1"/>
        <rFont val="Tahoma"/>
        <family val="2"/>
      </rPr>
      <t xml:space="preserve">Anni pregressi </t>
    </r>
    <r>
      <rPr>
        <i/>
        <vertAlign val="subscript"/>
        <sz val="8"/>
        <color theme="1"/>
        <rFont val="Tahoma"/>
        <family val="2"/>
      </rPr>
      <t>TF, 2029</t>
    </r>
    <r>
      <rPr>
        <i/>
        <sz val="8"/>
        <color theme="1"/>
        <rFont val="Tahoma"/>
        <family val="2"/>
      </rPr>
      <t xml:space="preserve"> - Gestore</t>
    </r>
  </si>
  <si>
    <r>
      <t>RC</t>
    </r>
    <r>
      <rPr>
        <vertAlign val="subscript"/>
        <sz val="8"/>
        <color theme="1"/>
        <rFont val="Tahoma"/>
        <family val="2"/>
      </rPr>
      <t xml:space="preserve">TMAX </t>
    </r>
    <r>
      <rPr>
        <sz val="8"/>
        <color theme="1"/>
        <rFont val="Tahoma"/>
        <family val="2"/>
      </rPr>
      <t xml:space="preserve">Anni pregressi </t>
    </r>
    <r>
      <rPr>
        <vertAlign val="subscript"/>
        <sz val="8"/>
        <color theme="1"/>
        <rFont val="Tahoma"/>
        <family val="2"/>
      </rPr>
      <t>TF, 2029</t>
    </r>
    <r>
      <rPr>
        <sz val="8"/>
        <color theme="1"/>
        <rFont val="Tahoma"/>
        <family val="2"/>
      </rPr>
      <t xml:space="preserve"> - Gestore - Detrazione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</si>
  <si>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Gestore - Post Detrazioni</t>
    </r>
  </si>
  <si>
    <r>
      <t>RC</t>
    </r>
    <r>
      <rPr>
        <b/>
        <vertAlign val="subscript"/>
        <sz val="8"/>
        <color theme="1"/>
        <rFont val="Tahoma"/>
        <family val="2"/>
      </rPr>
      <t>TOT TF, 2029</t>
    </r>
    <r>
      <rPr>
        <b/>
        <sz val="8"/>
        <color theme="1"/>
        <rFont val="Tahoma"/>
        <family val="2"/>
      </rPr>
      <t xml:space="preserve"> - Gestore - Detrazione</t>
    </r>
  </si>
  <si>
    <r>
      <t>RC</t>
    </r>
    <r>
      <rPr>
        <b/>
        <vertAlign val="subscript"/>
        <sz val="8"/>
        <color theme="1"/>
        <rFont val="Tahoma"/>
        <family val="2"/>
      </rPr>
      <t>TOT TF, 2029</t>
    </r>
    <r>
      <rPr>
        <b/>
        <sz val="8"/>
        <color theme="1"/>
        <rFont val="Tahoma"/>
        <family val="2"/>
      </rPr>
      <t xml:space="preserve"> - Gestore - Post Detrazioni</t>
    </r>
  </si>
  <si>
    <r>
      <t>RC</t>
    </r>
    <r>
      <rPr>
        <i/>
        <vertAlign val="subscript"/>
        <sz val="8"/>
        <color theme="1"/>
        <rFont val="Tahoma"/>
        <family val="2"/>
      </rPr>
      <t>RET</t>
    </r>
    <r>
      <rPr>
        <i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2029</t>
    </r>
    <r>
      <rPr>
        <i/>
        <sz val="8"/>
        <color theme="1"/>
        <rFont val="Tahoma"/>
        <family val="2"/>
      </rPr>
      <t xml:space="preserve"> - Comune</t>
    </r>
  </si>
  <si>
    <r>
      <t>RC</t>
    </r>
    <r>
      <rPr>
        <vertAlign val="subscript"/>
        <sz val="8"/>
        <color theme="1"/>
        <rFont val="Tahoma"/>
        <family val="2"/>
      </rPr>
      <t>RET TF, 2029</t>
    </r>
    <r>
      <rPr>
        <sz val="8"/>
        <color theme="1"/>
        <rFont val="Tahoma"/>
        <family val="2"/>
      </rPr>
      <t xml:space="preserve"> - Comune - Detrazione</t>
    </r>
  </si>
  <si>
    <r>
      <t>RC</t>
    </r>
    <r>
      <rPr>
        <b/>
        <vertAlign val="subscript"/>
        <sz val="8"/>
        <color theme="1"/>
        <rFont val="Tahoma"/>
        <family val="2"/>
      </rPr>
      <t>RET TF, 2029</t>
    </r>
    <r>
      <rPr>
        <b/>
        <sz val="8"/>
        <color theme="1"/>
        <rFont val="Tahoma"/>
        <family val="2"/>
      </rPr>
      <t xml:space="preserve"> - Comune -Post Detrazioni</t>
    </r>
  </si>
  <si>
    <r>
      <t>Recupero CO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116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2029</t>
    </r>
    <r>
      <rPr>
        <i/>
        <sz val="8"/>
        <color theme="1"/>
        <rFont val="Tahoma"/>
        <family val="2"/>
      </rPr>
      <t xml:space="preserve"> - Comune</t>
    </r>
  </si>
  <si>
    <r>
      <t>Recupero CO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116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2029</t>
    </r>
    <r>
      <rPr>
        <sz val="8"/>
        <color theme="1"/>
        <rFont val="Tahoma"/>
        <family val="2"/>
      </rPr>
      <t xml:space="preserve"> - Comune - Detrazione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</si>
  <si>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Comune - Post Detrazioni</t>
    </r>
  </si>
  <si>
    <r>
      <t>Recupero CQ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TF, 2029</t>
    </r>
    <r>
      <rPr>
        <i/>
        <sz val="8"/>
        <color theme="1"/>
        <rFont val="Tahoma"/>
        <family val="2"/>
      </rPr>
      <t xml:space="preserve"> - Comune</t>
    </r>
  </si>
  <si>
    <r>
      <t>Recupero CQ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TF, 2029</t>
    </r>
    <r>
      <rPr>
        <sz val="8"/>
        <color theme="1"/>
        <rFont val="Tahoma"/>
        <family val="2"/>
      </rPr>
      <t xml:space="preserve"> - Comune - Detrazione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</si>
  <si>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Comune - Post Detrazioni</t>
    </r>
  </si>
  <si>
    <r>
      <t>Recupero COnew</t>
    </r>
    <r>
      <rPr>
        <i/>
        <vertAlign val="superscript"/>
        <sz val="8"/>
        <color theme="1"/>
        <rFont val="Tahoma"/>
        <family val="2"/>
      </rPr>
      <t xml:space="preserve">exp </t>
    </r>
    <r>
      <rPr>
        <i/>
        <vertAlign val="subscript"/>
        <sz val="8"/>
        <color theme="1"/>
        <rFont val="Tahoma"/>
        <family val="2"/>
      </rPr>
      <t>TF, 2029</t>
    </r>
    <r>
      <rPr>
        <i/>
        <sz val="8"/>
        <color theme="1"/>
        <rFont val="Tahoma"/>
        <family val="2"/>
      </rPr>
      <t xml:space="preserve"> - Comune</t>
    </r>
  </si>
  <si>
    <r>
      <t>Recupero COnew</t>
    </r>
    <r>
      <rPr>
        <vertAlign val="superscript"/>
        <sz val="8"/>
        <color theme="1"/>
        <rFont val="Tahoma"/>
        <family val="2"/>
      </rPr>
      <t xml:space="preserve">exp </t>
    </r>
    <r>
      <rPr>
        <vertAlign val="subscript"/>
        <sz val="8"/>
        <color theme="1"/>
        <rFont val="Tahoma"/>
        <family val="2"/>
      </rPr>
      <t>TF, 2029</t>
    </r>
    <r>
      <rPr>
        <sz val="8"/>
        <color theme="1"/>
        <rFont val="Tahoma"/>
        <family val="2"/>
      </rPr>
      <t xml:space="preserve"> - Comune - Detrazione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</si>
  <si>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Comune - Post Detrazioni</t>
    </r>
  </si>
  <si>
    <r>
      <t>Recupero COI</t>
    </r>
    <r>
      <rPr>
        <i/>
        <vertAlign val="superscript"/>
        <sz val="8"/>
        <color theme="1"/>
        <rFont val="Tahoma"/>
        <family val="2"/>
      </rPr>
      <t>exp</t>
    </r>
    <r>
      <rPr>
        <i/>
        <vertAlign val="subscript"/>
        <sz val="8"/>
        <color theme="1"/>
        <rFont val="Tahoma"/>
        <family val="2"/>
      </rPr>
      <t>TF, 2029</t>
    </r>
    <r>
      <rPr>
        <i/>
        <sz val="8"/>
        <color theme="1"/>
        <rFont val="Tahoma"/>
        <family val="2"/>
      </rPr>
      <t xml:space="preserve"> - Comune</t>
    </r>
  </si>
  <si>
    <r>
      <t>Recupero COI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>TF, 2029</t>
    </r>
    <r>
      <rPr>
        <sz val="8"/>
        <color theme="1"/>
        <rFont val="Tahoma"/>
        <family val="2"/>
      </rPr>
      <t xml:space="preserve"> - Comune - Detrazione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</si>
  <si>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Comune - Post Detrazioni</t>
    </r>
  </si>
  <si>
    <r>
      <t>Differenza fatturato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2029</t>
    </r>
    <r>
      <rPr>
        <i/>
        <sz val="8"/>
        <color theme="1"/>
        <rFont val="Tahoma"/>
        <family val="2"/>
      </rPr>
      <t xml:space="preserve"> - Comune</t>
    </r>
  </si>
  <si>
    <r>
      <t>Differenza fatturato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2029</t>
    </r>
    <r>
      <rPr>
        <sz val="8"/>
        <color theme="1"/>
        <rFont val="Tahoma"/>
        <family val="2"/>
      </rPr>
      <t xml:space="preserve"> - Comune - Detrazione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</si>
  <si>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Comune - Post Detrazioni</t>
    </r>
  </si>
  <si>
    <r>
      <t xml:space="preserve">Conguaglio Inflazione PEF25 </t>
    </r>
    <r>
      <rPr>
        <i/>
        <vertAlign val="subscript"/>
        <sz val="8"/>
        <color theme="1"/>
        <rFont val="Tahoma"/>
        <family val="2"/>
      </rPr>
      <t>TF, 2029</t>
    </r>
    <r>
      <rPr>
        <i/>
        <sz val="8"/>
        <color theme="1"/>
        <rFont val="Tahoma"/>
        <family val="2"/>
      </rPr>
      <t xml:space="preserve"> - Comune</t>
    </r>
  </si>
  <si>
    <r>
      <t>Conguaglio Inflazione PEF25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2029</t>
    </r>
    <r>
      <rPr>
        <sz val="8"/>
        <color theme="1"/>
        <rFont val="Tahoma"/>
        <family val="2"/>
      </rPr>
      <t xml:space="preserve"> - Comune - Detrazione</t>
    </r>
  </si>
  <si>
    <r>
      <t>Conguaglio Inflazione PEF25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Comune - Post Detrazioni</t>
    </r>
  </si>
  <si>
    <r>
      <t xml:space="preserve">Conguaglio Inflazione PEF27 </t>
    </r>
    <r>
      <rPr>
        <i/>
        <vertAlign val="subscript"/>
        <sz val="8"/>
        <color theme="1"/>
        <rFont val="Tahoma"/>
        <family val="2"/>
      </rPr>
      <t>TF, 2029</t>
    </r>
    <r>
      <rPr>
        <i/>
        <sz val="8"/>
        <color theme="1"/>
        <rFont val="Tahoma"/>
        <family val="2"/>
      </rPr>
      <t xml:space="preserve"> - Comune</t>
    </r>
  </si>
  <si>
    <r>
      <t>Conguaglio Inflazione PEF27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2029</t>
    </r>
    <r>
      <rPr>
        <sz val="8"/>
        <color theme="1"/>
        <rFont val="Tahoma"/>
        <family val="2"/>
      </rPr>
      <t xml:space="preserve"> - Comune - Detrazione</t>
    </r>
  </si>
  <si>
    <r>
      <t>Conguaglio Inflazione PEF27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Comune - Post Detrazioni</t>
    </r>
  </si>
  <si>
    <r>
      <t>Conguaglio CK</t>
    </r>
    <r>
      <rPr>
        <i/>
        <vertAlign val="superscript"/>
        <sz val="8"/>
        <color theme="1"/>
        <rFont val="Tahoma"/>
        <family val="2"/>
      </rPr>
      <t xml:space="preserve"> </t>
    </r>
    <r>
      <rPr>
        <i/>
        <vertAlign val="subscript"/>
        <sz val="8"/>
        <color theme="1"/>
        <rFont val="Tahoma"/>
        <family val="2"/>
      </rPr>
      <t>TF, 2029</t>
    </r>
    <r>
      <rPr>
        <i/>
        <sz val="8"/>
        <color theme="1"/>
        <rFont val="Tahoma"/>
        <family val="2"/>
      </rPr>
      <t xml:space="preserve"> - Comune</t>
    </r>
  </si>
  <si>
    <r>
      <t>Conguaglio CK</t>
    </r>
    <r>
      <rPr>
        <vertAlign val="superscript"/>
        <sz val="8"/>
        <color theme="1"/>
        <rFont val="Tahoma"/>
        <family val="2"/>
      </rPr>
      <t xml:space="preserve"> </t>
    </r>
    <r>
      <rPr>
        <vertAlign val="subscript"/>
        <sz val="8"/>
        <color theme="1"/>
        <rFont val="Tahoma"/>
        <family val="2"/>
      </rPr>
      <t>TF, 2029</t>
    </r>
    <r>
      <rPr>
        <sz val="8"/>
        <color theme="1"/>
        <rFont val="Tahoma"/>
        <family val="2"/>
      </rPr>
      <t xml:space="preserve"> - Comune - Detrazione</t>
    </r>
  </si>
  <si>
    <r>
      <t>Conguaglio CK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Comune - Post Detrazioni</t>
    </r>
  </si>
  <si>
    <r>
      <t>RC</t>
    </r>
    <r>
      <rPr>
        <i/>
        <vertAlign val="subscript"/>
        <sz val="8"/>
        <color theme="1"/>
        <rFont val="Tahoma"/>
        <family val="2"/>
      </rPr>
      <t xml:space="preserve">TMAX </t>
    </r>
    <r>
      <rPr>
        <i/>
        <sz val="8"/>
        <color theme="1"/>
        <rFont val="Tahoma"/>
        <family val="2"/>
      </rPr>
      <t xml:space="preserve">Anni pregressi </t>
    </r>
    <r>
      <rPr>
        <i/>
        <vertAlign val="subscript"/>
        <sz val="8"/>
        <color theme="1"/>
        <rFont val="Tahoma"/>
        <family val="2"/>
      </rPr>
      <t>TF, 2029</t>
    </r>
    <r>
      <rPr>
        <i/>
        <sz val="8"/>
        <color theme="1"/>
        <rFont val="Tahoma"/>
        <family val="2"/>
      </rPr>
      <t xml:space="preserve"> - Comune</t>
    </r>
  </si>
  <si>
    <r>
      <t>RC</t>
    </r>
    <r>
      <rPr>
        <vertAlign val="subscript"/>
        <sz val="8"/>
        <color theme="1"/>
        <rFont val="Tahoma"/>
        <family val="2"/>
      </rPr>
      <t xml:space="preserve">TMAX </t>
    </r>
    <r>
      <rPr>
        <sz val="8"/>
        <color theme="1"/>
        <rFont val="Tahoma"/>
        <family val="2"/>
      </rPr>
      <t xml:space="preserve">Anni pregressi </t>
    </r>
    <r>
      <rPr>
        <vertAlign val="subscript"/>
        <sz val="8"/>
        <color theme="1"/>
        <rFont val="Tahoma"/>
        <family val="2"/>
      </rPr>
      <t>TF, 2029</t>
    </r>
    <r>
      <rPr>
        <sz val="8"/>
        <color theme="1"/>
        <rFont val="Tahoma"/>
        <family val="2"/>
      </rPr>
      <t xml:space="preserve"> - Comune - Detrazione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</si>
  <si>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TF, 2029</t>
    </r>
    <r>
      <rPr>
        <b/>
        <sz val="8"/>
        <color theme="1"/>
        <rFont val="Tahoma"/>
        <family val="2"/>
      </rPr>
      <t xml:space="preserve"> - Comune - Post Detrazioni</t>
    </r>
  </si>
  <si>
    <r>
      <t>RC</t>
    </r>
    <r>
      <rPr>
        <b/>
        <vertAlign val="subscript"/>
        <sz val="8"/>
        <color theme="1"/>
        <rFont val="Tahoma"/>
        <family val="2"/>
      </rPr>
      <t>TOT TF, 2029</t>
    </r>
    <r>
      <rPr>
        <b/>
        <sz val="8"/>
        <color theme="1"/>
        <rFont val="Tahoma"/>
        <family val="2"/>
      </rPr>
      <t xml:space="preserve"> - Comune - Detrazione</t>
    </r>
  </si>
  <si>
    <r>
      <t>RC</t>
    </r>
    <r>
      <rPr>
        <b/>
        <vertAlign val="subscript"/>
        <sz val="8"/>
        <color theme="1"/>
        <rFont val="Tahoma"/>
        <family val="2"/>
      </rPr>
      <t>TOT TF, 2029</t>
    </r>
    <r>
      <rPr>
        <b/>
        <sz val="8"/>
        <color theme="1"/>
        <rFont val="Tahoma"/>
        <family val="2"/>
      </rPr>
      <t xml:space="preserve"> - Comune - Post Detrazioni</t>
    </r>
  </si>
  <si>
    <r>
      <t>IVA FISSA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Comune</t>
    </r>
  </si>
  <si>
    <r>
      <t>IVA FISSA</t>
    </r>
    <r>
      <rPr>
        <vertAlign val="subscript"/>
        <sz val="8"/>
        <color theme="1"/>
        <rFont val="Tahoma"/>
        <family val="2"/>
      </rPr>
      <t>2029</t>
    </r>
    <r>
      <rPr>
        <sz val="8"/>
        <color theme="1"/>
        <rFont val="Tahoma"/>
        <family val="2"/>
      </rPr>
      <t xml:space="preserve"> - Comune - Detrazione</t>
    </r>
  </si>
  <si>
    <r>
      <t>IVA FISSA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Comune - Post Detrazioni</t>
    </r>
  </si>
  <si>
    <t>DETR4.5_TV_28_GEST</t>
  </si>
  <si>
    <t>DETR4.5_TV_28_COM</t>
  </si>
  <si>
    <t>DETR4.5_TV_28</t>
  </si>
  <si>
    <t>DETR4.5_TV_29_GEST</t>
  </si>
  <si>
    <t>DETR4.5_TV_29_COM</t>
  </si>
  <si>
    <t>DETR4.5_TV_29</t>
  </si>
  <si>
    <r>
      <t>Detrazioni di cui al Art. 4.5 - Parte Variabile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Gestore</t>
    </r>
  </si>
  <si>
    <r>
      <t>Detrazioni di cui al Art. 4.5 - Parte Variabile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Comune</t>
    </r>
  </si>
  <si>
    <r>
      <t>Detrazioni di cui al Art. 4.5 - Parte Variabile</t>
    </r>
    <r>
      <rPr>
        <b/>
        <vertAlign val="subscript"/>
        <sz val="8"/>
        <color theme="1"/>
        <rFont val="Tahoma"/>
        <family val="2"/>
      </rPr>
      <t>2026</t>
    </r>
  </si>
  <si>
    <r>
      <t>Detrazioni di cui al Art. 4.5 - Parte Fissa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Gestore</t>
    </r>
  </si>
  <si>
    <r>
      <t>Detrazioni di cui al Art. 4.5 - Parte Fissa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Comune</t>
    </r>
  </si>
  <si>
    <r>
      <t>Detrazioni di cui al Art. 4.5 - Parte Fissa</t>
    </r>
    <r>
      <rPr>
        <b/>
        <vertAlign val="subscript"/>
        <sz val="8"/>
        <color theme="1"/>
        <rFont val="Tahoma"/>
        <family val="2"/>
      </rPr>
      <t>2026</t>
    </r>
  </si>
  <si>
    <r>
      <t>Detrazioni di cui al Art. 4.5 - Parte Variabile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Gestore</t>
    </r>
  </si>
  <si>
    <r>
      <t>Detrazioni di cui al Art. 4.5 - Parte Variabile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Comune</t>
    </r>
  </si>
  <si>
    <r>
      <t>Detrazioni di cui al Art. 4.5 - Parte Variabile</t>
    </r>
    <r>
      <rPr>
        <b/>
        <vertAlign val="subscript"/>
        <sz val="8"/>
        <color theme="1"/>
        <rFont val="Tahoma"/>
        <family val="2"/>
      </rPr>
      <t>2027</t>
    </r>
  </si>
  <si>
    <r>
      <t>Detrazioni di cui al Art. 4.5 - Parte Fissa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Gestore</t>
    </r>
  </si>
  <si>
    <r>
      <t>Detrazioni di cui al Art. 4.5 - Parte Fissa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Comune</t>
    </r>
  </si>
  <si>
    <r>
      <t>Detrazioni di cui al Art. 4.5 - Parte Fissa</t>
    </r>
    <r>
      <rPr>
        <b/>
        <vertAlign val="subscript"/>
        <sz val="8"/>
        <color theme="1"/>
        <rFont val="Tahoma"/>
        <family val="2"/>
      </rPr>
      <t>2027</t>
    </r>
  </si>
  <si>
    <r>
      <t>Detrazioni di cui al Art. 4.5 - Parte Variabile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Gestore</t>
    </r>
  </si>
  <si>
    <r>
      <t>Detrazioni di cui al Art. 4.5 - Parte Variabile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Comune</t>
    </r>
  </si>
  <si>
    <r>
      <t>Detrazioni di cui al Art. 4.5 - Parte Variabile</t>
    </r>
    <r>
      <rPr>
        <b/>
        <vertAlign val="subscript"/>
        <sz val="8"/>
        <color theme="1"/>
        <rFont val="Tahoma"/>
        <family val="2"/>
      </rPr>
      <t>2028</t>
    </r>
  </si>
  <si>
    <r>
      <t>Detrazioni di cui al Art. 4.5 - Parte Fissa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Gestore</t>
    </r>
  </si>
  <si>
    <r>
      <t>Detrazioni di cui al Art. 4.5 - Parte Fissa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Comune</t>
    </r>
  </si>
  <si>
    <r>
      <t>Detrazioni di cui al Art. 4.5 - Parte Fissa</t>
    </r>
    <r>
      <rPr>
        <b/>
        <vertAlign val="subscript"/>
        <sz val="8"/>
        <color theme="1"/>
        <rFont val="Tahoma"/>
        <family val="2"/>
      </rPr>
      <t>2028</t>
    </r>
  </si>
  <si>
    <r>
      <t>Detrazioni di cui al Art. 4.5 - Parte Variabile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Gestore</t>
    </r>
  </si>
  <si>
    <r>
      <t>Detrazioni di cui al Art. 4.5 - Parte Variabile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Comune</t>
    </r>
  </si>
  <si>
    <r>
      <t>Detrazioni di cui al Art. 4.5 - Parte Variabile</t>
    </r>
    <r>
      <rPr>
        <b/>
        <vertAlign val="subscript"/>
        <sz val="8"/>
        <color theme="1"/>
        <rFont val="Tahoma"/>
        <family val="2"/>
      </rPr>
      <t>2029</t>
    </r>
  </si>
  <si>
    <r>
      <t>Detrazioni di cui al Art. 4.5 - Parte Fissa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Gestore</t>
    </r>
  </si>
  <si>
    <r>
      <t>Detrazioni di cui al Art. 4.5 - Parte Fissa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Comune</t>
    </r>
  </si>
  <si>
    <r>
      <t>Detrazioni di cui al Art. 4.5 - Parte Fissa</t>
    </r>
    <r>
      <rPr>
        <b/>
        <vertAlign val="subscript"/>
        <sz val="8"/>
        <color theme="1"/>
        <rFont val="Tahoma"/>
        <family val="2"/>
      </rPr>
      <t>2029</t>
    </r>
  </si>
  <si>
    <r>
      <t>Detrazioni di cui al Art. 4.5</t>
    </r>
    <r>
      <rPr>
        <b/>
        <vertAlign val="subscript"/>
        <sz val="8"/>
        <color theme="1"/>
        <rFont val="Tahoma"/>
        <family val="2"/>
      </rPr>
      <t>2026</t>
    </r>
  </si>
  <si>
    <r>
      <t>Detrazioni di cui al Art. 4.5</t>
    </r>
    <r>
      <rPr>
        <b/>
        <vertAlign val="subscript"/>
        <sz val="8"/>
        <color theme="1"/>
        <rFont val="Tahoma"/>
        <family val="2"/>
      </rPr>
      <t>2027</t>
    </r>
  </si>
  <si>
    <t>DETR4.5_28</t>
  </si>
  <si>
    <t>DETR4.5_29</t>
  </si>
  <si>
    <r>
      <t>Detrazioni di cui al Art. 4.5</t>
    </r>
    <r>
      <rPr>
        <b/>
        <vertAlign val="subscript"/>
        <sz val="8"/>
        <color theme="1"/>
        <rFont val="Tahoma"/>
        <family val="2"/>
      </rPr>
      <t>2028</t>
    </r>
  </si>
  <si>
    <r>
      <t>Detrazioni di cui al Art. 4.5</t>
    </r>
    <r>
      <rPr>
        <b/>
        <vertAlign val="subscript"/>
        <sz val="8"/>
        <color theme="1"/>
        <rFont val="Tahoma"/>
        <family val="2"/>
      </rPr>
      <t>2029</t>
    </r>
  </si>
  <si>
    <t>DISP_H_26</t>
  </si>
  <si>
    <r>
      <t>Quantità di rifiuti gestiti [ton] q</t>
    </r>
    <r>
      <rPr>
        <vertAlign val="subscript"/>
        <sz val="8"/>
        <color theme="1"/>
        <rFont val="Tahoma"/>
        <family val="2"/>
      </rPr>
      <t>2024</t>
    </r>
  </si>
  <si>
    <t>QRD_24</t>
  </si>
  <si>
    <t>QRD_SI_24</t>
  </si>
  <si>
    <t>%QRD_SI_24</t>
  </si>
  <si>
    <t>Determinazione della quota di rifiuti di imballaggio</t>
  </si>
  <si>
    <r>
      <t>AR</t>
    </r>
    <r>
      <rPr>
        <i/>
        <vertAlign val="subscript"/>
        <sz val="8"/>
        <color theme="1"/>
        <rFont val="Tahoma"/>
        <family val="2"/>
      </rPr>
      <t>2024</t>
    </r>
    <r>
      <rPr>
        <i/>
        <sz val="8"/>
        <color theme="1"/>
        <rFont val="Tahoma"/>
        <family val="2"/>
      </rPr>
      <t xml:space="preserve"> - Gestore</t>
    </r>
  </si>
  <si>
    <r>
      <t>AR</t>
    </r>
    <r>
      <rPr>
        <i/>
        <vertAlign val="subscript"/>
        <sz val="8"/>
        <color theme="1"/>
        <rFont val="Tahoma"/>
        <family val="2"/>
      </rPr>
      <t>2024</t>
    </r>
    <r>
      <rPr>
        <i/>
        <sz val="8"/>
        <color theme="1"/>
        <rFont val="Tahoma"/>
        <family val="2"/>
      </rPr>
      <t xml:space="preserve"> - Comune</t>
    </r>
  </si>
  <si>
    <r>
      <t>di cui solo imballaggi AR</t>
    </r>
    <r>
      <rPr>
        <b/>
        <i/>
        <vertAlign val="subscript"/>
        <sz val="8"/>
        <color theme="1"/>
        <rFont val="Tahoma"/>
        <family val="2"/>
      </rPr>
      <t>si_2024</t>
    </r>
    <r>
      <rPr>
        <b/>
        <i/>
        <sz val="8"/>
        <color theme="1"/>
        <rFont val="Tahoma"/>
        <family val="2"/>
      </rPr>
      <t xml:space="preserve"> - Comune</t>
    </r>
  </si>
  <si>
    <r>
      <t>AR</t>
    </r>
    <r>
      <rPr>
        <b/>
        <i/>
        <vertAlign val="subscript"/>
        <sz val="8"/>
        <color theme="1"/>
        <rFont val="Tahoma"/>
        <family val="2"/>
      </rPr>
      <t>si</t>
    </r>
    <r>
      <rPr>
        <b/>
        <i/>
        <sz val="8"/>
        <color theme="1"/>
        <rFont val="Tahoma"/>
        <family val="2"/>
      </rPr>
      <t>_</t>
    </r>
    <r>
      <rPr>
        <b/>
        <i/>
        <vertAlign val="subscript"/>
        <sz val="8"/>
        <color theme="1"/>
        <rFont val="Tahoma"/>
        <family val="2"/>
      </rPr>
      <t>2024</t>
    </r>
  </si>
  <si>
    <r>
      <t>AR</t>
    </r>
    <r>
      <rPr>
        <i/>
        <vertAlign val="subscript"/>
        <sz val="8"/>
        <color theme="1"/>
        <rFont val="Tahoma"/>
        <family val="2"/>
      </rPr>
      <t>SC_2024</t>
    </r>
    <r>
      <rPr>
        <i/>
        <sz val="8"/>
        <color theme="1"/>
        <rFont val="Tahoma"/>
        <family val="2"/>
      </rPr>
      <t xml:space="preserve"> - Gestore</t>
    </r>
  </si>
  <si>
    <r>
      <t>di cui solo imballaggi AR</t>
    </r>
    <r>
      <rPr>
        <b/>
        <i/>
        <vertAlign val="subscript"/>
        <sz val="8"/>
        <color theme="1"/>
        <rFont val="Tahoma"/>
        <family val="2"/>
      </rPr>
      <t>SC</t>
    </r>
    <r>
      <rPr>
        <b/>
        <i/>
        <sz val="8"/>
        <color theme="1"/>
        <rFont val="Tahoma"/>
        <family val="2"/>
      </rPr>
      <t>_</t>
    </r>
    <r>
      <rPr>
        <b/>
        <i/>
        <vertAlign val="subscript"/>
        <sz val="8"/>
        <color theme="1"/>
        <rFont val="Tahoma"/>
        <family val="2"/>
      </rPr>
      <t>si_2024</t>
    </r>
    <r>
      <rPr>
        <b/>
        <i/>
        <sz val="8"/>
        <color theme="1"/>
        <rFont val="Tahoma"/>
        <family val="2"/>
      </rPr>
      <t xml:space="preserve"> - Gestore</t>
    </r>
  </si>
  <si>
    <r>
      <t>AR</t>
    </r>
    <r>
      <rPr>
        <i/>
        <vertAlign val="subscript"/>
        <sz val="8"/>
        <color theme="1"/>
        <rFont val="Tahoma"/>
        <family val="2"/>
      </rPr>
      <t>SC_2024</t>
    </r>
    <r>
      <rPr>
        <i/>
        <sz val="8"/>
        <color theme="1"/>
        <rFont val="Tahoma"/>
        <family val="2"/>
      </rPr>
      <t xml:space="preserve"> - Comune</t>
    </r>
  </si>
  <si>
    <r>
      <t>di cui solo imballaggi AR</t>
    </r>
    <r>
      <rPr>
        <b/>
        <i/>
        <vertAlign val="subscript"/>
        <sz val="8"/>
        <color theme="1"/>
        <rFont val="Tahoma"/>
        <family val="2"/>
      </rPr>
      <t>SC</t>
    </r>
    <r>
      <rPr>
        <b/>
        <i/>
        <sz val="8"/>
        <color theme="1"/>
        <rFont val="Tahoma"/>
        <family val="2"/>
      </rPr>
      <t>_</t>
    </r>
    <r>
      <rPr>
        <b/>
        <i/>
        <vertAlign val="subscript"/>
        <sz val="8"/>
        <color theme="1"/>
        <rFont val="Tahoma"/>
        <family val="2"/>
      </rPr>
      <t>si_2024</t>
    </r>
    <r>
      <rPr>
        <b/>
        <i/>
        <sz val="8"/>
        <color theme="1"/>
        <rFont val="Tahoma"/>
        <family val="2"/>
      </rPr>
      <t xml:space="preserve"> - Comune</t>
    </r>
  </si>
  <si>
    <r>
      <t>AR</t>
    </r>
    <r>
      <rPr>
        <b/>
        <i/>
        <vertAlign val="subscript"/>
        <sz val="8"/>
        <color theme="1"/>
        <rFont val="Tahoma"/>
        <family val="2"/>
      </rPr>
      <t>SC_si</t>
    </r>
    <r>
      <rPr>
        <b/>
        <i/>
        <sz val="8"/>
        <color theme="1"/>
        <rFont val="Tahoma"/>
        <family val="2"/>
      </rPr>
      <t>_</t>
    </r>
    <r>
      <rPr>
        <b/>
        <i/>
        <vertAlign val="subscript"/>
        <sz val="8"/>
        <color theme="1"/>
        <rFont val="Tahoma"/>
        <family val="2"/>
      </rPr>
      <t>2024</t>
    </r>
  </si>
  <si>
    <t>CRT_26_GEST_B.6</t>
  </si>
  <si>
    <t>CRT_26_GEST_B.7</t>
  </si>
  <si>
    <t>CRT_26_GEST_B.8</t>
  </si>
  <si>
    <t>CRT_26_GEST_B.9</t>
  </si>
  <si>
    <t>CRT_26_GEST_B.11</t>
  </si>
  <si>
    <t>CRT_26_GEST_B.14</t>
  </si>
  <si>
    <t>CTS_26_GEST_B.6</t>
  </si>
  <si>
    <t>CTS_26_GEST_B.7</t>
  </si>
  <si>
    <t>CTS_26_GEST_B.8</t>
  </si>
  <si>
    <t>CTS_26_GEST_B.9</t>
  </si>
  <si>
    <t>CTS_26_GEST_B.11</t>
  </si>
  <si>
    <t>CTS_26_GEST_B.14</t>
  </si>
  <si>
    <t>CTR_26_GEST_B.6</t>
  </si>
  <si>
    <t>CTR_26_GEST_B.7</t>
  </si>
  <si>
    <t>CTR_26_GEST_B.8</t>
  </si>
  <si>
    <t>CTR_26_GEST_B.9</t>
  </si>
  <si>
    <t>CTR_26_GEST_B.11</t>
  </si>
  <si>
    <t>CTR_26_GEST_B.14</t>
  </si>
  <si>
    <t>CRD_26_GEST_B.6</t>
  </si>
  <si>
    <t>CRD_26_GEST_B.7</t>
  </si>
  <si>
    <t>CRD_26_GEST_B.8</t>
  </si>
  <si>
    <t>CRD_26_GEST_B.9</t>
  </si>
  <si>
    <t>CRD_26_GEST_B.11</t>
  </si>
  <si>
    <t>CRD_26_GEST_B.14</t>
  </si>
  <si>
    <t>AR_26_GEST_A.1</t>
  </si>
  <si>
    <t>AR_26_GEST_A.5</t>
  </si>
  <si>
    <t>ARSC_26_GEST_A.1</t>
  </si>
  <si>
    <t>ARSC_26_GEST_A.5</t>
  </si>
  <si>
    <t>CSL_26_GEST_B.6</t>
  </si>
  <si>
    <t>CSL_26_GEST_B.7</t>
  </si>
  <si>
    <t>CSL_26_GEST_B.8</t>
  </si>
  <si>
    <t>CSL_26_GEST_B.9</t>
  </si>
  <si>
    <t>CSL_26_GEST_B.11</t>
  </si>
  <si>
    <t>CSL_26_GEST_B.14</t>
  </si>
  <si>
    <t>CARC_26_GEST_B.6</t>
  </si>
  <si>
    <t>CARC_26_GEST_B.7</t>
  </si>
  <si>
    <t>CARC_26_GEST_B.8</t>
  </si>
  <si>
    <t>CARC_26_GEST_B.9</t>
  </si>
  <si>
    <t>CARC_26_GEST_B.11</t>
  </si>
  <si>
    <t>CARC_26_GEST_B.14</t>
  </si>
  <si>
    <t>CGG_26_GEST_B.6</t>
  </si>
  <si>
    <t>CGG_26_GEST_B.7</t>
  </si>
  <si>
    <t>CGG_26_GEST_B.8</t>
  </si>
  <si>
    <t>CGG_26_GEST_B.9</t>
  </si>
  <si>
    <t>CGG_26_GEST_B.11</t>
  </si>
  <si>
    <t>CGG_26_GEST_B.14</t>
  </si>
  <si>
    <t>CCD_26_GEST_B.6</t>
  </si>
  <si>
    <t>CCD_26_GEST_B.7</t>
  </si>
  <si>
    <t>CCD_26_GEST_B.8</t>
  </si>
  <si>
    <t>CCD_26_GEST_B.9</t>
  </si>
  <si>
    <t>CCD_26_GEST_B.11</t>
  </si>
  <si>
    <t>CCD_26_GEST_B.14</t>
  </si>
  <si>
    <t>COAL_26_GEST_B.6</t>
  </si>
  <si>
    <t>COAL_26_GEST_B.7</t>
  </si>
  <si>
    <t>COAL_26_GEST_B.8</t>
  </si>
  <si>
    <t>COAL_26_GEST_B.9</t>
  </si>
  <si>
    <t>COAL_26_GEST_B.11</t>
  </si>
  <si>
    <t>COAL_26_GEST_B.14</t>
  </si>
  <si>
    <t>ACC_26_GEST_B.10.a</t>
  </si>
  <si>
    <t>ACC_26_GEST_B.10.b</t>
  </si>
  <si>
    <t>ACC_26_GEST_B.10.c</t>
  </si>
  <si>
    <t>ACC_26_GEST_B.10.d</t>
  </si>
  <si>
    <t>ACC_26_GEST_B.12.a</t>
  </si>
  <si>
    <t>ACC_26_GEST_B.12.b</t>
  </si>
  <si>
    <t>ACC_26_GEST_B.12.c</t>
  </si>
  <si>
    <t>ACC_26_GEST_B.12.d</t>
  </si>
  <si>
    <t>ACC_26_GEST_B.13.a</t>
  </si>
  <si>
    <t>ACC_26_GEST_B.13.b</t>
  </si>
  <si>
    <t>ACC_26_GEST_B.13.c</t>
  </si>
  <si>
    <t>ACC_26_GEST_B.13.d</t>
  </si>
  <si>
    <t>CAP_26_GEST</t>
  </si>
  <si>
    <t>PR.a_26_GEST</t>
  </si>
  <si>
    <t>PR.b_26_GEST</t>
  </si>
  <si>
    <t>PR.c_26_GEST</t>
  </si>
  <si>
    <t>PR.d_26_GEST</t>
  </si>
  <si>
    <t>PR.e_26_GEST</t>
  </si>
  <si>
    <t>PR.f_26_GEST</t>
  </si>
  <si>
    <t>PR.g_26_GEST</t>
  </si>
  <si>
    <t>PR.h_26_GEST</t>
  </si>
  <si>
    <t>PR.i_26_GEST</t>
  </si>
  <si>
    <t>PR.j_26_GEST</t>
  </si>
  <si>
    <t>PR.k_26_GEST</t>
  </si>
  <si>
    <t>PR.l_26_GEST</t>
  </si>
  <si>
    <t>PR.m_26_GEST</t>
  </si>
  <si>
    <t>B.6_26</t>
  </si>
  <si>
    <t>B.7_26</t>
  </si>
  <si>
    <t>B.6+B.7_26_GEST</t>
  </si>
  <si>
    <t>A1_26_GEST</t>
  </si>
  <si>
    <t>PRK_26_GEST</t>
  </si>
  <si>
    <t>PRK_26_GEST_a</t>
  </si>
  <si>
    <t>PRK_26_GEST_b</t>
  </si>
  <si>
    <t>PRK_26_GEST_c</t>
  </si>
  <si>
    <t>CRT_27_GEST_B.6</t>
  </si>
  <si>
    <t>CRT_27_GEST_B.7</t>
  </si>
  <si>
    <t>CRT_27_GEST_B.8</t>
  </si>
  <si>
    <t>CRT_27_GEST_B.9</t>
  </si>
  <si>
    <t>CRT_27_GEST_B.11</t>
  </si>
  <si>
    <t>CRT_27_GEST_B.14</t>
  </si>
  <si>
    <t>CTS_27_GEST_B.6</t>
  </si>
  <si>
    <t>CTS_27_GEST_B.7</t>
  </si>
  <si>
    <t>CTS_27_GEST_B.8</t>
  </si>
  <si>
    <t>CTS_27_GEST_B.9</t>
  </si>
  <si>
    <t>CTS_27_GEST_B.11</t>
  </si>
  <si>
    <t>CTS_27_GEST_B.14</t>
  </si>
  <si>
    <t>CTR_27_GEST_B.6</t>
  </si>
  <si>
    <t>CTR_27_GEST_B.7</t>
  </si>
  <si>
    <t>CTR_27_GEST_B.8</t>
  </si>
  <si>
    <t>CTR_27_GEST_B.9</t>
  </si>
  <si>
    <t>CTR_27_GEST_B.11</t>
  </si>
  <si>
    <t>CTR_27_GEST_B.14</t>
  </si>
  <si>
    <t>CRD_27_GEST_B.6</t>
  </si>
  <si>
    <t>CRD_27_GEST_B.7</t>
  </si>
  <si>
    <t>CRD_27_GEST_B.8</t>
  </si>
  <si>
    <t>CRD_27_GEST_B.9</t>
  </si>
  <si>
    <t>CRD_27_GEST_B.11</t>
  </si>
  <si>
    <t>CRD_27_GEST_B.14</t>
  </si>
  <si>
    <t>AR_27_GEST</t>
  </si>
  <si>
    <t>AR_27_GEST_A.1</t>
  </si>
  <si>
    <t>AR_27_GEST_A.5</t>
  </si>
  <si>
    <t>ARSC_27_GEST</t>
  </si>
  <si>
    <t>ARSC_27_GEST_A.1</t>
  </si>
  <si>
    <t>ARSC_27_GEST_A.5</t>
  </si>
  <si>
    <t>CSL_27_GEST_B.6</t>
  </si>
  <si>
    <t>CSL_27_GEST_B.7</t>
  </si>
  <si>
    <t>CSL_27_GEST_B.8</t>
  </si>
  <si>
    <t>CSL_27_GEST_B.9</t>
  </si>
  <si>
    <t>CSL_27_GEST_B.11</t>
  </si>
  <si>
    <t>CSL_27_GEST_B.14</t>
  </si>
  <si>
    <t>CARC_27_GEST_B.6</t>
  </si>
  <si>
    <t>CARC_27_GEST_B.7</t>
  </si>
  <si>
    <t>CARC_27_GEST_B.8</t>
  </si>
  <si>
    <t>CARC_27_GEST_B.9</t>
  </si>
  <si>
    <t>CARC_27_GEST_B.11</t>
  </si>
  <si>
    <t>CARC_27_GEST_B.14</t>
  </si>
  <si>
    <t>CGG_27_GEST_B.6</t>
  </si>
  <si>
    <t>CGG_27_GEST_B.7</t>
  </si>
  <si>
    <t>CGG_27_GEST_B.8</t>
  </si>
  <si>
    <t>CGG_27_GEST_B.9</t>
  </si>
  <si>
    <t>CGG_27_GEST_B.11</t>
  </si>
  <si>
    <t>CGG_27_GEST_B.14</t>
  </si>
  <si>
    <t>CCD_27_GEST_B.6</t>
  </si>
  <si>
    <t>CCD_27_GEST_B.7</t>
  </si>
  <si>
    <t>CCD_27_GEST_B.8</t>
  </si>
  <si>
    <t>CCD_27_GEST_B.9</t>
  </si>
  <si>
    <t>CCD_27_GEST_B.11</t>
  </si>
  <si>
    <t>CCD_27_GEST_B.14</t>
  </si>
  <si>
    <t>COAL_27_GEST_B.6</t>
  </si>
  <si>
    <t>COAL_27_GEST_B.7</t>
  </si>
  <si>
    <t>COAL_27_GEST_B.8</t>
  </si>
  <si>
    <t>COAL_27_GEST_B.9</t>
  </si>
  <si>
    <t>COAL_27_GEST_B.11</t>
  </si>
  <si>
    <t>COAL_27_GEST_B.14</t>
  </si>
  <si>
    <t>ACC_27_GEST_B.10.a</t>
  </si>
  <si>
    <t>ACC_27_GEST_B.10.b</t>
  </si>
  <si>
    <t>ACC_27_GEST_B.10.c</t>
  </si>
  <si>
    <t>ACC_27_GEST_B.10.d</t>
  </si>
  <si>
    <t>ACC_27_GEST_B.12.a</t>
  </si>
  <si>
    <t>ACC_27_GEST_B.12.b</t>
  </si>
  <si>
    <t>ACC_27_GEST_B.12.c</t>
  </si>
  <si>
    <t>ACC_27_GEST_B.12.d</t>
  </si>
  <si>
    <t>ACC_27_GEST_B.13.a</t>
  </si>
  <si>
    <t>ACC_27_GEST_B.13.b</t>
  </si>
  <si>
    <t>ACC_27_GEST_B.13.c</t>
  </si>
  <si>
    <t>ACC_27_GEST_B.13.d</t>
  </si>
  <si>
    <t>CAP_27_GEST</t>
  </si>
  <si>
    <t>PR.a_27_GEST</t>
  </si>
  <si>
    <t>PR.b_27_GEST</t>
  </si>
  <si>
    <t>PR.c_27_GEST</t>
  </si>
  <si>
    <t>PR.d_27_GEST</t>
  </si>
  <si>
    <t>PR.e_27_GEST</t>
  </si>
  <si>
    <t>PR.f_27_GEST</t>
  </si>
  <si>
    <t>PR.g_27_GEST</t>
  </si>
  <si>
    <t>PR.h_27_GEST</t>
  </si>
  <si>
    <t>PR.i_27_GEST</t>
  </si>
  <si>
    <t>PR.j_27_GEST</t>
  </si>
  <si>
    <t>PR.k_27_GEST</t>
  </si>
  <si>
    <t>PR.l_27_GEST</t>
  </si>
  <si>
    <t>PR.m_27_GEST</t>
  </si>
  <si>
    <t>B.6_27</t>
  </si>
  <si>
    <t>B.7_27</t>
  </si>
  <si>
    <t>B.6+B.7_27_GEST</t>
  </si>
  <si>
    <t>A1_27_GEST</t>
  </si>
  <si>
    <t>PRK_27_GEST</t>
  </si>
  <si>
    <t>PRK_27_GEST_a</t>
  </si>
  <si>
    <t>PRK_27_GEST_b</t>
  </si>
  <si>
    <t>PRK_27_GEST_c</t>
  </si>
  <si>
    <t>AR_SI_26_GEST</t>
  </si>
  <si>
    <t>AR_26_COM</t>
  </si>
  <si>
    <t>AR_SI_26_COM</t>
  </si>
  <si>
    <t>AR_SI_26</t>
  </si>
  <si>
    <t>AR_SI_26_INFL</t>
  </si>
  <si>
    <t>ARSC_SI_26_GEST</t>
  </si>
  <si>
    <t>ARSC_26_COM</t>
  </si>
  <si>
    <t>ARSC_SI_26_COM</t>
  </si>
  <si>
    <t>ARSC_SI_26</t>
  </si>
  <si>
    <t>ARSC_SI_26_INFL</t>
  </si>
  <si>
    <r>
      <t>di cui solo imballaggi AR</t>
    </r>
    <r>
      <rPr>
        <b/>
        <i/>
        <vertAlign val="subscript"/>
        <sz val="8"/>
        <color theme="1"/>
        <rFont val="Tahoma"/>
        <family val="2"/>
      </rPr>
      <t>si_2024</t>
    </r>
    <r>
      <rPr>
        <b/>
        <i/>
        <sz val="8"/>
        <color theme="1"/>
        <rFont val="Tahoma"/>
        <family val="2"/>
      </rPr>
      <t xml:space="preserve"> - Gestore</t>
    </r>
  </si>
  <si>
    <r>
      <t>Determinazione AR</t>
    </r>
    <r>
      <rPr>
        <b/>
        <vertAlign val="superscript"/>
        <sz val="8"/>
        <color rgb="FFFF0000"/>
        <rFont val="Tahoma"/>
        <family val="2"/>
      </rPr>
      <t>AGG</t>
    </r>
    <r>
      <rPr>
        <b/>
        <vertAlign val="subscript"/>
        <sz val="8"/>
        <color rgb="FFFF0000"/>
        <rFont val="Tahoma"/>
        <family val="2"/>
      </rPr>
      <t>SC,si</t>
    </r>
    <r>
      <rPr>
        <b/>
        <sz val="8"/>
        <color rgb="FFFF0000"/>
        <rFont val="Tahoma"/>
        <family val="2"/>
      </rPr>
      <t xml:space="preserve"> - Dati 2024</t>
    </r>
  </si>
  <si>
    <r>
      <t>Determinazione CRD</t>
    </r>
    <r>
      <rPr>
        <b/>
        <vertAlign val="subscript"/>
        <sz val="8"/>
        <color rgb="FFFF0000"/>
        <rFont val="Tahoma"/>
        <family val="2"/>
      </rPr>
      <t>SC_si</t>
    </r>
    <r>
      <rPr>
        <b/>
        <sz val="8"/>
        <color rgb="FFFF0000"/>
        <rFont val="Tahoma"/>
        <family val="2"/>
      </rPr>
      <t xml:space="preserve">  [disponibilità dati]</t>
    </r>
  </si>
  <si>
    <t>CRD_SI_26_GEST</t>
  </si>
  <si>
    <r>
      <t>CRD</t>
    </r>
    <r>
      <rPr>
        <i/>
        <vertAlign val="subscript"/>
        <sz val="8"/>
        <color theme="1"/>
        <rFont val="Tahoma"/>
        <family val="2"/>
      </rPr>
      <t>2024</t>
    </r>
    <r>
      <rPr>
        <i/>
        <sz val="8"/>
        <color theme="1"/>
        <rFont val="Tahoma"/>
        <family val="2"/>
      </rPr>
      <t xml:space="preserve"> - Gestore</t>
    </r>
  </si>
  <si>
    <r>
      <t>di cui solo imballaggi CRD</t>
    </r>
    <r>
      <rPr>
        <b/>
        <i/>
        <vertAlign val="subscript"/>
        <sz val="8"/>
        <color theme="1"/>
        <rFont val="Tahoma"/>
        <family val="2"/>
      </rPr>
      <t>si_2024</t>
    </r>
    <r>
      <rPr>
        <b/>
        <i/>
        <sz val="8"/>
        <color theme="1"/>
        <rFont val="Tahoma"/>
        <family val="2"/>
      </rPr>
      <t xml:space="preserve"> - Gestore</t>
    </r>
  </si>
  <si>
    <t>CRD_CONSCOI_24_GEST</t>
  </si>
  <si>
    <t>CRD_CONSCQ_24_GEST</t>
  </si>
  <si>
    <t>CRD_CONSCO116_24_GEST</t>
  </si>
  <si>
    <r>
      <t>Poste rettificative attribuibili a imballaggi CRD</t>
    </r>
    <r>
      <rPr>
        <b/>
        <i/>
        <vertAlign val="subscript"/>
        <sz val="8"/>
        <color theme="1"/>
        <rFont val="Tahoma"/>
        <family val="2"/>
      </rPr>
      <t>si_2024</t>
    </r>
    <r>
      <rPr>
        <b/>
        <i/>
        <sz val="8"/>
        <color theme="1"/>
        <rFont val="Tahoma"/>
        <family val="2"/>
      </rPr>
      <t xml:space="preserve"> - Gestore</t>
    </r>
  </si>
  <si>
    <r>
      <t>CONSUNTIVO COI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 xml:space="preserve"> 2024</t>
    </r>
    <r>
      <rPr>
        <sz val="8"/>
        <color theme="1"/>
        <rFont val="Tahoma"/>
        <family val="2"/>
      </rPr>
      <t xml:space="preserve"> attribuibile a CRD - Gestore</t>
    </r>
  </si>
  <si>
    <r>
      <t>CONSUNTIVO CQ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 xml:space="preserve"> 2024</t>
    </r>
    <r>
      <rPr>
        <sz val="8"/>
        <color theme="1"/>
        <rFont val="Tahoma"/>
        <family val="2"/>
      </rPr>
      <t xml:space="preserve"> attribuibile a CRD - Gestore</t>
    </r>
  </si>
  <si>
    <r>
      <t>CONSUNTIVO CO116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 xml:space="preserve"> 2024</t>
    </r>
    <r>
      <rPr>
        <sz val="8"/>
        <color theme="1"/>
        <rFont val="Tahoma"/>
        <family val="2"/>
      </rPr>
      <t xml:space="preserve"> attribuibile a CRD - Gestore</t>
    </r>
  </si>
  <si>
    <r>
      <t>di cui CONSUNTIVO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2024</t>
    </r>
    <r>
      <rPr>
        <b/>
        <sz val="8"/>
        <color theme="1"/>
        <rFont val="Tahoma"/>
        <family val="2"/>
      </rPr>
      <t xml:space="preserve"> attribuibile a imballaggi CRD - Gestore</t>
    </r>
  </si>
  <si>
    <r>
      <t>di cui CONSUNTIVO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2024</t>
    </r>
    <r>
      <rPr>
        <b/>
        <sz val="8"/>
        <color theme="1"/>
        <rFont val="Tahoma"/>
        <family val="2"/>
      </rPr>
      <t xml:space="preserve"> attribuibile a imballaggi CRD - Gestore</t>
    </r>
  </si>
  <si>
    <r>
      <t>di cui CONSUNTIVO CO116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2024</t>
    </r>
    <r>
      <rPr>
        <b/>
        <sz val="8"/>
        <color theme="1"/>
        <rFont val="Tahoma"/>
        <family val="2"/>
      </rPr>
      <t xml:space="preserve"> attribuibile a imballaggi CRD - Gestore</t>
    </r>
  </si>
  <si>
    <t>Quota dei Costi Operativi di raccolta, trasporto e pretrattamento delle frazioni differenziate relative agli imballagi - Gestore</t>
  </si>
  <si>
    <t>CRD_SI_26_COM</t>
  </si>
  <si>
    <t>CRD_CONSCOI_24_COM</t>
  </si>
  <si>
    <t>CRD_CONSCQ_24_COM</t>
  </si>
  <si>
    <t>CRD_CONSCO116_24_COM</t>
  </si>
  <si>
    <r>
      <t>CRD</t>
    </r>
    <r>
      <rPr>
        <i/>
        <vertAlign val="subscript"/>
        <sz val="8"/>
        <color theme="1"/>
        <rFont val="Tahoma"/>
        <family val="2"/>
      </rPr>
      <t>2024</t>
    </r>
    <r>
      <rPr>
        <i/>
        <sz val="8"/>
        <color theme="1"/>
        <rFont val="Tahoma"/>
        <family val="2"/>
      </rPr>
      <t xml:space="preserve"> - Comune</t>
    </r>
  </si>
  <si>
    <r>
      <t>di cui solo imballaggi CRD</t>
    </r>
    <r>
      <rPr>
        <b/>
        <i/>
        <vertAlign val="subscript"/>
        <sz val="8"/>
        <color theme="1"/>
        <rFont val="Tahoma"/>
        <family val="2"/>
      </rPr>
      <t>si_2024</t>
    </r>
    <r>
      <rPr>
        <b/>
        <i/>
        <sz val="8"/>
        <color theme="1"/>
        <rFont val="Tahoma"/>
        <family val="2"/>
      </rPr>
      <t xml:space="preserve"> - Comune</t>
    </r>
  </si>
  <si>
    <r>
      <t>CONSUNTIVO COI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 xml:space="preserve"> 2024</t>
    </r>
    <r>
      <rPr>
        <sz val="8"/>
        <color theme="1"/>
        <rFont val="Tahoma"/>
        <family val="2"/>
      </rPr>
      <t xml:space="preserve"> attribuibile a CRD - Comune</t>
    </r>
  </si>
  <si>
    <r>
      <t>di cui CONSUNTIVO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2024</t>
    </r>
    <r>
      <rPr>
        <b/>
        <sz val="8"/>
        <color theme="1"/>
        <rFont val="Tahoma"/>
        <family val="2"/>
      </rPr>
      <t xml:space="preserve"> attribuibile a imballaggi CRD - Comune</t>
    </r>
  </si>
  <si>
    <r>
      <t>CONSUNTIVO CQ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 xml:space="preserve"> 2024</t>
    </r>
    <r>
      <rPr>
        <sz val="8"/>
        <color theme="1"/>
        <rFont val="Tahoma"/>
        <family val="2"/>
      </rPr>
      <t xml:space="preserve"> attribuibile a CRD - Comune</t>
    </r>
  </si>
  <si>
    <r>
      <t>di cui CONSUNTIVO 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2024</t>
    </r>
    <r>
      <rPr>
        <b/>
        <sz val="8"/>
        <color theme="1"/>
        <rFont val="Tahoma"/>
        <family val="2"/>
      </rPr>
      <t xml:space="preserve"> attribuibile a imballaggi CRD - Comune</t>
    </r>
  </si>
  <si>
    <r>
      <t>CONSUNTIVO CO116</t>
    </r>
    <r>
      <rPr>
        <vertAlign val="superscript"/>
        <sz val="8"/>
        <color theme="1"/>
        <rFont val="Tahoma"/>
        <family val="2"/>
      </rPr>
      <t>exp</t>
    </r>
    <r>
      <rPr>
        <vertAlign val="subscript"/>
        <sz val="8"/>
        <color theme="1"/>
        <rFont val="Tahoma"/>
        <family val="2"/>
      </rPr>
      <t xml:space="preserve"> 2024</t>
    </r>
    <r>
      <rPr>
        <sz val="8"/>
        <color theme="1"/>
        <rFont val="Tahoma"/>
        <family val="2"/>
      </rPr>
      <t xml:space="preserve"> attribuibile a CRD - Comune</t>
    </r>
  </si>
  <si>
    <r>
      <t>di cui CONSUNTIVO CO116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 xml:space="preserve"> 2024</t>
    </r>
    <r>
      <rPr>
        <b/>
        <sz val="8"/>
        <color theme="1"/>
        <rFont val="Tahoma"/>
        <family val="2"/>
      </rPr>
      <t xml:space="preserve"> attribuibile a imballaggi CRD - Comune</t>
    </r>
  </si>
  <si>
    <r>
      <t>Poste rettificative attribuibili a imballaggi CRD</t>
    </r>
    <r>
      <rPr>
        <b/>
        <i/>
        <vertAlign val="subscript"/>
        <sz val="8"/>
        <color theme="1"/>
        <rFont val="Tahoma"/>
        <family val="2"/>
      </rPr>
      <t>si_2024</t>
    </r>
    <r>
      <rPr>
        <b/>
        <i/>
        <sz val="8"/>
        <color theme="1"/>
        <rFont val="Tahoma"/>
        <family val="2"/>
      </rPr>
      <t xml:space="preserve"> - Comune</t>
    </r>
  </si>
  <si>
    <t>Quota dei Costi Operativi di raccolta, trasporto e pretrattamento delle frazioni differenziate relative agli imballagi - Comune</t>
  </si>
  <si>
    <r>
      <t>CRD</t>
    </r>
    <r>
      <rPr>
        <b/>
        <i/>
        <vertAlign val="subscript"/>
        <sz val="8"/>
        <color theme="1"/>
        <rFont val="Tahoma"/>
        <family val="2"/>
      </rPr>
      <t>SC_si</t>
    </r>
    <r>
      <rPr>
        <b/>
        <i/>
        <sz val="8"/>
        <color theme="1"/>
        <rFont val="Tahoma"/>
        <family val="2"/>
      </rPr>
      <t>_</t>
    </r>
    <r>
      <rPr>
        <b/>
        <i/>
        <vertAlign val="subscript"/>
        <sz val="8"/>
        <color theme="1"/>
        <rFont val="Tahoma"/>
        <family val="2"/>
      </rPr>
      <t>2024</t>
    </r>
    <r>
      <rPr>
        <b/>
        <i/>
        <sz val="8"/>
        <color theme="1"/>
        <rFont val="Tahoma"/>
        <family val="2"/>
      </rPr>
      <t xml:space="preserve"> calcolati</t>
    </r>
  </si>
  <si>
    <r>
      <t>CRD</t>
    </r>
    <r>
      <rPr>
        <b/>
        <i/>
        <vertAlign val="subscript"/>
        <sz val="8"/>
        <color theme="1"/>
        <rFont val="Tahoma"/>
        <family val="2"/>
      </rPr>
      <t>SC_si</t>
    </r>
    <r>
      <rPr>
        <b/>
        <i/>
        <sz val="8"/>
        <color theme="1"/>
        <rFont val="Tahoma"/>
        <family val="2"/>
      </rPr>
      <t>_</t>
    </r>
    <r>
      <rPr>
        <b/>
        <i/>
        <vertAlign val="subscript"/>
        <sz val="8"/>
        <color theme="1"/>
        <rFont val="Tahoma"/>
        <family val="2"/>
      </rPr>
      <t>2024</t>
    </r>
    <r>
      <rPr>
        <b/>
        <i/>
        <sz val="8"/>
        <color theme="1"/>
        <rFont val="Tahoma"/>
        <family val="2"/>
      </rPr>
      <t xml:space="preserve"> calcolati inflazionati</t>
    </r>
  </si>
  <si>
    <t>CRD+PR_26_INFL</t>
  </si>
  <si>
    <t>%RD_SI_26_CALC</t>
  </si>
  <si>
    <r>
      <t>Determinazione CRD</t>
    </r>
    <r>
      <rPr>
        <b/>
        <vertAlign val="subscript"/>
        <sz val="8"/>
        <color rgb="FFFF0000"/>
        <rFont val="Tahoma"/>
        <family val="2"/>
      </rPr>
      <t>SC_si</t>
    </r>
    <r>
      <rPr>
        <b/>
        <sz val="8"/>
        <color rgb="FFFF0000"/>
        <rFont val="Tahoma"/>
        <family val="2"/>
      </rPr>
      <t xml:space="preserve">  [calcolo di default]</t>
    </r>
  </si>
  <si>
    <r>
      <t>|γ1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>|</t>
    </r>
  </si>
  <si>
    <t>GAMMA1_ASS_26</t>
  </si>
  <si>
    <r>
      <t>CRD</t>
    </r>
    <r>
      <rPr>
        <b/>
        <i/>
        <vertAlign val="subscript"/>
        <sz val="8"/>
        <color theme="1"/>
        <rFont val="Tahoma"/>
        <family val="2"/>
      </rPr>
      <t>SC_si</t>
    </r>
    <r>
      <rPr>
        <b/>
        <i/>
        <sz val="8"/>
        <color theme="1"/>
        <rFont val="Tahoma"/>
        <family val="2"/>
      </rPr>
      <t>_</t>
    </r>
    <r>
      <rPr>
        <b/>
        <i/>
        <vertAlign val="subscript"/>
        <sz val="8"/>
        <color theme="1"/>
        <rFont val="Tahoma"/>
        <family val="2"/>
      </rPr>
      <t>2024</t>
    </r>
    <r>
      <rPr>
        <b/>
        <i/>
        <sz val="8"/>
        <color theme="1"/>
        <rFont val="Tahoma"/>
        <family val="2"/>
      </rPr>
      <t xml:space="preserve"> default</t>
    </r>
  </si>
  <si>
    <r>
      <t>CRD</t>
    </r>
    <r>
      <rPr>
        <b/>
        <i/>
        <vertAlign val="subscript"/>
        <sz val="8"/>
        <color theme="1"/>
        <rFont val="Tahoma"/>
        <family val="2"/>
      </rPr>
      <t>SC_si</t>
    </r>
    <r>
      <rPr>
        <b/>
        <i/>
        <sz val="8"/>
        <color theme="1"/>
        <rFont val="Tahoma"/>
        <family val="2"/>
      </rPr>
      <t>_</t>
    </r>
    <r>
      <rPr>
        <b/>
        <i/>
        <vertAlign val="subscript"/>
        <sz val="8"/>
        <color theme="1"/>
        <rFont val="Tahoma"/>
        <family val="2"/>
      </rPr>
      <t>2024</t>
    </r>
    <r>
      <rPr>
        <b/>
        <i/>
        <sz val="8"/>
        <color theme="1"/>
        <rFont val="Tahoma"/>
        <family val="2"/>
      </rPr>
      <t xml:space="preserve"> default inflazionati</t>
    </r>
  </si>
  <si>
    <r>
      <t>CRD</t>
    </r>
    <r>
      <rPr>
        <b/>
        <i/>
        <vertAlign val="subscript"/>
        <sz val="8"/>
        <color theme="1"/>
        <rFont val="Tahoma"/>
        <family val="2"/>
      </rPr>
      <t>SC_si</t>
    </r>
    <r>
      <rPr>
        <b/>
        <i/>
        <sz val="8"/>
        <color theme="1"/>
        <rFont val="Tahoma"/>
        <family val="2"/>
      </rPr>
      <t>_</t>
    </r>
    <r>
      <rPr>
        <b/>
        <i/>
        <vertAlign val="subscript"/>
        <sz val="8"/>
        <color theme="1"/>
        <rFont val="Tahoma"/>
        <family val="2"/>
      </rPr>
      <t>2024</t>
    </r>
  </si>
  <si>
    <r>
      <t>CRD</t>
    </r>
    <r>
      <rPr>
        <b/>
        <i/>
        <vertAlign val="subscript"/>
        <sz val="8"/>
        <color theme="1"/>
        <rFont val="Tahoma"/>
        <family val="2"/>
      </rPr>
      <t>SC_si</t>
    </r>
    <r>
      <rPr>
        <b/>
        <i/>
        <sz val="8"/>
        <color theme="1"/>
        <rFont val="Tahoma"/>
        <family val="2"/>
      </rPr>
      <t>_</t>
    </r>
    <r>
      <rPr>
        <b/>
        <i/>
        <vertAlign val="subscript"/>
        <sz val="8"/>
        <color theme="1"/>
        <rFont val="Tahoma"/>
        <family val="2"/>
      </rPr>
      <t>2024</t>
    </r>
    <r>
      <rPr>
        <b/>
        <i/>
        <sz val="8"/>
        <color theme="1"/>
        <rFont val="Tahoma"/>
        <family val="2"/>
      </rPr>
      <t xml:space="preserve"> inflazionati</t>
    </r>
  </si>
  <si>
    <r>
      <t>Determinazione CRD</t>
    </r>
    <r>
      <rPr>
        <b/>
        <vertAlign val="subscript"/>
        <sz val="8"/>
        <color rgb="FFFF0000"/>
        <rFont val="Tahoma"/>
        <family val="2"/>
      </rPr>
      <t>SC_si</t>
    </r>
  </si>
  <si>
    <r>
      <t>Determinazione dei costi comuni CC</t>
    </r>
    <r>
      <rPr>
        <b/>
        <vertAlign val="subscript"/>
        <sz val="8"/>
        <color rgb="FFFF0000"/>
        <rFont val="Tahoma"/>
        <family val="2"/>
      </rPr>
      <t>SC_si</t>
    </r>
  </si>
  <si>
    <t>CC_26_COM</t>
  </si>
  <si>
    <r>
      <t>∑T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totale delle entrate tariffarie (variabili + fisse) - Ante Detrazioni art. 4.5 Del. 397 - Gestore</t>
    </r>
  </si>
  <si>
    <t>T_26_COM</t>
  </si>
  <si>
    <r>
      <t>∑T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totale delle entrate tariffarie (variabili + fisse) - Ante Detrazioni art. 4.5 Del. 397 - Comune</t>
    </r>
  </si>
  <si>
    <t>T_26</t>
  </si>
  <si>
    <r>
      <t>∑T</t>
    </r>
    <r>
      <rPr>
        <b/>
        <i/>
        <vertAlign val="subscript"/>
        <sz val="8"/>
        <rFont val="Tahoma"/>
        <family val="2"/>
      </rPr>
      <t>2026</t>
    </r>
    <r>
      <rPr>
        <b/>
        <i/>
        <sz val="8"/>
        <rFont val="Tahoma"/>
        <family val="2"/>
      </rPr>
      <t xml:space="preserve"> totale delle entrate tariffarie (variabili + fisse) - Ante Detrazioni art. 4.5 Del. 397</t>
    </r>
  </si>
  <si>
    <t>B_AR_ARSC_26_GEST</t>
  </si>
  <si>
    <t>B_AR_ARSC_26_COM</t>
  </si>
  <si>
    <t>B_AR_ARSC_26</t>
  </si>
  <si>
    <t>COSTI_26_GEST</t>
  </si>
  <si>
    <t>COSTI_26_COM</t>
  </si>
  <si>
    <t>COSTI_26</t>
  </si>
  <si>
    <t>AMM_RD_26_GEST</t>
  </si>
  <si>
    <t>AMM_RD_26_COM</t>
  </si>
  <si>
    <t>AMM_RD_26</t>
  </si>
  <si>
    <t>ACC_RD_26_GEST</t>
  </si>
  <si>
    <t>ACC_RD_26_COM</t>
  </si>
  <si>
    <t>ACC_RD_26</t>
  </si>
  <si>
    <t>R_RD_26_GEST</t>
  </si>
  <si>
    <t>R_RD_26_COM</t>
  </si>
  <si>
    <t>R_RD_26</t>
  </si>
  <si>
    <t>RLIC_RD_26_GEST</t>
  </si>
  <si>
    <t>RLIC_RD_26_COM</t>
  </si>
  <si>
    <t>RLIC_RD_26</t>
  </si>
  <si>
    <t>CKPROP_RD_26_GEST</t>
  </si>
  <si>
    <t>CKPROP_RD_26_COM</t>
  </si>
  <si>
    <t>CKPROP_RD_26</t>
  </si>
  <si>
    <t>CK_CRD_26</t>
  </si>
  <si>
    <r>
      <t>Determinazione dei costi di capitale CK</t>
    </r>
    <r>
      <rPr>
        <b/>
        <vertAlign val="subscript"/>
        <sz val="8"/>
        <color rgb="FFFF0000"/>
        <rFont val="Tahoma"/>
        <family val="2"/>
      </rPr>
      <t>SC_si</t>
    </r>
  </si>
  <si>
    <t>Obiettivi 2026</t>
  </si>
  <si>
    <t>TARGET_H_26</t>
  </si>
  <si>
    <t>CLASSE_TARGET_H_26</t>
  </si>
  <si>
    <r>
      <t>Classe H</t>
    </r>
    <r>
      <rPr>
        <b/>
        <vertAlign val="subscript"/>
        <sz val="8"/>
        <color theme="1"/>
        <rFont val="Tahoma"/>
        <family val="2"/>
      </rPr>
      <t xml:space="preserve">2026 </t>
    </r>
    <r>
      <rPr>
        <b/>
        <sz val="8"/>
        <color theme="1"/>
        <rFont val="Tahoma"/>
        <family val="2"/>
      </rPr>
      <t>target</t>
    </r>
  </si>
  <si>
    <r>
      <t>H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target da conseguire nell'anno 2024 e da verificare nel PEF 2026</t>
    </r>
  </si>
  <si>
    <t>CLASSE_TARGET_H_24</t>
  </si>
  <si>
    <r>
      <t>Classe H</t>
    </r>
    <r>
      <rPr>
        <b/>
        <vertAlign val="subscript"/>
        <sz val="8"/>
        <color theme="1"/>
        <rFont val="Tahoma"/>
        <family val="2"/>
      </rPr>
      <t xml:space="preserve">2024 </t>
    </r>
    <r>
      <rPr>
        <b/>
        <sz val="8"/>
        <color theme="1"/>
        <rFont val="Tahoma"/>
        <family val="2"/>
      </rPr>
      <t>target</t>
    </r>
  </si>
  <si>
    <r>
      <t>Determinazione H riclassificato e componente COrd</t>
    </r>
    <r>
      <rPr>
        <b/>
        <vertAlign val="subscript"/>
        <sz val="8"/>
        <color rgb="FFFF0000"/>
        <rFont val="Tahoma"/>
        <family val="2"/>
      </rPr>
      <t>EFF,TV</t>
    </r>
  </si>
  <si>
    <t>CORD_TV_26</t>
  </si>
  <si>
    <r>
      <t xml:space="preserve">Efficientamento COrd </t>
    </r>
    <r>
      <rPr>
        <b/>
        <vertAlign val="subscript"/>
        <sz val="8"/>
        <color theme="1"/>
        <rFont val="Tahoma"/>
        <family val="2"/>
      </rPr>
      <t>TV, 2026</t>
    </r>
  </si>
  <si>
    <t>CRD_SC_SI_24_CALC_INFL</t>
  </si>
  <si>
    <r>
      <t>Ricavi imballaggi da SC e da mercato -&gt; AR</t>
    </r>
    <r>
      <rPr>
        <b/>
        <i/>
        <vertAlign val="subscript"/>
        <sz val="8"/>
        <color theme="1"/>
        <rFont val="Tahoma"/>
        <family val="2"/>
      </rPr>
      <t>AGG_SC_SI_24</t>
    </r>
    <r>
      <rPr>
        <b/>
        <i/>
        <sz val="8"/>
        <color theme="1"/>
        <rFont val="Tahoma"/>
        <family val="2"/>
      </rPr>
      <t xml:space="preserve"> (inflazionati)</t>
    </r>
  </si>
  <si>
    <r>
      <t>AR</t>
    </r>
    <r>
      <rPr>
        <b/>
        <i/>
        <vertAlign val="subscript"/>
        <sz val="8"/>
        <color theme="1"/>
        <rFont val="Tahoma"/>
        <family val="2"/>
      </rPr>
      <t>SC_si</t>
    </r>
    <r>
      <rPr>
        <b/>
        <i/>
        <sz val="8"/>
        <color theme="1"/>
        <rFont val="Tahoma"/>
        <family val="2"/>
      </rPr>
      <t>_</t>
    </r>
    <r>
      <rPr>
        <b/>
        <i/>
        <vertAlign val="subscript"/>
        <sz val="8"/>
        <color theme="1"/>
        <rFont val="Tahoma"/>
        <family val="2"/>
      </rPr>
      <t>2024</t>
    </r>
    <r>
      <rPr>
        <b/>
        <i/>
        <sz val="8"/>
        <color theme="1"/>
        <rFont val="Tahoma"/>
        <family val="2"/>
      </rPr>
      <t xml:space="preserve"> (inflazionati)</t>
    </r>
  </si>
  <si>
    <r>
      <t>AR</t>
    </r>
    <r>
      <rPr>
        <b/>
        <i/>
        <vertAlign val="subscript"/>
        <sz val="8"/>
        <color theme="1"/>
        <rFont val="Tahoma"/>
        <family val="2"/>
      </rPr>
      <t>si</t>
    </r>
    <r>
      <rPr>
        <b/>
        <i/>
        <sz val="8"/>
        <color theme="1"/>
        <rFont val="Tahoma"/>
        <family val="2"/>
      </rPr>
      <t>_</t>
    </r>
    <r>
      <rPr>
        <b/>
        <i/>
        <vertAlign val="subscript"/>
        <sz val="8"/>
        <color theme="1"/>
        <rFont val="Tahoma"/>
        <family val="2"/>
      </rPr>
      <t>2024</t>
    </r>
    <r>
      <rPr>
        <b/>
        <i/>
        <sz val="8"/>
        <color theme="1"/>
        <rFont val="Tahoma"/>
        <family val="2"/>
      </rPr>
      <t xml:space="preserve"> (inflazionati)</t>
    </r>
  </si>
  <si>
    <t>%RD_SI_24_DEF</t>
  </si>
  <si>
    <t>CC_26</t>
  </si>
  <si>
    <r>
      <t>CC</t>
    </r>
    <r>
      <rPr>
        <i/>
        <vertAlign val="subscript"/>
        <sz val="8"/>
        <color theme="1"/>
        <rFont val="Tahoma"/>
        <family val="2"/>
      </rPr>
      <t>2024</t>
    </r>
    <r>
      <rPr>
        <i/>
        <sz val="8"/>
        <color theme="1"/>
        <rFont val="Tahoma"/>
        <family val="2"/>
      </rPr>
      <t xml:space="preserve"> - Gestore inflazionati</t>
    </r>
  </si>
  <si>
    <r>
      <t>b(AR+AR</t>
    </r>
    <r>
      <rPr>
        <i/>
        <vertAlign val="subscript"/>
        <sz val="8"/>
        <color theme="1"/>
        <rFont val="Tahoma"/>
        <family val="2"/>
      </rPr>
      <t>sc</t>
    </r>
    <r>
      <rPr>
        <i/>
        <sz val="8"/>
        <color theme="1"/>
        <rFont val="Tahoma"/>
        <family val="2"/>
      </rPr>
      <t>)</t>
    </r>
    <r>
      <rPr>
        <i/>
        <vertAlign val="subscript"/>
        <sz val="8"/>
        <color theme="1"/>
        <rFont val="Tahoma"/>
        <family val="2"/>
      </rPr>
      <t>2024</t>
    </r>
    <r>
      <rPr>
        <i/>
        <sz val="8"/>
        <color theme="1"/>
        <rFont val="Tahoma"/>
        <family val="2"/>
      </rPr>
      <t xml:space="preserve"> - Gestore inflazionati</t>
    </r>
  </si>
  <si>
    <r>
      <t>b(AR+AR</t>
    </r>
    <r>
      <rPr>
        <i/>
        <vertAlign val="subscript"/>
        <sz val="8"/>
        <color theme="1"/>
        <rFont val="Tahoma"/>
        <family val="2"/>
      </rPr>
      <t>sc</t>
    </r>
    <r>
      <rPr>
        <i/>
        <sz val="8"/>
        <color theme="1"/>
        <rFont val="Tahoma"/>
        <family val="2"/>
      </rPr>
      <t>)</t>
    </r>
    <r>
      <rPr>
        <i/>
        <vertAlign val="subscript"/>
        <sz val="8"/>
        <color theme="1"/>
        <rFont val="Tahoma"/>
        <family val="2"/>
      </rPr>
      <t>2024</t>
    </r>
    <r>
      <rPr>
        <i/>
        <sz val="8"/>
        <color theme="1"/>
        <rFont val="Tahoma"/>
        <family val="2"/>
      </rPr>
      <t xml:space="preserve"> - Comune inflazionati</t>
    </r>
  </si>
  <si>
    <t>Costi totali - Gestore inflazionati</t>
  </si>
  <si>
    <t>Costi totali - Comune inflazionati</t>
  </si>
  <si>
    <r>
      <t>CC</t>
    </r>
    <r>
      <rPr>
        <i/>
        <vertAlign val="subscript"/>
        <sz val="8"/>
        <color theme="1"/>
        <rFont val="Tahoma"/>
        <family val="2"/>
      </rPr>
      <t>2024</t>
    </r>
    <r>
      <rPr>
        <i/>
        <sz val="8"/>
        <color theme="1"/>
        <rFont val="Tahoma"/>
        <family val="2"/>
      </rPr>
      <t xml:space="preserve"> - Comune inflazionati</t>
    </r>
  </si>
  <si>
    <r>
      <t>CC</t>
    </r>
    <r>
      <rPr>
        <b/>
        <i/>
        <vertAlign val="subscript"/>
        <sz val="8"/>
        <color theme="1"/>
        <rFont val="Tahoma"/>
        <family val="2"/>
      </rPr>
      <t>2024</t>
    </r>
    <r>
      <rPr>
        <b/>
        <i/>
        <sz val="8"/>
        <color theme="1"/>
        <rFont val="Tahoma"/>
        <family val="2"/>
      </rPr>
      <t xml:space="preserve"> inflazionati</t>
    </r>
  </si>
  <si>
    <r>
      <t>b(AR+AR</t>
    </r>
    <r>
      <rPr>
        <b/>
        <i/>
        <vertAlign val="subscript"/>
        <sz val="8"/>
        <color theme="1"/>
        <rFont val="Tahoma"/>
        <family val="2"/>
      </rPr>
      <t>SC</t>
    </r>
    <r>
      <rPr>
        <b/>
        <i/>
        <sz val="8"/>
        <color theme="1"/>
        <rFont val="Tahoma"/>
        <family val="2"/>
      </rPr>
      <t>)</t>
    </r>
    <r>
      <rPr>
        <b/>
        <i/>
        <vertAlign val="subscript"/>
        <sz val="8"/>
        <color theme="1"/>
        <rFont val="Tahoma"/>
        <family val="2"/>
      </rPr>
      <t>2024</t>
    </r>
    <r>
      <rPr>
        <b/>
        <i/>
        <sz val="8"/>
        <color theme="1"/>
        <rFont val="Tahoma"/>
        <family val="2"/>
      </rPr>
      <t xml:space="preserve"> inflazionati</t>
    </r>
  </si>
  <si>
    <r>
      <t>Costi totali</t>
    </r>
    <r>
      <rPr>
        <b/>
        <i/>
        <vertAlign val="subscript"/>
        <sz val="8"/>
        <color theme="1"/>
        <rFont val="Tahoma"/>
        <family val="2"/>
      </rPr>
      <t xml:space="preserve">2024 </t>
    </r>
    <r>
      <rPr>
        <b/>
        <i/>
        <sz val="8"/>
        <color theme="1"/>
        <rFont val="Tahoma"/>
        <family val="2"/>
      </rPr>
      <t>inflazionati</t>
    </r>
  </si>
  <si>
    <r>
      <t>Costi CC</t>
    </r>
    <r>
      <rPr>
        <b/>
        <i/>
        <vertAlign val="subscript"/>
        <sz val="8"/>
        <color theme="1"/>
        <rFont val="Tahoma"/>
        <family val="2"/>
      </rPr>
      <t>SC_si_2024</t>
    </r>
    <r>
      <rPr>
        <b/>
        <i/>
        <sz val="8"/>
        <color theme="1"/>
        <rFont val="Tahoma"/>
        <family val="2"/>
      </rPr>
      <t xml:space="preserve"> inflazionati</t>
    </r>
  </si>
  <si>
    <r>
      <t>AMM</t>
    </r>
    <r>
      <rPr>
        <i/>
        <vertAlign val="subscript"/>
        <sz val="8"/>
        <color theme="1"/>
        <rFont val="Tahoma"/>
        <family val="2"/>
      </rPr>
      <t>RD_2024</t>
    </r>
    <r>
      <rPr>
        <i/>
        <sz val="8"/>
        <color theme="1"/>
        <rFont val="Tahoma"/>
        <family val="2"/>
      </rPr>
      <t xml:space="preserve"> - Gestore</t>
    </r>
  </si>
  <si>
    <r>
      <t>AMM</t>
    </r>
    <r>
      <rPr>
        <i/>
        <vertAlign val="subscript"/>
        <sz val="8"/>
        <color theme="1"/>
        <rFont val="Tahoma"/>
        <family val="2"/>
      </rPr>
      <t>RD_2024</t>
    </r>
    <r>
      <rPr>
        <i/>
        <sz val="8"/>
        <color theme="1"/>
        <rFont val="Tahoma"/>
        <family val="2"/>
      </rPr>
      <t xml:space="preserve"> - Comune</t>
    </r>
  </si>
  <si>
    <r>
      <t>AMM</t>
    </r>
    <r>
      <rPr>
        <b/>
        <i/>
        <vertAlign val="subscript"/>
        <sz val="8"/>
        <color theme="1"/>
        <rFont val="Tahoma"/>
        <family val="2"/>
      </rPr>
      <t>RD_2024</t>
    </r>
  </si>
  <si>
    <r>
      <t>ACC</t>
    </r>
    <r>
      <rPr>
        <i/>
        <vertAlign val="subscript"/>
        <sz val="8"/>
        <color theme="1"/>
        <rFont val="Tahoma"/>
        <family val="2"/>
      </rPr>
      <t>RD_2024</t>
    </r>
    <r>
      <rPr>
        <i/>
        <sz val="8"/>
        <color theme="1"/>
        <rFont val="Tahoma"/>
        <family val="2"/>
      </rPr>
      <t xml:space="preserve"> - Gestore</t>
    </r>
  </si>
  <si>
    <r>
      <t>ACC</t>
    </r>
    <r>
      <rPr>
        <i/>
        <vertAlign val="subscript"/>
        <sz val="8"/>
        <color theme="1"/>
        <rFont val="Tahoma"/>
        <family val="2"/>
      </rPr>
      <t>RD_2024</t>
    </r>
    <r>
      <rPr>
        <i/>
        <sz val="8"/>
        <color theme="1"/>
        <rFont val="Tahoma"/>
        <family val="2"/>
      </rPr>
      <t xml:space="preserve"> - Comune</t>
    </r>
  </si>
  <si>
    <r>
      <t>ACC</t>
    </r>
    <r>
      <rPr>
        <b/>
        <i/>
        <vertAlign val="subscript"/>
        <sz val="8"/>
        <color theme="1"/>
        <rFont val="Tahoma"/>
        <family val="2"/>
      </rPr>
      <t>RD_2024</t>
    </r>
  </si>
  <si>
    <r>
      <t>R</t>
    </r>
    <r>
      <rPr>
        <i/>
        <vertAlign val="subscript"/>
        <sz val="8"/>
        <color theme="1"/>
        <rFont val="Tahoma"/>
        <family val="2"/>
      </rPr>
      <t>RD_2024</t>
    </r>
    <r>
      <rPr>
        <i/>
        <sz val="8"/>
        <color theme="1"/>
        <rFont val="Tahoma"/>
        <family val="2"/>
      </rPr>
      <t xml:space="preserve"> - Gestore</t>
    </r>
  </si>
  <si>
    <r>
      <t>R</t>
    </r>
    <r>
      <rPr>
        <i/>
        <vertAlign val="subscript"/>
        <sz val="8"/>
        <color theme="1"/>
        <rFont val="Tahoma"/>
        <family val="2"/>
      </rPr>
      <t>RD_2024</t>
    </r>
    <r>
      <rPr>
        <i/>
        <sz val="8"/>
        <color theme="1"/>
        <rFont val="Tahoma"/>
        <family val="2"/>
      </rPr>
      <t xml:space="preserve"> - Comune</t>
    </r>
  </si>
  <si>
    <r>
      <t>R</t>
    </r>
    <r>
      <rPr>
        <b/>
        <i/>
        <vertAlign val="subscript"/>
        <sz val="8"/>
        <color theme="1"/>
        <rFont val="Tahoma"/>
        <family val="2"/>
      </rPr>
      <t>RD_2024</t>
    </r>
  </si>
  <si>
    <r>
      <t>Rlic</t>
    </r>
    <r>
      <rPr>
        <i/>
        <vertAlign val="subscript"/>
        <sz val="8"/>
        <color theme="1"/>
        <rFont val="Tahoma"/>
        <family val="2"/>
      </rPr>
      <t>RD_2024</t>
    </r>
    <r>
      <rPr>
        <i/>
        <sz val="8"/>
        <color theme="1"/>
        <rFont val="Tahoma"/>
        <family val="2"/>
      </rPr>
      <t xml:space="preserve"> - Gestore</t>
    </r>
  </si>
  <si>
    <r>
      <t>Rlic</t>
    </r>
    <r>
      <rPr>
        <i/>
        <vertAlign val="subscript"/>
        <sz val="8"/>
        <color theme="1"/>
        <rFont val="Tahoma"/>
        <family val="2"/>
      </rPr>
      <t>RD_2024</t>
    </r>
    <r>
      <rPr>
        <i/>
        <sz val="8"/>
        <color theme="1"/>
        <rFont val="Tahoma"/>
        <family val="2"/>
      </rPr>
      <t xml:space="preserve"> - Comune</t>
    </r>
  </si>
  <si>
    <r>
      <t>Rlic</t>
    </r>
    <r>
      <rPr>
        <b/>
        <i/>
        <vertAlign val="subscript"/>
        <sz val="8"/>
        <color theme="1"/>
        <rFont val="Tahoma"/>
        <family val="2"/>
      </rPr>
      <t>RD_2024</t>
    </r>
  </si>
  <si>
    <r>
      <t>CKprop</t>
    </r>
    <r>
      <rPr>
        <i/>
        <vertAlign val="subscript"/>
        <sz val="8"/>
        <color theme="1"/>
        <rFont val="Tahoma"/>
        <family val="2"/>
      </rPr>
      <t>RD_2024</t>
    </r>
    <r>
      <rPr>
        <i/>
        <sz val="8"/>
        <color theme="1"/>
        <rFont val="Tahoma"/>
        <family val="2"/>
      </rPr>
      <t xml:space="preserve"> - Gestore</t>
    </r>
  </si>
  <si>
    <r>
      <t>CKprop</t>
    </r>
    <r>
      <rPr>
        <i/>
        <vertAlign val="subscript"/>
        <sz val="8"/>
        <color theme="1"/>
        <rFont val="Tahoma"/>
        <family val="2"/>
      </rPr>
      <t>RD_2024</t>
    </r>
    <r>
      <rPr>
        <i/>
        <sz val="8"/>
        <color theme="1"/>
        <rFont val="Tahoma"/>
        <family val="2"/>
      </rPr>
      <t xml:space="preserve"> - Comune</t>
    </r>
  </si>
  <si>
    <r>
      <t>CKprop</t>
    </r>
    <r>
      <rPr>
        <b/>
        <i/>
        <vertAlign val="subscript"/>
        <sz val="8"/>
        <color theme="1"/>
        <rFont val="Tahoma"/>
        <family val="2"/>
      </rPr>
      <t>RD_2024</t>
    </r>
  </si>
  <si>
    <r>
      <t>Costi CK</t>
    </r>
    <r>
      <rPr>
        <b/>
        <i/>
        <vertAlign val="subscript"/>
        <sz val="8"/>
        <color theme="1"/>
        <rFont val="Tahoma"/>
        <family val="2"/>
      </rPr>
      <t>RD_2024</t>
    </r>
  </si>
  <si>
    <t>CC_CRD_SC_SI_24</t>
  </si>
  <si>
    <t>CK_CRD_SC_SI_24</t>
  </si>
  <si>
    <r>
      <t>Determinazione H</t>
    </r>
    <r>
      <rPr>
        <b/>
        <vertAlign val="subscript"/>
        <sz val="8"/>
        <color rgb="FFFF0000"/>
        <rFont val="Tahoma"/>
        <family val="2"/>
      </rPr>
      <t>2024</t>
    </r>
    <r>
      <rPr>
        <b/>
        <sz val="8"/>
        <color rgb="FFFF0000"/>
        <rFont val="Tahoma"/>
        <family val="2"/>
      </rPr>
      <t xml:space="preserve"> effettivo e obiettivi 2026 e 2027</t>
    </r>
  </si>
  <si>
    <r>
      <t>H effettivo</t>
    </r>
    <r>
      <rPr>
        <b/>
        <vertAlign val="subscript"/>
        <sz val="8"/>
        <color theme="1"/>
        <rFont val="Tahoma"/>
        <family val="2"/>
      </rPr>
      <t>2024</t>
    </r>
  </si>
  <si>
    <t>H_EFFETTIVO_24</t>
  </si>
  <si>
    <t>CLASSE_H_EFFETTIVO_24</t>
  </si>
  <si>
    <r>
      <t>Classe H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effettivo</t>
    </r>
  </si>
  <si>
    <r>
      <t>H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target da conseguire nel 2026 e da verificare nel PEF 2028</t>
    </r>
  </si>
  <si>
    <r>
      <t>H</t>
    </r>
    <r>
      <rPr>
        <b/>
        <vertAlign val="subscript"/>
        <sz val="8"/>
        <color rgb="FFFF0000"/>
        <rFont val="Tahoma"/>
        <family val="2"/>
      </rPr>
      <t>2022</t>
    </r>
    <r>
      <rPr>
        <b/>
        <sz val="8"/>
        <color rgb="FFFF0000"/>
        <rFont val="Tahoma"/>
        <family val="2"/>
      </rPr>
      <t xml:space="preserve"> di partenza e obiettivi 2024</t>
    </r>
  </si>
  <si>
    <t>AR_AGG_SC_SI_22_INFL</t>
  </si>
  <si>
    <t>CRD_AGG_SC_SI_22_INFL</t>
  </si>
  <si>
    <r>
      <t>Ricavi imballaggi da SC e da mercato -&gt; AR</t>
    </r>
    <r>
      <rPr>
        <b/>
        <i/>
        <vertAlign val="subscript"/>
        <sz val="8"/>
        <color theme="1"/>
        <rFont val="Tahoma"/>
        <family val="2"/>
      </rPr>
      <t>AGG_SC_SI_22</t>
    </r>
    <r>
      <rPr>
        <b/>
        <i/>
        <sz val="8"/>
        <color theme="1"/>
        <rFont val="Tahoma"/>
        <family val="2"/>
      </rPr>
      <t xml:space="preserve"> inflazionati</t>
    </r>
  </si>
  <si>
    <r>
      <t>Costi imballaggi CRD</t>
    </r>
    <r>
      <rPr>
        <b/>
        <i/>
        <vertAlign val="subscript"/>
        <sz val="8"/>
        <color theme="1"/>
        <rFont val="Tahoma"/>
        <family val="2"/>
      </rPr>
      <t>AGG_SC_si_2022</t>
    </r>
  </si>
  <si>
    <t>H_PARTENZA_22</t>
  </si>
  <si>
    <r>
      <t>H</t>
    </r>
    <r>
      <rPr>
        <b/>
        <vertAlign val="subscript"/>
        <sz val="8"/>
        <color theme="1"/>
        <rFont val="Tahoma"/>
        <family val="2"/>
      </rPr>
      <t xml:space="preserve">2022 </t>
    </r>
    <r>
      <rPr>
        <b/>
        <sz val="8"/>
        <color theme="1"/>
        <rFont val="Tahoma"/>
        <family val="2"/>
      </rPr>
      <t>partenza</t>
    </r>
  </si>
  <si>
    <r>
      <t>Classe H</t>
    </r>
    <r>
      <rPr>
        <b/>
        <vertAlign val="subscript"/>
        <sz val="8"/>
        <color theme="1"/>
        <rFont val="Tahoma"/>
        <family val="2"/>
      </rPr>
      <t>2022</t>
    </r>
    <r>
      <rPr>
        <b/>
        <sz val="8"/>
        <color theme="1"/>
        <rFont val="Tahoma"/>
        <family val="2"/>
      </rPr>
      <t xml:space="preserve"> partenza</t>
    </r>
  </si>
  <si>
    <t>CLASSE_H_PARTENZA_22</t>
  </si>
  <si>
    <t>AR_AGG_SC_SI_24_INFL_RICL</t>
  </si>
  <si>
    <t>CRD_AGG_SC_SI_24_INFL_RICL</t>
  </si>
  <si>
    <r>
      <t>Ricavi imballaggi da SC e da mercato -&gt; AR</t>
    </r>
    <r>
      <rPr>
        <b/>
        <i/>
        <vertAlign val="subscript"/>
        <sz val="8"/>
        <color theme="1"/>
        <rFont val="Tahoma"/>
        <family val="2"/>
      </rPr>
      <t>AGG_SC_SI_24</t>
    </r>
    <r>
      <rPr>
        <b/>
        <i/>
        <sz val="8"/>
        <color theme="1"/>
        <rFont val="Tahoma"/>
        <family val="2"/>
      </rPr>
      <t xml:space="preserve"> riclassificati</t>
    </r>
  </si>
  <si>
    <r>
      <t>Costi imballaggi CRD</t>
    </r>
    <r>
      <rPr>
        <b/>
        <i/>
        <vertAlign val="subscript"/>
        <sz val="8"/>
        <color theme="1"/>
        <rFont val="Tahoma"/>
        <family val="2"/>
      </rPr>
      <t xml:space="preserve">AGG_SC_si_2024 </t>
    </r>
    <r>
      <rPr>
        <b/>
        <i/>
        <sz val="8"/>
        <color theme="1"/>
        <rFont val="Tahoma"/>
        <family val="2"/>
      </rPr>
      <t>riclassificati</t>
    </r>
  </si>
  <si>
    <t>H_RICL_24</t>
  </si>
  <si>
    <t>CLASSE_H_RICL_24</t>
  </si>
  <si>
    <r>
      <t>H</t>
    </r>
    <r>
      <rPr>
        <b/>
        <vertAlign val="subscript"/>
        <sz val="8"/>
        <color theme="1"/>
        <rFont val="Tahoma"/>
        <family val="2"/>
      </rPr>
      <t xml:space="preserve">2024 </t>
    </r>
    <r>
      <rPr>
        <b/>
        <sz val="8"/>
        <color theme="1"/>
        <rFont val="Tahoma"/>
        <family val="2"/>
      </rPr>
      <t>riclassificato</t>
    </r>
  </si>
  <si>
    <r>
      <t>Classe H</t>
    </r>
    <r>
      <rPr>
        <b/>
        <vertAlign val="subscript"/>
        <sz val="8"/>
        <color theme="1"/>
        <rFont val="Tahoma"/>
        <family val="2"/>
      </rPr>
      <t>2024</t>
    </r>
    <r>
      <rPr>
        <b/>
        <sz val="8"/>
        <color theme="1"/>
        <rFont val="Tahoma"/>
        <family val="2"/>
      </rPr>
      <t xml:space="preserve"> riclassificato</t>
    </r>
  </si>
  <si>
    <t>CK_GESTORE</t>
  </si>
  <si>
    <t>2024_2024_GEST</t>
  </si>
  <si>
    <t>2024_2023_GEST</t>
  </si>
  <si>
    <t>2024_2022_GEST</t>
  </si>
  <si>
    <t>2024_2021_GEST</t>
  </si>
  <si>
    <t>LIC movimentati nel 2024</t>
  </si>
  <si>
    <r>
      <t xml:space="preserve">Remunerazione del CIN  –&gt; </t>
    </r>
    <r>
      <rPr>
        <b/>
        <sz val="8"/>
        <rFont val="Tahoma"/>
        <family val="2"/>
      </rPr>
      <t>R</t>
    </r>
    <r>
      <rPr>
        <b/>
        <vertAlign val="subscript"/>
        <sz val="8"/>
        <rFont val="Tahoma"/>
        <family val="2"/>
      </rPr>
      <t>2026</t>
    </r>
  </si>
  <si>
    <r>
      <t xml:space="preserve">Remunerazione del LIC  –&gt; </t>
    </r>
    <r>
      <rPr>
        <b/>
        <sz val="8"/>
        <rFont val="Tahoma"/>
        <family val="2"/>
      </rPr>
      <t>R</t>
    </r>
    <r>
      <rPr>
        <b/>
        <vertAlign val="subscript"/>
        <sz val="8"/>
        <rFont val="Tahoma"/>
        <family val="2"/>
      </rPr>
      <t>LIC2026</t>
    </r>
  </si>
  <si>
    <r>
      <t xml:space="preserve">Ammortamenti e Canoni –&gt; </t>
    </r>
    <r>
      <rPr>
        <b/>
        <sz val="8"/>
        <rFont val="Tahoma"/>
        <family val="2"/>
      </rPr>
      <t>Amm</t>
    </r>
    <r>
      <rPr>
        <b/>
        <vertAlign val="subscript"/>
        <sz val="8"/>
        <rFont val="Tahoma"/>
        <family val="2"/>
      </rPr>
      <t>2026</t>
    </r>
  </si>
  <si>
    <r>
      <t xml:space="preserve">Costi d'uso del capitale di cui all'art. 13.11 -&gt; </t>
    </r>
    <r>
      <rPr>
        <b/>
        <sz val="8"/>
        <rFont val="Tahoma"/>
        <family val="2"/>
      </rPr>
      <t>CK</t>
    </r>
    <r>
      <rPr>
        <b/>
        <vertAlign val="subscript"/>
        <sz val="8"/>
        <rFont val="Tahoma"/>
        <family val="2"/>
      </rPr>
      <t>proprietari 2026</t>
    </r>
  </si>
  <si>
    <r>
      <t>WACC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Post2018</t>
    </r>
  </si>
  <si>
    <r>
      <t>WACC</t>
    </r>
    <r>
      <rPr>
        <vertAlign val="subscript"/>
        <sz val="8"/>
        <color theme="1"/>
        <rFont val="Tahoma"/>
        <family val="2"/>
      </rPr>
      <t>2026</t>
    </r>
    <r>
      <rPr>
        <sz val="8"/>
        <color theme="1"/>
        <rFont val="Tahoma"/>
        <family val="2"/>
      </rPr>
      <t xml:space="preserve"> - Ante2018</t>
    </r>
  </si>
  <si>
    <r>
      <t>CIN</t>
    </r>
    <r>
      <rPr>
        <b/>
        <vertAlign val="subscript"/>
        <sz val="8"/>
        <color theme="1"/>
        <rFont val="Tahoma"/>
        <family val="2"/>
      </rPr>
      <t>2026</t>
    </r>
  </si>
  <si>
    <r>
      <t>IMN</t>
    </r>
    <r>
      <rPr>
        <b/>
        <vertAlign val="subscript"/>
        <sz val="8"/>
        <color theme="1"/>
        <rFont val="Tahoma"/>
        <family val="2"/>
      </rPr>
      <t>2026</t>
    </r>
  </si>
  <si>
    <r>
      <t xml:space="preserve">Poste rettificate capitale –&gt; </t>
    </r>
    <r>
      <rPr>
        <b/>
        <sz val="8"/>
        <color theme="1"/>
        <rFont val="Tahoma"/>
        <family val="2"/>
      </rPr>
      <t>PR</t>
    </r>
    <r>
      <rPr>
        <b/>
        <vertAlign val="subscript"/>
        <sz val="8"/>
        <color theme="1"/>
        <rFont val="Tahoma"/>
        <family val="2"/>
      </rPr>
      <t>2026</t>
    </r>
  </si>
  <si>
    <r>
      <t xml:space="preserve">Capitale circolante netto –&gt; </t>
    </r>
    <r>
      <rPr>
        <b/>
        <sz val="8"/>
        <color theme="1"/>
        <rFont val="Tahoma"/>
        <family val="2"/>
      </rPr>
      <t>CCN</t>
    </r>
    <r>
      <rPr>
        <b/>
        <vertAlign val="subscript"/>
        <sz val="8"/>
        <color theme="1"/>
        <rFont val="Tahoma"/>
        <family val="2"/>
      </rPr>
      <t>2026</t>
    </r>
  </si>
  <si>
    <r>
      <t>Ricavi</t>
    </r>
    <r>
      <rPr>
        <b/>
        <vertAlign val="subscript"/>
        <sz val="8"/>
        <color theme="1"/>
        <rFont val="Tahoma"/>
        <family val="2"/>
      </rPr>
      <t>2026</t>
    </r>
  </si>
  <si>
    <r>
      <t>Costi</t>
    </r>
    <r>
      <rPr>
        <b/>
        <vertAlign val="superscript"/>
        <sz val="8"/>
        <color theme="1"/>
        <rFont val="Tahoma"/>
        <family val="2"/>
      </rPr>
      <t>B6,B7</t>
    </r>
    <r>
      <rPr>
        <b/>
        <vertAlign val="subscript"/>
        <sz val="8"/>
        <color theme="1"/>
        <rFont val="Tahoma"/>
        <family val="2"/>
      </rPr>
      <t>2026</t>
    </r>
  </si>
  <si>
    <r>
      <t>AMM</t>
    </r>
    <r>
      <rPr>
        <b/>
        <vertAlign val="subscript"/>
        <sz val="8"/>
        <color theme="1"/>
        <rFont val="Tahoma"/>
        <family val="2"/>
      </rPr>
      <t>2026</t>
    </r>
  </si>
  <si>
    <r>
      <t>RLIC</t>
    </r>
    <r>
      <rPr>
        <b/>
        <vertAlign val="subscript"/>
        <sz val="8"/>
        <color theme="1"/>
        <rFont val="Tahoma"/>
        <family val="2"/>
      </rPr>
      <t>2026</t>
    </r>
  </si>
  <si>
    <r>
      <t>CK</t>
    </r>
    <r>
      <rPr>
        <b/>
        <vertAlign val="subscript"/>
        <sz val="8"/>
        <color theme="1"/>
        <rFont val="Tahoma"/>
        <family val="2"/>
      </rPr>
      <t>proprietari 2026</t>
    </r>
  </si>
  <si>
    <r>
      <t xml:space="preserve">Remunerazione del CIN  –&gt; </t>
    </r>
    <r>
      <rPr>
        <b/>
        <sz val="8"/>
        <rFont val="Tahoma"/>
        <family val="2"/>
      </rPr>
      <t>R</t>
    </r>
    <r>
      <rPr>
        <b/>
        <vertAlign val="subscript"/>
        <sz val="8"/>
        <rFont val="Tahoma"/>
        <family val="2"/>
      </rPr>
      <t>2027</t>
    </r>
  </si>
  <si>
    <r>
      <t xml:space="preserve">Remunerazione del LIC  –&gt; </t>
    </r>
    <r>
      <rPr>
        <b/>
        <sz val="8"/>
        <rFont val="Tahoma"/>
        <family val="2"/>
      </rPr>
      <t>R</t>
    </r>
    <r>
      <rPr>
        <b/>
        <vertAlign val="subscript"/>
        <sz val="8"/>
        <rFont val="Tahoma"/>
        <family val="2"/>
      </rPr>
      <t>LIC2027</t>
    </r>
  </si>
  <si>
    <r>
      <t xml:space="preserve">Ammortamenti e Canoni –&gt; </t>
    </r>
    <r>
      <rPr>
        <b/>
        <sz val="8"/>
        <rFont val="Tahoma"/>
        <family val="2"/>
      </rPr>
      <t>Amm</t>
    </r>
    <r>
      <rPr>
        <b/>
        <vertAlign val="subscript"/>
        <sz val="8"/>
        <rFont val="Tahoma"/>
        <family val="2"/>
      </rPr>
      <t>2027</t>
    </r>
  </si>
  <si>
    <r>
      <t xml:space="preserve">Costi d'uso del capitale di cui all'art. 13.11 -&gt; </t>
    </r>
    <r>
      <rPr>
        <b/>
        <sz val="8"/>
        <rFont val="Tahoma"/>
        <family val="2"/>
      </rPr>
      <t>CK</t>
    </r>
    <r>
      <rPr>
        <b/>
        <vertAlign val="subscript"/>
        <sz val="8"/>
        <rFont val="Tahoma"/>
        <family val="2"/>
      </rPr>
      <t>proprietari 2027</t>
    </r>
  </si>
  <si>
    <r>
      <t>CIN</t>
    </r>
    <r>
      <rPr>
        <b/>
        <vertAlign val="subscript"/>
        <sz val="8"/>
        <color theme="1"/>
        <rFont val="Tahoma"/>
        <family val="2"/>
      </rPr>
      <t>2027</t>
    </r>
  </si>
  <si>
    <r>
      <t>IMN</t>
    </r>
    <r>
      <rPr>
        <b/>
        <vertAlign val="subscript"/>
        <sz val="8"/>
        <color theme="1"/>
        <rFont val="Tahoma"/>
        <family val="2"/>
      </rPr>
      <t>2027</t>
    </r>
  </si>
  <si>
    <r>
      <t xml:space="preserve">Poste rettificate capitale –&gt; </t>
    </r>
    <r>
      <rPr>
        <b/>
        <sz val="8"/>
        <color theme="1"/>
        <rFont val="Tahoma"/>
        <family val="2"/>
      </rPr>
      <t>PR</t>
    </r>
    <r>
      <rPr>
        <b/>
        <vertAlign val="subscript"/>
        <sz val="8"/>
        <color theme="1"/>
        <rFont val="Tahoma"/>
        <family val="2"/>
      </rPr>
      <t>2027</t>
    </r>
  </si>
  <si>
    <r>
      <t xml:space="preserve">Capitale circolante netto –&gt; </t>
    </r>
    <r>
      <rPr>
        <b/>
        <sz val="8"/>
        <color theme="1"/>
        <rFont val="Tahoma"/>
        <family val="2"/>
      </rPr>
      <t>CCN</t>
    </r>
    <r>
      <rPr>
        <b/>
        <vertAlign val="subscript"/>
        <sz val="8"/>
        <color theme="1"/>
        <rFont val="Tahoma"/>
        <family val="2"/>
      </rPr>
      <t>2027</t>
    </r>
  </si>
  <si>
    <r>
      <t>Ricavi</t>
    </r>
    <r>
      <rPr>
        <b/>
        <vertAlign val="subscript"/>
        <sz val="8"/>
        <color theme="1"/>
        <rFont val="Tahoma"/>
        <family val="2"/>
      </rPr>
      <t>2027</t>
    </r>
  </si>
  <si>
    <r>
      <t>Costi</t>
    </r>
    <r>
      <rPr>
        <b/>
        <vertAlign val="superscript"/>
        <sz val="8"/>
        <color theme="1"/>
        <rFont val="Tahoma"/>
        <family val="2"/>
      </rPr>
      <t>B6,B7</t>
    </r>
    <r>
      <rPr>
        <b/>
        <vertAlign val="subscript"/>
        <sz val="8"/>
        <color theme="1"/>
        <rFont val="Tahoma"/>
        <family val="2"/>
      </rPr>
      <t>2027</t>
    </r>
  </si>
  <si>
    <r>
      <t>I</t>
    </r>
    <r>
      <rPr>
        <b/>
        <vertAlign val="superscript"/>
        <sz val="8"/>
        <color theme="1"/>
        <rFont val="Tahoma"/>
        <family val="2"/>
      </rPr>
      <t>2026</t>
    </r>
  </si>
  <si>
    <r>
      <t>I</t>
    </r>
    <r>
      <rPr>
        <b/>
        <vertAlign val="superscript"/>
        <sz val="8"/>
        <color theme="1"/>
        <rFont val="Tahoma"/>
        <family val="2"/>
      </rPr>
      <t>2027</t>
    </r>
  </si>
  <si>
    <r>
      <t>AMM</t>
    </r>
    <r>
      <rPr>
        <b/>
        <vertAlign val="subscript"/>
        <sz val="8"/>
        <color theme="1"/>
        <rFont val="Tahoma"/>
        <family val="2"/>
      </rPr>
      <t>2027</t>
    </r>
  </si>
  <si>
    <r>
      <t>RLIC</t>
    </r>
    <r>
      <rPr>
        <b/>
        <vertAlign val="subscript"/>
        <sz val="8"/>
        <color theme="1"/>
        <rFont val="Tahoma"/>
        <family val="2"/>
      </rPr>
      <t>2027</t>
    </r>
  </si>
  <si>
    <r>
      <t>CK</t>
    </r>
    <r>
      <rPr>
        <b/>
        <vertAlign val="subscript"/>
        <sz val="8"/>
        <color theme="1"/>
        <rFont val="Tahoma"/>
        <family val="2"/>
      </rPr>
      <t>proprietari 2027</t>
    </r>
  </si>
  <si>
    <t>2025_2025_GEST</t>
  </si>
  <si>
    <t>2025_2022_GEST</t>
  </si>
  <si>
    <t>2025_2024_GEST</t>
  </si>
  <si>
    <t>2025_2023_GEST</t>
  </si>
  <si>
    <t>LIC movimentati nel 2025</t>
  </si>
  <si>
    <r>
      <t>I</t>
    </r>
    <r>
      <rPr>
        <b/>
        <vertAlign val="superscript"/>
        <sz val="8"/>
        <color theme="1"/>
        <rFont val="Tahoma"/>
        <family val="2"/>
      </rPr>
      <t>2028</t>
    </r>
  </si>
  <si>
    <r>
      <t>I</t>
    </r>
    <r>
      <rPr>
        <b/>
        <vertAlign val="superscript"/>
        <sz val="8"/>
        <color theme="1"/>
        <rFont val="Tahoma"/>
        <family val="2"/>
      </rPr>
      <t>2029</t>
    </r>
  </si>
  <si>
    <r>
      <t xml:space="preserve">Remunerazione del CIN  –&gt; </t>
    </r>
    <r>
      <rPr>
        <b/>
        <sz val="8"/>
        <rFont val="Tahoma"/>
        <family val="2"/>
      </rPr>
      <t>R</t>
    </r>
    <r>
      <rPr>
        <b/>
        <vertAlign val="subscript"/>
        <sz val="8"/>
        <rFont val="Tahoma"/>
        <family val="2"/>
      </rPr>
      <t>2028</t>
    </r>
  </si>
  <si>
    <r>
      <t xml:space="preserve">Remunerazione del LIC  –&gt; </t>
    </r>
    <r>
      <rPr>
        <b/>
        <sz val="8"/>
        <rFont val="Tahoma"/>
        <family val="2"/>
      </rPr>
      <t>R</t>
    </r>
    <r>
      <rPr>
        <b/>
        <vertAlign val="subscript"/>
        <sz val="8"/>
        <rFont val="Tahoma"/>
        <family val="2"/>
      </rPr>
      <t>LIC2028</t>
    </r>
  </si>
  <si>
    <r>
      <t xml:space="preserve">Ammortamenti e Canoni –&gt; </t>
    </r>
    <r>
      <rPr>
        <b/>
        <sz val="8"/>
        <rFont val="Tahoma"/>
        <family val="2"/>
      </rPr>
      <t>Amm</t>
    </r>
    <r>
      <rPr>
        <b/>
        <vertAlign val="subscript"/>
        <sz val="8"/>
        <rFont val="Tahoma"/>
        <family val="2"/>
      </rPr>
      <t>2028</t>
    </r>
  </si>
  <si>
    <r>
      <t xml:space="preserve">Costi d'uso del capitale di cui all'art. 13.11 -&gt; </t>
    </r>
    <r>
      <rPr>
        <b/>
        <sz val="8"/>
        <rFont val="Tahoma"/>
        <family val="2"/>
      </rPr>
      <t>CK</t>
    </r>
    <r>
      <rPr>
        <b/>
        <vertAlign val="subscript"/>
        <sz val="8"/>
        <rFont val="Tahoma"/>
        <family val="2"/>
      </rPr>
      <t>proprietari 2028</t>
    </r>
  </si>
  <si>
    <r>
      <t>CIN</t>
    </r>
    <r>
      <rPr>
        <b/>
        <vertAlign val="subscript"/>
        <sz val="8"/>
        <color theme="1"/>
        <rFont val="Tahoma"/>
        <family val="2"/>
      </rPr>
      <t>20284</t>
    </r>
  </si>
  <si>
    <r>
      <t>CIN</t>
    </r>
    <r>
      <rPr>
        <b/>
        <vertAlign val="subscript"/>
        <sz val="8"/>
        <color theme="1"/>
        <rFont val="Tahoma"/>
        <family val="2"/>
      </rPr>
      <t>2028</t>
    </r>
  </si>
  <si>
    <r>
      <t>IMN</t>
    </r>
    <r>
      <rPr>
        <b/>
        <vertAlign val="subscript"/>
        <sz val="8"/>
        <color theme="1"/>
        <rFont val="Tahoma"/>
        <family val="2"/>
      </rPr>
      <t>2028</t>
    </r>
  </si>
  <si>
    <r>
      <t xml:space="preserve">Poste rettificate capitale –&gt; </t>
    </r>
    <r>
      <rPr>
        <b/>
        <sz val="8"/>
        <color theme="1"/>
        <rFont val="Tahoma"/>
        <family val="2"/>
      </rPr>
      <t>PR</t>
    </r>
    <r>
      <rPr>
        <b/>
        <vertAlign val="subscript"/>
        <sz val="8"/>
        <color theme="1"/>
        <rFont val="Tahoma"/>
        <family val="2"/>
      </rPr>
      <t>2028</t>
    </r>
  </si>
  <si>
    <r>
      <t xml:space="preserve">Capitale circolante netto –&gt; </t>
    </r>
    <r>
      <rPr>
        <b/>
        <sz val="8"/>
        <color theme="1"/>
        <rFont val="Tahoma"/>
        <family val="2"/>
      </rPr>
      <t>CCN</t>
    </r>
    <r>
      <rPr>
        <b/>
        <vertAlign val="subscript"/>
        <sz val="8"/>
        <color theme="1"/>
        <rFont val="Tahoma"/>
        <family val="2"/>
      </rPr>
      <t>2028</t>
    </r>
  </si>
  <si>
    <r>
      <t>Ricavi</t>
    </r>
    <r>
      <rPr>
        <b/>
        <vertAlign val="subscript"/>
        <sz val="8"/>
        <color theme="1"/>
        <rFont val="Tahoma"/>
        <family val="2"/>
      </rPr>
      <t>2028</t>
    </r>
  </si>
  <si>
    <r>
      <t>Costi</t>
    </r>
    <r>
      <rPr>
        <b/>
        <vertAlign val="superscript"/>
        <sz val="8"/>
        <color theme="1"/>
        <rFont val="Tahoma"/>
        <family val="2"/>
      </rPr>
      <t>B6,B7</t>
    </r>
    <r>
      <rPr>
        <b/>
        <vertAlign val="subscript"/>
        <sz val="8"/>
        <color theme="1"/>
        <rFont val="Tahoma"/>
        <family val="2"/>
      </rPr>
      <t>2028</t>
    </r>
  </si>
  <si>
    <r>
      <t>AMM</t>
    </r>
    <r>
      <rPr>
        <b/>
        <vertAlign val="subscript"/>
        <sz val="8"/>
        <color theme="1"/>
        <rFont val="Tahoma"/>
        <family val="2"/>
      </rPr>
      <t>2028</t>
    </r>
  </si>
  <si>
    <r>
      <t>RLIC</t>
    </r>
    <r>
      <rPr>
        <b/>
        <vertAlign val="subscript"/>
        <sz val="8"/>
        <color theme="1"/>
        <rFont val="Tahoma"/>
        <family val="2"/>
      </rPr>
      <t>2028</t>
    </r>
  </si>
  <si>
    <r>
      <t>CK</t>
    </r>
    <r>
      <rPr>
        <b/>
        <vertAlign val="subscript"/>
        <sz val="8"/>
        <color theme="1"/>
        <rFont val="Tahoma"/>
        <family val="2"/>
      </rPr>
      <t>proprietari 2028</t>
    </r>
  </si>
  <si>
    <r>
      <t xml:space="preserve">Remunerazione del CIN  –&gt; </t>
    </r>
    <r>
      <rPr>
        <b/>
        <sz val="8"/>
        <rFont val="Tahoma"/>
        <family val="2"/>
      </rPr>
      <t>R</t>
    </r>
    <r>
      <rPr>
        <b/>
        <vertAlign val="subscript"/>
        <sz val="8"/>
        <rFont val="Tahoma"/>
        <family val="2"/>
      </rPr>
      <t>2029</t>
    </r>
  </si>
  <si>
    <r>
      <t xml:space="preserve">Remunerazione del LIC  –&gt; </t>
    </r>
    <r>
      <rPr>
        <b/>
        <sz val="8"/>
        <rFont val="Tahoma"/>
        <family val="2"/>
      </rPr>
      <t>R</t>
    </r>
    <r>
      <rPr>
        <b/>
        <vertAlign val="subscript"/>
        <sz val="8"/>
        <rFont val="Tahoma"/>
        <family val="2"/>
      </rPr>
      <t>LIC2029</t>
    </r>
  </si>
  <si>
    <r>
      <t xml:space="preserve">Ammortamenti e Canoni –&gt; </t>
    </r>
    <r>
      <rPr>
        <b/>
        <sz val="8"/>
        <rFont val="Tahoma"/>
        <family val="2"/>
      </rPr>
      <t>Amm</t>
    </r>
    <r>
      <rPr>
        <b/>
        <vertAlign val="subscript"/>
        <sz val="8"/>
        <rFont val="Tahoma"/>
        <family val="2"/>
      </rPr>
      <t>2029</t>
    </r>
  </si>
  <si>
    <r>
      <t xml:space="preserve">Costi d'uso del capitale di cui all'art. 13.11 -&gt; </t>
    </r>
    <r>
      <rPr>
        <b/>
        <sz val="8"/>
        <rFont val="Tahoma"/>
        <family val="2"/>
      </rPr>
      <t>CK</t>
    </r>
    <r>
      <rPr>
        <b/>
        <vertAlign val="subscript"/>
        <sz val="8"/>
        <rFont val="Tahoma"/>
        <family val="2"/>
      </rPr>
      <t>proprietari 2029</t>
    </r>
  </si>
  <si>
    <r>
      <t>CIN</t>
    </r>
    <r>
      <rPr>
        <b/>
        <vertAlign val="subscript"/>
        <sz val="8"/>
        <color theme="1"/>
        <rFont val="Tahoma"/>
        <family val="2"/>
      </rPr>
      <t>2029</t>
    </r>
  </si>
  <si>
    <r>
      <t>IMN</t>
    </r>
    <r>
      <rPr>
        <b/>
        <vertAlign val="subscript"/>
        <sz val="8"/>
        <color theme="1"/>
        <rFont val="Tahoma"/>
        <family val="2"/>
      </rPr>
      <t>2029</t>
    </r>
  </si>
  <si>
    <r>
      <t xml:space="preserve">Poste rettificate capitale –&gt; </t>
    </r>
    <r>
      <rPr>
        <b/>
        <sz val="8"/>
        <color theme="1"/>
        <rFont val="Tahoma"/>
        <family val="2"/>
      </rPr>
      <t>PR</t>
    </r>
    <r>
      <rPr>
        <b/>
        <vertAlign val="subscript"/>
        <sz val="8"/>
        <color theme="1"/>
        <rFont val="Tahoma"/>
        <family val="2"/>
      </rPr>
      <t>2029</t>
    </r>
  </si>
  <si>
    <r>
      <t xml:space="preserve">Capitale circolante netto –&gt; </t>
    </r>
    <r>
      <rPr>
        <b/>
        <sz val="8"/>
        <color theme="1"/>
        <rFont val="Tahoma"/>
        <family val="2"/>
      </rPr>
      <t>CCN</t>
    </r>
    <r>
      <rPr>
        <b/>
        <vertAlign val="subscript"/>
        <sz val="8"/>
        <color theme="1"/>
        <rFont val="Tahoma"/>
        <family val="2"/>
      </rPr>
      <t>2029</t>
    </r>
  </si>
  <si>
    <r>
      <t>Ricavi</t>
    </r>
    <r>
      <rPr>
        <b/>
        <vertAlign val="subscript"/>
        <sz val="8"/>
        <color theme="1"/>
        <rFont val="Tahoma"/>
        <family val="2"/>
      </rPr>
      <t>2029</t>
    </r>
  </si>
  <si>
    <r>
      <t>Costi</t>
    </r>
    <r>
      <rPr>
        <b/>
        <vertAlign val="superscript"/>
        <sz val="8"/>
        <color theme="1"/>
        <rFont val="Tahoma"/>
        <family val="2"/>
      </rPr>
      <t>B6,B7</t>
    </r>
    <r>
      <rPr>
        <b/>
        <vertAlign val="subscript"/>
        <sz val="8"/>
        <color theme="1"/>
        <rFont val="Tahoma"/>
        <family val="2"/>
      </rPr>
      <t>2029</t>
    </r>
  </si>
  <si>
    <t>LIC movimentati nel 2027</t>
  </si>
  <si>
    <t>LIC movimentati nel 2026</t>
  </si>
  <si>
    <t>CK_CRD_26_GEST</t>
  </si>
  <si>
    <t>CK_COMUNE</t>
  </si>
  <si>
    <t>2024_2024_COM</t>
  </si>
  <si>
    <t>2024_2023_COM</t>
  </si>
  <si>
    <t>2024_2022_COM</t>
  </si>
  <si>
    <t>2024_2021_COM</t>
  </si>
  <si>
    <t>2025_2025_COM</t>
  </si>
  <si>
    <t>2025_2024_COM</t>
  </si>
  <si>
    <t>2025_2023_COM</t>
  </si>
  <si>
    <t>2025_2022_COM</t>
  </si>
  <si>
    <t>CK_CRD_26_COM</t>
  </si>
  <si>
    <r>
      <t xml:space="preserve">Ricavi derivanti dai corrispettivi riconosciuti dal dai sistemi collettivi di compliance dopo sharing  –&gt; </t>
    </r>
    <r>
      <rPr>
        <b/>
        <sz val="8"/>
        <color theme="1"/>
        <rFont val="Tahoma"/>
        <family val="2"/>
      </rPr>
      <t>b(AR + AR</t>
    </r>
    <r>
      <rPr>
        <b/>
        <vertAlign val="subscript"/>
        <sz val="8"/>
        <color theme="1"/>
        <rFont val="Tahoma"/>
        <family val="2"/>
      </rPr>
      <t>SC</t>
    </r>
    <r>
      <rPr>
        <b/>
        <sz val="8"/>
        <color theme="1"/>
        <rFont val="Tahoma"/>
        <family val="2"/>
      </rPr>
      <t>)</t>
    </r>
  </si>
  <si>
    <r>
      <t xml:space="preserve">Costi operativi variabili previsionali di cui all'articolo 17.2 del MTR-3 -&gt; </t>
    </r>
    <r>
      <rPr>
        <b/>
        <sz val="8"/>
        <color theme="1"/>
        <rFont val="Tahoma"/>
        <family val="2"/>
      </rPr>
      <t>CTS∆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</t>
    </r>
  </si>
  <si>
    <r>
      <t xml:space="preserve">Costi operativi variabili previsionali di cui all'articolo 17.3 del MTR-3 -&gt; </t>
    </r>
    <r>
      <rPr>
        <b/>
        <sz val="8"/>
        <color theme="1"/>
        <rFont val="Tahoma"/>
        <family val="2"/>
      </rP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116,TV</t>
    </r>
  </si>
  <si>
    <r>
      <t xml:space="preserve">Costi operativi variabili previsionali di cui all'articolo 17.4 del MTR-3 -&gt; </t>
    </r>
    <r>
      <rPr>
        <b/>
        <sz val="8"/>
        <color theme="1"/>
        <rFont val="Tahoma"/>
        <family val="2"/>
      </rP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</t>
    </r>
  </si>
  <si>
    <r>
      <t xml:space="preserve">Costi operativi variabili previsionali di cui all'articolo 17.5 del MTR-3 -&gt; </t>
    </r>
    <r>
      <rPr>
        <b/>
        <sz val="8"/>
        <color theme="1"/>
        <rFont val="Tahoma"/>
        <family val="2"/>
      </rPr>
      <t>CO</t>
    </r>
    <r>
      <rPr>
        <b/>
        <vertAlign val="subscript"/>
        <sz val="8"/>
        <color theme="1"/>
        <rFont val="Tahoma"/>
        <family val="2"/>
      </rPr>
      <t>ANT,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</t>
    </r>
  </si>
  <si>
    <r>
      <t xml:space="preserve">Costi operativi incentivanti sistematici variabili di cui all'articolo 10 del MTR-3 -&gt; </t>
    </r>
    <r>
      <rPr>
        <b/>
        <sz val="8"/>
        <color theme="1"/>
        <rFont val="Tahoma"/>
        <family val="2"/>
      </rP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</t>
    </r>
  </si>
  <si>
    <r>
      <t xml:space="preserve">Costi operativi incentivanti non sistematici variabili di cui all'articolo 10 del MTR-3 -&gt; </t>
    </r>
    <r>
      <rPr>
        <b/>
        <sz val="8"/>
        <color theme="1"/>
        <rFont val="Tahoma"/>
        <family val="2"/>
      </rP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</t>
    </r>
  </si>
  <si>
    <r>
      <t>di cui quote pregresse recuperate nell'anno a - quota variabile  RC∆(T-Tmax)</t>
    </r>
    <r>
      <rPr>
        <i/>
        <vertAlign val="subscript"/>
        <sz val="8"/>
        <color theme="1"/>
        <rFont val="Tahoma"/>
        <family val="2"/>
      </rPr>
      <t>pre,TV,a</t>
    </r>
  </si>
  <si>
    <r>
      <t>∑TV</t>
    </r>
    <r>
      <rPr>
        <b/>
        <vertAlign val="subscript"/>
        <sz val="8"/>
        <color theme="0"/>
        <rFont val="Tahoma"/>
        <family val="2"/>
      </rPr>
      <t>2026</t>
    </r>
    <r>
      <rPr>
        <b/>
        <sz val="8"/>
        <color theme="0"/>
        <rFont val="Tahoma"/>
        <family val="2"/>
      </rPr>
      <t xml:space="preserve"> totale delle entrate tariffarie relative alle componenti di costo variabile - </t>
    </r>
    <r>
      <rPr>
        <b/>
        <sz val="8"/>
        <color rgb="FFFFC000"/>
        <rFont val="Tahoma"/>
        <family val="2"/>
      </rPr>
      <t>Ante Detrazioni art. 4.5 Del. 397</t>
    </r>
  </si>
  <si>
    <r>
      <t>∑TF</t>
    </r>
    <r>
      <rPr>
        <b/>
        <vertAlign val="subscript"/>
        <sz val="8"/>
        <color theme="0"/>
        <rFont val="Tahoma"/>
        <family val="2"/>
      </rPr>
      <t>2026</t>
    </r>
    <r>
      <rPr>
        <b/>
        <sz val="8"/>
        <color theme="0"/>
        <rFont val="Tahoma"/>
        <family val="2"/>
      </rPr>
      <t xml:space="preserve"> totale delle entrate tariffarie relative alle componenti di costo fisse - </t>
    </r>
    <r>
      <rPr>
        <b/>
        <sz val="8"/>
        <color rgb="FFFFC000"/>
        <rFont val="Tahoma"/>
        <family val="2"/>
      </rPr>
      <t>Ante Detrazioni art. 4.5 Del. 397</t>
    </r>
  </si>
  <si>
    <r>
      <t xml:space="preserve">Costi operativi fissi previsionali di cui all'articolo 17.3 del MTR-3 -&gt; </t>
    </r>
    <r>
      <rPr>
        <b/>
        <sz val="8"/>
        <color theme="1"/>
        <rFont val="Tahoma"/>
        <family val="2"/>
      </rPr>
      <t>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116,TF</t>
    </r>
  </si>
  <si>
    <r>
      <t xml:space="preserve">Costi operativi fissi previsionali di cui all'articolo 17.4 del MTR-3 -&gt; </t>
    </r>
    <r>
      <rPr>
        <b/>
        <sz val="8"/>
        <color theme="1"/>
        <rFont val="Tahoma"/>
        <family val="2"/>
      </rPr>
      <t>CQ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</t>
    </r>
  </si>
  <si>
    <r>
      <t xml:space="preserve">Costi operativi incentivanti fissi di cui all'articolo 10 del MTR-3 -&gt; </t>
    </r>
    <r>
      <rPr>
        <b/>
        <sz val="8"/>
        <color theme="1"/>
        <rFont val="Tahoma"/>
        <family val="2"/>
      </rPr>
      <t>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</t>
    </r>
  </si>
  <si>
    <r>
      <t>di cui quote pregresse recuperate nell'anno a - quota fissa  RC∆(T-Tmax)</t>
    </r>
    <r>
      <rPr>
        <i/>
        <vertAlign val="subscript"/>
        <sz val="8"/>
        <color theme="1"/>
        <rFont val="Tahoma"/>
        <family val="2"/>
      </rPr>
      <t>pre,TF,a</t>
    </r>
  </si>
  <si>
    <r>
      <t>∑T</t>
    </r>
    <r>
      <rPr>
        <b/>
        <vertAlign val="subscript"/>
        <sz val="8"/>
        <color theme="0"/>
        <rFont val="Tahoma"/>
        <family val="2"/>
      </rPr>
      <t>2026</t>
    </r>
    <r>
      <rPr>
        <b/>
        <sz val="8"/>
        <color theme="0"/>
        <rFont val="Tahoma"/>
        <family val="2"/>
      </rPr>
      <t xml:space="preserve"> totale delle entrate tariffarie (variabili + fisse) - </t>
    </r>
    <r>
      <rPr>
        <b/>
        <sz val="8"/>
        <color rgb="FFFFC000"/>
        <rFont val="Tahoma"/>
        <family val="2"/>
      </rPr>
      <t>Ante Detrazioni art. 4.5 Del. 397</t>
    </r>
  </si>
  <si>
    <t>DETR4.5_26_GEST</t>
  </si>
  <si>
    <t>Detrazioni di cui al Art. 4.5 Del. 397- Parte Variabile</t>
  </si>
  <si>
    <t>Detrazioni di cui al Art. 4.5 Del. 397 - Parte Fissa</t>
  </si>
  <si>
    <t>Detrazioni di cui al Art. 4.5 Del. 397</t>
  </si>
  <si>
    <t>CTS_DELTA_TV_26_GEST_PD</t>
  </si>
  <si>
    <t>CO116_TV_26_GEST_PD</t>
  </si>
  <si>
    <t>CQ_TV_26_GEST_PD</t>
  </si>
  <si>
    <t>COANT_TV_26_GEST_PD</t>
  </si>
  <si>
    <t>COnew_TV_26_GEST_PD</t>
  </si>
  <si>
    <t>COI_TV_26_GEST_PD</t>
  </si>
  <si>
    <t>AR_26_GEST_PD</t>
  </si>
  <si>
    <t>ARSC_26_GEST_PD</t>
  </si>
  <si>
    <t>IVAVAR_26_GEST_PD</t>
  </si>
  <si>
    <t>CO116_TF_26_GEST_PD</t>
  </si>
  <si>
    <t>CQ_TF_26_GEST_PD</t>
  </si>
  <si>
    <t>COANT_TF_26_GEST_PD</t>
  </si>
  <si>
    <t>COnew_TF_26_GEST_PD</t>
  </si>
  <si>
    <t>COI_TF_26_GEST_PD</t>
  </si>
  <si>
    <t>IVAFIS_26_GEST_PD</t>
  </si>
  <si>
    <r>
      <t>∑TV</t>
    </r>
    <r>
      <rPr>
        <b/>
        <vertAlign val="subscript"/>
        <sz val="8"/>
        <color theme="0"/>
        <rFont val="Tahoma"/>
        <family val="2"/>
      </rPr>
      <t>2026</t>
    </r>
    <r>
      <rPr>
        <b/>
        <sz val="8"/>
        <color theme="0"/>
        <rFont val="Tahoma"/>
        <family val="2"/>
      </rPr>
      <t xml:space="preserve"> totale delle entrate tariffarie relative alle componenti di costo variabile - </t>
    </r>
    <r>
      <rPr>
        <b/>
        <sz val="8"/>
        <color rgb="FFFFC000"/>
        <rFont val="Tahoma"/>
        <family val="2"/>
      </rPr>
      <t>Post Detrazioni art. 4.5 Del. 397</t>
    </r>
  </si>
  <si>
    <r>
      <t>∑TF</t>
    </r>
    <r>
      <rPr>
        <b/>
        <vertAlign val="subscript"/>
        <sz val="8"/>
        <color theme="0"/>
        <rFont val="Tahoma"/>
        <family val="2"/>
      </rPr>
      <t>2026</t>
    </r>
    <r>
      <rPr>
        <b/>
        <sz val="8"/>
        <color theme="0"/>
        <rFont val="Tahoma"/>
        <family val="2"/>
      </rPr>
      <t xml:space="preserve"> totale delle entrate tariffarie relative alle componenti di costo fisse - </t>
    </r>
    <r>
      <rPr>
        <b/>
        <sz val="8"/>
        <color rgb="FFFFC000"/>
        <rFont val="Tahoma"/>
        <family val="2"/>
      </rPr>
      <t>Post Detrazioni art. 4.5 Del. 397</t>
    </r>
  </si>
  <si>
    <r>
      <t>∑T</t>
    </r>
    <r>
      <rPr>
        <b/>
        <vertAlign val="subscript"/>
        <sz val="8"/>
        <color theme="0"/>
        <rFont val="Tahoma"/>
        <family val="2"/>
      </rPr>
      <t>2026</t>
    </r>
    <r>
      <rPr>
        <b/>
        <sz val="8"/>
        <color theme="0"/>
        <rFont val="Tahoma"/>
        <family val="2"/>
      </rPr>
      <t xml:space="preserve"> totale delle entrate tariffarie (variabili + fisse) - </t>
    </r>
    <r>
      <rPr>
        <b/>
        <sz val="8"/>
        <color rgb="FFFFC000"/>
        <rFont val="Tahoma"/>
        <family val="2"/>
      </rPr>
      <t>Post Detrazioni art. 4.5 Del. 397</t>
    </r>
  </si>
  <si>
    <r>
      <t xml:space="preserve">Costi d'uso del capitale di cui all'art. 13.11 del MTR-3 -&gt; </t>
    </r>
    <r>
      <rPr>
        <b/>
        <sz val="8"/>
        <color theme="1"/>
        <rFont val="Tahoma"/>
        <family val="2"/>
      </rPr>
      <t>CK</t>
    </r>
    <r>
      <rPr>
        <b/>
        <vertAlign val="subscript"/>
        <sz val="8"/>
        <color theme="1"/>
        <rFont val="Tahoma"/>
        <family val="2"/>
      </rPr>
      <t>proprietari</t>
    </r>
  </si>
  <si>
    <t>PEF GESTORE 2027</t>
  </si>
  <si>
    <t>TV_26_COM</t>
  </si>
  <si>
    <t>TF_26_COM</t>
  </si>
  <si>
    <t>CK_26_COM</t>
  </si>
  <si>
    <t>DETR4.5_26_COM</t>
  </si>
  <si>
    <t>TV_26_COM_PD</t>
  </si>
  <si>
    <t>CTS_DELTA_TV_26_COM_PD</t>
  </si>
  <si>
    <t>CO116_TV_26_COM_PD</t>
  </si>
  <si>
    <t>CQ_TV_26_COM_PD</t>
  </si>
  <si>
    <t>COANT_TV_26_COM_PD</t>
  </si>
  <si>
    <t>COnew_TV_26_COM_PD</t>
  </si>
  <si>
    <t>COI_TV_26_COM_PD</t>
  </si>
  <si>
    <t>AR_26_COM_PD</t>
  </si>
  <si>
    <t>ARSC_26_COM_PD</t>
  </si>
  <si>
    <t>TF_26_COM_PD</t>
  </si>
  <si>
    <t>CC_26_COM_PD</t>
  </si>
  <si>
    <t>CK_26_COM_PD</t>
  </si>
  <si>
    <t>CO116_TF_26_COM_PD</t>
  </si>
  <si>
    <t>CQ_TF_26_COM_PD</t>
  </si>
  <si>
    <t>COANT_TF_26_COM_PD</t>
  </si>
  <si>
    <t>COnew_TF_26_COM_PD</t>
  </si>
  <si>
    <t>COI_TF_26_COM_PD</t>
  </si>
  <si>
    <t>T_26_COM_PD</t>
  </si>
  <si>
    <t>TV_27_GEST</t>
  </si>
  <si>
    <t>IVAVAR_27_GEST</t>
  </si>
  <si>
    <t>TF_27_GEST</t>
  </si>
  <si>
    <t>CC_27_GEST</t>
  </si>
  <si>
    <t>CK_27_GEST</t>
  </si>
  <si>
    <t>IVAFIS_27_GEST</t>
  </si>
  <si>
    <t>T_27_GEST</t>
  </si>
  <si>
    <t>DETR4.5_27_GEST</t>
  </si>
  <si>
    <t>TV_27_GEST_PD</t>
  </si>
  <si>
    <t>CTS_DELTA_TV_27_GEST_PD</t>
  </si>
  <si>
    <t>CO116_TV_27_GEST_PD</t>
  </si>
  <si>
    <t>CQ_TV_27_GEST_PD</t>
  </si>
  <si>
    <t>COANT_TV_27_GEST_PD</t>
  </si>
  <si>
    <t>COnew_TV_27_GEST_PD</t>
  </si>
  <si>
    <t>COI_TV_27_GEST_PD</t>
  </si>
  <si>
    <t>AR_27_GEST_PD</t>
  </si>
  <si>
    <t>ARSC_27_GEST_PD</t>
  </si>
  <si>
    <t>IVAVAR_27_GEST_PD</t>
  </si>
  <si>
    <t>TF_27_GEST_PD</t>
  </si>
  <si>
    <t>CC_27_GEST_PD</t>
  </si>
  <si>
    <t>CK_27_GEST_PD</t>
  </si>
  <si>
    <t>CO116_TF_27_GEST_PD</t>
  </si>
  <si>
    <t>CQ_TF_27_GEST_PD</t>
  </si>
  <si>
    <t>COANT_TF_27_GEST_PD</t>
  </si>
  <si>
    <t>COnew_TF_27_GEST_PD</t>
  </si>
  <si>
    <t>COI_TF_27_GEST_PD</t>
  </si>
  <si>
    <t>IVAFIS_27_GEST_PD</t>
  </si>
  <si>
    <t>T_27_GEST_PD</t>
  </si>
  <si>
    <t>PEF GESTORE 2028</t>
  </si>
  <si>
    <t>TV_28_GEST</t>
  </si>
  <si>
    <t>AR_28_GEST</t>
  </si>
  <si>
    <t>ARSC_28_GEST</t>
  </si>
  <si>
    <t>IVAVAR_28_GEST</t>
  </si>
  <si>
    <t>TF_28_GEST</t>
  </si>
  <si>
    <t>CC_28_GEST</t>
  </si>
  <si>
    <t>CK_28_GEST</t>
  </si>
  <si>
    <t>IVAFIS_28_GEST</t>
  </si>
  <si>
    <t>T_28_GEST</t>
  </si>
  <si>
    <t>DETR4.5_28_GEST</t>
  </si>
  <si>
    <t>TV_28_GEST_PD</t>
  </si>
  <si>
    <t>CTS_DELTA_TV_28_GEST_PD</t>
  </si>
  <si>
    <t>CO116_TV_28_GEST_PD</t>
  </si>
  <si>
    <t>CQ_TV_28_GEST_PD</t>
  </si>
  <si>
    <t>COANT_TV_28_GEST_PD</t>
  </si>
  <si>
    <t>COnew_TV_28_GEST_PD</t>
  </si>
  <si>
    <t>COI_TV_28_GEST_PD</t>
  </si>
  <si>
    <t>AR_28_GEST_PD</t>
  </si>
  <si>
    <t>ARSC_28_GEST_PD</t>
  </si>
  <si>
    <t>IVAVAR_28_GEST_PD</t>
  </si>
  <si>
    <t>TF_28_GEST_PD</t>
  </si>
  <si>
    <t>CC_28_GEST_PD</t>
  </si>
  <si>
    <t>CK_28_GEST_PD</t>
  </si>
  <si>
    <t>CO116_TF_28_GEST_PD</t>
  </si>
  <si>
    <t>CQ_TF_28_GEST_PD</t>
  </si>
  <si>
    <t>COANT_TF_28_GEST_PD</t>
  </si>
  <si>
    <t>COnew_TF_28_GEST_PD</t>
  </si>
  <si>
    <t>COI_TF_28_GEST_PD</t>
  </si>
  <si>
    <t>IVAFIS_28_GEST_PD</t>
  </si>
  <si>
    <t>T_28_GEST_PD</t>
  </si>
  <si>
    <r>
      <t>∑TV</t>
    </r>
    <r>
      <rPr>
        <b/>
        <vertAlign val="subscript"/>
        <sz val="8"/>
        <color theme="0"/>
        <rFont val="Tahoma"/>
        <family val="2"/>
      </rPr>
      <t>2027</t>
    </r>
    <r>
      <rPr>
        <b/>
        <sz val="8"/>
        <color theme="0"/>
        <rFont val="Tahoma"/>
        <family val="2"/>
      </rPr>
      <t xml:space="preserve"> totale delle entrate tariffarie relative alle componenti di costo variabile - </t>
    </r>
    <r>
      <rPr>
        <b/>
        <sz val="8"/>
        <color rgb="FFFFC000"/>
        <rFont val="Tahoma"/>
        <family val="2"/>
      </rPr>
      <t>Ante Detrazioni art. 4.5 Del. 397</t>
    </r>
  </si>
  <si>
    <r>
      <t>∑TF</t>
    </r>
    <r>
      <rPr>
        <b/>
        <vertAlign val="subscript"/>
        <sz val="8"/>
        <color theme="0"/>
        <rFont val="Tahoma"/>
        <family val="2"/>
      </rPr>
      <t>2027</t>
    </r>
    <r>
      <rPr>
        <b/>
        <sz val="8"/>
        <color theme="0"/>
        <rFont val="Tahoma"/>
        <family val="2"/>
      </rPr>
      <t xml:space="preserve"> totale delle entrate tariffarie relative alle componenti di costo fisse - </t>
    </r>
    <r>
      <rPr>
        <b/>
        <sz val="8"/>
        <color rgb="FFFFC000"/>
        <rFont val="Tahoma"/>
        <family val="2"/>
      </rPr>
      <t>Ante Detrazioni art. 4.5 Del. 397</t>
    </r>
  </si>
  <si>
    <r>
      <t>∑T</t>
    </r>
    <r>
      <rPr>
        <b/>
        <vertAlign val="subscript"/>
        <sz val="8"/>
        <color theme="0"/>
        <rFont val="Tahoma"/>
        <family val="2"/>
      </rPr>
      <t>2027</t>
    </r>
    <r>
      <rPr>
        <b/>
        <sz val="8"/>
        <color theme="0"/>
        <rFont val="Tahoma"/>
        <family val="2"/>
      </rPr>
      <t xml:space="preserve"> totale delle entrate tariffarie (variabili + fisse) - </t>
    </r>
    <r>
      <rPr>
        <b/>
        <sz val="8"/>
        <color rgb="FFFFC000"/>
        <rFont val="Tahoma"/>
        <family val="2"/>
      </rPr>
      <t>Ante Detrazioni art. 4.5 Del. 397</t>
    </r>
  </si>
  <si>
    <r>
      <t>∑TV</t>
    </r>
    <r>
      <rPr>
        <b/>
        <vertAlign val="subscript"/>
        <sz val="8"/>
        <color theme="0"/>
        <rFont val="Tahoma"/>
        <family val="2"/>
      </rPr>
      <t>2027</t>
    </r>
    <r>
      <rPr>
        <b/>
        <sz val="8"/>
        <color theme="0"/>
        <rFont val="Tahoma"/>
        <family val="2"/>
      </rPr>
      <t xml:space="preserve"> totale delle entrate tariffarie relative alle componenti di costo variabile - </t>
    </r>
    <r>
      <rPr>
        <b/>
        <sz val="8"/>
        <color rgb="FFFFC000"/>
        <rFont val="Tahoma"/>
        <family val="2"/>
      </rPr>
      <t>Post Detrazioni art. 4.5 Del. 397</t>
    </r>
  </si>
  <si>
    <r>
      <t>∑TF</t>
    </r>
    <r>
      <rPr>
        <b/>
        <vertAlign val="subscript"/>
        <sz val="8"/>
        <color theme="0"/>
        <rFont val="Tahoma"/>
        <family val="2"/>
      </rPr>
      <t>2027</t>
    </r>
    <r>
      <rPr>
        <b/>
        <sz val="8"/>
        <color theme="0"/>
        <rFont val="Tahoma"/>
        <family val="2"/>
      </rPr>
      <t xml:space="preserve"> totale delle entrate tariffarie relative alle componenti di costo fisse - </t>
    </r>
    <r>
      <rPr>
        <b/>
        <sz val="8"/>
        <color rgb="FFFFC000"/>
        <rFont val="Tahoma"/>
        <family val="2"/>
      </rPr>
      <t>Post Detrazioni art. 4.5 Del. 397</t>
    </r>
  </si>
  <si>
    <r>
      <t>∑T</t>
    </r>
    <r>
      <rPr>
        <b/>
        <vertAlign val="subscript"/>
        <sz val="8"/>
        <color theme="0"/>
        <rFont val="Tahoma"/>
        <family val="2"/>
      </rPr>
      <t>2027</t>
    </r>
    <r>
      <rPr>
        <b/>
        <sz val="8"/>
        <color theme="0"/>
        <rFont val="Tahoma"/>
        <family val="2"/>
      </rPr>
      <t xml:space="preserve"> totale delle entrate tariffarie (variabili + fisse) - </t>
    </r>
    <r>
      <rPr>
        <b/>
        <sz val="8"/>
        <color rgb="FFFFC000"/>
        <rFont val="Tahoma"/>
        <family val="2"/>
      </rPr>
      <t>Post Detrazioni art. 4.5 Del. 397</t>
    </r>
  </si>
  <si>
    <r>
      <t>∑TV</t>
    </r>
    <r>
      <rPr>
        <b/>
        <vertAlign val="subscript"/>
        <sz val="8"/>
        <color theme="0"/>
        <rFont val="Tahoma"/>
        <family val="2"/>
      </rPr>
      <t>2028</t>
    </r>
    <r>
      <rPr>
        <b/>
        <sz val="8"/>
        <color theme="0"/>
        <rFont val="Tahoma"/>
        <family val="2"/>
      </rPr>
      <t xml:space="preserve"> totale delle entrate tariffarie relative alle componenti di costo variabile - </t>
    </r>
    <r>
      <rPr>
        <b/>
        <sz val="8"/>
        <color rgb="FFFFC000"/>
        <rFont val="Tahoma"/>
        <family val="2"/>
      </rPr>
      <t>Ante Detrazioni art. 4.5 Del. 397</t>
    </r>
  </si>
  <si>
    <r>
      <t>∑TF</t>
    </r>
    <r>
      <rPr>
        <b/>
        <vertAlign val="subscript"/>
        <sz val="8"/>
        <color theme="0"/>
        <rFont val="Tahoma"/>
        <family val="2"/>
      </rPr>
      <t>2028</t>
    </r>
    <r>
      <rPr>
        <b/>
        <sz val="8"/>
        <color theme="0"/>
        <rFont val="Tahoma"/>
        <family val="2"/>
      </rPr>
      <t xml:space="preserve"> totale delle entrate tariffarie relative alle componenti di costo fisse - </t>
    </r>
    <r>
      <rPr>
        <b/>
        <sz val="8"/>
        <color rgb="FFFFC000"/>
        <rFont val="Tahoma"/>
        <family val="2"/>
      </rPr>
      <t>Ante Detrazioni art. 4.5 Del. 397</t>
    </r>
  </si>
  <si>
    <r>
      <t>∑T</t>
    </r>
    <r>
      <rPr>
        <b/>
        <vertAlign val="subscript"/>
        <sz val="8"/>
        <color theme="0"/>
        <rFont val="Tahoma"/>
        <family val="2"/>
      </rPr>
      <t>2028</t>
    </r>
    <r>
      <rPr>
        <b/>
        <sz val="8"/>
        <color theme="0"/>
        <rFont val="Tahoma"/>
        <family val="2"/>
      </rPr>
      <t xml:space="preserve"> totale delle entrate tariffarie (variabili + fisse) - </t>
    </r>
    <r>
      <rPr>
        <b/>
        <sz val="8"/>
        <color rgb="FFFFC000"/>
        <rFont val="Tahoma"/>
        <family val="2"/>
      </rPr>
      <t>Ante Detrazioni art. 4.5 Del. 397</t>
    </r>
  </si>
  <si>
    <r>
      <t>∑TV</t>
    </r>
    <r>
      <rPr>
        <b/>
        <vertAlign val="subscript"/>
        <sz val="8"/>
        <color theme="0"/>
        <rFont val="Tahoma"/>
        <family val="2"/>
      </rPr>
      <t>2028</t>
    </r>
    <r>
      <rPr>
        <b/>
        <sz val="8"/>
        <color theme="0"/>
        <rFont val="Tahoma"/>
        <family val="2"/>
      </rPr>
      <t xml:space="preserve"> totale delle entrate tariffarie relative alle componenti di costo variabile - </t>
    </r>
    <r>
      <rPr>
        <b/>
        <sz val="8"/>
        <color rgb="FFFFC000"/>
        <rFont val="Tahoma"/>
        <family val="2"/>
      </rPr>
      <t>Post Detrazioni art. 4.5 Del. 397</t>
    </r>
  </si>
  <si>
    <r>
      <t>∑TF</t>
    </r>
    <r>
      <rPr>
        <b/>
        <vertAlign val="subscript"/>
        <sz val="8"/>
        <color theme="0"/>
        <rFont val="Tahoma"/>
        <family val="2"/>
      </rPr>
      <t>2028</t>
    </r>
    <r>
      <rPr>
        <b/>
        <sz val="8"/>
        <color theme="0"/>
        <rFont val="Tahoma"/>
        <family val="2"/>
      </rPr>
      <t xml:space="preserve"> totale delle entrate tariffarie relative alle componenti di costo fisse - </t>
    </r>
    <r>
      <rPr>
        <b/>
        <sz val="8"/>
        <color rgb="FFFFC000"/>
        <rFont val="Tahoma"/>
        <family val="2"/>
      </rPr>
      <t>Post Detrazioni art. 4.5 Del. 397</t>
    </r>
  </si>
  <si>
    <r>
      <t>∑T</t>
    </r>
    <r>
      <rPr>
        <b/>
        <vertAlign val="subscript"/>
        <sz val="8"/>
        <color theme="0"/>
        <rFont val="Tahoma"/>
        <family val="2"/>
      </rPr>
      <t>2028</t>
    </r>
    <r>
      <rPr>
        <b/>
        <sz val="8"/>
        <color theme="0"/>
        <rFont val="Tahoma"/>
        <family val="2"/>
      </rPr>
      <t xml:space="preserve"> totale delle entrate tariffarie (variabili + fisse) - </t>
    </r>
    <r>
      <rPr>
        <b/>
        <sz val="8"/>
        <color rgb="FFFFC000"/>
        <rFont val="Tahoma"/>
        <family val="2"/>
      </rPr>
      <t>Post Detrazioni art. 4.5 Del. 397</t>
    </r>
  </si>
  <si>
    <t>PEF GESTORE 2029</t>
  </si>
  <si>
    <t>TV_29_GEST</t>
  </si>
  <si>
    <t>AR_29_GEST</t>
  </si>
  <si>
    <t>ARSC_29_GEST</t>
  </si>
  <si>
    <t>IVAVAR_29_GEST</t>
  </si>
  <si>
    <t>TF_29_GEST</t>
  </si>
  <si>
    <t>CC_29_GEST</t>
  </si>
  <si>
    <t>CK_29_GEST</t>
  </si>
  <si>
    <t>IVAFIS_29_GEST</t>
  </si>
  <si>
    <t>T_29_GEST</t>
  </si>
  <si>
    <t>DETR4.5_29_GEST</t>
  </si>
  <si>
    <t>TV_29_GEST_PD</t>
  </si>
  <si>
    <t>CTS_DELTA_TV_29_GEST_PD</t>
  </si>
  <si>
    <t>CO116_TV_29_GEST_PD</t>
  </si>
  <si>
    <t>CQ_TV_29_GEST_PD</t>
  </si>
  <si>
    <t>COANT_TV_29_GEST_PD</t>
  </si>
  <si>
    <t>COnew_TV_29_GEST_PD</t>
  </si>
  <si>
    <t>COI_TV_29_GEST_PD</t>
  </si>
  <si>
    <t>AR_29_GEST_PD</t>
  </si>
  <si>
    <t>ARSC_29_GEST_PD</t>
  </si>
  <si>
    <t>IVAVAR_29_GEST_PD</t>
  </si>
  <si>
    <t>TF_29_GEST_PD</t>
  </si>
  <si>
    <t>CC_29_GEST_PD</t>
  </si>
  <si>
    <t>CK_29_GEST_PD</t>
  </si>
  <si>
    <t>CO116_TF_29_GEST_PD</t>
  </si>
  <si>
    <t>CQ_TF_29_GEST_PD</t>
  </si>
  <si>
    <t>COANT_TF_29_GEST_PD</t>
  </si>
  <si>
    <t>COnew_TF_29_GEST_PD</t>
  </si>
  <si>
    <t>COI_TF_29_GEST_PD</t>
  </si>
  <si>
    <t>IVAFIS_29_GEST_PD</t>
  </si>
  <si>
    <t>T_29_GEST_PD</t>
  </si>
  <si>
    <r>
      <t>∑TV</t>
    </r>
    <r>
      <rPr>
        <b/>
        <vertAlign val="subscript"/>
        <sz val="8"/>
        <color theme="0"/>
        <rFont val="Tahoma"/>
        <family val="2"/>
      </rPr>
      <t>2029</t>
    </r>
    <r>
      <rPr>
        <b/>
        <sz val="8"/>
        <color theme="0"/>
        <rFont val="Tahoma"/>
        <family val="2"/>
      </rPr>
      <t xml:space="preserve"> totale delle entrate tariffarie relative alle componenti di costo variabile - </t>
    </r>
    <r>
      <rPr>
        <b/>
        <sz val="8"/>
        <color rgb="FFFFC000"/>
        <rFont val="Tahoma"/>
        <family val="2"/>
      </rPr>
      <t>Ante Detrazioni art. 4.5 Del. 397</t>
    </r>
  </si>
  <si>
    <r>
      <t>∑TF</t>
    </r>
    <r>
      <rPr>
        <b/>
        <vertAlign val="subscript"/>
        <sz val="8"/>
        <color theme="0"/>
        <rFont val="Tahoma"/>
        <family val="2"/>
      </rPr>
      <t>2029</t>
    </r>
    <r>
      <rPr>
        <b/>
        <sz val="8"/>
        <color theme="0"/>
        <rFont val="Tahoma"/>
        <family val="2"/>
      </rPr>
      <t xml:space="preserve"> totale delle entrate tariffarie relative alle componenti di costo fisse - </t>
    </r>
    <r>
      <rPr>
        <b/>
        <sz val="8"/>
        <color rgb="FFFFC000"/>
        <rFont val="Tahoma"/>
        <family val="2"/>
      </rPr>
      <t>Ante Detrazioni art. 4.5 Del. 397</t>
    </r>
  </si>
  <si>
    <r>
      <t>∑T</t>
    </r>
    <r>
      <rPr>
        <b/>
        <vertAlign val="subscript"/>
        <sz val="8"/>
        <color theme="0"/>
        <rFont val="Tahoma"/>
        <family val="2"/>
      </rPr>
      <t>2029</t>
    </r>
    <r>
      <rPr>
        <b/>
        <sz val="8"/>
        <color theme="0"/>
        <rFont val="Tahoma"/>
        <family val="2"/>
      </rPr>
      <t xml:space="preserve"> totale delle entrate tariffarie (variabili + fisse) - </t>
    </r>
    <r>
      <rPr>
        <b/>
        <sz val="8"/>
        <color rgb="FFFFC000"/>
        <rFont val="Tahoma"/>
        <family val="2"/>
      </rPr>
      <t>Ante Detrazioni art. 4.5 Del. 397</t>
    </r>
  </si>
  <si>
    <r>
      <t>∑TV</t>
    </r>
    <r>
      <rPr>
        <b/>
        <vertAlign val="subscript"/>
        <sz val="8"/>
        <color theme="0"/>
        <rFont val="Tahoma"/>
        <family val="2"/>
      </rPr>
      <t>2029</t>
    </r>
    <r>
      <rPr>
        <b/>
        <sz val="8"/>
        <color theme="0"/>
        <rFont val="Tahoma"/>
        <family val="2"/>
      </rPr>
      <t xml:space="preserve"> totale delle entrate tariffarie relative alle componenti di costo variabile - </t>
    </r>
    <r>
      <rPr>
        <b/>
        <sz val="8"/>
        <color rgb="FFFFC000"/>
        <rFont val="Tahoma"/>
        <family val="2"/>
      </rPr>
      <t>Post Detrazioni art. 4.5 Del. 397</t>
    </r>
  </si>
  <si>
    <r>
      <t>∑TF</t>
    </r>
    <r>
      <rPr>
        <b/>
        <vertAlign val="subscript"/>
        <sz val="8"/>
        <color theme="0"/>
        <rFont val="Tahoma"/>
        <family val="2"/>
      </rPr>
      <t>2029</t>
    </r>
    <r>
      <rPr>
        <b/>
        <sz val="8"/>
        <color theme="0"/>
        <rFont val="Tahoma"/>
        <family val="2"/>
      </rPr>
      <t xml:space="preserve"> totale delle entrate tariffarie relative alle componenti di costo fisse - </t>
    </r>
    <r>
      <rPr>
        <b/>
        <sz val="8"/>
        <color rgb="FFFFC000"/>
        <rFont val="Tahoma"/>
        <family val="2"/>
      </rPr>
      <t>Post Detrazioni art. 4.5 Del. 397</t>
    </r>
  </si>
  <si>
    <r>
      <t>∑T</t>
    </r>
    <r>
      <rPr>
        <b/>
        <vertAlign val="subscript"/>
        <sz val="8"/>
        <color theme="0"/>
        <rFont val="Tahoma"/>
        <family val="2"/>
      </rPr>
      <t>2029</t>
    </r>
    <r>
      <rPr>
        <b/>
        <sz val="8"/>
        <color theme="0"/>
        <rFont val="Tahoma"/>
        <family val="2"/>
      </rPr>
      <t xml:space="preserve"> totale delle entrate tariffarie (variabili + fisse) - </t>
    </r>
    <r>
      <rPr>
        <b/>
        <sz val="8"/>
        <color rgb="FFFFC000"/>
        <rFont val="Tahoma"/>
        <family val="2"/>
      </rPr>
      <t>Post Detrazioni art. 4.5 Del. 397</t>
    </r>
  </si>
  <si>
    <t>PEF COMUNE 2026</t>
  </si>
  <si>
    <t>TV_29_COM</t>
  </si>
  <si>
    <t>AR_29_COM</t>
  </si>
  <si>
    <t>ARSC_29_COM</t>
  </si>
  <si>
    <t>TF_29_COM</t>
  </si>
  <si>
    <t>CC_29_COM</t>
  </si>
  <si>
    <t>CK_29_COM</t>
  </si>
  <si>
    <t>T_29_COM</t>
  </si>
  <si>
    <t>DETR4.5_29_COM</t>
  </si>
  <si>
    <t>TV_29_COM_PD</t>
  </si>
  <si>
    <t>CTS_DELTA_TV_29_COM_PD</t>
  </si>
  <si>
    <t>CO116_TV_29_COM_PD</t>
  </si>
  <si>
    <t>CQ_TV_29_COM_PD</t>
  </si>
  <si>
    <t>COANT_TV_29_COM_PD</t>
  </si>
  <si>
    <t>COnew_TV_29_COM_PD</t>
  </si>
  <si>
    <t>COI_TV_29_COM_PD</t>
  </si>
  <si>
    <t>AR_29_COM_PD</t>
  </si>
  <si>
    <t>ARSC_29_COM_PD</t>
  </si>
  <si>
    <t>TF_29_COM_PD</t>
  </si>
  <si>
    <t>CC_29_COM_PD</t>
  </si>
  <si>
    <t>CK_29_COM_PD</t>
  </si>
  <si>
    <t>CO116_TF_29_COM_PD</t>
  </si>
  <si>
    <t>CQ_TF_29_COM_PD</t>
  </si>
  <si>
    <t>COANT_TF_29_COM_PD</t>
  </si>
  <si>
    <t>COnew_TF_29_COM_PD</t>
  </si>
  <si>
    <t>COI_TF_29_COM_PD</t>
  </si>
  <si>
    <t>T_29_COM_PD</t>
  </si>
  <si>
    <t>TV_28_COM</t>
  </si>
  <si>
    <t>AR_28_COM</t>
  </si>
  <si>
    <t>ARSC_28_COM</t>
  </si>
  <si>
    <t>TF_28_COM</t>
  </si>
  <si>
    <t>CC_28_COM</t>
  </si>
  <si>
    <t>CK_28_COM</t>
  </si>
  <si>
    <t>T_28_COM</t>
  </si>
  <si>
    <t>DETR4.5_28_COM</t>
  </si>
  <si>
    <t>TV_28_COM_PD</t>
  </si>
  <si>
    <t>CTS_DELTA_TV_28_COM_PD</t>
  </si>
  <si>
    <t>CO116_TV_28_COM_PD</t>
  </si>
  <si>
    <t>CQ_TV_28_COM_PD</t>
  </si>
  <si>
    <t>COANT_TV_28_COM_PD</t>
  </si>
  <si>
    <t>COnew_TV_28_COM_PD</t>
  </si>
  <si>
    <t>COI_TV_28_COM_PD</t>
  </si>
  <si>
    <t>AR_28_COM_PD</t>
  </si>
  <si>
    <t>ARSC_28_COM_PD</t>
  </si>
  <si>
    <t>TF_28_COM_PD</t>
  </si>
  <si>
    <t>CC_28_COM_PD</t>
  </si>
  <si>
    <t>CK_28_COM_PD</t>
  </si>
  <si>
    <t>CO116_TF_28_COM_PD</t>
  </si>
  <si>
    <t>CQ_TF_28_COM_PD</t>
  </si>
  <si>
    <t>COANT_TF_28_COM_PD</t>
  </si>
  <si>
    <t>COnew_TF_28_COM_PD</t>
  </si>
  <si>
    <t>COI_TF_28_COM_PD</t>
  </si>
  <si>
    <t>T_28_COM_PD</t>
  </si>
  <si>
    <t>TV_27_COM</t>
  </si>
  <si>
    <t>AR_27_COM</t>
  </si>
  <si>
    <t>ARSC_27_COM</t>
  </si>
  <si>
    <t>TF_27_COM</t>
  </si>
  <si>
    <t>CC_27_COM</t>
  </si>
  <si>
    <t>CK_27_COM</t>
  </si>
  <si>
    <t>T_27_COM</t>
  </si>
  <si>
    <t>DETR4.5_27_COM</t>
  </si>
  <si>
    <t>TV_27_COM_PD</t>
  </si>
  <si>
    <t>CTS_DELTA_TV_27_COM_PD</t>
  </si>
  <si>
    <t>CO116_TV_27_COM_PD</t>
  </si>
  <si>
    <t>CQ_TV_27_COM_PD</t>
  </si>
  <si>
    <t>COANT_TV_27_COM_PD</t>
  </si>
  <si>
    <t>COnew_TV_27_COM_PD</t>
  </si>
  <si>
    <t>COI_TV_27_COM_PD</t>
  </si>
  <si>
    <t>AR_27_COM_PD</t>
  </si>
  <si>
    <t>ARSC_27_COM_PD</t>
  </si>
  <si>
    <t>TF_27_COM_PD</t>
  </si>
  <si>
    <t>CC_27_COM_PD</t>
  </si>
  <si>
    <t>CK_27_COM_PD</t>
  </si>
  <si>
    <t>CO116_TF_27_COM_PD</t>
  </si>
  <si>
    <t>CQ_TF_27_COM_PD</t>
  </si>
  <si>
    <t>COANT_TF_27_COM_PD</t>
  </si>
  <si>
    <t>COnew_TF_27_COM_PD</t>
  </si>
  <si>
    <t>COI_TF_27_COM_PD</t>
  </si>
  <si>
    <t>T_27_COM_PD</t>
  </si>
  <si>
    <t>PRK_28_GEST</t>
  </si>
  <si>
    <t>A1_28_GEST</t>
  </si>
  <si>
    <t>B.6+B.7_28_GEST</t>
  </si>
  <si>
    <t>PRK_29_GEST</t>
  </si>
  <si>
    <t>A1_29_GEST</t>
  </si>
  <si>
    <t>B.6+B.7_29_GEST</t>
  </si>
  <si>
    <t>TV_2024</t>
  </si>
  <si>
    <t>TF_2024</t>
  </si>
  <si>
    <t>T_2024</t>
  </si>
  <si>
    <t>Benchmark_24</t>
  </si>
  <si>
    <t>TV_2025</t>
  </si>
  <si>
    <t>TF_2025</t>
  </si>
  <si>
    <t>T_2025</t>
  </si>
  <si>
    <t>T_2025_COM</t>
  </si>
  <si>
    <t>Benchmark_25</t>
  </si>
  <si>
    <t>CSL_SI/NO</t>
  </si>
  <si>
    <t>CR_SI/NO</t>
  </si>
  <si>
    <t>CTR_SI/NO</t>
  </si>
  <si>
    <t>CTS_SI/NO</t>
  </si>
  <si>
    <t>CARC_SI/NO</t>
  </si>
  <si>
    <t>AR_2024_mat</t>
  </si>
  <si>
    <t>AR_2024_ene</t>
  </si>
  <si>
    <t>AR_2024_altresa</t>
  </si>
  <si>
    <t>PR.o_2024</t>
  </si>
  <si>
    <t>AR_2025_mat</t>
  </si>
  <si>
    <t>AR_2025_ene</t>
  </si>
  <si>
    <t>AR_2025_altresa</t>
  </si>
  <si>
    <t>PR.o_2025</t>
  </si>
  <si>
    <t>B.6_27_COM</t>
  </si>
  <si>
    <t>B.7_27_COM</t>
  </si>
  <si>
    <t>B.6+B.7_27_COM</t>
  </si>
  <si>
    <t>B.6_26_COM</t>
  </si>
  <si>
    <t>B.7_26_COM</t>
  </si>
  <si>
    <t>B.6+B.7_26_COM</t>
  </si>
  <si>
    <t>A1_26_COM</t>
  </si>
  <si>
    <t>AR_26_MAT_COM</t>
  </si>
  <si>
    <t>AR_26_ENE_COM</t>
  </si>
  <si>
    <t>AR_26_ALTRESA_COM</t>
  </si>
  <si>
    <t>CRT_26_COM_B.6</t>
  </si>
  <si>
    <t>CRT_26_COM_B.7</t>
  </si>
  <si>
    <t>CRT_26_COM_B.8</t>
  </si>
  <si>
    <t>CRT_26_COM_B.9</t>
  </si>
  <si>
    <t>CRT_26_COM_B.11</t>
  </si>
  <si>
    <t>CRT_26_COM_B.14</t>
  </si>
  <si>
    <t>CTS_26_COM_B.6</t>
  </si>
  <si>
    <t>CTS_26_COM_B.7</t>
  </si>
  <si>
    <t>CTS_26_COM_B.8</t>
  </si>
  <si>
    <t>CTS_26_COM_B.9</t>
  </si>
  <si>
    <t>CTS_26_COM_B.11</t>
  </si>
  <si>
    <t>CTS_26_COM_B.14</t>
  </si>
  <si>
    <t>CTR_26_COM_B.6</t>
  </si>
  <si>
    <t>CTR_26_COM_B.7</t>
  </si>
  <si>
    <t>CTR_26_COM_B.8</t>
  </si>
  <si>
    <t>CTR_26_COM_B.9</t>
  </si>
  <si>
    <t>CTR_26_COM_B.11</t>
  </si>
  <si>
    <t>CTR_26_COM_B.14</t>
  </si>
  <si>
    <t>CRD_26_COM_B.6</t>
  </si>
  <si>
    <t>CRD_26_COM_B.7</t>
  </si>
  <si>
    <t>CRD_26_COM_B.8</t>
  </si>
  <si>
    <t>CRD_26_COM_B.9</t>
  </si>
  <si>
    <t>CRD_26_COM_B.11</t>
  </si>
  <si>
    <t>CRD_26_COM_B.14</t>
  </si>
  <si>
    <t>CSL_26_COM_B.6</t>
  </si>
  <si>
    <t>CSL_26_COM_B.7</t>
  </si>
  <si>
    <t>CSL_26_COM_B.8</t>
  </si>
  <si>
    <t>CSL_26_COM_B.9</t>
  </si>
  <si>
    <t>CSL_26_COM_B.11</t>
  </si>
  <si>
    <t>CSL_26_COM_B.14</t>
  </si>
  <si>
    <t>CARC_26_COM_B.6</t>
  </si>
  <si>
    <t>CARC_26_COM_B.7</t>
  </si>
  <si>
    <t>CARC_26_COM_B.8</t>
  </si>
  <si>
    <t>CARC_26_COM_B.9</t>
  </si>
  <si>
    <t>CARC_26_COM_B.11</t>
  </si>
  <si>
    <t>CARC_26_COM_B.14</t>
  </si>
  <si>
    <t>CGG_26_COM_B.6</t>
  </si>
  <si>
    <t>CGG_26_COM_B.7</t>
  </si>
  <si>
    <t>CGG_26_COM_B.8</t>
  </si>
  <si>
    <t>CGG_26_COM_B.9</t>
  </si>
  <si>
    <t>CGG_26_COM_B.11</t>
  </si>
  <si>
    <t>CGG_26_COM_B.14</t>
  </si>
  <si>
    <t>CCD_26_COM_B.6</t>
  </si>
  <si>
    <t>CCD_26_COM_B.7</t>
  </si>
  <si>
    <t>CCD_26_COM_B.8</t>
  </si>
  <si>
    <t>CCD_26_COM_B.9</t>
  </si>
  <si>
    <t>CCD_26_COM_B.11</t>
  </si>
  <si>
    <t>CCD_26_COM_B.14</t>
  </si>
  <si>
    <t>COAL_26_COM_B.6</t>
  </si>
  <si>
    <t>COAL_26_COM_B.7</t>
  </si>
  <si>
    <t>COAL_26_COM_B.8</t>
  </si>
  <si>
    <t>COAL_26_COM_B.9</t>
  </si>
  <si>
    <t>COAL_26_COM_B.11</t>
  </si>
  <si>
    <t>COAL_26_COM_B.14</t>
  </si>
  <si>
    <t>ACC_26_COM_B.10.a</t>
  </si>
  <si>
    <t>ACC_26_COM_B.10.b</t>
  </si>
  <si>
    <t>ACC_26_COM_B.10.c</t>
  </si>
  <si>
    <t>ACC_26_COM_B.10.d</t>
  </si>
  <si>
    <t>ACC_26_COM_B.12.a</t>
  </si>
  <si>
    <t>ACC_26_COM_B.12.b</t>
  </si>
  <si>
    <t>ACC_26_COM_B.12.c</t>
  </si>
  <si>
    <t>ACC_26_COM_B.12.d</t>
  </si>
  <si>
    <t>ACC_26_COM_B.13.a</t>
  </si>
  <si>
    <t>ACC_26_COM_B.13.b</t>
  </si>
  <si>
    <t>ACC_26_COM_B.13.c</t>
  </si>
  <si>
    <t>ACC_26_COM_B.13.d</t>
  </si>
  <si>
    <t>PR.a_26_COM</t>
  </si>
  <si>
    <t>PR.b_26_COM</t>
  </si>
  <si>
    <t>PR.c_26_COM</t>
  </si>
  <si>
    <t>PR.d_26_COM</t>
  </si>
  <si>
    <t>PR.e_26_COM</t>
  </si>
  <si>
    <t>PR.f_26_COM</t>
  </si>
  <si>
    <t>PR.g_26_COM</t>
  </si>
  <si>
    <t>PR.h_26_COM</t>
  </si>
  <si>
    <t>PR.i_26_COM</t>
  </si>
  <si>
    <t>PR.j_26_COM</t>
  </si>
  <si>
    <t>PR.k_26_COM</t>
  </si>
  <si>
    <t>PR.l_26_COM</t>
  </si>
  <si>
    <t>PR.m_26_COM</t>
  </si>
  <si>
    <t>PR.o_26_COM</t>
  </si>
  <si>
    <t>PRK_26_COM</t>
  </si>
  <si>
    <t>PRK_26_COM_a</t>
  </si>
  <si>
    <t>PRK_26_COM_b</t>
  </si>
  <si>
    <t>PRK_26_COM_c</t>
  </si>
  <si>
    <t>A1_27_COM</t>
  </si>
  <si>
    <t>AR_27_MAT_COM</t>
  </si>
  <si>
    <t>AR_27_ENE_COM</t>
  </si>
  <si>
    <t>AR_27_ALTRESA_COM</t>
  </si>
  <si>
    <t>CRT_27_COM_B.6</t>
  </si>
  <si>
    <t>CRT_27_COM_B.7</t>
  </si>
  <si>
    <t>CRT_27_COM_B.8</t>
  </si>
  <si>
    <t>CRT_27_COM_B.9</t>
  </si>
  <si>
    <t>CRT_27_COM_B.11</t>
  </si>
  <si>
    <t>CRT_27_COM_B.14</t>
  </si>
  <si>
    <t>CTS_27_COM_B.6</t>
  </si>
  <si>
    <t>CTS_27_COM_B.7</t>
  </si>
  <si>
    <t>CTS_27_COM_B.8</t>
  </si>
  <si>
    <t>CTS_27_COM_B.9</t>
  </si>
  <si>
    <t>CTS_27_COM_B.11</t>
  </si>
  <si>
    <t>CTS_27_COM_B.14</t>
  </si>
  <si>
    <t>CTR_27_COM_B.6</t>
  </si>
  <si>
    <t>CTR_27_COM_B.7</t>
  </si>
  <si>
    <t>CTR_27_COM_B.8</t>
  </si>
  <si>
    <t>CTR_27_COM_B.9</t>
  </si>
  <si>
    <t>CTR_27_COM_B.11</t>
  </si>
  <si>
    <t>CTR_27_COM_B.14</t>
  </si>
  <si>
    <t>CRD_27_COM_B.6</t>
  </si>
  <si>
    <t>CRD_27_COM_B.7</t>
  </si>
  <si>
    <t>CRD_27_COM_B.8</t>
  </si>
  <si>
    <t>CRD_27_COM_B.9</t>
  </si>
  <si>
    <t>CRD_27_COM_B.11</t>
  </si>
  <si>
    <t>CRD_27_COM_B.14</t>
  </si>
  <si>
    <t>CSL_27_COM_B.6</t>
  </si>
  <si>
    <t>CSL_27_COM_B.7</t>
  </si>
  <si>
    <t>CSL_27_COM_B.8</t>
  </si>
  <si>
    <t>CSL_27_COM_B.9</t>
  </si>
  <si>
    <t>CSL_27_COM_B.11</t>
  </si>
  <si>
    <t>CSL_27_COM_B.14</t>
  </si>
  <si>
    <t>CARC_27_COM_B.6</t>
  </si>
  <si>
    <t>CARC_27_COM_B.7</t>
  </si>
  <si>
    <t>CARC_27_COM_B.8</t>
  </si>
  <si>
    <t>CARC_27_COM_B.9</t>
  </si>
  <si>
    <t>CARC_27_COM_B.11</t>
  </si>
  <si>
    <t>CARC_27_COM_B.14</t>
  </si>
  <si>
    <t>CGG_27_COM_B.6</t>
  </si>
  <si>
    <t>CGG_27_COM_B.7</t>
  </si>
  <si>
    <t>CGG_27_COM_B.8</t>
  </si>
  <si>
    <t>CGG_27_COM_B.9</t>
  </si>
  <si>
    <t>CGG_27_COM_B.11</t>
  </si>
  <si>
    <t>CGG_27_COM_B.14</t>
  </si>
  <si>
    <t>CCD_27_COM_B.6</t>
  </si>
  <si>
    <t>CCD_27_COM_B.7</t>
  </si>
  <si>
    <t>CCD_27_COM_B.8</t>
  </si>
  <si>
    <t>CCD_27_COM_B.9</t>
  </si>
  <si>
    <t>CCD_27_COM_B.11</t>
  </si>
  <si>
    <t>CCD_27_COM_B.14</t>
  </si>
  <si>
    <t>COAL_27_COM_B.6</t>
  </si>
  <si>
    <t>COAL_27_COM_B.7</t>
  </si>
  <si>
    <t>COAL_27_COM_B.8</t>
  </si>
  <si>
    <t>COAL_27_COM_B.9</t>
  </si>
  <si>
    <t>COAL_27_COM_B.11</t>
  </si>
  <si>
    <t>COAL_27_COM_B.14</t>
  </si>
  <si>
    <t>ACC_27_COM_B.10.a</t>
  </si>
  <si>
    <t>ACC_27_COM_B.10.b</t>
  </si>
  <si>
    <t>ACC_27_COM_B.10.c</t>
  </si>
  <si>
    <t>ACC_27_COM_B.10.d</t>
  </si>
  <si>
    <t>ACC_27_COM_B.12.a</t>
  </si>
  <si>
    <t>ACC_27_COM_B.12.b</t>
  </si>
  <si>
    <t>ACC_27_COM_B.12.c</t>
  </si>
  <si>
    <t>ACC_27_COM_B.12.d</t>
  </si>
  <si>
    <t>ACC_27_COM_B.13.a</t>
  </si>
  <si>
    <t>ACC_27_COM_B.13.b</t>
  </si>
  <si>
    <t>ACC_27_COM_B.13.c</t>
  </si>
  <si>
    <t>ACC_27_COM_B.13.d</t>
  </si>
  <si>
    <t>PR.a_27_COM</t>
  </si>
  <si>
    <t>PR.b_27_COM</t>
  </si>
  <si>
    <t>PR.c_27_COM</t>
  </si>
  <si>
    <t>PR.d_27_COM</t>
  </si>
  <si>
    <t>PR.e_27_COM</t>
  </si>
  <si>
    <t>PR.f_27_COM</t>
  </si>
  <si>
    <t>PR.g_27_COM</t>
  </si>
  <si>
    <t>PR.h_27_COM</t>
  </si>
  <si>
    <t>PR.i_27_COM</t>
  </si>
  <si>
    <t>PR.j_27_COM</t>
  </si>
  <si>
    <t>PR.k_27_COM</t>
  </si>
  <si>
    <t>PR.l_27_COM</t>
  </si>
  <si>
    <t>PR.m_27_COM</t>
  </si>
  <si>
    <t>PR.o_27_COM</t>
  </si>
  <si>
    <t>PRK_27_COM</t>
  </si>
  <si>
    <t>PRK_27_COM_a</t>
  </si>
  <si>
    <t>PRK_27_COM_b</t>
  </si>
  <si>
    <t>PRK_27_COM_c</t>
  </si>
  <si>
    <r>
      <t>Poste rettificative relative ai COI attribuibile a CRD</t>
    </r>
    <r>
      <rPr>
        <b/>
        <vertAlign val="subscript"/>
        <sz val="8"/>
        <color theme="1"/>
        <rFont val="Tahoma"/>
        <family val="2"/>
      </rPr>
      <t>sc_si</t>
    </r>
    <r>
      <rPr>
        <b/>
        <sz val="8"/>
        <color theme="1"/>
        <rFont val="Tahoma"/>
        <family val="2"/>
      </rPr>
      <t xml:space="preserve"> - Gestore</t>
    </r>
  </si>
  <si>
    <r>
      <t>Poste rettificative relative ai COI attribuibile a CRD</t>
    </r>
    <r>
      <rPr>
        <b/>
        <vertAlign val="subscript"/>
        <sz val="8"/>
        <color theme="1"/>
        <rFont val="Tahoma"/>
        <family val="2"/>
      </rPr>
      <t>sc_si</t>
    </r>
    <r>
      <rPr>
        <b/>
        <sz val="8"/>
        <color theme="1"/>
        <rFont val="Tahoma"/>
        <family val="2"/>
      </rPr>
      <t xml:space="preserve"> - Comune</t>
    </r>
  </si>
  <si>
    <r>
      <t>Poste rettificative relative ai CQ attribuibile a CRD</t>
    </r>
    <r>
      <rPr>
        <b/>
        <vertAlign val="subscript"/>
        <sz val="8"/>
        <color theme="1"/>
        <rFont val="Tahoma"/>
        <family val="2"/>
      </rPr>
      <t>sc_si</t>
    </r>
    <r>
      <rPr>
        <b/>
        <sz val="8"/>
        <color theme="1"/>
        <rFont val="Tahoma"/>
        <family val="2"/>
      </rPr>
      <t xml:space="preserve"> - Gestore</t>
    </r>
  </si>
  <si>
    <r>
      <t>Poste rettificative relative ai CO116 attribuibile a CRD</t>
    </r>
    <r>
      <rPr>
        <b/>
        <vertAlign val="subscript"/>
        <sz val="8"/>
        <color theme="1"/>
        <rFont val="Tahoma"/>
        <family val="2"/>
      </rPr>
      <t>sc_si</t>
    </r>
    <r>
      <rPr>
        <b/>
        <sz val="8"/>
        <color theme="1"/>
        <rFont val="Tahoma"/>
        <family val="2"/>
      </rPr>
      <t xml:space="preserve"> - Gestore</t>
    </r>
  </si>
  <si>
    <r>
      <t>Poste rettificative relative ai CQ attribuibile a CRD</t>
    </r>
    <r>
      <rPr>
        <b/>
        <vertAlign val="subscript"/>
        <sz val="8"/>
        <color theme="1"/>
        <rFont val="Tahoma"/>
        <family val="2"/>
      </rPr>
      <t>sc_si</t>
    </r>
    <r>
      <rPr>
        <b/>
        <sz val="8"/>
        <color theme="1"/>
        <rFont val="Tahoma"/>
        <family val="2"/>
      </rPr>
      <t xml:space="preserve"> - Comune</t>
    </r>
  </si>
  <si>
    <r>
      <t>Poste rettificative relative ai CO116 attribuibile a CRD</t>
    </r>
    <r>
      <rPr>
        <b/>
        <vertAlign val="subscript"/>
        <sz val="8"/>
        <color theme="1"/>
        <rFont val="Tahoma"/>
        <family val="2"/>
      </rPr>
      <t>sc_si</t>
    </r>
    <r>
      <rPr>
        <b/>
        <sz val="8"/>
        <color theme="1"/>
        <rFont val="Tahoma"/>
        <family val="2"/>
      </rPr>
      <t xml:space="preserve"> - Comune</t>
    </r>
  </si>
  <si>
    <t>B_AR_ARSC_26_GEST_PD</t>
  </si>
  <si>
    <t>B_AR_ARSC_27_GEST</t>
  </si>
  <si>
    <t>B_AR_ARSC_28_GEST</t>
  </si>
  <si>
    <t>B_AR_ARSC_29_GEST</t>
  </si>
  <si>
    <t>B_AR_ARSC_27_COM</t>
  </si>
  <si>
    <t>B_AR_ARSC_28_COM</t>
  </si>
  <si>
    <t>B_AR_ARSC_29_COM</t>
  </si>
  <si>
    <t>B_AR_ARSC_27_GEST_PD</t>
  </si>
  <si>
    <t>B_AR_ARSC_28_GEST_PD</t>
  </si>
  <si>
    <t>B_AR_ARSC_29_GEST_PD</t>
  </si>
  <si>
    <t>B_AR_ARSC_26_COM_PD</t>
  </si>
  <si>
    <t>B_AR_ARSC_27_COM_PD</t>
  </si>
  <si>
    <t>B_AR_ARSC_28_COM_PD</t>
  </si>
  <si>
    <t>B_AR_ARSC_29_COM_PD</t>
  </si>
  <si>
    <r>
      <t>(1 + ρ)</t>
    </r>
    <r>
      <rPr>
        <b/>
        <vertAlign val="subscript"/>
        <sz val="8"/>
        <rFont val="Tahoma"/>
        <family val="2"/>
      </rPr>
      <t>2026</t>
    </r>
  </si>
  <si>
    <r>
      <rPr>
        <sz val="8"/>
        <rFont val="Tahoma"/>
        <family val="2"/>
      </rPr>
      <t>parametro per la determinazione del limite di crescita –&gt;</t>
    </r>
    <r>
      <rPr>
        <b/>
        <sz val="8"/>
        <rFont val="Tahoma"/>
        <family val="2"/>
      </rPr>
      <t xml:space="preserve"> ρ</t>
    </r>
    <r>
      <rPr>
        <b/>
        <vertAlign val="subscript"/>
        <sz val="8"/>
        <rFont val="Tahoma"/>
        <family val="2"/>
      </rPr>
      <t>2026</t>
    </r>
  </si>
  <si>
    <r>
      <t>coefficiente di recupero di produttività –&gt;</t>
    </r>
    <r>
      <rPr>
        <b/>
        <i/>
        <sz val="8"/>
        <rFont val="Tahoma"/>
        <family val="2"/>
      </rPr>
      <t xml:space="preserve"> X</t>
    </r>
    <r>
      <rPr>
        <b/>
        <i/>
        <vertAlign val="subscript"/>
        <sz val="8"/>
        <rFont val="Tahoma"/>
        <family val="2"/>
      </rPr>
      <t>2026</t>
    </r>
  </si>
  <si>
    <t>T_26_PD</t>
  </si>
  <si>
    <r>
      <t>∑T</t>
    </r>
    <r>
      <rPr>
        <vertAlign val="subscript"/>
        <sz val="8"/>
        <rFont val="Tahoma"/>
        <family val="2"/>
      </rPr>
      <t>2026</t>
    </r>
    <r>
      <rPr>
        <sz val="8"/>
        <rFont val="Tahoma"/>
        <family val="2"/>
      </rPr>
      <t xml:space="preserve"> totale delle entrate tariffarie (variabili + fisse) - Gestore - Post Detrazioni art. 4.5 Del. 397</t>
    </r>
  </si>
  <si>
    <r>
      <t>∑T</t>
    </r>
    <r>
      <rPr>
        <vertAlign val="subscript"/>
        <sz val="8"/>
        <rFont val="Tahoma"/>
        <family val="2"/>
      </rPr>
      <t>2026</t>
    </r>
    <r>
      <rPr>
        <sz val="8"/>
        <rFont val="Tahoma"/>
        <family val="2"/>
      </rPr>
      <t xml:space="preserve"> totale delle entrate tariffarie (variabili + fisse) - Comune - Post Detrazioni art. 4.5 Del. 397</t>
    </r>
  </si>
  <si>
    <r>
      <t>∑T</t>
    </r>
    <r>
      <rPr>
        <i/>
        <vertAlign val="subscript"/>
        <sz val="8"/>
        <rFont val="Tahoma"/>
        <family val="2"/>
      </rPr>
      <t>2025</t>
    </r>
    <r>
      <rPr>
        <i/>
        <sz val="8"/>
        <rFont val="Tahoma"/>
        <family val="2"/>
      </rPr>
      <t xml:space="preserve"> totale delle entrate tariffarie variabili</t>
    </r>
  </si>
  <si>
    <r>
      <t>∑T</t>
    </r>
    <r>
      <rPr>
        <i/>
        <vertAlign val="subscript"/>
        <sz val="8"/>
        <rFont val="Tahoma"/>
        <family val="2"/>
      </rPr>
      <t>2025</t>
    </r>
    <r>
      <rPr>
        <i/>
        <sz val="8"/>
        <rFont val="Tahoma"/>
        <family val="2"/>
      </rPr>
      <t xml:space="preserve"> totale delle entrate tariffarie fisse</t>
    </r>
  </si>
  <si>
    <r>
      <t>∑T</t>
    </r>
    <r>
      <rPr>
        <b/>
        <i/>
        <vertAlign val="subscript"/>
        <sz val="8"/>
        <rFont val="Tahoma"/>
        <family val="2"/>
      </rPr>
      <t>2025</t>
    </r>
    <r>
      <rPr>
        <b/>
        <i/>
        <sz val="8"/>
        <rFont val="Tahoma"/>
        <family val="2"/>
      </rPr>
      <t xml:space="preserve"> totale delle entrate tariffarie (variabili + fisse)</t>
    </r>
  </si>
  <si>
    <t>RAPP_26</t>
  </si>
  <si>
    <r>
      <t>Rapporto T</t>
    </r>
    <r>
      <rPr>
        <b/>
        <vertAlign val="subscript"/>
        <sz val="8"/>
        <rFont val="Tahoma"/>
        <family val="2"/>
      </rPr>
      <t>2026</t>
    </r>
    <r>
      <rPr>
        <b/>
        <sz val="8"/>
        <rFont val="Tahoma"/>
        <family val="2"/>
      </rPr>
      <t>/T</t>
    </r>
    <r>
      <rPr>
        <b/>
        <vertAlign val="subscript"/>
        <sz val="8"/>
        <rFont val="Tahoma"/>
        <family val="2"/>
      </rPr>
      <t>2025</t>
    </r>
  </si>
  <si>
    <t>TMAX_26</t>
  </si>
  <si>
    <r>
      <t>∑T</t>
    </r>
    <r>
      <rPr>
        <i/>
        <vertAlign val="subscript"/>
        <sz val="8"/>
        <rFont val="Tahoma"/>
        <family val="2"/>
      </rPr>
      <t>2026 max</t>
    </r>
    <r>
      <rPr>
        <i/>
        <sz val="8"/>
        <rFont val="Tahoma"/>
        <family val="2"/>
      </rPr>
      <t xml:space="preserve"> - Entrate tariffarie massime applicabili nel rispetto del limite di crescita</t>
    </r>
  </si>
  <si>
    <t>DIS_DELTA_TV_26_GEST</t>
  </si>
  <si>
    <t>DIS_DELTA_TV_26_COM</t>
  </si>
  <si>
    <t>DIS_DELTA_TV_26</t>
  </si>
  <si>
    <t>DIS_DELTA_TF_26_GEST</t>
  </si>
  <si>
    <t>DIS_DELTA_TF_26_COM</t>
  </si>
  <si>
    <t>DIS_DELTA_TF_26</t>
  </si>
  <si>
    <r>
      <t xml:space="preserve">Distribuzione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Parte variabile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</si>
  <si>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Parte variabile - Comune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</si>
  <si>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2026</t>
    </r>
    <r>
      <rPr>
        <b/>
        <i/>
        <sz val="8"/>
        <rFont val="Tahoma"/>
        <family val="2"/>
      </rPr>
      <t xml:space="preserve"> - Parte variabile</t>
    </r>
  </si>
  <si>
    <r>
      <t xml:space="preserve">Distribuzione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Parte fissa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</si>
  <si>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Parte fissa - Comune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</si>
  <si>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2024</t>
    </r>
    <r>
      <rPr>
        <b/>
        <i/>
        <sz val="8"/>
        <rFont val="Tahoma"/>
        <family val="2"/>
      </rPr>
      <t xml:space="preserve"> - Parte fissa</t>
    </r>
  </si>
  <si>
    <r>
      <t xml:space="preserve">Residuo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da distribuire</t>
    </r>
  </si>
  <si>
    <t>Recupero del delta (∑Ta-∑Tmax) - 2022-2025</t>
  </si>
  <si>
    <r>
      <t xml:space="preserve">Distribuzione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formatosi nel PEF 2022-2025 - Parte variabile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</si>
  <si>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formatosi nel PEF 2022-2025 - Parte variabile - Comune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</si>
  <si>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2026</t>
    </r>
    <r>
      <rPr>
        <b/>
        <i/>
        <sz val="8"/>
        <rFont val="Tahoma"/>
        <family val="2"/>
      </rPr>
      <t xml:space="preserve"> formatosi nel PEF 2022-2025 - Parte variabile</t>
    </r>
  </si>
  <si>
    <r>
      <t xml:space="preserve">Distribuzione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formatosi nel PEF 2022-2025 - Parte fissa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</si>
  <si>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formatosi nel PEF 2022-2025 - Parte fissa - Comune</t>
    </r>
  </si>
  <si>
    <r>
      <t xml:space="preserve">Distribuzione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formatosi nel PEF 2022-2025 - Parte variabile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</si>
  <si>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formatosi nel PEF 2022-2025 - Parte variabile - Comune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</si>
  <si>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2027</t>
    </r>
    <r>
      <rPr>
        <b/>
        <i/>
        <sz val="8"/>
        <rFont val="Tahoma"/>
        <family val="2"/>
      </rPr>
      <t xml:space="preserve"> formatosi nel PEF 2022-2025 - Parte variabile</t>
    </r>
  </si>
  <si>
    <r>
      <t xml:space="preserve">Distribuzione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formatosi nel PEF 2022-2025 - Parte fissa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</si>
  <si>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formatosi nel PEF 2022-2025 - Parte fissa - Comune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</si>
  <si>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2027</t>
    </r>
    <r>
      <rPr>
        <b/>
        <i/>
        <sz val="8"/>
        <rFont val="Tahoma"/>
        <family val="2"/>
      </rPr>
      <t xml:space="preserve"> formatosi nel PEF 2022-2025 - Parte fissa</t>
    </r>
  </si>
  <si>
    <r>
      <t xml:space="preserve">Distribuzione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formatosi nel PEF 2022-2025 - Parte variabile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</si>
  <si>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formatosi nel PEF 2022-2025 - Parte variabile - Comune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</si>
  <si>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2028</t>
    </r>
    <r>
      <rPr>
        <b/>
        <i/>
        <sz val="8"/>
        <rFont val="Tahoma"/>
        <family val="2"/>
      </rPr>
      <t xml:space="preserve"> formatosi nel PEF 2022-2025 - Parte variabile</t>
    </r>
  </si>
  <si>
    <r>
      <t xml:space="preserve">Distribuzione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formatosi nel PEF 2022-2025 - Parte fissa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</si>
  <si>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formatosi nel PEF 2022-2025 - Parte fissa - Comune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</si>
  <si>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2028</t>
    </r>
    <r>
      <rPr>
        <b/>
        <i/>
        <sz val="8"/>
        <rFont val="Tahoma"/>
        <family val="2"/>
      </rPr>
      <t xml:space="preserve"> formatosi nel PEF 2022-2025 - Parte fissa</t>
    </r>
  </si>
  <si>
    <r>
      <t xml:space="preserve">Distribuzione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formatosi nel PEF 2022-2025 - Parte variabile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</si>
  <si>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formatosi nel PEF 2022-2025 - Parte variabile - Comune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</si>
  <si>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2029</t>
    </r>
    <r>
      <rPr>
        <b/>
        <i/>
        <sz val="8"/>
        <rFont val="Tahoma"/>
        <family val="2"/>
      </rPr>
      <t xml:space="preserve"> formatosi nel PEF 2022-2025 - Parte variabile</t>
    </r>
  </si>
  <si>
    <r>
      <t xml:space="preserve">Distribuzione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formatosi nel PEF 2022-2025 - Parte fissa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</si>
  <si>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formatosi nel PEF 2022-2025 - Parte fissa - Comune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</si>
  <si>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2029</t>
    </r>
    <r>
      <rPr>
        <b/>
        <i/>
        <sz val="8"/>
        <rFont val="Tahoma"/>
        <family val="2"/>
      </rPr>
      <t xml:space="preserve"> formatosi nel PEF 2022-2025 - Parte fissa</t>
    </r>
  </si>
  <si>
    <t>Post 2029</t>
  </si>
  <si>
    <r>
      <t xml:space="preserve">Distribuzione Delta </t>
    </r>
    <r>
      <rPr>
        <i/>
        <vertAlign val="subscript"/>
        <sz val="8"/>
        <rFont val="Tahoma"/>
        <family val="2"/>
      </rPr>
      <t>POST</t>
    </r>
    <r>
      <rPr>
        <i/>
        <sz val="8"/>
        <rFont val="Tahoma"/>
        <family val="2"/>
      </rPr>
      <t xml:space="preserve">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formatosi nel PEF 2022-2025 - Parte variabile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</si>
  <si>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POST</t>
    </r>
    <r>
      <rPr>
        <i/>
        <sz val="8"/>
        <rFont val="Tahoma"/>
        <family val="2"/>
      </rPr>
      <t xml:space="preserve">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formatosi nel PEF 2022-2025 - Parte variabile - Comune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</si>
  <si>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POST 2029</t>
    </r>
    <r>
      <rPr>
        <b/>
        <i/>
        <sz val="8"/>
        <rFont val="Tahoma"/>
        <family val="2"/>
      </rPr>
      <t xml:space="preserve"> formatosi nel PEF 2022-2025 - Parte variabile</t>
    </r>
  </si>
  <si>
    <r>
      <t xml:space="preserve">Distribuzione Delta </t>
    </r>
    <r>
      <rPr>
        <i/>
        <vertAlign val="subscript"/>
        <sz val="8"/>
        <rFont val="Tahoma"/>
        <family val="2"/>
      </rPr>
      <t>POST 2029</t>
    </r>
    <r>
      <rPr>
        <i/>
        <sz val="8"/>
        <rFont val="Tahoma"/>
        <family val="2"/>
      </rPr>
      <t xml:space="preserve"> formatosi nel PEF 2022-2025 - Parte fissa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</si>
  <si>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POST 2029</t>
    </r>
    <r>
      <rPr>
        <i/>
        <sz val="8"/>
        <rFont val="Tahoma"/>
        <family val="2"/>
      </rPr>
      <t xml:space="preserve"> formatosi nel PEF 2022-2025 - Parte fissa - Comune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</si>
  <si>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POST 2029</t>
    </r>
    <r>
      <rPr>
        <b/>
        <i/>
        <sz val="8"/>
        <rFont val="Tahoma"/>
        <family val="2"/>
      </rPr>
      <t xml:space="preserve"> formatosi nel PEF 2022-2025 - Parte fissa</t>
    </r>
  </si>
  <si>
    <t>Rimodulazione con distribuzione del delta (∑Ta-∑Tmax) o istanza di superamento</t>
  </si>
  <si>
    <r>
      <t xml:space="preserve">Delta </t>
    </r>
    <r>
      <rPr>
        <b/>
        <vertAlign val="subscript"/>
        <sz val="8"/>
        <rFont val="Tahoma"/>
        <family val="2"/>
      </rPr>
      <t>2026</t>
    </r>
    <r>
      <rPr>
        <b/>
        <sz val="8"/>
        <rFont val="Tahoma"/>
        <family val="2"/>
      </rPr>
      <t xml:space="preserve"> - Parte variabile - Gestore - Da Recuperare</t>
    </r>
  </si>
  <si>
    <r>
      <t xml:space="preserve">Residuo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Parte variabile - Gestore - da recuperare</t>
    </r>
  </si>
  <si>
    <r>
      <t xml:space="preserve">Recupero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Parte variabile - Gestore - da recuperare nel 2027</t>
    </r>
  </si>
  <si>
    <r>
      <t xml:space="preserve">Recupero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Parte variabile - Gestore - da recuperare nel 2028</t>
    </r>
  </si>
  <si>
    <r>
      <t xml:space="preserve">Recupero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Parte variabile - Gestore - da recuperare nel 2029</t>
    </r>
  </si>
  <si>
    <r>
      <t xml:space="preserve">Recupero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Parte variabile - Gestore - da recuperare Post 2029</t>
    </r>
  </si>
  <si>
    <t>REC_DELTA_26_TV_27_GEST</t>
  </si>
  <si>
    <t>REC_DELTA_26_TV_28_GEST</t>
  </si>
  <si>
    <t>REC_DELTA_26_TV_29_GEST</t>
  </si>
  <si>
    <t>REC_DELTA_26_TV_P29_GEST</t>
  </si>
  <si>
    <t>REC_DELTA_22-25_TV_26_GEST</t>
  </si>
  <si>
    <t>REC_DELTA_22-25_TV_26_COM</t>
  </si>
  <si>
    <t>REC_DELTA_22-25_TV_26</t>
  </si>
  <si>
    <t>REC_DELTA_22-25_TF_26_GEST</t>
  </si>
  <si>
    <t>REC_DELTA_22-25_TF_26_COM</t>
  </si>
  <si>
    <t>REC_DELTA_22-25_TF_26</t>
  </si>
  <si>
    <t>REC_DELTA_22-25_TV_27_GEST</t>
  </si>
  <si>
    <t>REC_DELTA_22-25_TV_27_COM</t>
  </si>
  <si>
    <t>REC_DELTA_22-25_TV_27</t>
  </si>
  <si>
    <t>REC_DELTA_22-25_TF_27_GEST</t>
  </si>
  <si>
    <t>REC_DELTA_22-25_TF_27_COM</t>
  </si>
  <si>
    <t>REC_DELTA_22-25_TF_27</t>
  </si>
  <si>
    <t>REC_DELTA_22-25_TV_28_GEST</t>
  </si>
  <si>
    <t>REC_DELTA_22-25_TV_28_COM</t>
  </si>
  <si>
    <t>REC_DELTA_22-25_TV_28</t>
  </si>
  <si>
    <t>REC_DELTA_22-25_TF_28_GEST</t>
  </si>
  <si>
    <t>REC_DELTA_22-25_TF_28_COM</t>
  </si>
  <si>
    <t>REC_DELTA_22-25_TF_28</t>
  </si>
  <si>
    <t>REC_DELTA_22-25_TV_29_GEST</t>
  </si>
  <si>
    <t>REC_DELTA_22-25_TV_29_COM</t>
  </si>
  <si>
    <t>REC_DELTA_22-25_TV_29</t>
  </si>
  <si>
    <t>REC_DELTA_22-25_TF_29_GEST</t>
  </si>
  <si>
    <t>REC_DELTA_22-25_TF_29_COM</t>
  </si>
  <si>
    <t>REC_DELTA_22-25_TF_29</t>
  </si>
  <si>
    <t>REC_DELTA_22-25_TV_P29_GEST</t>
  </si>
  <si>
    <t>REC_DELTA_22-25_TV_P29_COM</t>
  </si>
  <si>
    <t>REC_DELTA_22-25_TV_P29</t>
  </si>
  <si>
    <t>REC_DELTA_22-25_TF_P29_GEST</t>
  </si>
  <si>
    <t>REC_DELTA_22-25_TF_P29_COM</t>
  </si>
  <si>
    <t>REC_DELTA_22-25_TF_P29</t>
  </si>
  <si>
    <t>REC_DELTA_26_TV_27_COM</t>
  </si>
  <si>
    <t>REC_DELTA_26_TV_28_COM</t>
  </si>
  <si>
    <t>REC_DELTA_26_TV_29_COM</t>
  </si>
  <si>
    <t>REC_DELTA_26_TV_P29_COM</t>
  </si>
  <si>
    <r>
      <t xml:space="preserve">Delta </t>
    </r>
    <r>
      <rPr>
        <b/>
        <vertAlign val="subscript"/>
        <sz val="8"/>
        <rFont val="Tahoma"/>
        <family val="2"/>
      </rPr>
      <t>2026</t>
    </r>
    <r>
      <rPr>
        <b/>
        <sz val="8"/>
        <rFont val="Tahoma"/>
        <family val="2"/>
      </rPr>
      <t xml:space="preserve"> - Parte variabile - Comune - Da Recuperare</t>
    </r>
  </si>
  <si>
    <r>
      <t xml:space="preserve">Recupero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Parte variabile - Comune - da recuperare nel 2027</t>
    </r>
  </si>
  <si>
    <r>
      <t xml:space="preserve">Recupero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Parte variabile - Comune - da recuperare nel 2028</t>
    </r>
  </si>
  <si>
    <r>
      <t xml:space="preserve">Recupero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Parte variabile - Comune - da recuperare nel 2029</t>
    </r>
  </si>
  <si>
    <r>
      <t xml:space="preserve">Recupero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Parte variabile - Comune - da recuperare Post 2029</t>
    </r>
  </si>
  <si>
    <r>
      <t xml:space="preserve">Residuo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Parte variabile - Comune - da recuperare</t>
    </r>
  </si>
  <si>
    <t>REC_DELTA_26_TF_27_GEST</t>
  </si>
  <si>
    <t>REC_DELTA_26_TF_28_GEST</t>
  </si>
  <si>
    <t>REC_DELTA_26_TF_29_GEST</t>
  </si>
  <si>
    <t>REC_DELTA_26_TF_P29_GEST</t>
  </si>
  <si>
    <r>
      <t xml:space="preserve">Recupero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Parte fissa - Gestore - da recuperare nel 2027</t>
    </r>
  </si>
  <si>
    <r>
      <t xml:space="preserve">Recupero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Parte fissa - Gestore - da recuperare nel 2028</t>
    </r>
  </si>
  <si>
    <r>
      <t xml:space="preserve">Recupero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Parte fissa - Gestore - da recuperare nel 2029</t>
    </r>
  </si>
  <si>
    <r>
      <t xml:space="preserve">Recupero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Parte fissa - Gestore - da recuperare Post 2029</t>
    </r>
  </si>
  <si>
    <r>
      <t xml:space="preserve">Residuo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Parte fissa - Gestore - da recuperare</t>
    </r>
  </si>
  <si>
    <r>
      <t xml:space="preserve">Recupero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Parte fissa - Comune - da recuperare nel 2027</t>
    </r>
  </si>
  <si>
    <r>
      <t xml:space="preserve">Recupero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Parte fissa - Comune - da recuperare nel 2028</t>
    </r>
  </si>
  <si>
    <r>
      <t xml:space="preserve">Recupero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Parte fissa - Comune - da recuperare nel 2029</t>
    </r>
  </si>
  <si>
    <r>
      <t xml:space="preserve">Recupero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Parte fissa - Comune - da recuperare Post 2029</t>
    </r>
  </si>
  <si>
    <r>
      <t xml:space="preserve">Residuo Delta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Parte fissa - Comune - da recuperare</t>
    </r>
  </si>
  <si>
    <t>REC_DELTA_26_TF_27_COM</t>
  </si>
  <si>
    <t>REC_DELTA_26_TF_28_COM</t>
  </si>
  <si>
    <t>REC_DELTA_26_TF_29_COM</t>
  </si>
  <si>
    <t>REC_DELTA_26_TF_P29_COM</t>
  </si>
  <si>
    <t>TV_26_GEST_DEF</t>
  </si>
  <si>
    <t>TV_26_COM_DEF</t>
  </si>
  <si>
    <t>TF_26_GEST_DEF</t>
  </si>
  <si>
    <t>TF_26_COM_DEF</t>
  </si>
  <si>
    <r>
      <t xml:space="preserve">Tariffe parte variabile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Gestore - dopo distribuzione delta</t>
    </r>
  </si>
  <si>
    <r>
      <t xml:space="preserve">Tariffe parte variabile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Comune - dopo distribuzione delta</t>
    </r>
  </si>
  <si>
    <r>
      <t xml:space="preserve">Tariffe parte variabile </t>
    </r>
    <r>
      <rPr>
        <b/>
        <i/>
        <vertAlign val="subscript"/>
        <sz val="8"/>
        <rFont val="Tahoma"/>
        <family val="2"/>
      </rPr>
      <t>2026</t>
    </r>
    <r>
      <rPr>
        <b/>
        <i/>
        <sz val="8"/>
        <rFont val="Tahoma"/>
        <family val="2"/>
      </rPr>
      <t xml:space="preserve"> - dopo distribuzione delta</t>
    </r>
  </si>
  <si>
    <r>
      <t xml:space="preserve">Tariffe parte fissa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Gestore - dopo distribuzione delta</t>
    </r>
  </si>
  <si>
    <r>
      <t xml:space="preserve">Tariffe parte fissa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Comune - dopo distribuzione delta</t>
    </r>
  </si>
  <si>
    <r>
      <t xml:space="preserve">Tariffe parte fissa </t>
    </r>
    <r>
      <rPr>
        <b/>
        <i/>
        <vertAlign val="subscript"/>
        <sz val="8"/>
        <rFont val="Tahoma"/>
        <family val="2"/>
      </rPr>
      <t>2026</t>
    </r>
    <r>
      <rPr>
        <b/>
        <i/>
        <sz val="8"/>
        <rFont val="Tahoma"/>
        <family val="2"/>
      </rPr>
      <t xml:space="preserve"> - dopo distribuzione delta</t>
    </r>
  </si>
  <si>
    <r>
      <t xml:space="preserve">Tariffe </t>
    </r>
    <r>
      <rPr>
        <b/>
        <i/>
        <vertAlign val="subscript"/>
        <sz val="8"/>
        <color theme="0"/>
        <rFont val="Tahoma"/>
        <family val="2"/>
      </rPr>
      <t>2026</t>
    </r>
  </si>
  <si>
    <r>
      <t xml:space="preserve">coeff. per i maggiori oneri sostenuti –&gt; </t>
    </r>
    <r>
      <rPr>
        <b/>
        <i/>
        <sz val="8"/>
        <rFont val="Tahoma"/>
        <family val="2"/>
      </rPr>
      <t>CRI</t>
    </r>
    <r>
      <rPr>
        <b/>
        <i/>
        <vertAlign val="subscript"/>
        <sz val="8"/>
        <rFont val="Tahoma"/>
        <family val="2"/>
      </rPr>
      <t>2026</t>
    </r>
  </si>
  <si>
    <r>
      <t>coeff. per il potenziamento del servizio –&gt;</t>
    </r>
    <r>
      <rPr>
        <b/>
        <i/>
        <sz val="8"/>
        <rFont val="Tahoma"/>
        <family val="2"/>
      </rPr>
      <t xml:space="preserve"> K</t>
    </r>
    <r>
      <rPr>
        <b/>
        <i/>
        <vertAlign val="subscript"/>
        <sz val="8"/>
        <rFont val="Tahoma"/>
        <family val="2"/>
      </rPr>
      <t>2026</t>
    </r>
  </si>
  <si>
    <t>TV_26_PD</t>
  </si>
  <si>
    <t>TF_26_PD</t>
  </si>
  <si>
    <r>
      <t>∑T</t>
    </r>
    <r>
      <rPr>
        <vertAlign val="subscript"/>
        <sz val="8"/>
        <rFont val="Tahoma"/>
        <family val="2"/>
      </rPr>
      <t>2026</t>
    </r>
    <r>
      <rPr>
        <sz val="8"/>
        <rFont val="Tahoma"/>
        <family val="2"/>
      </rPr>
      <t xml:space="preserve"> totale delle entrate tariffarie variabili - Gestore - Post Detrazioni art. 4.5 Del. 397</t>
    </r>
  </si>
  <si>
    <r>
      <t>∑T</t>
    </r>
    <r>
      <rPr>
        <vertAlign val="subscript"/>
        <sz val="8"/>
        <rFont val="Tahoma"/>
        <family val="2"/>
      </rPr>
      <t>2026</t>
    </r>
    <r>
      <rPr>
        <sz val="8"/>
        <rFont val="Tahoma"/>
        <family val="2"/>
      </rPr>
      <t xml:space="preserve"> totale delle entrate tariffarie variabili - Comune - Post Detrazioni art. 4.5 Del. 397</t>
    </r>
  </si>
  <si>
    <r>
      <t>∑T</t>
    </r>
    <r>
      <rPr>
        <vertAlign val="subscript"/>
        <sz val="8"/>
        <rFont val="Tahoma"/>
        <family val="2"/>
      </rPr>
      <t>2026</t>
    </r>
    <r>
      <rPr>
        <sz val="8"/>
        <rFont val="Tahoma"/>
        <family val="2"/>
      </rPr>
      <t xml:space="preserve"> totale delle entrate tariffarie fisse - Gestore - Post Detrazioni art. 4.5 Del. 397</t>
    </r>
  </si>
  <si>
    <r>
      <t>∑T</t>
    </r>
    <r>
      <rPr>
        <vertAlign val="subscript"/>
        <sz val="8"/>
        <rFont val="Tahoma"/>
        <family val="2"/>
      </rPr>
      <t>2026</t>
    </r>
    <r>
      <rPr>
        <sz val="8"/>
        <rFont val="Tahoma"/>
        <family val="2"/>
      </rPr>
      <t xml:space="preserve"> totale delle entrate tariffarie fisse - Comune - Post Detrazioni art. 4.5 Del. 397</t>
    </r>
  </si>
  <si>
    <r>
      <t>∑T</t>
    </r>
    <r>
      <rPr>
        <b/>
        <vertAlign val="subscript"/>
        <sz val="8"/>
        <rFont val="Tahoma"/>
        <family val="2"/>
      </rPr>
      <t>2026</t>
    </r>
    <r>
      <rPr>
        <b/>
        <sz val="8"/>
        <rFont val="Tahoma"/>
        <family val="2"/>
      </rPr>
      <t xml:space="preserve"> totale delle entrate tariffarie variabili - Post Detrazioni art. 4.5 Del. 397</t>
    </r>
  </si>
  <si>
    <r>
      <t>∑T</t>
    </r>
    <r>
      <rPr>
        <b/>
        <vertAlign val="subscript"/>
        <sz val="8"/>
        <rFont val="Tahoma"/>
        <family val="2"/>
      </rPr>
      <t>2026</t>
    </r>
    <r>
      <rPr>
        <b/>
        <sz val="8"/>
        <rFont val="Tahoma"/>
        <family val="2"/>
      </rPr>
      <t xml:space="preserve"> totale delle entrate tariffarie fisse - Post Detrazioni art. 4.5 Del. 397</t>
    </r>
  </si>
  <si>
    <r>
      <t>∑T</t>
    </r>
    <r>
      <rPr>
        <b/>
        <vertAlign val="subscript"/>
        <sz val="8"/>
        <rFont val="Tahoma"/>
        <family val="2"/>
      </rPr>
      <t>2026</t>
    </r>
    <r>
      <rPr>
        <b/>
        <sz val="8"/>
        <rFont val="Tahoma"/>
        <family val="2"/>
      </rPr>
      <t xml:space="preserve"> totale delle entrate tariffarie (variabili + fisse) - Post Detrazioni art. 4.5 Del. 397</t>
    </r>
  </si>
  <si>
    <r>
      <t>(1 + ρ)</t>
    </r>
    <r>
      <rPr>
        <b/>
        <vertAlign val="subscript"/>
        <sz val="8"/>
        <rFont val="Tahoma"/>
        <family val="2"/>
      </rPr>
      <t>2027</t>
    </r>
  </si>
  <si>
    <r>
      <rPr>
        <sz val="8"/>
        <rFont val="Tahoma"/>
        <family val="2"/>
      </rPr>
      <t>parametro per la determinazione del limite di crescita –&gt;</t>
    </r>
    <r>
      <rPr>
        <b/>
        <sz val="8"/>
        <rFont val="Tahoma"/>
        <family val="2"/>
      </rPr>
      <t xml:space="preserve"> ρ</t>
    </r>
    <r>
      <rPr>
        <b/>
        <vertAlign val="subscript"/>
        <sz val="8"/>
        <rFont val="Tahoma"/>
        <family val="2"/>
      </rPr>
      <t>2027</t>
    </r>
  </si>
  <si>
    <r>
      <t>coefficiente di recupero di produttività –&gt;</t>
    </r>
    <r>
      <rPr>
        <b/>
        <i/>
        <sz val="8"/>
        <rFont val="Tahoma"/>
        <family val="2"/>
      </rPr>
      <t xml:space="preserve"> X</t>
    </r>
    <r>
      <rPr>
        <b/>
        <i/>
        <vertAlign val="subscript"/>
        <sz val="8"/>
        <rFont val="Tahoma"/>
        <family val="2"/>
      </rPr>
      <t>2027</t>
    </r>
  </si>
  <si>
    <r>
      <t>coeff. per il potenziamento del servizio –&gt;</t>
    </r>
    <r>
      <rPr>
        <b/>
        <i/>
        <sz val="8"/>
        <rFont val="Tahoma"/>
        <family val="2"/>
      </rPr>
      <t xml:space="preserve"> K</t>
    </r>
    <r>
      <rPr>
        <b/>
        <i/>
        <vertAlign val="subscript"/>
        <sz val="8"/>
        <rFont val="Tahoma"/>
        <family val="2"/>
      </rPr>
      <t>2027</t>
    </r>
  </si>
  <si>
    <r>
      <t xml:space="preserve">coeff. per i maggiori oneri sostenuti –&gt; </t>
    </r>
    <r>
      <rPr>
        <b/>
        <i/>
        <sz val="8"/>
        <rFont val="Tahoma"/>
        <family val="2"/>
      </rPr>
      <t>CRI</t>
    </r>
    <r>
      <rPr>
        <b/>
        <i/>
        <vertAlign val="subscript"/>
        <sz val="8"/>
        <rFont val="Tahoma"/>
        <family val="2"/>
      </rPr>
      <t>2027</t>
    </r>
  </si>
  <si>
    <r>
      <t>∑T</t>
    </r>
    <r>
      <rPr>
        <vertAlign val="subscript"/>
        <sz val="8"/>
        <rFont val="Tahoma"/>
        <family val="2"/>
      </rPr>
      <t>2027</t>
    </r>
    <r>
      <rPr>
        <sz val="8"/>
        <rFont val="Tahoma"/>
        <family val="2"/>
      </rPr>
      <t xml:space="preserve"> totale delle entrate tariffarie variabili - Gestore - Post Detrazioni art. 4.5 Del. 397</t>
    </r>
  </si>
  <si>
    <r>
      <t>∑T</t>
    </r>
    <r>
      <rPr>
        <vertAlign val="subscript"/>
        <sz val="8"/>
        <rFont val="Tahoma"/>
        <family val="2"/>
      </rPr>
      <t>2027</t>
    </r>
    <r>
      <rPr>
        <sz val="8"/>
        <rFont val="Tahoma"/>
        <family val="2"/>
      </rPr>
      <t xml:space="preserve"> totale delle entrate tariffarie variabili - Comune - Post Detrazioni art. 4.5 Del. 397</t>
    </r>
  </si>
  <si>
    <r>
      <t>∑T</t>
    </r>
    <r>
      <rPr>
        <b/>
        <vertAlign val="subscript"/>
        <sz val="8"/>
        <rFont val="Tahoma"/>
        <family val="2"/>
      </rPr>
      <t>2027</t>
    </r>
    <r>
      <rPr>
        <b/>
        <sz val="8"/>
        <rFont val="Tahoma"/>
        <family val="2"/>
      </rPr>
      <t xml:space="preserve"> totale delle entrate tariffarie variabili - Post Detrazioni art. 4.5 Del. 397</t>
    </r>
  </si>
  <si>
    <r>
      <t>∑T</t>
    </r>
    <r>
      <rPr>
        <vertAlign val="subscript"/>
        <sz val="8"/>
        <rFont val="Tahoma"/>
        <family val="2"/>
      </rPr>
      <t>2027</t>
    </r>
    <r>
      <rPr>
        <sz val="8"/>
        <rFont val="Tahoma"/>
        <family val="2"/>
      </rPr>
      <t xml:space="preserve"> totale delle entrate tariffarie fisse - Gestore - Post Detrazioni art. 4.5 Del. 397</t>
    </r>
  </si>
  <si>
    <r>
      <t>∑T</t>
    </r>
    <r>
      <rPr>
        <vertAlign val="subscript"/>
        <sz val="8"/>
        <rFont val="Tahoma"/>
        <family val="2"/>
      </rPr>
      <t>2027</t>
    </r>
    <r>
      <rPr>
        <sz val="8"/>
        <rFont val="Tahoma"/>
        <family val="2"/>
      </rPr>
      <t xml:space="preserve"> totale delle entrate tariffarie fisse - Comune - Post Detrazioni art. 4.5 Del. 397</t>
    </r>
  </si>
  <si>
    <r>
      <t>∑T</t>
    </r>
    <r>
      <rPr>
        <b/>
        <vertAlign val="subscript"/>
        <sz val="8"/>
        <rFont val="Tahoma"/>
        <family val="2"/>
      </rPr>
      <t>2027</t>
    </r>
    <r>
      <rPr>
        <b/>
        <sz val="8"/>
        <rFont val="Tahoma"/>
        <family val="2"/>
      </rPr>
      <t xml:space="preserve"> totale delle entrate tariffarie fisse - Post Detrazioni art. 4.5 Del. 397</t>
    </r>
  </si>
  <si>
    <r>
      <t>∑T</t>
    </r>
    <r>
      <rPr>
        <vertAlign val="subscript"/>
        <sz val="8"/>
        <rFont val="Tahoma"/>
        <family val="2"/>
      </rPr>
      <t>2027</t>
    </r>
    <r>
      <rPr>
        <sz val="8"/>
        <rFont val="Tahoma"/>
        <family val="2"/>
      </rPr>
      <t xml:space="preserve"> totale delle entrate tariffarie (variabili + fisse) - Gestore - Post Detrazioni art. 4.5 Del. 397</t>
    </r>
  </si>
  <si>
    <r>
      <t>∑T</t>
    </r>
    <r>
      <rPr>
        <vertAlign val="subscript"/>
        <sz val="8"/>
        <rFont val="Tahoma"/>
        <family val="2"/>
      </rPr>
      <t>2027</t>
    </r>
    <r>
      <rPr>
        <sz val="8"/>
        <rFont val="Tahoma"/>
        <family val="2"/>
      </rPr>
      <t xml:space="preserve"> totale delle entrate tariffarie (variabili + fisse) - Comune - Post Detrazioni art. 4.5 Del. 397</t>
    </r>
  </si>
  <si>
    <r>
      <t>∑T</t>
    </r>
    <r>
      <rPr>
        <b/>
        <vertAlign val="subscript"/>
        <sz val="8"/>
        <rFont val="Tahoma"/>
        <family val="2"/>
      </rPr>
      <t>2027</t>
    </r>
    <r>
      <rPr>
        <b/>
        <sz val="8"/>
        <rFont val="Tahoma"/>
        <family val="2"/>
      </rPr>
      <t xml:space="preserve"> totale delle entrate tariffarie (variabili + fisse) - Post Detrazioni art. 4.5 Del. 397</t>
    </r>
  </si>
  <si>
    <t>TV_27_PD</t>
  </si>
  <si>
    <t>TF_27_PD</t>
  </si>
  <si>
    <t>T_27_PD</t>
  </si>
  <si>
    <r>
      <t>Rapporto T</t>
    </r>
    <r>
      <rPr>
        <b/>
        <vertAlign val="subscript"/>
        <sz val="8"/>
        <rFont val="Tahoma"/>
        <family val="2"/>
      </rPr>
      <t>2027</t>
    </r>
    <r>
      <rPr>
        <b/>
        <sz val="8"/>
        <rFont val="Tahoma"/>
        <family val="2"/>
      </rPr>
      <t>/T</t>
    </r>
    <r>
      <rPr>
        <b/>
        <vertAlign val="subscript"/>
        <sz val="8"/>
        <rFont val="Tahoma"/>
        <family val="2"/>
      </rPr>
      <t>2026</t>
    </r>
  </si>
  <si>
    <t>TMAX_27</t>
  </si>
  <si>
    <r>
      <t>Delta (∑T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∑T</t>
    </r>
    <r>
      <rPr>
        <i/>
        <vertAlign val="subscript"/>
        <sz val="8"/>
        <rFont val="Tahoma"/>
        <family val="2"/>
      </rPr>
      <t>2026 max</t>
    </r>
    <r>
      <rPr>
        <i/>
        <sz val="8"/>
        <rFont val="Tahoma"/>
        <family val="2"/>
      </rPr>
      <t>)</t>
    </r>
  </si>
  <si>
    <t>IST_26</t>
  </si>
  <si>
    <t>RAPP_27</t>
  </si>
  <si>
    <t>IST_27</t>
  </si>
  <si>
    <r>
      <t>Delta (∑T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∑T</t>
    </r>
    <r>
      <rPr>
        <i/>
        <vertAlign val="subscript"/>
        <sz val="8"/>
        <rFont val="Tahoma"/>
        <family val="2"/>
      </rPr>
      <t>2027 max</t>
    </r>
    <r>
      <rPr>
        <i/>
        <sz val="8"/>
        <rFont val="Tahoma"/>
        <family val="2"/>
      </rPr>
      <t>)</t>
    </r>
  </si>
  <si>
    <t>DIS_DELTA_TV_27_GEST</t>
  </si>
  <si>
    <t>DIS_DELTA_TV_27_COM</t>
  </si>
  <si>
    <t>DIS_DELTA_TV_27</t>
  </si>
  <si>
    <t>DIS_DELTA_TF_27_GEST</t>
  </si>
  <si>
    <t>DIS_DELTA_TF_27_COM</t>
  </si>
  <si>
    <t>DIS_DELTA_TF_27</t>
  </si>
  <si>
    <t>REC_DELTA_27_TV_28_GEST</t>
  </si>
  <si>
    <t>REC_DELTA_27_TV_29_GEST</t>
  </si>
  <si>
    <t>REC_DELTA_27_TV_P29_GEST</t>
  </si>
  <si>
    <t>REC_DELTA_27_TV_28_COM</t>
  </si>
  <si>
    <t>REC_DELTA_27_TV_29_COM</t>
  </si>
  <si>
    <t>REC_DELTA_27_TV_P29_COM</t>
  </si>
  <si>
    <t>REC_DELTA_27_TF_28_GEST</t>
  </si>
  <si>
    <t>REC_DELTA_27_TF_29_GEST</t>
  </si>
  <si>
    <t>REC_DELTA_27_TF_P29_GEST</t>
  </si>
  <si>
    <t>REC_DELTA_27_TF_28_COM</t>
  </si>
  <si>
    <t>REC_DELTA_27_TF_29_COM</t>
  </si>
  <si>
    <t>REC_DELTA_27_TF_P29_COM</t>
  </si>
  <si>
    <t>TV_27_GEST_DEF</t>
  </si>
  <si>
    <t>TV_27_COM_DEF</t>
  </si>
  <si>
    <t>TF_27_GEST_DEF</t>
  </si>
  <si>
    <t>TF_27_COM_DEF</t>
  </si>
  <si>
    <r>
      <t xml:space="preserve">Distribuzione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Parte variabile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</si>
  <si>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Parte variabile - Comune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</si>
  <si>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2027</t>
    </r>
    <r>
      <rPr>
        <b/>
        <i/>
        <sz val="8"/>
        <rFont val="Tahoma"/>
        <family val="2"/>
      </rPr>
      <t xml:space="preserve"> - Parte variabile</t>
    </r>
  </si>
  <si>
    <r>
      <t xml:space="preserve">Distribuzione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Parte fissa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</si>
  <si>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Parte fissa - Comune</t>
    </r>
  </si>
  <si>
    <r>
      <t xml:space="preserve">Residuo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da distribuire</t>
    </r>
  </si>
  <si>
    <r>
      <t xml:space="preserve">Delta </t>
    </r>
    <r>
      <rPr>
        <b/>
        <vertAlign val="subscript"/>
        <sz val="8"/>
        <rFont val="Tahoma"/>
        <family val="2"/>
      </rPr>
      <t>2027</t>
    </r>
    <r>
      <rPr>
        <b/>
        <sz val="8"/>
        <rFont val="Tahoma"/>
        <family val="2"/>
      </rPr>
      <t xml:space="preserve"> - Parte variabile - Gestore - Da Recuperare</t>
    </r>
  </si>
  <si>
    <r>
      <t xml:space="preserve">Recupero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Parte variabile - Gestore - da recuperare nel 2028</t>
    </r>
  </si>
  <si>
    <r>
      <t xml:space="preserve">Recupero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Parte variabile - Gestore - da recuperare nel 2029</t>
    </r>
  </si>
  <si>
    <r>
      <t xml:space="preserve">Recupero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Parte variabile - Gestore - da recuperare Post 2029</t>
    </r>
  </si>
  <si>
    <r>
      <t xml:space="preserve">Residuo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Parte variabile - Gestore - da recuperare</t>
    </r>
  </si>
  <si>
    <r>
      <t xml:space="preserve">Delta </t>
    </r>
    <r>
      <rPr>
        <b/>
        <vertAlign val="subscript"/>
        <sz val="8"/>
        <rFont val="Tahoma"/>
        <family val="2"/>
      </rPr>
      <t>2027</t>
    </r>
    <r>
      <rPr>
        <b/>
        <sz val="8"/>
        <rFont val="Tahoma"/>
        <family val="2"/>
      </rPr>
      <t xml:space="preserve"> - Parte variabile - Comune - Da Recuperare</t>
    </r>
  </si>
  <si>
    <r>
      <t xml:space="preserve">Recupero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Parte variabile - Comune - da recuperare nel 2028</t>
    </r>
  </si>
  <si>
    <r>
      <t xml:space="preserve">Recupero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Parte variabile - Comune - da recuperare nel 2029</t>
    </r>
  </si>
  <si>
    <r>
      <t xml:space="preserve">Recupero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Parte variabile - Comune - da recuperare Post 2029</t>
    </r>
  </si>
  <si>
    <r>
      <t xml:space="preserve">Residuo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Parte variabile - Comune - da recuperare</t>
    </r>
  </si>
  <si>
    <r>
      <t xml:space="preserve">Recupero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Parte fissa - Gestore - da recuperare nel 2028</t>
    </r>
  </si>
  <si>
    <r>
      <t xml:space="preserve">Recupero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Parte fissa - Gestore - da recuperare nel 2029</t>
    </r>
  </si>
  <si>
    <r>
      <t xml:space="preserve">Recupero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Parte fissa - Gestore - da recuperare Post 2029</t>
    </r>
  </si>
  <si>
    <r>
      <t xml:space="preserve">Residuo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Parte fissa - Gestore - da recuperare</t>
    </r>
  </si>
  <si>
    <r>
      <t xml:space="preserve">Recupero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Parte fissa - Comune - da recuperare nel 2028</t>
    </r>
  </si>
  <si>
    <r>
      <t xml:space="preserve">Recupero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Parte fissa - Comune - da recuperare nel 2029</t>
    </r>
  </si>
  <si>
    <r>
      <t xml:space="preserve">Recupero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Parte fissa - Comune - da recuperare Post 2029</t>
    </r>
  </si>
  <si>
    <r>
      <t xml:space="preserve">Residuo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Parte fissa - Comune - da recuperare</t>
    </r>
  </si>
  <si>
    <r>
      <t xml:space="preserve">Tariffe parte variabile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Gestore - dopo distribuzione delta</t>
    </r>
  </si>
  <si>
    <r>
      <t xml:space="preserve">Tariffe parte variabile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Comune - dopo distribuzione delta</t>
    </r>
  </si>
  <si>
    <r>
      <t xml:space="preserve">Tariffe parte variabile </t>
    </r>
    <r>
      <rPr>
        <b/>
        <i/>
        <vertAlign val="subscript"/>
        <sz val="8"/>
        <rFont val="Tahoma"/>
        <family val="2"/>
      </rPr>
      <t>2027</t>
    </r>
    <r>
      <rPr>
        <b/>
        <i/>
        <sz val="8"/>
        <rFont val="Tahoma"/>
        <family val="2"/>
      </rPr>
      <t xml:space="preserve"> - dopo distribuzione delta</t>
    </r>
  </si>
  <si>
    <r>
      <t xml:space="preserve">Tariffe parte fissa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Gestore - dopo distribuzione delta</t>
    </r>
  </si>
  <si>
    <r>
      <t xml:space="preserve">Tariffe parte fissa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Comune - dopo distribuzione delta</t>
    </r>
  </si>
  <si>
    <r>
      <t xml:space="preserve">Tariffe parte fissa </t>
    </r>
    <r>
      <rPr>
        <b/>
        <i/>
        <vertAlign val="subscript"/>
        <sz val="8"/>
        <rFont val="Tahoma"/>
        <family val="2"/>
      </rPr>
      <t>2027</t>
    </r>
    <r>
      <rPr>
        <b/>
        <i/>
        <sz val="8"/>
        <rFont val="Tahoma"/>
        <family val="2"/>
      </rPr>
      <t xml:space="preserve"> - dopo distribuzione delta</t>
    </r>
  </si>
  <si>
    <r>
      <t xml:space="preserve">Tariffe </t>
    </r>
    <r>
      <rPr>
        <b/>
        <i/>
        <vertAlign val="subscript"/>
        <sz val="8"/>
        <color theme="0"/>
        <rFont val="Tahoma"/>
        <family val="2"/>
      </rPr>
      <t>2027</t>
    </r>
  </si>
  <si>
    <t>TV_28_PD</t>
  </si>
  <si>
    <t>TF_28_PD</t>
  </si>
  <si>
    <t>T_28_PD</t>
  </si>
  <si>
    <t>RAPP_28</t>
  </si>
  <si>
    <t>TMAX_28</t>
  </si>
  <si>
    <t>IST_28</t>
  </si>
  <si>
    <t>DIS_DELTA_TV_28_GEST</t>
  </si>
  <si>
    <t>DIS_DELTA_TV_28_COM</t>
  </si>
  <si>
    <t>DIS_DELTA_TV_28</t>
  </si>
  <si>
    <t>DIS_DELTA_TF_28_GEST</t>
  </si>
  <si>
    <t>DIS_DELTA_TF_28_COM</t>
  </si>
  <si>
    <t>DIS_DELTA_TF_28</t>
  </si>
  <si>
    <t>REC_DELTA_28_TV_29_GEST</t>
  </si>
  <si>
    <t>REC_DELTA_28_TV_P29_GEST</t>
  </si>
  <si>
    <t>REC_DELTA_28_TV_29_COM</t>
  </si>
  <si>
    <t>REC_DELTA_28_TV_P29_COM</t>
  </si>
  <si>
    <t>REC_DELTA_28_TF_29_GEST</t>
  </si>
  <si>
    <t>REC_DELTA_28_TF_P29_GEST</t>
  </si>
  <si>
    <t>REC_DELTA_28_TF_29_COM</t>
  </si>
  <si>
    <t>REC_DELTA_28_TF_P29_COM</t>
  </si>
  <si>
    <t>TV_28_GEST_DEF</t>
  </si>
  <si>
    <t>TV_28_COM_DEF</t>
  </si>
  <si>
    <t>TV_28_DEF</t>
  </si>
  <si>
    <t>TF_28_GEST_DEF</t>
  </si>
  <si>
    <t>TF_28_COM_DEF</t>
  </si>
  <si>
    <t>TF_28_DEF</t>
  </si>
  <si>
    <r>
      <t>(1 + ρ)</t>
    </r>
    <r>
      <rPr>
        <b/>
        <vertAlign val="subscript"/>
        <sz val="8"/>
        <rFont val="Tahoma"/>
        <family val="2"/>
      </rPr>
      <t>2028</t>
    </r>
  </si>
  <si>
    <r>
      <rPr>
        <sz val="8"/>
        <rFont val="Tahoma"/>
        <family val="2"/>
      </rPr>
      <t>parametro per la determinazione del limite di crescita –&gt;</t>
    </r>
    <r>
      <rPr>
        <b/>
        <sz val="8"/>
        <rFont val="Tahoma"/>
        <family val="2"/>
      </rPr>
      <t xml:space="preserve"> ρ</t>
    </r>
    <r>
      <rPr>
        <b/>
        <vertAlign val="subscript"/>
        <sz val="8"/>
        <rFont val="Tahoma"/>
        <family val="2"/>
      </rPr>
      <t>2028</t>
    </r>
  </si>
  <si>
    <r>
      <t>coefficiente di recupero di produttività –&gt;</t>
    </r>
    <r>
      <rPr>
        <b/>
        <i/>
        <sz val="8"/>
        <rFont val="Tahoma"/>
        <family val="2"/>
      </rPr>
      <t xml:space="preserve"> X</t>
    </r>
    <r>
      <rPr>
        <b/>
        <i/>
        <vertAlign val="subscript"/>
        <sz val="8"/>
        <rFont val="Tahoma"/>
        <family val="2"/>
      </rPr>
      <t>2028</t>
    </r>
  </si>
  <si>
    <r>
      <t>coeff. per il potenziamento del servizio –&gt;</t>
    </r>
    <r>
      <rPr>
        <b/>
        <i/>
        <sz val="8"/>
        <rFont val="Tahoma"/>
        <family val="2"/>
      </rPr>
      <t xml:space="preserve"> K</t>
    </r>
    <r>
      <rPr>
        <b/>
        <i/>
        <vertAlign val="subscript"/>
        <sz val="8"/>
        <rFont val="Tahoma"/>
        <family val="2"/>
      </rPr>
      <t>2028</t>
    </r>
  </si>
  <si>
    <r>
      <t xml:space="preserve">coeff. per i maggiori oneri sostenuti –&gt; </t>
    </r>
    <r>
      <rPr>
        <b/>
        <i/>
        <sz val="8"/>
        <rFont val="Tahoma"/>
        <family val="2"/>
      </rPr>
      <t>CRI</t>
    </r>
    <r>
      <rPr>
        <b/>
        <i/>
        <vertAlign val="subscript"/>
        <sz val="8"/>
        <rFont val="Tahoma"/>
        <family val="2"/>
      </rPr>
      <t>2028</t>
    </r>
  </si>
  <si>
    <r>
      <t>∑T</t>
    </r>
    <r>
      <rPr>
        <vertAlign val="subscript"/>
        <sz val="8"/>
        <rFont val="Tahoma"/>
        <family val="2"/>
      </rPr>
      <t>2028</t>
    </r>
    <r>
      <rPr>
        <sz val="8"/>
        <rFont val="Tahoma"/>
        <family val="2"/>
      </rPr>
      <t xml:space="preserve"> totale delle entrate tariffarie variabili - Gestore - Post Detrazioni art. 4.5 Del. 397</t>
    </r>
  </si>
  <si>
    <r>
      <t>∑T</t>
    </r>
    <r>
      <rPr>
        <vertAlign val="subscript"/>
        <sz val="8"/>
        <rFont val="Tahoma"/>
        <family val="2"/>
      </rPr>
      <t>2028</t>
    </r>
    <r>
      <rPr>
        <sz val="8"/>
        <rFont val="Tahoma"/>
        <family val="2"/>
      </rPr>
      <t xml:space="preserve"> totale delle entrate tariffarie variabili - Comune - Post Detrazioni art. 4.5 Del. 397</t>
    </r>
  </si>
  <si>
    <r>
      <t>∑T</t>
    </r>
    <r>
      <rPr>
        <b/>
        <vertAlign val="subscript"/>
        <sz val="8"/>
        <rFont val="Tahoma"/>
        <family val="2"/>
      </rPr>
      <t>2028</t>
    </r>
    <r>
      <rPr>
        <b/>
        <sz val="8"/>
        <rFont val="Tahoma"/>
        <family val="2"/>
      </rPr>
      <t xml:space="preserve"> totale delle entrate tariffarie variabili - Post Detrazioni art. 4.5 Del. 397</t>
    </r>
  </si>
  <si>
    <r>
      <t>∑T</t>
    </r>
    <r>
      <rPr>
        <vertAlign val="subscript"/>
        <sz val="8"/>
        <rFont val="Tahoma"/>
        <family val="2"/>
      </rPr>
      <t>2028</t>
    </r>
    <r>
      <rPr>
        <sz val="8"/>
        <rFont val="Tahoma"/>
        <family val="2"/>
      </rPr>
      <t xml:space="preserve"> totale delle entrate tariffarie fisse - Gestore - Post Detrazioni art. 4.5 Del. 397</t>
    </r>
  </si>
  <si>
    <r>
      <t>∑T</t>
    </r>
    <r>
      <rPr>
        <vertAlign val="subscript"/>
        <sz val="8"/>
        <rFont val="Tahoma"/>
        <family val="2"/>
      </rPr>
      <t>2028</t>
    </r>
    <r>
      <rPr>
        <sz val="8"/>
        <rFont val="Tahoma"/>
        <family val="2"/>
      </rPr>
      <t xml:space="preserve"> totale delle entrate tariffarie fisse - Comune - Post Detrazioni art. 4.5 Del. 397</t>
    </r>
  </si>
  <si>
    <r>
      <t>∑T</t>
    </r>
    <r>
      <rPr>
        <b/>
        <vertAlign val="subscript"/>
        <sz val="8"/>
        <rFont val="Tahoma"/>
        <family val="2"/>
      </rPr>
      <t>2028</t>
    </r>
    <r>
      <rPr>
        <b/>
        <sz val="8"/>
        <rFont val="Tahoma"/>
        <family val="2"/>
      </rPr>
      <t xml:space="preserve"> totale delle entrate tariffarie fisse - Post Detrazioni art. 4.5 Del. 397</t>
    </r>
  </si>
  <si>
    <r>
      <t>∑T</t>
    </r>
    <r>
      <rPr>
        <vertAlign val="subscript"/>
        <sz val="8"/>
        <rFont val="Tahoma"/>
        <family val="2"/>
      </rPr>
      <t>2028</t>
    </r>
    <r>
      <rPr>
        <sz val="8"/>
        <rFont val="Tahoma"/>
        <family val="2"/>
      </rPr>
      <t xml:space="preserve"> totale delle entrate tariffarie (variabili + fisse) - Gestore - Post Detrazioni art. 4.5 Del. 397</t>
    </r>
  </si>
  <si>
    <r>
      <t>∑T</t>
    </r>
    <r>
      <rPr>
        <vertAlign val="subscript"/>
        <sz val="8"/>
        <rFont val="Tahoma"/>
        <family val="2"/>
      </rPr>
      <t>2028</t>
    </r>
    <r>
      <rPr>
        <sz val="8"/>
        <rFont val="Tahoma"/>
        <family val="2"/>
      </rPr>
      <t xml:space="preserve"> totale delle entrate tariffarie (variabili + fisse) - Comune - Post Detrazioni art. 4.5 Del. 397</t>
    </r>
  </si>
  <si>
    <r>
      <t>∑T</t>
    </r>
    <r>
      <rPr>
        <b/>
        <vertAlign val="subscript"/>
        <sz val="8"/>
        <rFont val="Tahoma"/>
        <family val="2"/>
      </rPr>
      <t>2028</t>
    </r>
    <r>
      <rPr>
        <b/>
        <sz val="8"/>
        <rFont val="Tahoma"/>
        <family val="2"/>
      </rPr>
      <t xml:space="preserve"> totale delle entrate tariffarie (variabili + fisse) - Post Detrazioni art. 4.5 Del. 397</t>
    </r>
  </si>
  <si>
    <r>
      <t xml:space="preserve">Distribuzione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Parte variabile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</si>
  <si>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Parte variabile - Comune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</si>
  <si>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2028</t>
    </r>
    <r>
      <rPr>
        <b/>
        <i/>
        <sz val="8"/>
        <rFont val="Tahoma"/>
        <family val="2"/>
      </rPr>
      <t xml:space="preserve"> - Parte variabile</t>
    </r>
  </si>
  <si>
    <r>
      <t xml:space="preserve">Distribuzione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Parte fissa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</si>
  <si>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Parte fissa - Comune</t>
    </r>
  </si>
  <si>
    <r>
      <t xml:space="preserve">Residuo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da distribuire</t>
    </r>
  </si>
  <si>
    <r>
      <t xml:space="preserve">Delta </t>
    </r>
    <r>
      <rPr>
        <b/>
        <vertAlign val="subscript"/>
        <sz val="8"/>
        <rFont val="Tahoma"/>
        <family val="2"/>
      </rPr>
      <t>2028</t>
    </r>
    <r>
      <rPr>
        <b/>
        <sz val="8"/>
        <rFont val="Tahoma"/>
        <family val="2"/>
      </rPr>
      <t xml:space="preserve"> - Parte variabile - Gestore - Da Recuperare</t>
    </r>
  </si>
  <si>
    <r>
      <t xml:space="preserve">Recupero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Parte variabile - Gestore - da recuperare nel 2029</t>
    </r>
  </si>
  <si>
    <r>
      <t xml:space="preserve">Recupero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Parte variabile - Gestore - da recuperare Post 2029</t>
    </r>
  </si>
  <si>
    <r>
      <t xml:space="preserve">Residuo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Parte variabile - Gestore - da recuperare</t>
    </r>
  </si>
  <si>
    <r>
      <t xml:space="preserve">Delta </t>
    </r>
    <r>
      <rPr>
        <b/>
        <vertAlign val="subscript"/>
        <sz val="8"/>
        <rFont val="Tahoma"/>
        <family val="2"/>
      </rPr>
      <t>2028</t>
    </r>
    <r>
      <rPr>
        <b/>
        <sz val="8"/>
        <rFont val="Tahoma"/>
        <family val="2"/>
      </rPr>
      <t xml:space="preserve"> - Parte variabile - Comune - Da Recuperare</t>
    </r>
  </si>
  <si>
    <r>
      <t xml:space="preserve">Recupero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Parte variabile - Comune - da recuperare nel 2029</t>
    </r>
  </si>
  <si>
    <r>
      <t xml:space="preserve">Recupero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Parte variabile - Comune - da recuperare Post 2029</t>
    </r>
  </si>
  <si>
    <r>
      <t xml:space="preserve">Residuo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Parte variabile - Comune - da recuperare</t>
    </r>
  </si>
  <si>
    <r>
      <t xml:space="preserve">Recupero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Parte fissa - Gestore - da recuperare nel 2029</t>
    </r>
  </si>
  <si>
    <r>
      <t xml:space="preserve">Recupero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Parte fissa - Gestore - da recuperare Post 2029</t>
    </r>
  </si>
  <si>
    <r>
      <t xml:space="preserve">Residuo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Parte fissa - Gestore - da recuperare</t>
    </r>
  </si>
  <si>
    <r>
      <t xml:space="preserve">Recupero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Parte fissa - Comune - da recuperare nel 2029</t>
    </r>
  </si>
  <si>
    <r>
      <t xml:space="preserve">Recupero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Parte fissa - Comune - da recuperare Post 2029</t>
    </r>
  </si>
  <si>
    <r>
      <t xml:space="preserve">Residuo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Parte fissa - Comune - da recuperare</t>
    </r>
  </si>
  <si>
    <r>
      <t xml:space="preserve">Tariffe parte variabile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Gestore - dopo distribuzione delta</t>
    </r>
  </si>
  <si>
    <r>
      <t xml:space="preserve">Tariffe parte variabile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Comune - dopo distribuzione delta</t>
    </r>
  </si>
  <si>
    <r>
      <t xml:space="preserve">Tariffe parte variabile </t>
    </r>
    <r>
      <rPr>
        <b/>
        <i/>
        <vertAlign val="subscript"/>
        <sz val="8"/>
        <rFont val="Tahoma"/>
        <family val="2"/>
      </rPr>
      <t>2028</t>
    </r>
    <r>
      <rPr>
        <b/>
        <i/>
        <sz val="8"/>
        <rFont val="Tahoma"/>
        <family val="2"/>
      </rPr>
      <t xml:space="preserve"> - dopo distribuzione delta</t>
    </r>
  </si>
  <si>
    <r>
      <t xml:space="preserve">Tariffe parte fissa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Gestore - dopo distribuzione delta</t>
    </r>
  </si>
  <si>
    <r>
      <t xml:space="preserve">Tariffe parte fissa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Comune - dopo distribuzione delta</t>
    </r>
  </si>
  <si>
    <r>
      <t xml:space="preserve">Tariffe parte fissa </t>
    </r>
    <r>
      <rPr>
        <b/>
        <i/>
        <vertAlign val="subscript"/>
        <sz val="8"/>
        <rFont val="Tahoma"/>
        <family val="2"/>
      </rPr>
      <t>2028</t>
    </r>
    <r>
      <rPr>
        <b/>
        <i/>
        <sz val="8"/>
        <rFont val="Tahoma"/>
        <family val="2"/>
      </rPr>
      <t xml:space="preserve"> - dopo distribuzione delta</t>
    </r>
  </si>
  <si>
    <r>
      <t xml:space="preserve">Tariffe </t>
    </r>
    <r>
      <rPr>
        <b/>
        <i/>
        <vertAlign val="subscript"/>
        <sz val="8"/>
        <color theme="0"/>
        <rFont val="Tahoma"/>
        <family val="2"/>
      </rPr>
      <t>2028</t>
    </r>
  </si>
  <si>
    <r>
      <t>Rapporto T</t>
    </r>
    <r>
      <rPr>
        <b/>
        <vertAlign val="subscript"/>
        <sz val="8"/>
        <rFont val="Tahoma"/>
        <family val="2"/>
      </rPr>
      <t>2028</t>
    </r>
    <r>
      <rPr>
        <b/>
        <sz val="8"/>
        <rFont val="Tahoma"/>
        <family val="2"/>
      </rPr>
      <t>/T</t>
    </r>
    <r>
      <rPr>
        <b/>
        <vertAlign val="subscript"/>
        <sz val="8"/>
        <rFont val="Tahoma"/>
        <family val="2"/>
      </rPr>
      <t>2027</t>
    </r>
  </si>
  <si>
    <r>
      <t>∑T</t>
    </r>
    <r>
      <rPr>
        <i/>
        <vertAlign val="subscript"/>
        <sz val="8"/>
        <rFont val="Tahoma"/>
        <family val="2"/>
      </rPr>
      <t>2028 max</t>
    </r>
    <r>
      <rPr>
        <i/>
        <sz val="8"/>
        <rFont val="Tahoma"/>
        <family val="2"/>
      </rPr>
      <t xml:space="preserve"> - Entrate tariffarie massime applicabili nel rispetto del limite di crescita</t>
    </r>
  </si>
  <si>
    <r>
      <t>∑T</t>
    </r>
    <r>
      <rPr>
        <i/>
        <vertAlign val="subscript"/>
        <sz val="8"/>
        <rFont val="Tahoma"/>
        <family val="2"/>
      </rPr>
      <t>2027 max</t>
    </r>
    <r>
      <rPr>
        <i/>
        <sz val="8"/>
        <rFont val="Tahoma"/>
        <family val="2"/>
      </rPr>
      <t xml:space="preserve"> - Entrate tariffarie massime applicabili nel rispetto del limite di crescita</t>
    </r>
  </si>
  <si>
    <t>TV_29_PD</t>
  </si>
  <si>
    <t>TF_29_PD</t>
  </si>
  <si>
    <t>T_29_PD</t>
  </si>
  <si>
    <t>RAPP_29</t>
  </si>
  <si>
    <t>TMAX_29</t>
  </si>
  <si>
    <t>IST_29</t>
  </si>
  <si>
    <t>DIS_DELTA_TV_29_GEST</t>
  </si>
  <si>
    <t>DIS_DELTA_TV_29_COM</t>
  </si>
  <si>
    <t>DIS_DELTA_TV_29</t>
  </si>
  <si>
    <t>DIS_DELTA_TF_29_GEST</t>
  </si>
  <si>
    <t>DIS_DELTA_TF_29_COM</t>
  </si>
  <si>
    <t>DIS_DELTA_TF_29</t>
  </si>
  <si>
    <t>REC_DELTA_29_TV_P29_GEST</t>
  </si>
  <si>
    <t>REC_DELTA_29_TV_P29_COM</t>
  </si>
  <si>
    <t>REC_DELTA_29_TF_P29_GEST</t>
  </si>
  <si>
    <t>REC_DELTA_29_TF_P29_COM</t>
  </si>
  <si>
    <t>TV_29_GEST_DEF</t>
  </si>
  <si>
    <t>TV_29_COM_DEF</t>
  </si>
  <si>
    <t>TV_29_DEF</t>
  </si>
  <si>
    <t>TF_29_GEST_DEF</t>
  </si>
  <si>
    <t>TF_29_COM_DEF</t>
  </si>
  <si>
    <t>TF_29_DEF</t>
  </si>
  <si>
    <t>T_29_DEF</t>
  </si>
  <si>
    <r>
      <t>(1 + ρ)</t>
    </r>
    <r>
      <rPr>
        <b/>
        <vertAlign val="subscript"/>
        <sz val="8"/>
        <rFont val="Tahoma"/>
        <family val="2"/>
      </rPr>
      <t>2029</t>
    </r>
  </si>
  <si>
    <r>
      <rPr>
        <sz val="8"/>
        <rFont val="Tahoma"/>
        <family val="2"/>
      </rPr>
      <t>parametro per la determinazione del limite di crescita –&gt;</t>
    </r>
    <r>
      <rPr>
        <b/>
        <sz val="8"/>
        <rFont val="Tahoma"/>
        <family val="2"/>
      </rPr>
      <t xml:space="preserve"> ρ</t>
    </r>
    <r>
      <rPr>
        <b/>
        <vertAlign val="subscript"/>
        <sz val="8"/>
        <rFont val="Tahoma"/>
        <family val="2"/>
      </rPr>
      <t>2029</t>
    </r>
  </si>
  <si>
    <r>
      <t>coefficiente di recupero di produttività –&gt;</t>
    </r>
    <r>
      <rPr>
        <b/>
        <i/>
        <sz val="8"/>
        <rFont val="Tahoma"/>
        <family val="2"/>
      </rPr>
      <t xml:space="preserve"> X</t>
    </r>
    <r>
      <rPr>
        <b/>
        <i/>
        <vertAlign val="subscript"/>
        <sz val="8"/>
        <rFont val="Tahoma"/>
        <family val="2"/>
      </rPr>
      <t>2029</t>
    </r>
  </si>
  <si>
    <r>
      <t>coeff. per il potenziamento del servizio –&gt;</t>
    </r>
    <r>
      <rPr>
        <b/>
        <i/>
        <sz val="8"/>
        <rFont val="Tahoma"/>
        <family val="2"/>
      </rPr>
      <t xml:space="preserve"> K</t>
    </r>
    <r>
      <rPr>
        <b/>
        <i/>
        <vertAlign val="subscript"/>
        <sz val="8"/>
        <rFont val="Tahoma"/>
        <family val="2"/>
      </rPr>
      <t>2029</t>
    </r>
  </si>
  <si>
    <r>
      <t xml:space="preserve">coeff. per i maggiori oneri sostenuti –&gt; </t>
    </r>
    <r>
      <rPr>
        <b/>
        <i/>
        <sz val="8"/>
        <rFont val="Tahoma"/>
        <family val="2"/>
      </rPr>
      <t>CRI</t>
    </r>
    <r>
      <rPr>
        <b/>
        <i/>
        <vertAlign val="subscript"/>
        <sz val="8"/>
        <rFont val="Tahoma"/>
        <family val="2"/>
      </rPr>
      <t>2029</t>
    </r>
  </si>
  <si>
    <r>
      <t>∑T</t>
    </r>
    <r>
      <rPr>
        <vertAlign val="subscript"/>
        <sz val="8"/>
        <rFont val="Tahoma"/>
        <family val="2"/>
      </rPr>
      <t>2029</t>
    </r>
    <r>
      <rPr>
        <sz val="8"/>
        <rFont val="Tahoma"/>
        <family val="2"/>
      </rPr>
      <t xml:space="preserve"> totale delle entrate tariffarie variabili - Gestore - Post Detrazioni art. 4.5 Del. 397</t>
    </r>
  </si>
  <si>
    <r>
      <t>∑T</t>
    </r>
    <r>
      <rPr>
        <vertAlign val="subscript"/>
        <sz val="8"/>
        <rFont val="Tahoma"/>
        <family val="2"/>
      </rPr>
      <t>2029</t>
    </r>
    <r>
      <rPr>
        <sz val="8"/>
        <rFont val="Tahoma"/>
        <family val="2"/>
      </rPr>
      <t xml:space="preserve"> totale delle entrate tariffarie variabili - Comune - Post Detrazioni art. 4.5 Del. 397</t>
    </r>
  </si>
  <si>
    <r>
      <t>∑T</t>
    </r>
    <r>
      <rPr>
        <b/>
        <vertAlign val="subscript"/>
        <sz val="8"/>
        <rFont val="Tahoma"/>
        <family val="2"/>
      </rPr>
      <t>2029</t>
    </r>
    <r>
      <rPr>
        <b/>
        <sz val="8"/>
        <rFont val="Tahoma"/>
        <family val="2"/>
      </rPr>
      <t xml:space="preserve"> totale delle entrate tariffarie variabili - Post Detrazioni art. 4.5 Del. 397</t>
    </r>
  </si>
  <si>
    <r>
      <t>∑T</t>
    </r>
    <r>
      <rPr>
        <vertAlign val="subscript"/>
        <sz val="8"/>
        <rFont val="Tahoma"/>
        <family val="2"/>
      </rPr>
      <t>2029</t>
    </r>
    <r>
      <rPr>
        <sz val="8"/>
        <rFont val="Tahoma"/>
        <family val="2"/>
      </rPr>
      <t xml:space="preserve"> totale delle entrate tariffarie fisse - Gestore - Post Detrazioni art. 4.5 Del. 397</t>
    </r>
  </si>
  <si>
    <r>
      <t>∑T</t>
    </r>
    <r>
      <rPr>
        <vertAlign val="subscript"/>
        <sz val="8"/>
        <rFont val="Tahoma"/>
        <family val="2"/>
      </rPr>
      <t>2029</t>
    </r>
    <r>
      <rPr>
        <sz val="8"/>
        <rFont val="Tahoma"/>
        <family val="2"/>
      </rPr>
      <t xml:space="preserve"> totale delle entrate tariffarie fisse - Comune - Post Detrazioni art. 4.5 Del. 397</t>
    </r>
  </si>
  <si>
    <r>
      <t>∑T</t>
    </r>
    <r>
      <rPr>
        <b/>
        <vertAlign val="subscript"/>
        <sz val="8"/>
        <rFont val="Tahoma"/>
        <family val="2"/>
      </rPr>
      <t>2029</t>
    </r>
    <r>
      <rPr>
        <b/>
        <sz val="8"/>
        <rFont val="Tahoma"/>
        <family val="2"/>
      </rPr>
      <t xml:space="preserve"> totale delle entrate tariffarie fisse - Post Detrazioni art. 4.5 Del. 397</t>
    </r>
  </si>
  <si>
    <r>
      <t>∑T</t>
    </r>
    <r>
      <rPr>
        <vertAlign val="subscript"/>
        <sz val="8"/>
        <rFont val="Tahoma"/>
        <family val="2"/>
      </rPr>
      <t>2029</t>
    </r>
    <r>
      <rPr>
        <sz val="8"/>
        <rFont val="Tahoma"/>
        <family val="2"/>
      </rPr>
      <t xml:space="preserve"> totale delle entrate tariffarie (variabili + fisse) - Gestore - Post Detrazioni art. 4.5 Del. 397</t>
    </r>
  </si>
  <si>
    <r>
      <t>∑T</t>
    </r>
    <r>
      <rPr>
        <vertAlign val="subscript"/>
        <sz val="8"/>
        <rFont val="Tahoma"/>
        <family val="2"/>
      </rPr>
      <t>2029</t>
    </r>
    <r>
      <rPr>
        <sz val="8"/>
        <rFont val="Tahoma"/>
        <family val="2"/>
      </rPr>
      <t xml:space="preserve"> totale delle entrate tariffarie (variabili + fisse) - Comune - Post Detrazioni art. 4.5 Del. 397</t>
    </r>
  </si>
  <si>
    <r>
      <t>∑T</t>
    </r>
    <r>
      <rPr>
        <b/>
        <vertAlign val="subscript"/>
        <sz val="8"/>
        <rFont val="Tahoma"/>
        <family val="2"/>
      </rPr>
      <t>2029</t>
    </r>
    <r>
      <rPr>
        <b/>
        <sz val="8"/>
        <rFont val="Tahoma"/>
        <family val="2"/>
      </rPr>
      <t xml:space="preserve"> totale delle entrate tariffarie (variabili + fisse) - Post Detrazioni art. 4.5 Del. 397</t>
    </r>
  </si>
  <si>
    <r>
      <t>∑T</t>
    </r>
    <r>
      <rPr>
        <i/>
        <vertAlign val="subscript"/>
        <sz val="8"/>
        <rFont val="Tahoma"/>
        <family val="2"/>
      </rPr>
      <t>2029 max</t>
    </r>
    <r>
      <rPr>
        <i/>
        <sz val="8"/>
        <rFont val="Tahoma"/>
        <family val="2"/>
      </rPr>
      <t xml:space="preserve"> - Entrate tariffarie massime applicabili nel rispetto del limite di crescita</t>
    </r>
  </si>
  <si>
    <r>
      <t xml:space="preserve">Distribuzione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- Parte variabile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</si>
  <si>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- Parte variabile - Comune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</si>
  <si>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2029</t>
    </r>
    <r>
      <rPr>
        <b/>
        <i/>
        <sz val="8"/>
        <rFont val="Tahoma"/>
        <family val="2"/>
      </rPr>
      <t xml:space="preserve"> - Parte variabile</t>
    </r>
  </si>
  <si>
    <r>
      <t xml:space="preserve">Distribuzione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- Parte fissa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</si>
  <si>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- Parte fissa - Comune</t>
    </r>
  </si>
  <si>
    <r>
      <t xml:space="preserve">Residuo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da distribuire</t>
    </r>
  </si>
  <si>
    <r>
      <t xml:space="preserve">Delta </t>
    </r>
    <r>
      <rPr>
        <b/>
        <vertAlign val="subscript"/>
        <sz val="8"/>
        <rFont val="Tahoma"/>
        <family val="2"/>
      </rPr>
      <t>2029</t>
    </r>
    <r>
      <rPr>
        <b/>
        <sz val="8"/>
        <rFont val="Tahoma"/>
        <family val="2"/>
      </rPr>
      <t xml:space="preserve"> - Parte variabile - Gestore - Da Recuperare</t>
    </r>
  </si>
  <si>
    <r>
      <t xml:space="preserve">Recupero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- Parte variabile - Gestore - da recuperare Post 2029</t>
    </r>
  </si>
  <si>
    <r>
      <t xml:space="preserve">Residuo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- Parte variabile - Gestore - da recuperare</t>
    </r>
  </si>
  <si>
    <r>
      <t xml:space="preserve">Delta </t>
    </r>
    <r>
      <rPr>
        <b/>
        <vertAlign val="subscript"/>
        <sz val="8"/>
        <rFont val="Tahoma"/>
        <family val="2"/>
      </rPr>
      <t>2029</t>
    </r>
    <r>
      <rPr>
        <b/>
        <sz val="8"/>
        <rFont val="Tahoma"/>
        <family val="2"/>
      </rPr>
      <t xml:space="preserve"> - Parte variabile - Comune - Da Recuperare</t>
    </r>
  </si>
  <si>
    <r>
      <t xml:space="preserve">Recupero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- Parte variabile - Comune - da recuperare Post 2029</t>
    </r>
  </si>
  <si>
    <r>
      <t xml:space="preserve">Residuo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- Parte variabile - Comune - da recuperare</t>
    </r>
  </si>
  <si>
    <r>
      <t xml:space="preserve">Recupero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- Parte fissa - Gestore - da recuperare Post 2029</t>
    </r>
  </si>
  <si>
    <r>
      <t xml:space="preserve">Residuo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- Parte fissa - Gestore - da recuperare</t>
    </r>
  </si>
  <si>
    <r>
      <t xml:space="preserve">Recupero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- Parte fissa - Comune - da recuperare Post 2029</t>
    </r>
  </si>
  <si>
    <r>
      <t xml:space="preserve">Residuo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- Parte fissa - Comune - da recuperare</t>
    </r>
  </si>
  <si>
    <r>
      <t xml:space="preserve">Tariffe parte variabile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- Gestore - dopo distribuzione delta</t>
    </r>
  </si>
  <si>
    <r>
      <t xml:space="preserve">Tariffe parte variabile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- Comune - dopo distribuzione delta</t>
    </r>
  </si>
  <si>
    <r>
      <t xml:space="preserve">Tariffe parte variabile </t>
    </r>
    <r>
      <rPr>
        <b/>
        <i/>
        <vertAlign val="subscript"/>
        <sz val="8"/>
        <rFont val="Tahoma"/>
        <family val="2"/>
      </rPr>
      <t>2029</t>
    </r>
    <r>
      <rPr>
        <b/>
        <i/>
        <sz val="8"/>
        <rFont val="Tahoma"/>
        <family val="2"/>
      </rPr>
      <t xml:space="preserve"> - dopo distribuzione delta</t>
    </r>
  </si>
  <si>
    <r>
      <t xml:space="preserve">Tariffe parte fissa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- Gestore - dopo distribuzione delta</t>
    </r>
  </si>
  <si>
    <r>
      <t xml:space="preserve">Tariffe parte fissa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- Comune - dopo distribuzione delta</t>
    </r>
  </si>
  <si>
    <r>
      <t xml:space="preserve">Tariffe parte fissa </t>
    </r>
    <r>
      <rPr>
        <b/>
        <i/>
        <vertAlign val="subscript"/>
        <sz val="8"/>
        <rFont val="Tahoma"/>
        <family val="2"/>
      </rPr>
      <t>2029</t>
    </r>
    <r>
      <rPr>
        <b/>
        <i/>
        <sz val="8"/>
        <rFont val="Tahoma"/>
        <family val="2"/>
      </rPr>
      <t xml:space="preserve"> - dopo distribuzione delta</t>
    </r>
  </si>
  <si>
    <r>
      <t xml:space="preserve">Tariffe </t>
    </r>
    <r>
      <rPr>
        <b/>
        <i/>
        <vertAlign val="subscript"/>
        <sz val="8"/>
        <color theme="0"/>
        <rFont val="Tahoma"/>
        <family val="2"/>
      </rPr>
      <t>2029</t>
    </r>
  </si>
  <si>
    <r>
      <t>Rapporto T</t>
    </r>
    <r>
      <rPr>
        <b/>
        <vertAlign val="subscript"/>
        <sz val="8"/>
        <rFont val="Tahoma"/>
        <family val="2"/>
      </rPr>
      <t>2029</t>
    </r>
    <r>
      <rPr>
        <b/>
        <sz val="8"/>
        <rFont val="Tahoma"/>
        <family val="2"/>
      </rPr>
      <t>/T</t>
    </r>
    <r>
      <rPr>
        <b/>
        <vertAlign val="subscript"/>
        <sz val="8"/>
        <rFont val="Tahoma"/>
        <family val="2"/>
      </rPr>
      <t>2028</t>
    </r>
  </si>
  <si>
    <r>
      <t>Delta (∑T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- ∑T</t>
    </r>
    <r>
      <rPr>
        <i/>
        <vertAlign val="subscript"/>
        <sz val="8"/>
        <rFont val="Tahoma"/>
        <family val="2"/>
      </rPr>
      <t>2029 max</t>
    </r>
    <r>
      <rPr>
        <i/>
        <sz val="8"/>
        <rFont val="Tahoma"/>
        <family val="2"/>
      </rPr>
      <t>)</t>
    </r>
  </si>
  <si>
    <r>
      <t>Delta (∑T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∑T</t>
    </r>
    <r>
      <rPr>
        <i/>
        <vertAlign val="subscript"/>
        <sz val="8"/>
        <rFont val="Tahoma"/>
        <family val="2"/>
      </rPr>
      <t>2028 max</t>
    </r>
    <r>
      <rPr>
        <i/>
        <sz val="8"/>
        <rFont val="Tahoma"/>
        <family val="2"/>
      </rPr>
      <t>)</t>
    </r>
  </si>
  <si>
    <t>Sintesi recupero del delta (∑Ta-∑Tmax)</t>
  </si>
  <si>
    <r>
      <t xml:space="preserve">Distribuzione Delta </t>
    </r>
    <r>
      <rPr>
        <b/>
        <i/>
        <vertAlign val="subscript"/>
        <sz val="8"/>
        <rFont val="Tahoma"/>
        <family val="2"/>
      </rPr>
      <t>2026</t>
    </r>
    <r>
      <rPr>
        <b/>
        <i/>
        <sz val="8"/>
        <rFont val="Tahoma"/>
        <family val="2"/>
      </rPr>
      <t xml:space="preserve">  - Parte variabile - Gestore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</si>
  <si>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2026</t>
    </r>
    <r>
      <rPr>
        <b/>
        <i/>
        <sz val="8"/>
        <rFont val="Tahoma"/>
        <family val="2"/>
      </rPr>
      <t xml:space="preserve">  - Parte variabile - Comune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</si>
  <si>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2026</t>
    </r>
    <r>
      <rPr>
        <b/>
        <i/>
        <sz val="8"/>
        <rFont val="Tahoma"/>
        <family val="2"/>
      </rPr>
      <t xml:space="preserve">  - Parte fissa - Gestore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</si>
  <si>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2026</t>
    </r>
    <r>
      <rPr>
        <b/>
        <i/>
        <sz val="8"/>
        <rFont val="Tahoma"/>
        <family val="2"/>
      </rPr>
      <t xml:space="preserve">  - Parte fissa - Comune</t>
    </r>
  </si>
  <si>
    <r>
      <t xml:space="preserve">Distribuzione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formatosi nel PEF 2026 - Parte variabile - Gestore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</si>
  <si>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2027</t>
    </r>
    <r>
      <rPr>
        <b/>
        <i/>
        <sz val="8"/>
        <rFont val="Tahoma"/>
        <family val="2"/>
      </rPr>
      <t xml:space="preserve">  - Parte variabile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</si>
  <si>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formatosi nel PEF 2026 - Parte variabile - Comune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</si>
  <si>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2027</t>
    </r>
    <r>
      <rPr>
        <b/>
        <i/>
        <sz val="8"/>
        <rFont val="Tahoma"/>
        <family val="2"/>
      </rPr>
      <t xml:space="preserve">  - Parte variabile - Comune</t>
    </r>
  </si>
  <si>
    <r>
      <t xml:space="preserve">Distribuzione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formatosi nel PEF 2026 - Parte fissa - Gestore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</si>
  <si>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2027</t>
    </r>
    <r>
      <rPr>
        <b/>
        <i/>
        <sz val="8"/>
        <rFont val="Tahoma"/>
        <family val="2"/>
      </rPr>
      <t xml:space="preserve">  - Parte fissa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</si>
  <si>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formatosi nel PEF 2026 - Parte fissa - Comune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</si>
  <si>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2027</t>
    </r>
    <r>
      <rPr>
        <b/>
        <i/>
        <sz val="8"/>
        <rFont val="Tahoma"/>
        <family val="2"/>
      </rPr>
      <t xml:space="preserve">  - Parte fissa - Comune</t>
    </r>
  </si>
  <si>
    <r>
      <t xml:space="preserve">Distribuzione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formatosi nel PEF 2026 - Parte variabile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</si>
  <si>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formatosi nel PEF 2027 - Parte variabile - Gestore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</si>
  <si>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2028</t>
    </r>
    <r>
      <rPr>
        <b/>
        <i/>
        <sz val="8"/>
        <rFont val="Tahoma"/>
        <family val="2"/>
      </rPr>
      <t xml:space="preserve">  - Parte variabile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</si>
  <si>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formatosi nel PEF 2026 - Parte variabile - Comune</t>
    </r>
  </si>
  <si>
    <r>
      <t xml:space="preserve">Distribuzione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formatosi nel PEF 2027 - Parte variabile - Comune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</si>
  <si>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2028</t>
    </r>
    <r>
      <rPr>
        <b/>
        <i/>
        <sz val="8"/>
        <rFont val="Tahoma"/>
        <family val="2"/>
      </rPr>
      <t xml:space="preserve">  - Parte variabile - Comune</t>
    </r>
  </si>
  <si>
    <r>
      <t xml:space="preserve">Distribuzione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formatosi nel PEF 2026 - Parte fissa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</si>
  <si>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formatosi nel PEF 2027 - Parte fissa - Gestore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</si>
  <si>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2028</t>
    </r>
    <r>
      <rPr>
        <b/>
        <i/>
        <sz val="8"/>
        <rFont val="Tahoma"/>
        <family val="2"/>
      </rPr>
      <t xml:space="preserve">  - Parte fissa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</si>
  <si>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formatosi nel PEF 2026 - Parte fissa - Comune</t>
    </r>
  </si>
  <si>
    <r>
      <t xml:space="preserve">Distribuzione Delta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formatosi nel PEF 2027 - Parte fissa - Comune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</si>
  <si>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2028</t>
    </r>
    <r>
      <rPr>
        <b/>
        <i/>
        <sz val="8"/>
        <rFont val="Tahoma"/>
        <family val="2"/>
      </rPr>
      <t xml:space="preserve">  - Parte fissa - Comune</t>
    </r>
  </si>
  <si>
    <r>
      <t xml:space="preserve">Distribuzione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formatosi nel PEF 2026 - Parte variabile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</si>
  <si>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formatosi nel PEF 2027 - Parte variabile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</si>
  <si>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formatosi nel PEF 2028 - Parte variabile - Gestore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</si>
  <si>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2029</t>
    </r>
    <r>
      <rPr>
        <b/>
        <i/>
        <sz val="8"/>
        <rFont val="Tahoma"/>
        <family val="2"/>
      </rPr>
      <t xml:space="preserve">  - Parte variabile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</si>
  <si>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formatosi nel PEF 2026 - Parte variabile - Comune</t>
    </r>
  </si>
  <si>
    <r>
      <t xml:space="preserve">Distribuzione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formatosi nel PEF 2027 - Parte variabile - Comune</t>
    </r>
  </si>
  <si>
    <r>
      <t xml:space="preserve">Distribuzione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formatosi nel PEF 2028 - Parte variabile - Comune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</si>
  <si>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2029</t>
    </r>
    <r>
      <rPr>
        <b/>
        <i/>
        <sz val="8"/>
        <rFont val="Tahoma"/>
        <family val="2"/>
      </rPr>
      <t xml:space="preserve">  - Parte variabile - Comune</t>
    </r>
  </si>
  <si>
    <r>
      <t xml:space="preserve">Distribuzione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formatosi nel PEF 2026 - Parte fissa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</si>
  <si>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formatosi nel PEF 2027 - Parte fissa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</si>
  <si>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formatosi nel PEF 2028 - Parte fissa - Gestore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</si>
  <si>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2029</t>
    </r>
    <r>
      <rPr>
        <b/>
        <i/>
        <sz val="8"/>
        <rFont val="Tahoma"/>
        <family val="2"/>
      </rPr>
      <t xml:space="preserve">  - Parte fissa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</si>
  <si>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formatosi nel PEF 2026 - Parte fissa - Comune</t>
    </r>
  </si>
  <si>
    <r>
      <t xml:space="preserve">Distribuzione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formatosi nel PEF 2027 - Parte fissa - Comune</t>
    </r>
  </si>
  <si>
    <r>
      <t xml:space="preserve">Distribuzione Delta </t>
    </r>
    <r>
      <rPr>
        <i/>
        <vertAlign val="subscript"/>
        <sz val="8"/>
        <rFont val="Tahoma"/>
        <family val="2"/>
      </rPr>
      <t>2029</t>
    </r>
    <r>
      <rPr>
        <i/>
        <sz val="8"/>
        <rFont val="Tahoma"/>
        <family val="2"/>
      </rPr>
      <t xml:space="preserve"> formatosi nel PEF 2028 - Parte fissa - Comune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</si>
  <si>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2029</t>
    </r>
    <r>
      <rPr>
        <b/>
        <i/>
        <sz val="8"/>
        <rFont val="Tahoma"/>
        <family val="2"/>
      </rPr>
      <t xml:space="preserve">  - Parte fissa - Comune</t>
    </r>
  </si>
  <si>
    <r>
      <t xml:space="preserve">Distribuzione Delta </t>
    </r>
    <r>
      <rPr>
        <i/>
        <vertAlign val="subscript"/>
        <sz val="8"/>
        <rFont val="Tahoma"/>
        <family val="2"/>
      </rPr>
      <t>POST 2029</t>
    </r>
    <r>
      <rPr>
        <i/>
        <sz val="8"/>
        <rFont val="Tahoma"/>
        <family val="2"/>
      </rPr>
      <t xml:space="preserve"> formatosi nel PEF 2022-2025 - Parte variabile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</si>
  <si>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POST 2029</t>
    </r>
    <r>
      <rPr>
        <i/>
        <sz val="8"/>
        <rFont val="Tahoma"/>
        <family val="2"/>
      </rPr>
      <t xml:space="preserve"> formatosi nel PEF 2026 - Parte variabile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</si>
  <si>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POST 2029</t>
    </r>
    <r>
      <rPr>
        <i/>
        <sz val="8"/>
        <rFont val="Tahoma"/>
        <family val="2"/>
      </rPr>
      <t xml:space="preserve"> formatosi nel PEF 2027 - Parte variabile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</si>
  <si>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POST 2029</t>
    </r>
    <r>
      <rPr>
        <i/>
        <sz val="8"/>
        <rFont val="Tahoma"/>
        <family val="2"/>
      </rPr>
      <t xml:space="preserve"> formatosi nel PEF 2028 - Parte variabile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</si>
  <si>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POST 2029</t>
    </r>
    <r>
      <rPr>
        <i/>
        <sz val="8"/>
        <rFont val="Tahoma"/>
        <family val="2"/>
      </rPr>
      <t xml:space="preserve"> formatosi nel PEF 2029 - Parte variabile - Gestore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</si>
  <si>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POST 2029</t>
    </r>
    <r>
      <rPr>
        <b/>
        <i/>
        <sz val="8"/>
        <rFont val="Tahoma"/>
        <family val="2"/>
      </rPr>
      <t xml:space="preserve">  - Parte variabile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</si>
  <si>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POST 2029</t>
    </r>
    <r>
      <rPr>
        <i/>
        <sz val="8"/>
        <rFont val="Tahoma"/>
        <family val="2"/>
      </rPr>
      <t xml:space="preserve"> formatosi nel PEF 2022-2025 - Parte variabile - Comune</t>
    </r>
  </si>
  <si>
    <r>
      <t xml:space="preserve">Distribuzione Delta </t>
    </r>
    <r>
      <rPr>
        <i/>
        <vertAlign val="subscript"/>
        <sz val="8"/>
        <rFont val="Tahoma"/>
        <family val="2"/>
      </rPr>
      <t>POST 2029</t>
    </r>
    <r>
      <rPr>
        <i/>
        <sz val="8"/>
        <rFont val="Tahoma"/>
        <family val="2"/>
      </rPr>
      <t xml:space="preserve"> formatosi nel PEF 2026 - Parte variabile - Comune</t>
    </r>
  </si>
  <si>
    <r>
      <t xml:space="preserve">Distribuzione Delta </t>
    </r>
    <r>
      <rPr>
        <i/>
        <vertAlign val="subscript"/>
        <sz val="8"/>
        <rFont val="Tahoma"/>
        <family val="2"/>
      </rPr>
      <t>POST 2029</t>
    </r>
    <r>
      <rPr>
        <i/>
        <sz val="8"/>
        <rFont val="Tahoma"/>
        <family val="2"/>
      </rPr>
      <t xml:space="preserve"> formatosi nel PEF 2027 - Parte variabile - Comune</t>
    </r>
  </si>
  <si>
    <r>
      <t xml:space="preserve">Distribuzione Delta </t>
    </r>
    <r>
      <rPr>
        <i/>
        <vertAlign val="subscript"/>
        <sz val="8"/>
        <rFont val="Tahoma"/>
        <family val="2"/>
      </rPr>
      <t>POST 2029</t>
    </r>
    <r>
      <rPr>
        <i/>
        <sz val="8"/>
        <rFont val="Tahoma"/>
        <family val="2"/>
      </rPr>
      <t xml:space="preserve"> formatosi nel PEF 2028 - Parte variabile - Comune</t>
    </r>
  </si>
  <si>
    <r>
      <t xml:space="preserve">Distribuzione Delta </t>
    </r>
    <r>
      <rPr>
        <i/>
        <vertAlign val="subscript"/>
        <sz val="8"/>
        <rFont val="Tahoma"/>
        <family val="2"/>
      </rPr>
      <t>POST 2029</t>
    </r>
    <r>
      <rPr>
        <i/>
        <sz val="8"/>
        <rFont val="Tahoma"/>
        <family val="2"/>
      </rPr>
      <t xml:space="preserve"> formatosi nel PEF 2029 - Parte variabile - Comune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</si>
  <si>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POST 2029</t>
    </r>
    <r>
      <rPr>
        <b/>
        <i/>
        <sz val="8"/>
        <rFont val="Tahoma"/>
        <family val="2"/>
      </rPr>
      <t xml:space="preserve">  - Parte variabile - Comune</t>
    </r>
  </si>
  <si>
    <r>
      <t xml:space="preserve">Distribuzione Delta </t>
    </r>
    <r>
      <rPr>
        <i/>
        <vertAlign val="subscript"/>
        <sz val="8"/>
        <rFont val="Tahoma"/>
        <family val="2"/>
      </rPr>
      <t>POST 2029</t>
    </r>
    <r>
      <rPr>
        <i/>
        <sz val="8"/>
        <rFont val="Tahoma"/>
        <family val="2"/>
      </rPr>
      <t xml:space="preserve"> formatosi nel PEF 2026 - Parte fissa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</si>
  <si>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POST 2029</t>
    </r>
    <r>
      <rPr>
        <i/>
        <sz val="8"/>
        <rFont val="Tahoma"/>
        <family val="2"/>
      </rPr>
      <t xml:space="preserve"> formatosi nel PEF 2027 - Parte fissa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</si>
  <si>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POST 2029</t>
    </r>
    <r>
      <rPr>
        <i/>
        <sz val="8"/>
        <rFont val="Tahoma"/>
        <family val="2"/>
      </rPr>
      <t xml:space="preserve"> formatosi nel PEF 2028 - Parte fissa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</si>
  <si>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POST 2029</t>
    </r>
    <r>
      <rPr>
        <i/>
        <sz val="8"/>
        <rFont val="Tahoma"/>
        <family val="2"/>
      </rPr>
      <t xml:space="preserve"> formatosi nel PEF 2029 - Parte fissa - Gestore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</si>
  <si>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POST 2029</t>
    </r>
    <r>
      <rPr>
        <b/>
        <i/>
        <sz val="8"/>
        <rFont val="Tahoma"/>
        <family val="2"/>
      </rPr>
      <t xml:space="preserve">  - Parte fissa - Gestore</t>
    </r>
  </si>
  <si>
    <r>
      <t xml:space="preserve">Distribuzione Delta </t>
    </r>
    <r>
      <rPr>
        <i/>
        <vertAlign val="subscript"/>
        <sz val="8"/>
        <rFont val="Tahoma"/>
        <family val="2"/>
      </rPr>
      <t>POST 2029</t>
    </r>
    <r>
      <rPr>
        <i/>
        <sz val="8"/>
        <rFont val="Tahoma"/>
        <family val="2"/>
      </rPr>
      <t xml:space="preserve"> formatosi nel PEF 2026 - Parte fissa - Comune</t>
    </r>
  </si>
  <si>
    <r>
      <t xml:space="preserve">Distribuzione Delta </t>
    </r>
    <r>
      <rPr>
        <i/>
        <vertAlign val="subscript"/>
        <sz val="8"/>
        <rFont val="Tahoma"/>
        <family val="2"/>
      </rPr>
      <t>POST 2029</t>
    </r>
    <r>
      <rPr>
        <i/>
        <sz val="8"/>
        <rFont val="Tahoma"/>
        <family val="2"/>
      </rPr>
      <t xml:space="preserve"> formatosi nel PEF 2027 - Parte fissa - Comune</t>
    </r>
  </si>
  <si>
    <r>
      <t xml:space="preserve">Distribuzione Delta </t>
    </r>
    <r>
      <rPr>
        <i/>
        <vertAlign val="subscript"/>
        <sz val="8"/>
        <rFont val="Tahoma"/>
        <family val="2"/>
      </rPr>
      <t>POST 2029</t>
    </r>
    <r>
      <rPr>
        <i/>
        <sz val="8"/>
        <rFont val="Tahoma"/>
        <family val="2"/>
      </rPr>
      <t xml:space="preserve"> formatosi nel PEF 2028 - Parte fissa - Comune</t>
    </r>
  </si>
  <si>
    <r>
      <t xml:space="preserve">Distribuzione Delta </t>
    </r>
    <r>
      <rPr>
        <i/>
        <vertAlign val="subscript"/>
        <sz val="8"/>
        <rFont val="Tahoma"/>
        <family val="2"/>
      </rPr>
      <t>POST 2029</t>
    </r>
    <r>
      <rPr>
        <i/>
        <sz val="8"/>
        <rFont val="Tahoma"/>
        <family val="2"/>
      </rPr>
      <t xml:space="preserve"> formatosi nel PEF 2029 - Parte fissa - Comune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</si>
  <si>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POST 2029</t>
    </r>
    <r>
      <rPr>
        <b/>
        <i/>
        <sz val="8"/>
        <rFont val="Tahoma"/>
        <family val="2"/>
      </rPr>
      <t xml:space="preserve">  - Parte fissa - Comune</t>
    </r>
  </si>
  <si>
    <t>REC_DELTA_TV_26</t>
  </si>
  <si>
    <t>REC_DELTA_TF_26</t>
  </si>
  <si>
    <t>REC_DELTA_T_26</t>
  </si>
  <si>
    <r>
      <t xml:space="preserve">Distribuzione Delta </t>
    </r>
    <r>
      <rPr>
        <b/>
        <i/>
        <vertAlign val="subscript"/>
        <sz val="8"/>
        <rFont val="Tahoma"/>
        <family val="2"/>
      </rPr>
      <t>2026</t>
    </r>
    <r>
      <rPr>
        <b/>
        <i/>
        <sz val="8"/>
        <rFont val="Tahoma"/>
        <family val="2"/>
      </rPr>
      <t xml:space="preserve">  - Parte variabile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</si>
  <si>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2026</t>
    </r>
    <r>
      <rPr>
        <b/>
        <i/>
        <sz val="8"/>
        <rFont val="Tahoma"/>
        <family val="2"/>
      </rPr>
      <t xml:space="preserve">  - Parte fissa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</si>
  <si>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2026</t>
    </r>
  </si>
  <si>
    <t>REC_DELTA_TV_27</t>
  </si>
  <si>
    <t>REC_DELTA_TF_27</t>
  </si>
  <si>
    <t>REC_DELTA_T_27</t>
  </si>
  <si>
    <r>
      <t xml:space="preserve">Distribuzione Delta </t>
    </r>
    <r>
      <rPr>
        <b/>
        <i/>
        <vertAlign val="subscript"/>
        <sz val="8"/>
        <rFont val="Tahoma"/>
        <family val="2"/>
      </rPr>
      <t>2027</t>
    </r>
    <r>
      <rPr>
        <b/>
        <i/>
        <sz val="8"/>
        <rFont val="Tahoma"/>
        <family val="2"/>
      </rPr>
      <t xml:space="preserve">  - Parte variabile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</si>
  <si>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2027</t>
    </r>
    <r>
      <rPr>
        <b/>
        <i/>
        <sz val="8"/>
        <rFont val="Tahoma"/>
        <family val="2"/>
      </rPr>
      <t xml:space="preserve">  - Parte fissa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</si>
  <si>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2027</t>
    </r>
  </si>
  <si>
    <t>REC_DELTA_TV_28</t>
  </si>
  <si>
    <t>REC_DELTA_TF_28</t>
  </si>
  <si>
    <t>REC_DELTA_T_28</t>
  </si>
  <si>
    <r>
      <t xml:space="preserve">Distribuzione Delta </t>
    </r>
    <r>
      <rPr>
        <b/>
        <i/>
        <vertAlign val="subscript"/>
        <sz val="8"/>
        <rFont val="Tahoma"/>
        <family val="2"/>
      </rPr>
      <t>2028</t>
    </r>
    <r>
      <rPr>
        <b/>
        <i/>
        <sz val="8"/>
        <rFont val="Tahoma"/>
        <family val="2"/>
      </rPr>
      <t xml:space="preserve">  - Parte variabile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</si>
  <si>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2028</t>
    </r>
    <r>
      <rPr>
        <b/>
        <i/>
        <sz val="8"/>
        <rFont val="Tahoma"/>
        <family val="2"/>
      </rPr>
      <t xml:space="preserve">  - Parte fissa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</si>
  <si>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2028</t>
    </r>
  </si>
  <si>
    <t>REC_DELTA_TV_29</t>
  </si>
  <si>
    <t>REC_DELTA_TF_29</t>
  </si>
  <si>
    <t>REC_DELTA_T_29</t>
  </si>
  <si>
    <r>
      <t xml:space="preserve">Distribuzione Delta </t>
    </r>
    <r>
      <rPr>
        <b/>
        <i/>
        <vertAlign val="subscript"/>
        <sz val="8"/>
        <rFont val="Tahoma"/>
        <family val="2"/>
      </rPr>
      <t>2029</t>
    </r>
    <r>
      <rPr>
        <b/>
        <i/>
        <sz val="8"/>
        <rFont val="Tahoma"/>
        <family val="2"/>
      </rPr>
      <t xml:space="preserve">  - Parte variabile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</si>
  <si>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2029</t>
    </r>
    <r>
      <rPr>
        <b/>
        <i/>
        <sz val="8"/>
        <rFont val="Tahoma"/>
        <family val="2"/>
      </rPr>
      <t xml:space="preserve">  - Parte fissa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</si>
  <si>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2029</t>
    </r>
  </si>
  <si>
    <t>REC_DELTA_TV_P29</t>
  </si>
  <si>
    <t>REC_DELTA_TF_P29</t>
  </si>
  <si>
    <t>REC_DELTA_T_P29</t>
  </si>
  <si>
    <r>
      <t xml:space="preserve">Distribuzione Delta </t>
    </r>
    <r>
      <rPr>
        <b/>
        <i/>
        <vertAlign val="subscript"/>
        <sz val="8"/>
        <rFont val="Tahoma"/>
        <family val="2"/>
      </rPr>
      <t>POST 2029</t>
    </r>
    <r>
      <rPr>
        <b/>
        <i/>
        <sz val="8"/>
        <rFont val="Tahoma"/>
        <family val="2"/>
      </rPr>
      <t xml:space="preserve">  - Parte fissa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</si>
  <si>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POST 2029</t>
    </r>
  </si>
  <si>
    <r>
      <t xml:space="preserve">Distribuzione Delta </t>
    </r>
    <r>
      <rPr>
        <b/>
        <i/>
        <vertAlign val="subscript"/>
        <sz val="8"/>
        <rFont val="Tahoma"/>
        <family val="2"/>
      </rPr>
      <t>POST 2029</t>
    </r>
    <r>
      <rPr>
        <b/>
        <i/>
        <sz val="8"/>
        <rFont val="Tahoma"/>
        <family val="2"/>
      </rPr>
      <t xml:space="preserve">  - Parte variabile</t>
    </r>
  </si>
  <si>
    <t>PEF 2026 - 2029</t>
  </si>
  <si>
    <t>∑TVa totale delle entrate tariffarie relative alle componenti di costo variabile dopo le detrazioni di cui al. Art. 4.5 Del. 397/2025/R/Rif</t>
  </si>
  <si>
    <t>∑TFa totale delle entrate tariffarie relative alle componenti di costo fisse dopo le detrazioni di cui al. Art. 4.5 Del. 397/2025/R/Rif</t>
  </si>
  <si>
    <r>
      <t xml:space="preserve">coeff. Potenziamento del sercizio </t>
    </r>
    <r>
      <rPr>
        <b/>
        <sz val="8"/>
        <color theme="1"/>
        <rFont val="Tahoma"/>
        <family val="2"/>
      </rPr>
      <t xml:space="preserve">  </t>
    </r>
    <r>
      <rPr>
        <b/>
        <i/>
        <sz val="8"/>
        <color theme="1"/>
        <rFont val="Tahoma"/>
        <family val="2"/>
      </rPr>
      <t>K</t>
    </r>
    <r>
      <rPr>
        <b/>
        <i/>
        <vertAlign val="subscript"/>
        <sz val="8"/>
        <color theme="1"/>
        <rFont val="Tahoma"/>
        <family val="2"/>
      </rPr>
      <t>a</t>
    </r>
    <r>
      <rPr>
        <b/>
        <sz val="8"/>
        <color theme="1"/>
        <rFont val="Tahoma"/>
        <family val="2"/>
      </rPr>
      <t xml:space="preserve"> </t>
    </r>
  </si>
  <si>
    <r>
      <t xml:space="preserve">Parametro per la determinazione del limite alla crescita delle tariffe   </t>
    </r>
    <r>
      <rPr>
        <i/>
        <sz val="8"/>
        <color theme="0"/>
        <rFont val="Calibri"/>
        <family val="2"/>
      </rPr>
      <t>ρ</t>
    </r>
  </si>
  <si>
    <t>QUALITA'</t>
  </si>
  <si>
    <r>
      <t>R1</t>
    </r>
    <r>
      <rPr>
        <b/>
        <vertAlign val="subscript"/>
        <sz val="8"/>
        <rFont val="Tahoma"/>
        <family val="2"/>
      </rPr>
      <t>a</t>
    </r>
  </si>
  <si>
    <r>
      <t>Classe R1</t>
    </r>
    <r>
      <rPr>
        <b/>
        <vertAlign val="subscript"/>
        <sz val="8"/>
        <color theme="1"/>
        <rFont val="Tahoma"/>
        <family val="2"/>
      </rPr>
      <t>a</t>
    </r>
  </si>
  <si>
    <r>
      <t>Obiettivo R1</t>
    </r>
    <r>
      <rPr>
        <b/>
        <vertAlign val="subscript"/>
        <sz val="8"/>
        <color theme="1"/>
        <rFont val="Tahoma"/>
        <family val="2"/>
      </rPr>
      <t>a+2</t>
    </r>
  </si>
  <si>
    <r>
      <t>Classe obiettivo R1</t>
    </r>
    <r>
      <rPr>
        <b/>
        <vertAlign val="subscript"/>
        <sz val="8"/>
        <color theme="1"/>
        <rFont val="Tahoma"/>
        <family val="2"/>
      </rPr>
      <t>a+2</t>
    </r>
  </si>
  <si>
    <t>Macro Indicatore R2</t>
  </si>
  <si>
    <r>
      <t>R2</t>
    </r>
    <r>
      <rPr>
        <b/>
        <vertAlign val="subscript"/>
        <sz val="8"/>
        <rFont val="Tahoma"/>
        <family val="2"/>
      </rPr>
      <t>a</t>
    </r>
  </si>
  <si>
    <r>
      <t>Classe R2</t>
    </r>
    <r>
      <rPr>
        <b/>
        <vertAlign val="subscript"/>
        <sz val="8"/>
        <color theme="1"/>
        <rFont val="Tahoma"/>
        <family val="2"/>
      </rPr>
      <t>a</t>
    </r>
  </si>
  <si>
    <r>
      <t>Obiettivo R2</t>
    </r>
    <r>
      <rPr>
        <b/>
        <vertAlign val="subscript"/>
        <sz val="8"/>
        <color theme="1"/>
        <rFont val="Tahoma"/>
        <family val="2"/>
      </rPr>
      <t>a+2</t>
    </r>
  </si>
  <si>
    <r>
      <t>Classe obiettivo R2</t>
    </r>
    <r>
      <rPr>
        <b/>
        <vertAlign val="subscript"/>
        <sz val="8"/>
        <color theme="1"/>
        <rFont val="Tahoma"/>
        <family val="2"/>
      </rPr>
      <t>a+2</t>
    </r>
  </si>
  <si>
    <t>Calcolo H di partenza determinato dal PEF 2024-2025 aggiornamento</t>
  </si>
  <si>
    <t>Classe di partenza</t>
  </si>
  <si>
    <t>H Target 2024</t>
  </si>
  <si>
    <t>Classe target 2024</t>
  </si>
  <si>
    <r>
      <t>AR</t>
    </r>
    <r>
      <rPr>
        <b/>
        <vertAlign val="superscript"/>
        <sz val="8"/>
        <rFont val="Tahoma"/>
        <family val="2"/>
      </rPr>
      <t>agg</t>
    </r>
    <r>
      <rPr>
        <b/>
        <sz val="8"/>
        <rFont val="Tahoma"/>
        <family val="2"/>
      </rPr>
      <t>sc_si di partenza</t>
    </r>
  </si>
  <si>
    <r>
      <t>CRD</t>
    </r>
    <r>
      <rPr>
        <b/>
        <vertAlign val="superscript"/>
        <sz val="8"/>
        <color theme="1"/>
        <rFont val="Tahoma"/>
        <family val="2"/>
      </rPr>
      <t>agg</t>
    </r>
    <r>
      <rPr>
        <b/>
        <sz val="8"/>
        <color theme="1"/>
        <rFont val="Tahoma"/>
        <family val="2"/>
      </rPr>
      <t>sc_si  di partenza</t>
    </r>
  </si>
  <si>
    <r>
      <t>AR</t>
    </r>
    <r>
      <rPr>
        <b/>
        <vertAlign val="superscript"/>
        <sz val="8"/>
        <rFont val="Tahoma"/>
        <family val="2"/>
      </rPr>
      <t>agg</t>
    </r>
    <r>
      <rPr>
        <b/>
        <sz val="8"/>
        <rFont val="Tahoma"/>
        <family val="2"/>
      </rPr>
      <t>sc_si riclassificato</t>
    </r>
  </si>
  <si>
    <t>Calcolo H effettivo</t>
  </si>
  <si>
    <r>
      <t>AR</t>
    </r>
    <r>
      <rPr>
        <b/>
        <vertAlign val="superscript"/>
        <sz val="8"/>
        <rFont val="Tahoma"/>
        <family val="2"/>
      </rPr>
      <t>agg</t>
    </r>
    <r>
      <rPr>
        <b/>
        <sz val="8"/>
        <rFont val="Tahoma"/>
        <family val="2"/>
      </rPr>
      <t>sc_si effettivo</t>
    </r>
  </si>
  <si>
    <r>
      <t>CRD</t>
    </r>
    <r>
      <rPr>
        <b/>
        <vertAlign val="superscript"/>
        <sz val="8"/>
        <color theme="1"/>
        <rFont val="Tahoma"/>
        <family val="2"/>
      </rPr>
      <t>agg</t>
    </r>
    <r>
      <rPr>
        <b/>
        <sz val="8"/>
        <color theme="1"/>
        <rFont val="Tahoma"/>
        <family val="2"/>
      </rPr>
      <t>sc_si  effettivo</t>
    </r>
  </si>
  <si>
    <t>H effettivo</t>
  </si>
  <si>
    <t>Classe H effettivo</t>
  </si>
  <si>
    <t>Riclassificazione H</t>
  </si>
  <si>
    <r>
      <t>CRD</t>
    </r>
    <r>
      <rPr>
        <b/>
        <vertAlign val="superscript"/>
        <sz val="8"/>
        <color theme="1"/>
        <rFont val="Tahoma"/>
        <family val="2"/>
      </rPr>
      <t>agg</t>
    </r>
    <r>
      <rPr>
        <b/>
        <sz val="8"/>
        <color theme="1"/>
        <rFont val="Tahoma"/>
        <family val="2"/>
      </rPr>
      <t>sc_si  riclassifcato</t>
    </r>
  </si>
  <si>
    <r>
      <t>H</t>
    </r>
    <r>
      <rPr>
        <b/>
        <vertAlign val="subscript"/>
        <sz val="8"/>
        <color theme="0"/>
        <rFont val="Tahoma"/>
        <family val="2"/>
      </rPr>
      <t xml:space="preserve">a </t>
    </r>
    <r>
      <rPr>
        <b/>
        <sz val="8"/>
        <color theme="0"/>
        <rFont val="Tahoma"/>
        <family val="2"/>
      </rPr>
      <t>riclassificato</t>
    </r>
  </si>
  <si>
    <r>
      <t>Componente COrd</t>
    </r>
    <r>
      <rPr>
        <b/>
        <vertAlign val="subscript"/>
        <sz val="8"/>
        <rFont val="Tahoma"/>
        <family val="2"/>
      </rPr>
      <t>TV,a</t>
    </r>
  </si>
  <si>
    <t>CODICI 26 GEST</t>
  </si>
  <si>
    <t>CODICI 26 COM</t>
  </si>
  <si>
    <t>CODICI 26 GEN</t>
  </si>
  <si>
    <t>CODICI 27 GEST</t>
  </si>
  <si>
    <t>CODICI 27 COM</t>
  </si>
  <si>
    <t>CODICI 27 GEN</t>
  </si>
  <si>
    <t>CODICI 28 GEST</t>
  </si>
  <si>
    <t>CODICI 28 COM</t>
  </si>
  <si>
    <t>CODICI 28 GEN</t>
  </si>
  <si>
    <t>CODICI 29 GEST</t>
  </si>
  <si>
    <t>CODICI 29 COM</t>
  </si>
  <si>
    <t>CODICI 29 GEN</t>
  </si>
  <si>
    <r>
      <t xml:space="preserve">Costi operativi fissi previsionali di cui all'articolo 17.5 del MTR-3 -&gt; </t>
    </r>
    <r>
      <rPr>
        <b/>
        <sz val="8"/>
        <color theme="1"/>
        <rFont val="Tahoma"/>
        <family val="2"/>
      </rPr>
      <t>CO</t>
    </r>
    <r>
      <rPr>
        <b/>
        <vertAlign val="subscript"/>
        <sz val="8"/>
        <color theme="1"/>
        <rFont val="Tahoma"/>
        <family val="2"/>
      </rPr>
      <t>ANT,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</t>
    </r>
  </si>
  <si>
    <r>
      <t xml:space="preserve">Costi operativi incentivanti sistematici fissi di cui all'articolo 10 del MTR-3 -&gt; </t>
    </r>
    <r>
      <rPr>
        <b/>
        <sz val="8"/>
        <color theme="1"/>
        <rFont val="Tahoma"/>
        <family val="2"/>
      </rPr>
      <t>COnew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</t>
    </r>
  </si>
  <si>
    <t>Delibera 480/2025/R/rif</t>
  </si>
  <si>
    <r>
      <t xml:space="preserve">Delibera 7/2024/R/rif
</t>
    </r>
    <r>
      <rPr>
        <i/>
        <sz val="8"/>
        <color rgb="FF00B050"/>
        <rFont val="Tahoma"/>
        <family val="2"/>
      </rPr>
      <t>Delibera 480/2025/R/rif</t>
    </r>
  </si>
  <si>
    <t>IN_RIMD</t>
  </si>
  <si>
    <t>IN_Altro</t>
  </si>
  <si>
    <t>DETR1.4_26_TV</t>
  </si>
  <si>
    <t>DETR1.4_26_TF</t>
  </si>
  <si>
    <t>DETR1.4_27_TV</t>
  </si>
  <si>
    <t>DETR1.4_27_TF</t>
  </si>
  <si>
    <t>DETR1.4_28_TV</t>
  </si>
  <si>
    <t>DETR1.4_28_TF</t>
  </si>
  <si>
    <t>DETR1.4_29_TV</t>
  </si>
  <si>
    <t>DETR1.4_29_TF</t>
  </si>
  <si>
    <t>DETR1.4_26</t>
  </si>
  <si>
    <t>DETR1.4_27</t>
  </si>
  <si>
    <t>DETR1.4_28</t>
  </si>
  <si>
    <t>DETR1.4_29</t>
  </si>
  <si>
    <t>IN_ALTRO</t>
  </si>
  <si>
    <t>Attività esterne al ciclo integrato di cui all'art. 7.5 del MTR-3</t>
  </si>
  <si>
    <r>
      <t xml:space="preserve">Attività esterne 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Gestore</t>
    </r>
  </si>
  <si>
    <r>
      <t xml:space="preserve">Attività esterne 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Gestore</t>
    </r>
  </si>
  <si>
    <r>
      <t xml:space="preserve">Attività esterne 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Gestore</t>
    </r>
  </si>
  <si>
    <r>
      <t xml:space="preserve">Attività esterne 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Gestore</t>
    </r>
  </si>
  <si>
    <r>
      <t xml:space="preserve">Attività esterne 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Comune</t>
    </r>
  </si>
  <si>
    <r>
      <t xml:space="preserve">Attività esterne 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Comune</t>
    </r>
  </si>
  <si>
    <r>
      <t xml:space="preserve">Attività esterne 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Comune</t>
    </r>
  </si>
  <si>
    <r>
      <t xml:space="preserve">Attività esterne 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Comune</t>
    </r>
  </si>
  <si>
    <r>
      <t xml:space="preserve">Attività esterne </t>
    </r>
    <r>
      <rPr>
        <b/>
        <vertAlign val="subscript"/>
        <sz val="8"/>
        <color theme="1"/>
        <rFont val="Tahoma"/>
        <family val="2"/>
      </rPr>
      <t>2026</t>
    </r>
  </si>
  <si>
    <r>
      <t xml:space="preserve">Attività esterne </t>
    </r>
    <r>
      <rPr>
        <b/>
        <vertAlign val="subscript"/>
        <sz val="8"/>
        <color theme="1"/>
        <rFont val="Tahoma"/>
        <family val="2"/>
      </rPr>
      <t>2027</t>
    </r>
  </si>
  <si>
    <r>
      <t xml:space="preserve">Attività esterne </t>
    </r>
    <r>
      <rPr>
        <b/>
        <vertAlign val="subscript"/>
        <sz val="8"/>
        <color theme="1"/>
        <rFont val="Tahoma"/>
        <family val="2"/>
      </rPr>
      <t>2028</t>
    </r>
  </si>
  <si>
    <r>
      <t xml:space="preserve">Attività esterne </t>
    </r>
    <r>
      <rPr>
        <b/>
        <vertAlign val="subscript"/>
        <sz val="8"/>
        <color theme="1"/>
        <rFont val="Tahoma"/>
        <family val="2"/>
      </rPr>
      <t>2029</t>
    </r>
  </si>
  <si>
    <t>ATTEST_26_GEST</t>
  </si>
  <si>
    <t>ATTEST_26_COM</t>
  </si>
  <si>
    <t>ATTEST_26</t>
  </si>
  <si>
    <t>ATTEST_27_GEST</t>
  </si>
  <si>
    <t>ATTEST_27_COM</t>
  </si>
  <si>
    <t>ATTEST_27</t>
  </si>
  <si>
    <t>ATTEST_28_GEST</t>
  </si>
  <si>
    <t>ATTEST_28_COM</t>
  </si>
  <si>
    <t>ATTEST_28</t>
  </si>
  <si>
    <t>ATTEST_29_GEST</t>
  </si>
  <si>
    <t>ATTEST_29_COM</t>
  </si>
  <si>
    <t>ATTEST_29</t>
  </si>
  <si>
    <t>IN_CALCOLO H</t>
  </si>
  <si>
    <t>CL_R1_24</t>
  </si>
  <si>
    <t>OB_R1_26</t>
  </si>
  <si>
    <t>CL_R1_26</t>
  </si>
  <si>
    <t>OB_R1_28</t>
  </si>
  <si>
    <t>CL_R1_28</t>
  </si>
  <si>
    <t>CL_OB_R1_26</t>
  </si>
  <si>
    <t>CL_OB_R1_28</t>
  </si>
  <si>
    <t>CL_R2_26</t>
  </si>
  <si>
    <t>OB_R2_28</t>
  </si>
  <si>
    <t>CL_OB_R2_28</t>
  </si>
  <si>
    <t>CL_R1_25</t>
  </si>
  <si>
    <t>OB_R1_27</t>
  </si>
  <si>
    <t>CL_R1_27</t>
  </si>
  <si>
    <t>OB_R1_29</t>
  </si>
  <si>
    <t>CL_OB_R1_27</t>
  </si>
  <si>
    <t>CL_OB_R1_29</t>
  </si>
  <si>
    <t>CL_R2_27</t>
  </si>
  <si>
    <t>OB_R2_29</t>
  </si>
  <si>
    <t>CL_OB_R2_29</t>
  </si>
  <si>
    <t>OB_R1_30</t>
  </si>
  <si>
    <t>CL_OB_R1_30</t>
  </si>
  <si>
    <t>CL_R2_28</t>
  </si>
  <si>
    <t>OB_R2_30</t>
  </si>
  <si>
    <t>CL_OB_R2_30</t>
  </si>
  <si>
    <t>CL_R1_29</t>
  </si>
  <si>
    <t>OB_R1_31</t>
  </si>
  <si>
    <t>CL_OB_R1_31</t>
  </si>
  <si>
    <t>CL_R2_29</t>
  </si>
  <si>
    <t>OB_R2_31</t>
  </si>
  <si>
    <t>CL_OB_R2_31</t>
  </si>
  <si>
    <t>PARAMETRI MTR</t>
  </si>
  <si>
    <r>
      <t>C = ∑T</t>
    </r>
    <r>
      <rPr>
        <b/>
        <i/>
        <vertAlign val="subscript"/>
        <sz val="8"/>
        <color theme="1"/>
        <rFont val="Tahoma"/>
        <family val="2"/>
      </rPr>
      <t>2026</t>
    </r>
    <r>
      <rPr>
        <b/>
        <i/>
        <sz val="8"/>
        <color theme="1"/>
        <rFont val="Tahoma"/>
        <family val="2"/>
      </rPr>
      <t xml:space="preserve"> + b(AR+ARsc)</t>
    </r>
  </si>
  <si>
    <t>PR.o_26_GEST</t>
  </si>
  <si>
    <t>PR.o</t>
  </si>
  <si>
    <t>AR_A.1_materiali</t>
  </si>
  <si>
    <t>AR_A.1_energia</t>
  </si>
  <si>
    <t>AR_A.1_altro</t>
  </si>
  <si>
    <t>AR_A.5_materiali</t>
  </si>
  <si>
    <t>AR_A.5_energia</t>
  </si>
  <si>
    <t>AR_A.5_altro</t>
  </si>
  <si>
    <t>AR_27_GEST_A.1_MAT</t>
  </si>
  <si>
    <t>AR_27_GEST_A.1_ENE</t>
  </si>
  <si>
    <t>AR_27_GEST_A.5_MAT</t>
  </si>
  <si>
    <t>AR_27_GEST_A.5_ENE</t>
  </si>
  <si>
    <t>AR_27_GEST_A.1_ALTRO</t>
  </si>
  <si>
    <t>AR_27_GEST_A.5_ALTRO</t>
  </si>
  <si>
    <t>AR_26_GEST_A.1_MAT</t>
  </si>
  <si>
    <t>AR_26_GEST_A.1_ENE</t>
  </si>
  <si>
    <t>AR_26_GEST_A.1_ALTRO</t>
  </si>
  <si>
    <t>AR_26_GEST_A.5_MAT</t>
  </si>
  <si>
    <t>AR_26_GEST_A.5_ENE</t>
  </si>
  <si>
    <t>AR_26_GEST_A.5_ALTRO</t>
  </si>
  <si>
    <r>
      <t xml:space="preserve">Tariffe parte variabile 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Gestore</t>
    </r>
  </si>
  <si>
    <r>
      <t xml:space="preserve">Tariffe parte fissa 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Gestore</t>
    </r>
  </si>
  <si>
    <r>
      <t xml:space="preserve">Tariffe 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Gestore</t>
    </r>
  </si>
  <si>
    <r>
      <t xml:space="preserve">Tariffe 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Gestore</t>
    </r>
  </si>
  <si>
    <r>
      <t xml:space="preserve">Tariffe parte fissa 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Gestore</t>
    </r>
  </si>
  <si>
    <r>
      <t xml:space="preserve">Tariffe parte variabile 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Gestore</t>
    </r>
  </si>
  <si>
    <t>T_29_GEST_DEF</t>
  </si>
  <si>
    <r>
      <t xml:space="preserve">Tariffe parte variabile 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Gestore</t>
    </r>
  </si>
  <si>
    <r>
      <t xml:space="preserve">Tariffe parte fissa 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Gestore</t>
    </r>
  </si>
  <si>
    <r>
      <t xml:space="preserve">Tariffe 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Gestore</t>
    </r>
  </si>
  <si>
    <r>
      <t xml:space="preserve">Tariffe parte variabile 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Gestore</t>
    </r>
  </si>
  <si>
    <r>
      <t xml:space="preserve">Tariffe parte fissa 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Gestore</t>
    </r>
  </si>
  <si>
    <r>
      <t xml:space="preserve">Tariffe 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Gestore</t>
    </r>
  </si>
  <si>
    <t>T_29_COM_DEF</t>
  </si>
  <si>
    <r>
      <t xml:space="preserve">Tariffe parte variabile 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Comune</t>
    </r>
  </si>
  <si>
    <r>
      <t xml:space="preserve">Tariffe parte fissa </t>
    </r>
    <r>
      <rPr>
        <i/>
        <vertAlign val="subscript"/>
        <sz val="8"/>
        <color theme="1"/>
        <rFont val="Tahoma"/>
        <family val="2"/>
      </rPr>
      <t>2026</t>
    </r>
    <r>
      <rPr>
        <i/>
        <sz val="8"/>
        <color theme="1"/>
        <rFont val="Tahoma"/>
        <family val="2"/>
      </rPr>
      <t xml:space="preserve"> - Comune</t>
    </r>
  </si>
  <si>
    <r>
      <t xml:space="preserve">Tariffe 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- Comune</t>
    </r>
  </si>
  <si>
    <r>
      <t xml:space="preserve">Tariffe parte variabile 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Comune</t>
    </r>
  </si>
  <si>
    <r>
      <t xml:space="preserve">Tariffe parte fissa </t>
    </r>
    <r>
      <rPr>
        <i/>
        <vertAlign val="subscript"/>
        <sz val="8"/>
        <color theme="1"/>
        <rFont val="Tahoma"/>
        <family val="2"/>
      </rPr>
      <t>2027</t>
    </r>
    <r>
      <rPr>
        <i/>
        <sz val="8"/>
        <color theme="1"/>
        <rFont val="Tahoma"/>
        <family val="2"/>
      </rPr>
      <t xml:space="preserve"> - Comune</t>
    </r>
  </si>
  <si>
    <r>
      <t xml:space="preserve">Tariffe 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- Comune</t>
    </r>
  </si>
  <si>
    <r>
      <t xml:space="preserve">Tariffe parte variabile 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Comune</t>
    </r>
  </si>
  <si>
    <r>
      <t xml:space="preserve">Tariffe parte fissa </t>
    </r>
    <r>
      <rPr>
        <i/>
        <vertAlign val="subscript"/>
        <sz val="8"/>
        <color theme="1"/>
        <rFont val="Tahoma"/>
        <family val="2"/>
      </rPr>
      <t>2028</t>
    </r>
    <r>
      <rPr>
        <i/>
        <sz val="8"/>
        <color theme="1"/>
        <rFont val="Tahoma"/>
        <family val="2"/>
      </rPr>
      <t xml:space="preserve"> - Comune</t>
    </r>
  </si>
  <si>
    <r>
      <t xml:space="preserve">Tariffe 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- Comune</t>
    </r>
  </si>
  <si>
    <r>
      <t xml:space="preserve">Tariffe parte variabile 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Comune</t>
    </r>
  </si>
  <si>
    <r>
      <t xml:space="preserve">Tariffe parte fissa </t>
    </r>
    <r>
      <rPr>
        <i/>
        <vertAlign val="subscript"/>
        <sz val="8"/>
        <color theme="1"/>
        <rFont val="Tahoma"/>
        <family val="2"/>
      </rPr>
      <t>2029</t>
    </r>
    <r>
      <rPr>
        <i/>
        <sz val="8"/>
        <color theme="1"/>
        <rFont val="Tahoma"/>
        <family val="2"/>
      </rPr>
      <t xml:space="preserve"> - Comune</t>
    </r>
  </si>
  <si>
    <r>
      <t xml:space="preserve">Tariffe 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- Comune</t>
    </r>
  </si>
  <si>
    <t>Codice ISTAT Comune e Nome nelle celle adiacenti</t>
  </si>
  <si>
    <t>PEF UNITARI 2026-2029</t>
  </si>
  <si>
    <t>Rett_Ta-1</t>
  </si>
  <si>
    <t>Motivazione della rettifica</t>
  </si>
  <si>
    <t>Passaggio a tariffa corrispettiva</t>
  </si>
  <si>
    <t>Subentro attività gestore/Cessazione attività</t>
  </si>
  <si>
    <t>RETT_TV_26_GEST</t>
  </si>
  <si>
    <t>RETT_TV_26_COM</t>
  </si>
  <si>
    <t>RETT_TF_26_GEST</t>
  </si>
  <si>
    <t>RETT_TF_26_COM</t>
  </si>
  <si>
    <t>RETT_TV_26</t>
  </si>
  <si>
    <t>RETT_TF_26</t>
  </si>
  <si>
    <r>
      <t xml:space="preserve">Rettifica Tariffa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Parte variabile - Gestore</t>
    </r>
  </si>
  <si>
    <r>
      <t xml:space="preserve">Rettifica Tariffa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Parte fissa - Gestore</t>
    </r>
  </si>
  <si>
    <r>
      <t xml:space="preserve">Rettifica Tariffa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Parte variabile - Comune</t>
    </r>
  </si>
  <si>
    <r>
      <t xml:space="preserve">Rettifica Tariffa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Parte fissa - Comune</t>
    </r>
  </si>
  <si>
    <r>
      <t xml:space="preserve">Rettifica Tariffa </t>
    </r>
    <r>
      <rPr>
        <b/>
        <i/>
        <vertAlign val="subscript"/>
        <sz val="8"/>
        <rFont val="Tahoma"/>
        <family val="2"/>
      </rPr>
      <t>2026</t>
    </r>
    <r>
      <rPr>
        <b/>
        <i/>
        <sz val="8"/>
        <rFont val="Tahoma"/>
        <family val="2"/>
      </rPr>
      <t xml:space="preserve"> - Parte variabile</t>
    </r>
  </si>
  <si>
    <r>
      <t xml:space="preserve">Rettifica Tariffa </t>
    </r>
    <r>
      <rPr>
        <b/>
        <i/>
        <vertAlign val="subscript"/>
        <sz val="8"/>
        <rFont val="Tahoma"/>
        <family val="2"/>
      </rPr>
      <t>2026</t>
    </r>
    <r>
      <rPr>
        <b/>
        <i/>
        <sz val="8"/>
        <rFont val="Tahoma"/>
        <family val="2"/>
      </rPr>
      <t xml:space="preserve"> - Parte fissa</t>
    </r>
  </si>
  <si>
    <t>RETT_T_26</t>
  </si>
  <si>
    <r>
      <t xml:space="preserve">Rettifica Tariffa </t>
    </r>
    <r>
      <rPr>
        <b/>
        <i/>
        <vertAlign val="subscript"/>
        <sz val="8"/>
        <rFont val="Tahoma"/>
        <family val="2"/>
      </rPr>
      <t>2026</t>
    </r>
  </si>
  <si>
    <t>Se la motivazione della rettifica è "Passaggio a tariffa corrispettiva" inserire gli importi da eliminare con</t>
  </si>
  <si>
    <t>segno negativo; altrimenti gestire il dato direttamente nel Tool di calcolo.</t>
  </si>
  <si>
    <t>TV_26_GEST_DEF_PR</t>
  </si>
  <si>
    <t>TV_26_COM_DEF_PR</t>
  </si>
  <si>
    <t>TV_26_DEF_PR</t>
  </si>
  <si>
    <t>TF_26_GEST_DEF_PR</t>
  </si>
  <si>
    <t>TF_26_COM_DEF_PR</t>
  </si>
  <si>
    <t>TF_26_DEF_PR</t>
  </si>
  <si>
    <t>T_26_DEF_PR</t>
  </si>
  <si>
    <r>
      <t xml:space="preserve">Tariffe parte variabile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Gestore - dopo distribuzione delta - Post Rettifiche</t>
    </r>
  </si>
  <si>
    <r>
      <t xml:space="preserve">Tariffe parte variabile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Comune - dopo distribuzione delta - Post Rettifiche</t>
    </r>
  </si>
  <si>
    <r>
      <t xml:space="preserve">Tariffe parte variabile </t>
    </r>
    <r>
      <rPr>
        <b/>
        <i/>
        <vertAlign val="subscript"/>
        <sz val="8"/>
        <rFont val="Tahoma"/>
        <family val="2"/>
      </rPr>
      <t>2026</t>
    </r>
    <r>
      <rPr>
        <b/>
        <i/>
        <sz val="8"/>
        <rFont val="Tahoma"/>
        <family val="2"/>
      </rPr>
      <t xml:space="preserve"> - dopo distribuzione delta - Post Rettifiche</t>
    </r>
  </si>
  <si>
    <r>
      <t xml:space="preserve">Tariffe parte fissa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Gestore - dopo distribuzione delta - Post Rettifiche</t>
    </r>
  </si>
  <si>
    <r>
      <t xml:space="preserve">Tariffe parte fissa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Comune - dopo distribuzione delta - Post Rettifiche</t>
    </r>
  </si>
  <si>
    <r>
      <t xml:space="preserve">Tariffe parte fissa </t>
    </r>
    <r>
      <rPr>
        <b/>
        <i/>
        <vertAlign val="subscript"/>
        <sz val="8"/>
        <rFont val="Tahoma"/>
        <family val="2"/>
      </rPr>
      <t>2026</t>
    </r>
    <r>
      <rPr>
        <b/>
        <i/>
        <sz val="8"/>
        <rFont val="Tahoma"/>
        <family val="2"/>
      </rPr>
      <t xml:space="preserve"> - dopo distribuzione delta - Post Rettifiche</t>
    </r>
  </si>
  <si>
    <r>
      <t xml:space="preserve">Tariffe </t>
    </r>
    <r>
      <rPr>
        <b/>
        <i/>
        <vertAlign val="subscript"/>
        <sz val="8"/>
        <color theme="0"/>
        <rFont val="Tahoma"/>
        <family val="2"/>
      </rPr>
      <t>2026</t>
    </r>
    <r>
      <rPr>
        <b/>
        <i/>
        <sz val="8"/>
        <color theme="0"/>
        <rFont val="Tahoma"/>
        <family val="2"/>
      </rPr>
      <t xml:space="preserve"> - dopo distribuzione delta</t>
    </r>
  </si>
  <si>
    <r>
      <t xml:space="preserve">Tariffe </t>
    </r>
    <r>
      <rPr>
        <b/>
        <i/>
        <vertAlign val="subscript"/>
        <sz val="8"/>
        <color theme="0"/>
        <rFont val="Tahoma"/>
        <family val="2"/>
      </rPr>
      <t>2026</t>
    </r>
    <r>
      <rPr>
        <b/>
        <i/>
        <sz val="8"/>
        <color theme="0"/>
        <rFont val="Tahoma"/>
        <family val="2"/>
      </rPr>
      <t xml:space="preserve"> - dopo distribuzione delta- Post Rettifiche</t>
    </r>
  </si>
  <si>
    <t>MOT_RETT_T_26_COM</t>
  </si>
  <si>
    <t>MOT_RETT_T_26_GEST</t>
  </si>
  <si>
    <r>
      <t xml:space="preserve">Motivazione della rettifica </t>
    </r>
    <r>
      <rPr>
        <b/>
        <i/>
        <vertAlign val="subscript"/>
        <sz val="8"/>
        <rFont val="Tahoma"/>
        <family val="2"/>
      </rPr>
      <t>2026</t>
    </r>
    <r>
      <rPr>
        <b/>
        <i/>
        <sz val="8"/>
        <rFont val="Tahoma"/>
        <family val="2"/>
      </rPr>
      <t xml:space="preserve"> - Gestore</t>
    </r>
  </si>
  <si>
    <r>
      <t xml:space="preserve">Motivazione della rettifica </t>
    </r>
    <r>
      <rPr>
        <b/>
        <i/>
        <vertAlign val="subscript"/>
        <sz val="8"/>
        <rFont val="Tahoma"/>
        <family val="2"/>
      </rPr>
      <t>2026</t>
    </r>
    <r>
      <rPr>
        <b/>
        <i/>
        <sz val="8"/>
        <rFont val="Tahoma"/>
        <family val="2"/>
      </rPr>
      <t xml:space="preserve"> - Comune</t>
    </r>
  </si>
  <si>
    <t>MOT_RETT_T_27_GEST</t>
  </si>
  <si>
    <t>MOT_RETT_T_27_COM</t>
  </si>
  <si>
    <t>RETT_TV_27_GEST</t>
  </si>
  <si>
    <t>RETT_TV_27_COM</t>
  </si>
  <si>
    <t>RETT_TV_27</t>
  </si>
  <si>
    <t>RETT_TF_27_GEST</t>
  </si>
  <si>
    <t>RETT_TF_27_COM</t>
  </si>
  <si>
    <t>RETT_TF_27</t>
  </si>
  <si>
    <t>RETT_T_27</t>
  </si>
  <si>
    <t>TV_27_GEST_DEF_PR</t>
  </si>
  <si>
    <t>TV_27_COM_DEF_PR</t>
  </si>
  <si>
    <t>TV_27_DEF_PR</t>
  </si>
  <si>
    <t>TF_27_GEST_DEF_PR</t>
  </si>
  <si>
    <t>TF_27_COM_DEF_PR</t>
  </si>
  <si>
    <t>TF_27_DEF_PR</t>
  </si>
  <si>
    <t>T_27_DEF_PR</t>
  </si>
  <si>
    <r>
      <t xml:space="preserve">Motivazione della rettifica </t>
    </r>
    <r>
      <rPr>
        <b/>
        <i/>
        <vertAlign val="subscript"/>
        <sz val="8"/>
        <rFont val="Tahoma"/>
        <family val="2"/>
      </rPr>
      <t>2027</t>
    </r>
    <r>
      <rPr>
        <b/>
        <i/>
        <sz val="8"/>
        <rFont val="Tahoma"/>
        <family val="2"/>
      </rPr>
      <t xml:space="preserve"> - Gestore</t>
    </r>
  </si>
  <si>
    <r>
      <t xml:space="preserve">Motivazione della rettifica </t>
    </r>
    <r>
      <rPr>
        <b/>
        <i/>
        <vertAlign val="subscript"/>
        <sz val="8"/>
        <rFont val="Tahoma"/>
        <family val="2"/>
      </rPr>
      <t>2027</t>
    </r>
    <r>
      <rPr>
        <b/>
        <i/>
        <sz val="8"/>
        <rFont val="Tahoma"/>
        <family val="2"/>
      </rPr>
      <t xml:space="preserve"> - Comune</t>
    </r>
  </si>
  <si>
    <r>
      <t xml:space="preserve">Tariffe </t>
    </r>
    <r>
      <rPr>
        <b/>
        <i/>
        <vertAlign val="subscript"/>
        <sz val="8"/>
        <color theme="0"/>
        <rFont val="Tahoma"/>
        <family val="2"/>
      </rPr>
      <t>2027</t>
    </r>
    <r>
      <rPr>
        <b/>
        <i/>
        <sz val="8"/>
        <color theme="0"/>
        <rFont val="Tahoma"/>
        <family val="2"/>
      </rPr>
      <t xml:space="preserve"> - dopo distribuzione delta</t>
    </r>
  </si>
  <si>
    <r>
      <t xml:space="preserve">Rettifica Tariffa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Parte variabile - Gestore</t>
    </r>
  </si>
  <si>
    <r>
      <t xml:space="preserve">Rettifica Tariffa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Parte variabile - Comune</t>
    </r>
  </si>
  <si>
    <r>
      <t xml:space="preserve">Rettifica Tariffa </t>
    </r>
    <r>
      <rPr>
        <b/>
        <i/>
        <vertAlign val="subscript"/>
        <sz val="8"/>
        <rFont val="Tahoma"/>
        <family val="2"/>
      </rPr>
      <t>2027</t>
    </r>
    <r>
      <rPr>
        <b/>
        <i/>
        <sz val="8"/>
        <rFont val="Tahoma"/>
        <family val="2"/>
      </rPr>
      <t xml:space="preserve"> - Parte variabile</t>
    </r>
  </si>
  <si>
    <r>
      <t xml:space="preserve">Rettifica Tariffa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Parte fissa - Gestore</t>
    </r>
  </si>
  <si>
    <r>
      <t xml:space="preserve">Rettifica Tariffa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Parte fissa - Comune</t>
    </r>
  </si>
  <si>
    <r>
      <t xml:space="preserve">Rettifica Tariffa </t>
    </r>
    <r>
      <rPr>
        <b/>
        <i/>
        <vertAlign val="subscript"/>
        <sz val="8"/>
        <rFont val="Tahoma"/>
        <family val="2"/>
      </rPr>
      <t>2027</t>
    </r>
    <r>
      <rPr>
        <b/>
        <i/>
        <sz val="8"/>
        <rFont val="Tahoma"/>
        <family val="2"/>
      </rPr>
      <t xml:space="preserve"> - Parte fissa</t>
    </r>
  </si>
  <si>
    <r>
      <t xml:space="preserve">Rettifica Tariffa </t>
    </r>
    <r>
      <rPr>
        <b/>
        <i/>
        <vertAlign val="subscript"/>
        <sz val="8"/>
        <rFont val="Tahoma"/>
        <family val="2"/>
      </rPr>
      <t>2027</t>
    </r>
  </si>
  <si>
    <r>
      <t xml:space="preserve">Tariffe parte variabile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Gestore - dopo distribuzione delta - Post Rettifiche</t>
    </r>
  </si>
  <si>
    <r>
      <t xml:space="preserve">Tariffe parte variabile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Comune - dopo distribuzione delta - Post Rettifiche</t>
    </r>
  </si>
  <si>
    <r>
      <t xml:space="preserve">Tariffe parte variabile </t>
    </r>
    <r>
      <rPr>
        <b/>
        <i/>
        <vertAlign val="subscript"/>
        <sz val="8"/>
        <rFont val="Tahoma"/>
        <family val="2"/>
      </rPr>
      <t>2027</t>
    </r>
    <r>
      <rPr>
        <b/>
        <i/>
        <sz val="8"/>
        <rFont val="Tahoma"/>
        <family val="2"/>
      </rPr>
      <t xml:space="preserve"> - dopo distribuzione delta - Post Rettifiche</t>
    </r>
  </si>
  <si>
    <r>
      <t xml:space="preserve">Tariffe parte fissa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Gestore - dopo distribuzione delta - Post Rettifiche</t>
    </r>
  </si>
  <si>
    <r>
      <t xml:space="preserve">Tariffe parte fissa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Comune - dopo distribuzione delta - Post Rettifiche</t>
    </r>
  </si>
  <si>
    <r>
      <t xml:space="preserve">Tariffe parte fissa </t>
    </r>
    <r>
      <rPr>
        <b/>
        <i/>
        <vertAlign val="subscript"/>
        <sz val="8"/>
        <rFont val="Tahoma"/>
        <family val="2"/>
      </rPr>
      <t>2027</t>
    </r>
    <r>
      <rPr>
        <b/>
        <i/>
        <sz val="8"/>
        <rFont val="Tahoma"/>
        <family val="2"/>
      </rPr>
      <t xml:space="preserve"> - dopo distribuzione delta - Post Rettifiche</t>
    </r>
  </si>
  <si>
    <r>
      <t xml:space="preserve">Tariffe </t>
    </r>
    <r>
      <rPr>
        <b/>
        <i/>
        <vertAlign val="subscript"/>
        <sz val="8"/>
        <color theme="0"/>
        <rFont val="Tahoma"/>
        <family val="2"/>
      </rPr>
      <t>2027</t>
    </r>
    <r>
      <rPr>
        <b/>
        <i/>
        <sz val="8"/>
        <color theme="0"/>
        <rFont val="Tahoma"/>
        <family val="2"/>
      </rPr>
      <t xml:space="preserve"> - dopo distribuzione delta- Post Rettifiche</t>
    </r>
  </si>
  <si>
    <t>MOT_RETT_T_28_GEST</t>
  </si>
  <si>
    <t>MOT_RETT_T_28_COM</t>
  </si>
  <si>
    <t>RETT_TV_28_GEST</t>
  </si>
  <si>
    <t>RETT_TV_28_COM</t>
  </si>
  <si>
    <t>RETT_TV_28</t>
  </si>
  <si>
    <t>RETT_TF_28_GEST</t>
  </si>
  <si>
    <t>RETT_TF_28_COM</t>
  </si>
  <si>
    <t>RETT_TF_28</t>
  </si>
  <si>
    <t>RETT_T_28</t>
  </si>
  <si>
    <t>TV_28_GEST_DEF_PR</t>
  </si>
  <si>
    <t>TV_28_COM_DEF_PR</t>
  </si>
  <si>
    <t>TV_28_DEF_PR</t>
  </si>
  <si>
    <t>TF_28_GEST_DEF_PR</t>
  </si>
  <si>
    <t>TF_28_COM_DEF_PR</t>
  </si>
  <si>
    <t>TF_28_DEF_PR</t>
  </si>
  <si>
    <t>T_28_DEF_PR</t>
  </si>
  <si>
    <r>
      <t xml:space="preserve">Motivazione della rettifica </t>
    </r>
    <r>
      <rPr>
        <b/>
        <i/>
        <vertAlign val="subscript"/>
        <sz val="8"/>
        <rFont val="Tahoma"/>
        <family val="2"/>
      </rPr>
      <t>2028</t>
    </r>
    <r>
      <rPr>
        <b/>
        <i/>
        <sz val="8"/>
        <rFont val="Tahoma"/>
        <family val="2"/>
      </rPr>
      <t xml:space="preserve"> - Gestore</t>
    </r>
  </si>
  <si>
    <r>
      <t xml:space="preserve">Motivazione della rettifica </t>
    </r>
    <r>
      <rPr>
        <b/>
        <i/>
        <vertAlign val="subscript"/>
        <sz val="8"/>
        <rFont val="Tahoma"/>
        <family val="2"/>
      </rPr>
      <t>2028</t>
    </r>
    <r>
      <rPr>
        <b/>
        <i/>
        <sz val="8"/>
        <rFont val="Tahoma"/>
        <family val="2"/>
      </rPr>
      <t xml:space="preserve"> - Comune</t>
    </r>
  </si>
  <si>
    <r>
      <t xml:space="preserve">Tariffe </t>
    </r>
    <r>
      <rPr>
        <b/>
        <i/>
        <vertAlign val="subscript"/>
        <sz val="8"/>
        <color theme="0"/>
        <rFont val="Tahoma"/>
        <family val="2"/>
      </rPr>
      <t>2028</t>
    </r>
    <r>
      <rPr>
        <b/>
        <i/>
        <sz val="8"/>
        <color theme="0"/>
        <rFont val="Tahoma"/>
        <family val="2"/>
      </rPr>
      <t xml:space="preserve"> - dopo distribuzione delta</t>
    </r>
  </si>
  <si>
    <r>
      <t xml:space="preserve">Rettifica Tariffa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Parte variabile - Gestore</t>
    </r>
  </si>
  <si>
    <r>
      <t xml:space="preserve">Rettifica Tariffa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Parte variabile - Comune</t>
    </r>
  </si>
  <si>
    <r>
      <t xml:space="preserve">Rettifica Tariffa </t>
    </r>
    <r>
      <rPr>
        <b/>
        <i/>
        <vertAlign val="subscript"/>
        <sz val="8"/>
        <rFont val="Tahoma"/>
        <family val="2"/>
      </rPr>
      <t>2028</t>
    </r>
    <r>
      <rPr>
        <b/>
        <i/>
        <sz val="8"/>
        <rFont val="Tahoma"/>
        <family val="2"/>
      </rPr>
      <t xml:space="preserve"> - Parte variabile</t>
    </r>
  </si>
  <si>
    <r>
      <t xml:space="preserve">Rettifica Tariffa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Parte fissa - Gestore</t>
    </r>
  </si>
  <si>
    <r>
      <t xml:space="preserve">Rettifica Tariffa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Parte fissa - Comune</t>
    </r>
  </si>
  <si>
    <r>
      <t xml:space="preserve">Rettifica Tariffa </t>
    </r>
    <r>
      <rPr>
        <b/>
        <i/>
        <vertAlign val="subscript"/>
        <sz val="8"/>
        <rFont val="Tahoma"/>
        <family val="2"/>
      </rPr>
      <t>2028</t>
    </r>
    <r>
      <rPr>
        <b/>
        <i/>
        <sz val="8"/>
        <rFont val="Tahoma"/>
        <family val="2"/>
      </rPr>
      <t xml:space="preserve"> - Parte fissa</t>
    </r>
  </si>
  <si>
    <r>
      <t xml:space="preserve">Rettifica Tariffa </t>
    </r>
    <r>
      <rPr>
        <b/>
        <i/>
        <vertAlign val="subscript"/>
        <sz val="8"/>
        <rFont val="Tahoma"/>
        <family val="2"/>
      </rPr>
      <t>2028</t>
    </r>
  </si>
  <si>
    <r>
      <t xml:space="preserve">Tariffe parte variabile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Gestore - dopo distribuzione delta - Post Rettifiche</t>
    </r>
  </si>
  <si>
    <r>
      <t xml:space="preserve">Tariffe parte variabile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Comune - dopo distribuzione delta - Post Rettifiche</t>
    </r>
  </si>
  <si>
    <r>
      <t xml:space="preserve">Tariffe parte variabile </t>
    </r>
    <r>
      <rPr>
        <b/>
        <i/>
        <vertAlign val="subscript"/>
        <sz val="8"/>
        <rFont val="Tahoma"/>
        <family val="2"/>
      </rPr>
      <t>2028</t>
    </r>
    <r>
      <rPr>
        <b/>
        <i/>
        <sz val="8"/>
        <rFont val="Tahoma"/>
        <family val="2"/>
      </rPr>
      <t xml:space="preserve"> - dopo distribuzione delta - Post Rettifiche</t>
    </r>
  </si>
  <si>
    <r>
      <t xml:space="preserve">Tariffe parte fissa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Gestore - dopo distribuzione delta - Post Rettifiche</t>
    </r>
  </si>
  <si>
    <r>
      <t xml:space="preserve">Tariffe parte fissa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Comune - dopo distribuzione delta - Post Rettifiche</t>
    </r>
  </si>
  <si>
    <r>
      <t xml:space="preserve">Tariffe parte fissa </t>
    </r>
    <r>
      <rPr>
        <b/>
        <i/>
        <vertAlign val="subscript"/>
        <sz val="8"/>
        <rFont val="Tahoma"/>
        <family val="2"/>
      </rPr>
      <t>2028</t>
    </r>
    <r>
      <rPr>
        <b/>
        <i/>
        <sz val="8"/>
        <rFont val="Tahoma"/>
        <family val="2"/>
      </rPr>
      <t xml:space="preserve"> - dopo distribuzione delta - Post Rettifiche</t>
    </r>
  </si>
  <si>
    <r>
      <t xml:space="preserve">Tariffe </t>
    </r>
    <r>
      <rPr>
        <b/>
        <i/>
        <vertAlign val="subscript"/>
        <sz val="8"/>
        <color theme="0"/>
        <rFont val="Tahoma"/>
        <family val="2"/>
      </rPr>
      <t>2028</t>
    </r>
    <r>
      <rPr>
        <b/>
        <i/>
        <sz val="8"/>
        <color theme="0"/>
        <rFont val="Tahoma"/>
        <family val="2"/>
      </rPr>
      <t xml:space="preserve"> - dopo distribuzione delta- Post Rettifiche</t>
    </r>
  </si>
  <si>
    <r>
      <t>∑T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totale delle entrate tariffarie variabili - Post Rettifiche</t>
    </r>
  </si>
  <si>
    <r>
      <t>∑T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totale delle entrate tariffarie fisse - Post Rettifiche</t>
    </r>
  </si>
  <si>
    <r>
      <t>∑T</t>
    </r>
    <r>
      <rPr>
        <b/>
        <i/>
        <vertAlign val="subscript"/>
        <sz val="8"/>
        <rFont val="Tahoma"/>
        <family val="2"/>
      </rPr>
      <t>2026</t>
    </r>
    <r>
      <rPr>
        <b/>
        <i/>
        <sz val="8"/>
        <rFont val="Tahoma"/>
        <family val="2"/>
      </rPr>
      <t xml:space="preserve"> totale delle entrate tariffarie (variabili + fisse) - Post Rettifiche</t>
    </r>
  </si>
  <si>
    <r>
      <t>∑T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totale delle entrate tariffarie variabili - Post Rettifiche</t>
    </r>
  </si>
  <si>
    <r>
      <t>∑T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totale delle entrate tariffarie fisse - Post Rettifiche</t>
    </r>
  </si>
  <si>
    <r>
      <t>∑T</t>
    </r>
    <r>
      <rPr>
        <b/>
        <i/>
        <vertAlign val="subscript"/>
        <sz val="8"/>
        <rFont val="Tahoma"/>
        <family val="2"/>
      </rPr>
      <t>2027</t>
    </r>
    <r>
      <rPr>
        <b/>
        <i/>
        <sz val="8"/>
        <rFont val="Tahoma"/>
        <family val="2"/>
      </rPr>
      <t xml:space="preserve"> totale delle entrate tariffarie (variabili + fisse) - Post Rettifiche</t>
    </r>
  </si>
  <si>
    <r>
      <t>∑T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totale delle entrate tariffarie variabili - Post Rettifiche</t>
    </r>
  </si>
  <si>
    <r>
      <t>∑T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totale delle entrate tariffarie fisse - Post Rettifiche</t>
    </r>
  </si>
  <si>
    <r>
      <t>∑T</t>
    </r>
    <r>
      <rPr>
        <b/>
        <i/>
        <vertAlign val="subscript"/>
        <sz val="8"/>
        <rFont val="Tahoma"/>
        <family val="2"/>
      </rPr>
      <t>2028</t>
    </r>
    <r>
      <rPr>
        <b/>
        <i/>
        <sz val="8"/>
        <rFont val="Tahoma"/>
        <family val="2"/>
      </rPr>
      <t xml:space="preserve"> totale delle entrate tariffarie (variabili + fisse) - Post Rettifiche</t>
    </r>
  </si>
  <si>
    <t>AR_25_GEST</t>
  </si>
  <si>
    <t>B_AR_25_GEST</t>
  </si>
  <si>
    <r>
      <t xml:space="preserve">Proventi della vendita di materiale ed energia derivante da rifiuti dopo sharing –&gt; </t>
    </r>
    <r>
      <rPr>
        <b/>
        <sz val="8"/>
        <color theme="1"/>
        <rFont val="Tahoma"/>
        <family val="2"/>
      </rPr>
      <t>b(AR)</t>
    </r>
  </si>
  <si>
    <t>ARSC_25_GEST</t>
  </si>
  <si>
    <t>OMEGA_25</t>
  </si>
  <si>
    <r>
      <t xml:space="preserve">Fattore di Sharing –&gt; </t>
    </r>
    <r>
      <rPr>
        <b/>
        <i/>
        <sz val="8"/>
        <rFont val="Tahoma"/>
        <family val="2"/>
      </rPr>
      <t>ω</t>
    </r>
  </si>
  <si>
    <t>B_OMEGA_25_GEST</t>
  </si>
  <si>
    <r>
      <t xml:space="preserve">Fattore di Sharing –&gt; </t>
    </r>
    <r>
      <rPr>
        <b/>
        <i/>
        <sz val="8"/>
        <rFont val="Tahoma"/>
        <family val="2"/>
      </rPr>
      <t>b(1+ω)</t>
    </r>
  </si>
  <si>
    <t>B_ARSC_25_GEST</t>
  </si>
  <si>
    <r>
      <t xml:space="preserve">Ricavi derivanti dai corrispettivi riconosciuti dai sistemi di compliance dopo sharing  –&gt; </t>
    </r>
    <r>
      <rPr>
        <b/>
        <sz val="8"/>
        <color theme="1"/>
        <rFont val="Tahoma"/>
        <family val="2"/>
      </rPr>
      <t>b(1+ω)AR</t>
    </r>
    <r>
      <rPr>
        <b/>
        <vertAlign val="subscript"/>
        <sz val="8"/>
        <color theme="1"/>
        <rFont val="Tahoma"/>
        <family val="2"/>
      </rPr>
      <t>sc</t>
    </r>
  </si>
  <si>
    <t>CRT_25_GEST_PD</t>
  </si>
  <si>
    <t>CTS_25_GEST_PD</t>
  </si>
  <si>
    <t>CTR_25_GEST_PD</t>
  </si>
  <si>
    <t>CRD_25_GEST_PD</t>
  </si>
  <si>
    <t>CSL_25_GEST_PD</t>
  </si>
  <si>
    <t>CARC_25_GEST_PD</t>
  </si>
  <si>
    <t>CGG_25_GEST_PD</t>
  </si>
  <si>
    <t>CCD_25_GEST_PD</t>
  </si>
  <si>
    <t>COAL_25_GEST_PD</t>
  </si>
  <si>
    <t>CC_25_GEST_PD</t>
  </si>
  <si>
    <t>CV_25_GEST_PD</t>
  </si>
  <si>
    <t>CF_25_GEST_PD</t>
  </si>
  <si>
    <t>C_25_GEST_PD</t>
  </si>
  <si>
    <r>
      <t>∑CV</t>
    </r>
    <r>
      <rPr>
        <b/>
        <vertAlign val="subscript"/>
        <sz val="8"/>
        <color theme="0"/>
        <rFont val="Tahoma"/>
        <family val="2"/>
      </rPr>
      <t>2025</t>
    </r>
    <r>
      <rPr>
        <b/>
        <sz val="8"/>
        <color theme="0"/>
        <rFont val="Tahoma"/>
        <family val="2"/>
      </rPr>
      <t xml:space="preserve"> totale delle componenti tariffarie di costo variabile inflazionate - </t>
    </r>
    <r>
      <rPr>
        <b/>
        <sz val="8"/>
        <color rgb="FFFFC000"/>
        <rFont val="Tahoma"/>
        <family val="2"/>
      </rPr>
      <t>Post Detrazioni art. 4.6 Del. 363</t>
    </r>
  </si>
  <si>
    <r>
      <t>∑CF</t>
    </r>
    <r>
      <rPr>
        <b/>
        <vertAlign val="subscript"/>
        <sz val="8"/>
        <color theme="0"/>
        <rFont val="Tahoma"/>
        <family val="2"/>
      </rPr>
      <t>2025</t>
    </r>
    <r>
      <rPr>
        <b/>
        <sz val="8"/>
        <color theme="0"/>
        <rFont val="Tahoma"/>
        <family val="2"/>
      </rPr>
      <t xml:space="preserve"> totale delle componenti tariffarie di costo fisse inflazionate - </t>
    </r>
    <r>
      <rPr>
        <b/>
        <sz val="8"/>
        <color rgb="FFFFC000"/>
        <rFont val="Tahoma"/>
        <family val="2"/>
      </rPr>
      <t>Post Detrazioni art. 4.6 Del. 363</t>
    </r>
  </si>
  <si>
    <r>
      <t>∑C</t>
    </r>
    <r>
      <rPr>
        <b/>
        <vertAlign val="subscript"/>
        <sz val="8"/>
        <color theme="0"/>
        <rFont val="Tahoma"/>
        <family val="2"/>
      </rPr>
      <t>2025</t>
    </r>
    <r>
      <rPr>
        <b/>
        <sz val="8"/>
        <color theme="0"/>
        <rFont val="Tahoma"/>
        <family val="2"/>
      </rPr>
      <t xml:space="preserve"> totale delle componenti tariffarie (variabili + fisse) inflazionate - </t>
    </r>
    <r>
      <rPr>
        <b/>
        <sz val="8"/>
        <color rgb="FFFFC000"/>
        <rFont val="Tahoma"/>
        <family val="2"/>
      </rPr>
      <t>Post Detrazioni art. 4.6 Del. 363</t>
    </r>
  </si>
  <si>
    <r>
      <t>∑CV</t>
    </r>
    <r>
      <rPr>
        <b/>
        <vertAlign val="subscript"/>
        <sz val="8"/>
        <color theme="0"/>
        <rFont val="Tahoma"/>
        <family val="2"/>
      </rPr>
      <t>2025</t>
    </r>
    <r>
      <rPr>
        <b/>
        <sz val="8"/>
        <color theme="0"/>
        <rFont val="Tahoma"/>
        <family val="2"/>
      </rPr>
      <t xml:space="preserve"> totale delle componenti tariffarie di costo variabile </t>
    </r>
    <r>
      <rPr>
        <b/>
        <sz val="8"/>
        <color rgb="FFFF0000"/>
        <rFont val="Tahoma"/>
        <family val="2"/>
      </rPr>
      <t>con inflazione aggiornata</t>
    </r>
    <r>
      <rPr>
        <b/>
        <sz val="8"/>
        <color theme="0"/>
        <rFont val="Tahoma"/>
        <family val="2"/>
      </rPr>
      <t xml:space="preserve"> - </t>
    </r>
    <r>
      <rPr>
        <b/>
        <sz val="8"/>
        <color rgb="FFFFC000"/>
        <rFont val="Tahoma"/>
        <family val="2"/>
      </rPr>
      <t>Post Detrazioni art. 4.6 Del. 363</t>
    </r>
  </si>
  <si>
    <r>
      <t>∑CF</t>
    </r>
    <r>
      <rPr>
        <b/>
        <vertAlign val="subscript"/>
        <sz val="8"/>
        <color theme="0"/>
        <rFont val="Tahoma"/>
        <family val="2"/>
      </rPr>
      <t>2025</t>
    </r>
    <r>
      <rPr>
        <b/>
        <sz val="8"/>
        <color theme="0"/>
        <rFont val="Tahoma"/>
        <family val="2"/>
      </rPr>
      <t xml:space="preserve"> totale delle componenti tariffarie di costo fisse </t>
    </r>
    <r>
      <rPr>
        <b/>
        <sz val="8"/>
        <color rgb="FFFF0000"/>
        <rFont val="Tahoma"/>
        <family val="2"/>
      </rPr>
      <t>con inflazione aggiornata</t>
    </r>
    <r>
      <rPr>
        <b/>
        <sz val="8"/>
        <color theme="0"/>
        <rFont val="Tahoma"/>
        <family val="2"/>
      </rPr>
      <t xml:space="preserve"> - </t>
    </r>
    <r>
      <rPr>
        <b/>
        <sz val="8"/>
        <color rgb="FFFFC000"/>
        <rFont val="Tahoma"/>
        <family val="2"/>
      </rPr>
      <t>Post Detrazioni art. 4.6 Del. 363</t>
    </r>
  </si>
  <si>
    <r>
      <t>∑C</t>
    </r>
    <r>
      <rPr>
        <b/>
        <vertAlign val="subscript"/>
        <sz val="8"/>
        <color theme="0"/>
        <rFont val="Tahoma"/>
        <family val="2"/>
      </rPr>
      <t>2025</t>
    </r>
    <r>
      <rPr>
        <b/>
        <sz val="8"/>
        <color theme="0"/>
        <rFont val="Tahoma"/>
        <family val="2"/>
      </rPr>
      <t xml:space="preserve"> totale delle componenti tariffarie (variabili + fisse) </t>
    </r>
    <r>
      <rPr>
        <b/>
        <sz val="8"/>
        <color rgb="FFFF0000"/>
        <rFont val="Tahoma"/>
        <family val="2"/>
      </rPr>
      <t>con inflazione aggiornata</t>
    </r>
    <r>
      <rPr>
        <b/>
        <sz val="8"/>
        <color theme="0"/>
        <rFont val="Tahoma"/>
        <family val="2"/>
      </rPr>
      <t xml:space="preserve"> - </t>
    </r>
    <r>
      <rPr>
        <b/>
        <sz val="8"/>
        <color rgb="FFFFC000"/>
        <rFont val="Tahoma"/>
        <family val="2"/>
      </rPr>
      <t>Post Detrazioni art. 4.6 Del. 363</t>
    </r>
  </si>
  <si>
    <t>CV_25_GEST_PD_I</t>
  </si>
  <si>
    <t>CRT_25_GEST_PD_I</t>
  </si>
  <si>
    <t>CTS_25_GEST_PD_I</t>
  </si>
  <si>
    <t>CTR_25_GEST_PD_I</t>
  </si>
  <si>
    <t>CRD_25_GEST_PD_I</t>
  </si>
  <si>
    <t>AR_25_GEST_I</t>
  </si>
  <si>
    <t>B_AR_25_GEST_I</t>
  </si>
  <si>
    <t>ARSC_25_GEST_I</t>
  </si>
  <si>
    <t>B_ARSC_25_GEST_I</t>
  </si>
  <si>
    <t>CF_25_GEST_PD_I</t>
  </si>
  <si>
    <t>CSL_25_GEST_PD_I</t>
  </si>
  <si>
    <t>CARC_25_GEST_PD_I</t>
  </si>
  <si>
    <t>CGG_25_GEST_PD_I</t>
  </si>
  <si>
    <t>CCD_25_GEST_PD_I</t>
  </si>
  <si>
    <t>COAL_25_GEST_PD_I</t>
  </si>
  <si>
    <t>CC_25_GEST_PD_I</t>
  </si>
  <si>
    <t>C_25_GEST_PD_I</t>
  </si>
  <si>
    <r>
      <t>∑CV</t>
    </r>
    <r>
      <rPr>
        <i/>
        <vertAlign val="subscript"/>
        <sz val="8"/>
        <rFont val="Tahoma"/>
        <family val="2"/>
      </rPr>
      <t>2025</t>
    </r>
    <r>
      <rPr>
        <i/>
        <sz val="8"/>
        <rFont val="Tahoma"/>
        <family val="2"/>
      </rPr>
      <t xml:space="preserve"> totale delle componenti tariffarie di costo variabile inflazionate - Post Detrazioni art. 4.6 Del. 363</t>
    </r>
  </si>
  <si>
    <r>
      <t>∑CV</t>
    </r>
    <r>
      <rPr>
        <i/>
        <vertAlign val="subscript"/>
        <sz val="8"/>
        <rFont val="Tahoma"/>
        <family val="2"/>
      </rPr>
      <t>2025</t>
    </r>
    <r>
      <rPr>
        <i/>
        <sz val="8"/>
        <rFont val="Tahoma"/>
        <family val="2"/>
      </rPr>
      <t xml:space="preserve"> totale delle componenti tariffarie di costo variabile con </t>
    </r>
    <r>
      <rPr>
        <i/>
        <sz val="8"/>
        <color rgb="FFFF0000"/>
        <rFont val="Tahoma"/>
        <family val="2"/>
      </rPr>
      <t>inflazione aggiornata</t>
    </r>
    <r>
      <rPr>
        <i/>
        <sz val="8"/>
        <rFont val="Tahoma"/>
        <family val="2"/>
      </rPr>
      <t xml:space="preserve"> - Post Detrazioni art. 4.6 Del. 363</t>
    </r>
  </si>
  <si>
    <r>
      <t>Recupero conguaglio I</t>
    </r>
    <r>
      <rPr>
        <b/>
        <i/>
        <vertAlign val="subscript"/>
        <sz val="8"/>
        <rFont val="Tahoma"/>
        <family val="2"/>
      </rPr>
      <t>2025</t>
    </r>
    <r>
      <rPr>
        <b/>
        <i/>
        <sz val="8"/>
        <rFont val="Tahoma"/>
        <family val="2"/>
      </rPr>
      <t xml:space="preserve"> - Gestore - parte variabile</t>
    </r>
  </si>
  <si>
    <r>
      <t>∑CV</t>
    </r>
    <r>
      <rPr>
        <i/>
        <vertAlign val="subscript"/>
        <sz val="8"/>
        <rFont val="Tahoma"/>
        <family val="2"/>
      </rPr>
      <t>2025</t>
    </r>
    <r>
      <rPr>
        <i/>
        <sz val="8"/>
        <rFont val="Tahoma"/>
        <family val="2"/>
      </rPr>
      <t xml:space="preserve"> totale delle componenti tariffarie di costo fisse inflazionate - Post Detrazioni art. 4.6 Del. 363</t>
    </r>
  </si>
  <si>
    <r>
      <t>∑CV</t>
    </r>
    <r>
      <rPr>
        <i/>
        <vertAlign val="subscript"/>
        <sz val="8"/>
        <rFont val="Tahoma"/>
        <family val="2"/>
      </rPr>
      <t>2025</t>
    </r>
    <r>
      <rPr>
        <i/>
        <sz val="8"/>
        <rFont val="Tahoma"/>
        <family val="2"/>
      </rPr>
      <t xml:space="preserve"> totale delle componenti tariffarie di costo fisse con </t>
    </r>
    <r>
      <rPr>
        <i/>
        <sz val="8"/>
        <color rgb="FFFF0000"/>
        <rFont val="Tahoma"/>
        <family val="2"/>
      </rPr>
      <t>inflazione aggiornata</t>
    </r>
    <r>
      <rPr>
        <i/>
        <sz val="8"/>
        <rFont val="Tahoma"/>
        <family val="2"/>
      </rPr>
      <t xml:space="preserve"> - Post Detrazioni art. 4.6 Del. 363</t>
    </r>
  </si>
  <si>
    <r>
      <t>Recupero conguaglio inflazione 2025 - RC</t>
    </r>
    <r>
      <rPr>
        <b/>
        <vertAlign val="subscript"/>
        <sz val="8"/>
        <color rgb="FFFF0000"/>
        <rFont val="Tahoma"/>
        <family val="2"/>
      </rPr>
      <t>I25</t>
    </r>
    <r>
      <rPr>
        <b/>
        <sz val="8"/>
        <color rgb="FFFF0000"/>
        <rFont val="Tahoma"/>
        <family val="2"/>
      </rPr>
      <t xml:space="preserve"> - Gestore</t>
    </r>
  </si>
  <si>
    <r>
      <t>∑CV</t>
    </r>
    <r>
      <rPr>
        <b/>
        <vertAlign val="subscript"/>
        <sz val="8"/>
        <color theme="0"/>
        <rFont val="Tahoma"/>
        <family val="2"/>
      </rPr>
      <t>2025</t>
    </r>
    <r>
      <rPr>
        <b/>
        <sz val="8"/>
        <color theme="0"/>
        <rFont val="Tahoma"/>
        <family val="2"/>
      </rPr>
      <t xml:space="preserve"> totale delle componenti tariffarie di costo variabile inflazionate - </t>
    </r>
    <r>
      <rPr>
        <b/>
        <sz val="8"/>
        <color theme="5"/>
        <rFont val="Tahoma"/>
        <family val="2"/>
      </rPr>
      <t>Post Detrazioni art. 4.6 Del. 363</t>
    </r>
  </si>
  <si>
    <r>
      <t>∑CF</t>
    </r>
    <r>
      <rPr>
        <b/>
        <vertAlign val="subscript"/>
        <sz val="8"/>
        <color theme="0"/>
        <rFont val="Tahoma"/>
        <family val="2"/>
      </rPr>
      <t>2025</t>
    </r>
    <r>
      <rPr>
        <b/>
        <sz val="8"/>
        <color theme="0"/>
        <rFont val="Tahoma"/>
        <family val="2"/>
      </rPr>
      <t xml:space="preserve"> totale delle componenti tariffarie di costo fisse inflazionate - </t>
    </r>
    <r>
      <rPr>
        <b/>
        <sz val="8"/>
        <color theme="5"/>
        <rFont val="Tahoma"/>
        <family val="2"/>
      </rPr>
      <t>Post Detrazioni art. 4.6 Del. 363</t>
    </r>
  </si>
  <si>
    <r>
      <t>∑C</t>
    </r>
    <r>
      <rPr>
        <b/>
        <vertAlign val="subscript"/>
        <sz val="8"/>
        <color theme="0"/>
        <rFont val="Tahoma"/>
        <family val="2"/>
      </rPr>
      <t>2025</t>
    </r>
    <r>
      <rPr>
        <b/>
        <sz val="8"/>
        <color theme="0"/>
        <rFont val="Tahoma"/>
        <family val="2"/>
      </rPr>
      <t xml:space="preserve"> totale delle componenti tariffarie (variabili + fisse) inflazionate - </t>
    </r>
    <r>
      <rPr>
        <b/>
        <sz val="8"/>
        <color theme="5"/>
        <rFont val="Tahoma"/>
        <family val="2"/>
      </rPr>
      <t>Post Detrazioni art. 4.6 Del. 363</t>
    </r>
  </si>
  <si>
    <r>
      <t>∑CV</t>
    </r>
    <r>
      <rPr>
        <b/>
        <vertAlign val="subscript"/>
        <sz val="8"/>
        <color theme="0"/>
        <rFont val="Tahoma"/>
        <family val="2"/>
      </rPr>
      <t>2025</t>
    </r>
    <r>
      <rPr>
        <b/>
        <sz val="8"/>
        <color theme="0"/>
        <rFont val="Tahoma"/>
        <family val="2"/>
      </rPr>
      <t xml:space="preserve"> totale delle componenti tariffarie di costo variabile </t>
    </r>
    <r>
      <rPr>
        <b/>
        <sz val="8"/>
        <color rgb="FFFF0000"/>
        <rFont val="Tahoma"/>
        <family val="2"/>
      </rPr>
      <t>con inflazione aggiornata</t>
    </r>
    <r>
      <rPr>
        <b/>
        <sz val="8"/>
        <color theme="0"/>
        <rFont val="Tahoma"/>
        <family val="2"/>
      </rPr>
      <t xml:space="preserve"> - </t>
    </r>
    <r>
      <rPr>
        <b/>
        <sz val="8"/>
        <color theme="5"/>
        <rFont val="Tahoma"/>
        <family val="2"/>
      </rPr>
      <t>Post Detrazioni art. 4.6 Del. 363</t>
    </r>
  </si>
  <si>
    <r>
      <t>∑CF</t>
    </r>
    <r>
      <rPr>
        <b/>
        <vertAlign val="subscript"/>
        <sz val="8"/>
        <color theme="0"/>
        <rFont val="Tahoma"/>
        <family val="2"/>
      </rPr>
      <t>2025</t>
    </r>
    <r>
      <rPr>
        <b/>
        <sz val="8"/>
        <color theme="0"/>
        <rFont val="Tahoma"/>
        <family val="2"/>
      </rPr>
      <t xml:space="preserve"> totale delle componenti tariffarie di costo fisse </t>
    </r>
    <r>
      <rPr>
        <b/>
        <sz val="8"/>
        <color rgb="FFFF0000"/>
        <rFont val="Tahoma"/>
        <family val="2"/>
      </rPr>
      <t>con inflazione aggiornata</t>
    </r>
    <r>
      <rPr>
        <b/>
        <sz val="8"/>
        <color theme="0"/>
        <rFont val="Tahoma"/>
        <family val="2"/>
      </rPr>
      <t xml:space="preserve"> - </t>
    </r>
    <r>
      <rPr>
        <b/>
        <sz val="8"/>
        <color theme="5"/>
        <rFont val="Tahoma"/>
        <family val="2"/>
      </rPr>
      <t>Post Detrazioni art. 4.6 Del. 363</t>
    </r>
  </si>
  <si>
    <r>
      <t>∑C</t>
    </r>
    <r>
      <rPr>
        <b/>
        <vertAlign val="subscript"/>
        <sz val="8"/>
        <color theme="0"/>
        <rFont val="Tahoma"/>
        <family val="2"/>
      </rPr>
      <t>2025</t>
    </r>
    <r>
      <rPr>
        <b/>
        <sz val="8"/>
        <color theme="0"/>
        <rFont val="Tahoma"/>
        <family val="2"/>
      </rPr>
      <t xml:space="preserve"> totale delle componenti tariffarie (variabili + fisse) </t>
    </r>
    <r>
      <rPr>
        <b/>
        <sz val="8"/>
        <color rgb="FFFF0000"/>
        <rFont val="Tahoma"/>
        <family val="2"/>
      </rPr>
      <t>con inflazione aggiornata</t>
    </r>
    <r>
      <rPr>
        <b/>
        <sz val="8"/>
        <color theme="0"/>
        <rFont val="Tahoma"/>
        <family val="2"/>
      </rPr>
      <t xml:space="preserve"> - </t>
    </r>
    <r>
      <rPr>
        <b/>
        <sz val="8"/>
        <color theme="5"/>
        <rFont val="Tahoma"/>
        <family val="2"/>
      </rPr>
      <t>Post Detrazioni art. 4.6 Del. 363</t>
    </r>
  </si>
  <si>
    <t>CV_25_COM_PD</t>
  </si>
  <si>
    <t>CRT_25_COM_PD</t>
  </si>
  <si>
    <t>CTS_25_COM_PD</t>
  </si>
  <si>
    <t>CTR_25_COM_PD</t>
  </si>
  <si>
    <t>CRD_25_COM_PD</t>
  </si>
  <si>
    <t>B_AR_25_COM</t>
  </si>
  <si>
    <t>B_OMEGA_25_COM</t>
  </si>
  <si>
    <t>B_ARSC_25_COM</t>
  </si>
  <si>
    <t>CF_25_COM_PD</t>
  </si>
  <si>
    <t>CSL_25_COM_PD</t>
  </si>
  <si>
    <t>CARC_25_COM_PD</t>
  </si>
  <si>
    <t>CGG_25_COM_PD</t>
  </si>
  <si>
    <t>CCD_25_COM_PD</t>
  </si>
  <si>
    <t>COAL_25_COM_PD</t>
  </si>
  <si>
    <t>CC_25_COM_PD</t>
  </si>
  <si>
    <t>C_25_COM_PD</t>
  </si>
  <si>
    <t>CV_25_COM_PD_I</t>
  </si>
  <si>
    <t>CRT_25_COM_PD_I</t>
  </si>
  <si>
    <t>CTS_25_COM_PD_I</t>
  </si>
  <si>
    <t>CTR_25_COM_PD_I</t>
  </si>
  <si>
    <t>CRD_25_COM_PD_I</t>
  </si>
  <si>
    <t>AR_25_COM_I</t>
  </si>
  <si>
    <t>B_AR_25_COM_I</t>
  </si>
  <si>
    <t>ARSC_25_COM_I</t>
  </si>
  <si>
    <t>B_ARSC_25_COM_I</t>
  </si>
  <si>
    <t>CF_25_COM_PD_I</t>
  </si>
  <si>
    <t>CSL_25_COM_PD_I</t>
  </si>
  <si>
    <t>CARC_25_COM_PD_I</t>
  </si>
  <si>
    <t>CGG_25_COM_PD_I</t>
  </si>
  <si>
    <t>CCD_25_COM_PD_I</t>
  </si>
  <si>
    <t>COAL_25_COM_PD_I</t>
  </si>
  <si>
    <t>CC_25_COM_PD_I</t>
  </si>
  <si>
    <t>C_25_COM_PD_I</t>
  </si>
  <si>
    <r>
      <t>Recupero conguaglio inflazione 2025 - RC</t>
    </r>
    <r>
      <rPr>
        <b/>
        <vertAlign val="subscript"/>
        <sz val="8"/>
        <color rgb="FFFF0000"/>
        <rFont val="Tahoma"/>
        <family val="2"/>
      </rPr>
      <t>I25</t>
    </r>
    <r>
      <rPr>
        <b/>
        <sz val="8"/>
        <color rgb="FFFF0000"/>
        <rFont val="Tahoma"/>
        <family val="2"/>
      </rPr>
      <t xml:space="preserve"> - Comune</t>
    </r>
  </si>
  <si>
    <r>
      <t>Recupero conguaglio I</t>
    </r>
    <r>
      <rPr>
        <b/>
        <i/>
        <vertAlign val="subscript"/>
        <sz val="8"/>
        <rFont val="Tahoma"/>
        <family val="2"/>
      </rPr>
      <t>2025</t>
    </r>
    <r>
      <rPr>
        <b/>
        <i/>
        <sz val="8"/>
        <rFont val="Tahoma"/>
        <family val="2"/>
      </rPr>
      <t xml:space="preserve"> - Comune - parte variabile</t>
    </r>
  </si>
  <si>
    <t>Tipologia di offerta in caso di gara ai sensi dell'art. 9 dell'Allegato A del. 596/2024/R/rif</t>
  </si>
  <si>
    <t>ex comma 9.2</t>
  </si>
  <si>
    <t>ex comma 9.4 lettera a)</t>
  </si>
  <si>
    <t>ex comma 9.4 lettera b)</t>
  </si>
  <si>
    <t>Inizio affidamento</t>
  </si>
  <si>
    <t>Check K-CRI</t>
  </si>
  <si>
    <t>Si usufruisce della deroga di cui al comma 4.11 det. 1/DTAC/2025?</t>
  </si>
  <si>
    <r>
      <t>Recupero conguaglio I</t>
    </r>
    <r>
      <rPr>
        <b/>
        <i/>
        <vertAlign val="subscript"/>
        <sz val="8"/>
        <rFont val="Tahoma"/>
        <family val="2"/>
      </rPr>
      <t>2025</t>
    </r>
    <r>
      <rPr>
        <b/>
        <i/>
        <sz val="8"/>
        <rFont val="Tahoma"/>
        <family val="2"/>
      </rPr>
      <t xml:space="preserve"> - Gestore - parte fissa</t>
    </r>
  </si>
  <si>
    <r>
      <t>Recupero conguaglio I</t>
    </r>
    <r>
      <rPr>
        <b/>
        <i/>
        <vertAlign val="subscript"/>
        <sz val="8"/>
        <rFont val="Tahoma"/>
        <family val="2"/>
      </rPr>
      <t>2025</t>
    </r>
    <r>
      <rPr>
        <b/>
        <i/>
        <sz val="8"/>
        <rFont val="Tahoma"/>
        <family val="2"/>
      </rPr>
      <t xml:space="preserve"> - Comune - parte fissa</t>
    </r>
  </si>
  <si>
    <t>I_25_TV_GEST</t>
  </si>
  <si>
    <t>I_25_TF_GEST</t>
  </si>
  <si>
    <t>I_25_TV_COM</t>
  </si>
  <si>
    <t>I_25_TF_COM</t>
  </si>
  <si>
    <r>
      <t xml:space="preserve">Conguaglio Inflazione PEF25 </t>
    </r>
    <r>
      <rPr>
        <b/>
        <i/>
        <vertAlign val="subscript"/>
        <sz val="8"/>
        <color theme="1"/>
        <rFont val="Tahoma"/>
        <family val="2"/>
      </rPr>
      <t>TV, 2026</t>
    </r>
    <r>
      <rPr>
        <b/>
        <i/>
        <sz val="8"/>
        <color theme="1"/>
        <rFont val="Tahoma"/>
        <family val="2"/>
      </rPr>
      <t xml:space="preserve"> - Comune</t>
    </r>
  </si>
  <si>
    <r>
      <t xml:space="preserve">Conguaglio Inflazione PEF25 </t>
    </r>
    <r>
      <rPr>
        <b/>
        <i/>
        <vertAlign val="subscript"/>
        <sz val="8"/>
        <color theme="1"/>
        <rFont val="Tahoma"/>
        <family val="2"/>
      </rPr>
      <t>TV, 2027</t>
    </r>
    <r>
      <rPr>
        <b/>
        <i/>
        <sz val="8"/>
        <color theme="1"/>
        <rFont val="Tahoma"/>
        <family val="2"/>
      </rPr>
      <t xml:space="preserve"> - Comune</t>
    </r>
  </si>
  <si>
    <r>
      <t xml:space="preserve">Conguaglio Inflazione PEF25 </t>
    </r>
    <r>
      <rPr>
        <b/>
        <i/>
        <vertAlign val="subscript"/>
        <sz val="8"/>
        <color theme="1"/>
        <rFont val="Tahoma"/>
        <family val="2"/>
      </rPr>
      <t>TF, 2026</t>
    </r>
    <r>
      <rPr>
        <b/>
        <i/>
        <sz val="8"/>
        <color theme="1"/>
        <rFont val="Tahoma"/>
        <family val="2"/>
      </rPr>
      <t xml:space="preserve"> - Gestore</t>
    </r>
  </si>
  <si>
    <r>
      <t xml:space="preserve">Conguaglio Inflazione PEF25 </t>
    </r>
    <r>
      <rPr>
        <b/>
        <i/>
        <vertAlign val="subscript"/>
        <sz val="8"/>
        <color theme="1"/>
        <rFont val="Tahoma"/>
        <family val="2"/>
      </rPr>
      <t>TF, 2027</t>
    </r>
    <r>
      <rPr>
        <b/>
        <i/>
        <sz val="8"/>
        <color theme="1"/>
        <rFont val="Tahoma"/>
        <family val="2"/>
      </rPr>
      <t xml:space="preserve"> - Gestore</t>
    </r>
  </si>
  <si>
    <r>
      <t xml:space="preserve">Conguaglio Inflazione PEF25 </t>
    </r>
    <r>
      <rPr>
        <b/>
        <i/>
        <vertAlign val="subscript"/>
        <sz val="8"/>
        <color theme="1"/>
        <rFont val="Tahoma"/>
        <family val="2"/>
      </rPr>
      <t>TF, 2026</t>
    </r>
    <r>
      <rPr>
        <b/>
        <i/>
        <sz val="8"/>
        <color theme="1"/>
        <rFont val="Tahoma"/>
        <family val="2"/>
      </rPr>
      <t xml:space="preserve"> - Comune</t>
    </r>
  </si>
  <si>
    <r>
      <t xml:space="preserve">Conguaglio Inflazione PEF25 </t>
    </r>
    <r>
      <rPr>
        <b/>
        <i/>
        <vertAlign val="subscript"/>
        <sz val="8"/>
        <color theme="1"/>
        <rFont val="Tahoma"/>
        <family val="2"/>
      </rPr>
      <t>TF, 2027</t>
    </r>
    <r>
      <rPr>
        <b/>
        <i/>
        <sz val="8"/>
        <color theme="1"/>
        <rFont val="Tahoma"/>
        <family val="2"/>
      </rPr>
      <t xml:space="preserve"> - Comune</t>
    </r>
  </si>
  <si>
    <t>Detr. da Det. 1/DTAC/2025 comma 4.5</t>
  </si>
  <si>
    <r>
      <t>Detr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Det. 1/DTAC/2025 comma 4.5 - variabili</t>
    </r>
  </si>
  <si>
    <r>
      <t>Detr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Det. 1/DTAC/2025 comma 4.5 - fisse</t>
    </r>
  </si>
  <si>
    <r>
      <t>Detr</t>
    </r>
    <r>
      <rPr>
        <b/>
        <vertAlign val="subscript"/>
        <sz val="8"/>
        <color theme="1"/>
        <rFont val="Tahoma"/>
        <family val="2"/>
      </rPr>
      <t>2026</t>
    </r>
    <r>
      <rPr>
        <b/>
        <sz val="8"/>
        <color theme="1"/>
        <rFont val="Tahoma"/>
        <family val="2"/>
      </rPr>
      <t xml:space="preserve"> Det. 1/DTAC/2025 comma 4.5</t>
    </r>
  </si>
  <si>
    <r>
      <t>Detr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Det. 1/DTAC/2025 comma 4.5 - variabili</t>
    </r>
  </si>
  <si>
    <r>
      <t>Detr</t>
    </r>
    <r>
      <rPr>
        <b/>
        <vertAlign val="subscript"/>
        <sz val="8"/>
        <color theme="1"/>
        <rFont val="Tahoma"/>
        <family val="2"/>
      </rPr>
      <t xml:space="preserve">2027 </t>
    </r>
    <r>
      <rPr>
        <b/>
        <sz val="8"/>
        <color theme="1"/>
        <rFont val="Tahoma"/>
        <family val="2"/>
      </rPr>
      <t>Det. 1/DTAC/2025 comma 4.5 - fisse</t>
    </r>
  </si>
  <si>
    <r>
      <t>Detr</t>
    </r>
    <r>
      <rPr>
        <b/>
        <vertAlign val="subscript"/>
        <sz val="8"/>
        <color theme="1"/>
        <rFont val="Tahoma"/>
        <family val="2"/>
      </rPr>
      <t>2027</t>
    </r>
    <r>
      <rPr>
        <b/>
        <sz val="8"/>
        <color theme="1"/>
        <rFont val="Tahoma"/>
        <family val="2"/>
      </rPr>
      <t xml:space="preserve"> Det. 1/DTAC/2025 comma 4.5</t>
    </r>
  </si>
  <si>
    <r>
      <t>Detr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Det. 1/DTAC/2025 comma 4.5 - variabili</t>
    </r>
  </si>
  <si>
    <r>
      <t>Detr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Det. 1/DTAC/2025 comma 4.5 - fisse</t>
    </r>
  </si>
  <si>
    <r>
      <t>Detr</t>
    </r>
    <r>
      <rPr>
        <b/>
        <vertAlign val="subscript"/>
        <sz val="8"/>
        <color theme="1"/>
        <rFont val="Tahoma"/>
        <family val="2"/>
      </rPr>
      <t>2028</t>
    </r>
    <r>
      <rPr>
        <b/>
        <sz val="8"/>
        <color theme="1"/>
        <rFont val="Tahoma"/>
        <family val="2"/>
      </rPr>
      <t xml:space="preserve"> Det. 1/DTAC/2025 comma 4.5</t>
    </r>
  </si>
  <si>
    <r>
      <t>Detr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Det. 1/DTAC/2025 comma 4.5 - variabili</t>
    </r>
  </si>
  <si>
    <r>
      <t>Detr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Det. 1/DTAC/2025 comma 4.5 - fisse</t>
    </r>
  </si>
  <si>
    <r>
      <t>Detr</t>
    </r>
    <r>
      <rPr>
        <b/>
        <vertAlign val="subscript"/>
        <sz val="8"/>
        <color theme="1"/>
        <rFont val="Tahoma"/>
        <family val="2"/>
      </rPr>
      <t>2029</t>
    </r>
    <r>
      <rPr>
        <b/>
        <sz val="8"/>
        <color theme="1"/>
        <rFont val="Tahoma"/>
        <family val="2"/>
      </rPr>
      <t xml:space="preserve"> Det. 1/DTAC/2025 comma 4.5</t>
    </r>
  </si>
  <si>
    <t>Detrazioni di cui al comma 4.5 della Determina n. 1/DTAC/2025 - parte variabile</t>
  </si>
  <si>
    <t>Detrazioni di cui al comma 4.5 della Determina n. 1/DTAC/2025 - parte fissa</t>
  </si>
  <si>
    <r>
      <rPr>
        <b/>
        <i/>
        <sz val="8"/>
        <color theme="0"/>
        <rFont val="Tahoma"/>
        <family val="2"/>
      </rPr>
      <t>∑TV</t>
    </r>
    <r>
      <rPr>
        <b/>
        <i/>
        <vertAlign val="subscript"/>
        <sz val="8"/>
        <color theme="0"/>
        <rFont val="Tahoma"/>
        <family val="2"/>
      </rPr>
      <t>a</t>
    </r>
    <r>
      <rPr>
        <b/>
        <sz val="8"/>
        <color theme="0"/>
        <rFont val="Tahoma"/>
        <family val="2"/>
      </rPr>
      <t xml:space="preserve"> totale delle entrate tariffarie relative alle componenti di costo variabile dopo le detrazioni di cui al comma 4.5 della Determina n.1/DTAC/2025</t>
    </r>
  </si>
  <si>
    <r>
      <rPr>
        <b/>
        <i/>
        <sz val="8"/>
        <color theme="0"/>
        <rFont val="Tahoma"/>
        <family val="2"/>
      </rPr>
      <t>∑TF</t>
    </r>
    <r>
      <rPr>
        <b/>
        <i/>
        <vertAlign val="subscript"/>
        <sz val="8"/>
        <color theme="0"/>
        <rFont val="Tahoma"/>
        <family val="2"/>
      </rPr>
      <t>a</t>
    </r>
    <r>
      <rPr>
        <b/>
        <sz val="8"/>
        <color theme="0"/>
        <rFont val="Tahoma"/>
        <family val="2"/>
      </rPr>
      <t xml:space="preserve"> totale delle entrate tariffarie relative alle componenti di costo variabile dopo le detrazioni di cui al comma 4.5 della Determina n.1/DTAC/2025</t>
    </r>
  </si>
  <si>
    <t>Totale entrate tariffarie dopo le detrazioni di cui al comma 4.5 della Determina n.1/DTAC/2025</t>
  </si>
  <si>
    <t>REC_DELTA_22-25_TV_GEST</t>
  </si>
  <si>
    <t>REC_DELTA_22-25_TV_COM</t>
  </si>
  <si>
    <t>REC_DELTA_22-25_TV</t>
  </si>
  <si>
    <t>REC_DELTA_22-25_TF_GEST</t>
  </si>
  <si>
    <t>REC_DELTA_22-25_TF_COM</t>
  </si>
  <si>
    <t>REC_DELTA_22-25_TF</t>
  </si>
  <si>
    <t>Distribuzione Delta formatosi nel PEF 2022-2025 - Parte variabile - Gestore</t>
  </si>
  <si>
    <t>Distribuzione Delta formatosi nel PEF 2022-2025 - Parte variabile - Comune</t>
  </si>
  <si>
    <t>Distribuzione Delta formatosi nel PEF 2022-2025 - Parte variabile</t>
  </si>
  <si>
    <t>Distribuzione Delta formatosi nel PEF 2022-2025 - Parte fissa - Gestore</t>
  </si>
  <si>
    <t>Distribuzione Delta formatosi nel PEF 2022-2025 - Parte fissa - Comune</t>
  </si>
  <si>
    <t>Distribuzione Delta formatosi nel PEF 2022-2025 - Parte fissa</t>
  </si>
  <si>
    <r>
      <t xml:space="preserve">Distribuzione Delta </t>
    </r>
    <r>
      <rPr>
        <b/>
        <i/>
        <vertAlign val="subscript"/>
        <sz val="8"/>
        <rFont val="Tahoma"/>
        <family val="2"/>
      </rPr>
      <t>2026</t>
    </r>
    <r>
      <rPr>
        <b/>
        <i/>
        <sz val="8"/>
        <rFont val="Tahoma"/>
        <family val="2"/>
      </rPr>
      <t xml:space="preserve"> formatosi nel PEF 2022-2025 - Parte fissa</t>
    </r>
  </si>
  <si>
    <t>Totale Delta pregresso 2022-2025 rinviato alle annualità successive</t>
  </si>
  <si>
    <t>REC_DELTA_TV_26_GEST</t>
  </si>
  <si>
    <t>REC_DELTA_TV_26_COM</t>
  </si>
  <si>
    <t>REC_DELTA_TF_26_GEST</t>
  </si>
  <si>
    <t>REC_DELTA_TF_26_COM</t>
  </si>
  <si>
    <t>REC_DELTA_TV_27_GEST</t>
  </si>
  <si>
    <t>REC_DELTA_TV_27_COM</t>
  </si>
  <si>
    <t>REC_DELTA_TF_27_GEST</t>
  </si>
  <si>
    <t>REC_DELTA_TF_27_COM</t>
  </si>
  <si>
    <t>REC_DELTA_TV_28_GEST</t>
  </si>
  <si>
    <t>REC_DELTA_TV_28_COM</t>
  </si>
  <si>
    <t>REC_DELTA_TF_28_GEST</t>
  </si>
  <si>
    <t>REC_DELTA_TF_28_COM</t>
  </si>
  <si>
    <t>REC_DELTA_TV_29_GEST</t>
  </si>
  <si>
    <t>REC_DELTA_TV_29_COM</t>
  </si>
  <si>
    <t>REC_DELTA_TF_29_GEST</t>
  </si>
  <si>
    <t>REC_DELTA_TF_29_COM</t>
  </si>
  <si>
    <t>REC_DELTA_TV_P29_GEST</t>
  </si>
  <si>
    <t>REC_DELTA_TV_P29_COM</t>
  </si>
  <si>
    <t>REC_DELTA_TF_P29_GEST</t>
  </si>
  <si>
    <t>REC_DELTA_TF_P29_COM</t>
  </si>
  <si>
    <t>REC_DELTA_26_GEST</t>
  </si>
  <si>
    <t>REC_DELTA_26_COM</t>
  </si>
  <si>
    <t>REC_DELTA_26</t>
  </si>
  <si>
    <t>REC_DELTA_27_GEST</t>
  </si>
  <si>
    <t>REC_DELTA_27_COM</t>
  </si>
  <si>
    <t>REC_DELTA_27</t>
  </si>
  <si>
    <t>REC_DELTA_28_GEST</t>
  </si>
  <si>
    <t>REC_DELTA_28_COM</t>
  </si>
  <si>
    <t>REC_DELTA_28</t>
  </si>
  <si>
    <r>
      <rPr>
        <b/>
        <sz val="8"/>
        <color theme="0"/>
        <rFont val="Tahoma"/>
        <family val="2"/>
      </rPr>
      <t xml:space="preserve">di cui da recuperare nel: </t>
    </r>
    <r>
      <rPr>
        <b/>
        <sz val="8"/>
        <color rgb="FFFFFF00"/>
        <rFont val="Tahoma"/>
        <family val="2"/>
      </rPr>
      <t>2026</t>
    </r>
  </si>
  <si>
    <r>
      <rPr>
        <b/>
        <sz val="8"/>
        <color theme="0"/>
        <rFont val="Tahoma"/>
        <family val="2"/>
      </rPr>
      <t>di cui da recuperare nel:</t>
    </r>
    <r>
      <rPr>
        <b/>
        <sz val="8"/>
        <color rgb="FFFFFF00"/>
        <rFont val="Tahoma"/>
        <family val="2"/>
      </rPr>
      <t xml:space="preserve"> 2027</t>
    </r>
  </si>
  <si>
    <r>
      <rPr>
        <b/>
        <sz val="8"/>
        <color theme="0"/>
        <rFont val="Tahoma"/>
        <family val="2"/>
      </rPr>
      <t>di cui da recuperare nel:</t>
    </r>
    <r>
      <rPr>
        <b/>
        <sz val="8"/>
        <color rgb="FFFFFF00"/>
        <rFont val="Tahoma"/>
        <family val="2"/>
      </rPr>
      <t xml:space="preserve"> 2028</t>
    </r>
  </si>
  <si>
    <r>
      <rPr>
        <b/>
        <sz val="8"/>
        <color theme="0"/>
        <rFont val="Tahoma"/>
        <family val="2"/>
      </rPr>
      <t>di cui da recuperare nel:</t>
    </r>
    <r>
      <rPr>
        <b/>
        <sz val="8"/>
        <color rgb="FFFFFF00"/>
        <rFont val="Tahoma"/>
        <family val="2"/>
      </rPr>
      <t xml:space="preserve"> 2029</t>
    </r>
  </si>
  <si>
    <r>
      <rPr>
        <b/>
        <sz val="8"/>
        <color theme="0"/>
        <rFont val="Tahoma"/>
        <family val="2"/>
      </rPr>
      <t>di cui da recuperare nel:</t>
    </r>
    <r>
      <rPr>
        <b/>
        <sz val="8"/>
        <color rgb="FFFFFF00"/>
        <rFont val="Tahoma"/>
        <family val="2"/>
      </rPr>
      <t xml:space="preserve"> Post 2029</t>
    </r>
  </si>
  <si>
    <t>REC_DELTA_29_GEST</t>
  </si>
  <si>
    <t>REC_DELTA_29_COM</t>
  </si>
  <si>
    <t>REC_DELTA_29</t>
  </si>
  <si>
    <t>REC_DELTA_P29_GEST</t>
  </si>
  <si>
    <t>REC_DELTA_P29_COM</t>
  </si>
  <si>
    <t>REC_DELTA_P29</t>
  </si>
  <si>
    <t>RCRET_TV_P29_GEST</t>
  </si>
  <si>
    <t>RCSMAL_TV_P29_GEST</t>
  </si>
  <si>
    <t>REC_CQ_TV_P29_GEST</t>
  </si>
  <si>
    <t>REC_COnew_TV_P29_GEST</t>
  </si>
  <si>
    <t>REC_COI_TV_P29_GEST</t>
  </si>
  <si>
    <t>REC_IMP_TV_P29_GEST</t>
  </si>
  <si>
    <t>REC_FATT_TV_P29_GEST</t>
  </si>
  <si>
    <t>I_25_TV_GEST_P29</t>
  </si>
  <si>
    <t>I_27_TV_GEST_P29</t>
  </si>
  <si>
    <t>RC_CORD_TV_GEST_P29</t>
  </si>
  <si>
    <t>RCTOT_TV_P29_GEST</t>
  </si>
  <si>
    <t>RCRET_TF_P29_GEST</t>
  </si>
  <si>
    <t>REC_CQ_TF_P29_GEST</t>
  </si>
  <si>
    <t>REC_COnew_TF_P29_GEST</t>
  </si>
  <si>
    <t>REC_COI_TF_P29_GEST</t>
  </si>
  <si>
    <t>REC_FATT_TF_P29_GEST</t>
  </si>
  <si>
    <t>I_25_TF_GEST_P29</t>
  </si>
  <si>
    <t>I_27_TF_GEST_P29</t>
  </si>
  <si>
    <t>CONG_CK_TF_P29_GEST</t>
  </si>
  <si>
    <t>RCTOT_TF_P29_GEST</t>
  </si>
  <si>
    <t>RCTOT_P29_GEST</t>
  </si>
  <si>
    <t>REC_CO116_TV_P29_GEST</t>
  </si>
  <si>
    <t>REC_CO116_TF_P29_GEST</t>
  </si>
  <si>
    <t>RCRET_TV_P29_COM</t>
  </si>
  <si>
    <t>RCSMAL_TV_P29_COM</t>
  </si>
  <si>
    <t>REC_CO116_TV_P29_COM</t>
  </si>
  <si>
    <t>REC_CQ_TV_P29_COM</t>
  </si>
  <si>
    <t>REC_COnew_TV_P29_COM</t>
  </si>
  <si>
    <t>REC_COI_TV_P29_COM</t>
  </si>
  <si>
    <t>REC_IMP_TV_P29_COM</t>
  </si>
  <si>
    <t>REC_FATT_TV_P29_COM</t>
  </si>
  <si>
    <t>I_25_TV_COM_P29</t>
  </si>
  <si>
    <t>I_27_TV_COM_P29</t>
  </si>
  <si>
    <t>RC_CORD_TV_COM_P29</t>
  </si>
  <si>
    <t>RCTOT_TV_P29_COM</t>
  </si>
  <si>
    <t>RCRET_TF_P29_COM</t>
  </si>
  <si>
    <t>REC_CO116_TF_P29_COM</t>
  </si>
  <si>
    <t>REC_CQ_TF_P29_COM</t>
  </si>
  <si>
    <t>REC_COnew_TF_P29_COM</t>
  </si>
  <si>
    <t>REC_COI_TF_P29_COM</t>
  </si>
  <si>
    <t>REC_FATT_TF_P29_COM</t>
  </si>
  <si>
    <t>I_25_TF_COM_P29</t>
  </si>
  <si>
    <t>I_27_TF_COM_P29</t>
  </si>
  <si>
    <t>CONG_CK_TF_P29_COM</t>
  </si>
  <si>
    <t>RCTOT_TF_P29_COM</t>
  </si>
  <si>
    <t>RCTOT_P29_COM</t>
  </si>
  <si>
    <r>
      <t>RC</t>
    </r>
    <r>
      <rPr>
        <b/>
        <vertAlign val="subscript"/>
        <sz val="8"/>
        <color theme="1"/>
        <rFont val="Tahoma"/>
        <family val="2"/>
      </rPr>
      <t>RET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</si>
  <si>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SMAL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</si>
  <si>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</si>
  <si>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</si>
  <si>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</si>
  <si>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RC </t>
    </r>
    <r>
      <rPr>
        <b/>
        <vertAlign val="subscript"/>
        <sz val="8"/>
        <color theme="1"/>
        <rFont val="Tahoma"/>
        <family val="2"/>
      </rPr>
      <t>CTS POST 2029</t>
    </r>
    <r>
      <rPr>
        <b/>
        <sz val="8"/>
        <color theme="1"/>
        <rFont val="Tahoma"/>
        <family val="2"/>
      </rPr>
      <t xml:space="preserve"> - Comune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</si>
  <si>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</si>
  <si>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TV,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</si>
  <si>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TV,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</si>
  <si>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Efficientamento COrd </t>
    </r>
    <r>
      <rPr>
        <b/>
        <vertAlign val="subscript"/>
        <sz val="8"/>
        <color theme="1"/>
        <rFont val="Tahoma"/>
        <family val="2"/>
      </rPr>
      <t>TV,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</si>
  <si>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TV,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</si>
  <si>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TOT TV,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</si>
  <si>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RET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</si>
  <si>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</si>
  <si>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</si>
  <si>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</si>
  <si>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</si>
  <si>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TF,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</si>
  <si>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TF,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</si>
  <si>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TF,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</si>
  <si>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Conguaglio CK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</si>
  <si>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TOT TF,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</si>
  <si>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TOT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</si>
  <si>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</si>
  <si>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Comune</t>
    </r>
  </si>
  <si>
    <r>
      <t>RC</t>
    </r>
    <r>
      <rPr>
        <b/>
        <vertAlign val="subscript"/>
        <sz val="8"/>
        <color theme="1"/>
        <rFont val="Tahoma"/>
        <family val="2"/>
      </rPr>
      <t>RET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</si>
  <si>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>SMAL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</si>
  <si>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</si>
  <si>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</si>
  <si>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TV,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</si>
  <si>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TV,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</si>
  <si>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RC </t>
    </r>
    <r>
      <rPr>
        <b/>
        <vertAlign val="subscript"/>
        <sz val="8"/>
        <color theme="1"/>
        <rFont val="Tahoma"/>
        <family val="2"/>
      </rPr>
      <t>CTS POST 2029</t>
    </r>
    <r>
      <rPr>
        <b/>
        <sz val="8"/>
        <color theme="1"/>
        <rFont val="Tahoma"/>
        <family val="2"/>
      </rPr>
      <t xml:space="preserve"> - Gestore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</si>
  <si>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TV,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</si>
  <si>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TV,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</si>
  <si>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TV,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</si>
  <si>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Efficientamento COrd </t>
    </r>
    <r>
      <rPr>
        <b/>
        <vertAlign val="subscript"/>
        <sz val="8"/>
        <color theme="1"/>
        <rFont val="Tahoma"/>
        <family val="2"/>
      </rPr>
      <t>TV,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</si>
  <si>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TV,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</si>
  <si>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>TOT TV,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</si>
  <si>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>RET</t>
    </r>
    <r>
      <rPr>
        <b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</si>
  <si>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116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</si>
  <si>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CQ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</si>
  <si>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COnew</t>
    </r>
    <r>
      <rPr>
        <b/>
        <vertAlign val="superscript"/>
        <sz val="8"/>
        <color theme="1"/>
        <rFont val="Tahoma"/>
        <family val="2"/>
      </rPr>
      <t xml:space="preserve">exp </t>
    </r>
    <r>
      <rPr>
        <b/>
        <vertAlign val="subscript"/>
        <sz val="8"/>
        <color theme="1"/>
        <rFont val="Tahoma"/>
        <family val="2"/>
      </rPr>
      <t>TF,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</si>
  <si>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Recupero COI</t>
    </r>
    <r>
      <rPr>
        <b/>
        <vertAlign val="superscript"/>
        <sz val="8"/>
        <color theme="1"/>
        <rFont val="Tahoma"/>
        <family val="2"/>
      </rPr>
      <t>exp</t>
    </r>
    <r>
      <rPr>
        <b/>
        <vertAlign val="subscript"/>
        <sz val="8"/>
        <color theme="1"/>
        <rFont val="Tahoma"/>
        <family val="2"/>
      </rPr>
      <t>TF,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</si>
  <si>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Differenza fatturato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</si>
  <si>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Inflazione PEF25 </t>
    </r>
    <r>
      <rPr>
        <b/>
        <vertAlign val="subscript"/>
        <sz val="8"/>
        <color theme="1"/>
        <rFont val="Tahoma"/>
        <family val="2"/>
      </rPr>
      <t>TF,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</si>
  <si>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 xml:space="preserve">Conguaglio Inflazione PEF27 </t>
    </r>
    <r>
      <rPr>
        <b/>
        <vertAlign val="subscript"/>
        <sz val="8"/>
        <color theme="1"/>
        <rFont val="Tahoma"/>
        <family val="2"/>
      </rPr>
      <t>TF,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</si>
  <si>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 xml:space="preserve">TMAX </t>
    </r>
    <r>
      <rPr>
        <b/>
        <sz val="8"/>
        <color theme="1"/>
        <rFont val="Tahoma"/>
        <family val="2"/>
      </rPr>
      <t xml:space="preserve">Anni pregressi </t>
    </r>
    <r>
      <rPr>
        <b/>
        <vertAlign val="subscript"/>
        <sz val="8"/>
        <color theme="1"/>
        <rFont val="Tahoma"/>
        <family val="2"/>
      </rPr>
      <t>TF,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</si>
  <si>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Conguaglio CK</t>
    </r>
    <r>
      <rPr>
        <b/>
        <vertAlign val="superscript"/>
        <sz val="8"/>
        <color theme="1"/>
        <rFont val="Tahoma"/>
        <family val="2"/>
      </rPr>
      <t xml:space="preserve"> </t>
    </r>
    <r>
      <rPr>
        <b/>
        <vertAlign val="subscript"/>
        <sz val="8"/>
        <color theme="1"/>
        <rFont val="Tahoma"/>
        <family val="2"/>
      </rPr>
      <t>TF,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</si>
  <si>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>TOT TF,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</si>
  <si>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b/>
        <vertAlign val="subscript"/>
        <sz val="8"/>
        <color theme="1"/>
        <rFont val="Tahoma"/>
        <family val="2"/>
      </rPr>
      <t>TOT POST 2029</t>
    </r>
    <r>
      <rPr>
        <b/>
        <sz val="8"/>
        <color theme="1"/>
        <rFont val="Tahoma"/>
        <family val="2"/>
      </rPr>
      <t xml:space="preserve"> - </t>
    </r>
    <r>
      <rPr>
        <b/>
        <i/>
        <sz val="8"/>
        <color theme="1"/>
        <rFont val="Tahoma"/>
        <family val="2"/>
      </rPr>
      <t>Gestore</t>
    </r>
  </si>
  <si>
    <r>
      <t>RC</t>
    </r>
    <r>
      <rPr>
        <i/>
        <vertAlign val="subscript"/>
        <sz val="8"/>
        <color theme="1"/>
        <rFont val="Tahoma"/>
        <family val="2"/>
      </rPr>
      <t>TOT TV, POST 2029</t>
    </r>
    <r>
      <rPr>
        <i/>
        <sz val="8"/>
        <color theme="1"/>
        <rFont val="Tahoma"/>
        <family val="2"/>
      </rPr>
      <t xml:space="preserve"> - Gestore</t>
    </r>
  </si>
  <si>
    <r>
      <t>RC</t>
    </r>
    <r>
      <rPr>
        <i/>
        <vertAlign val="subscript"/>
        <sz val="8"/>
        <color theme="1"/>
        <rFont val="Tahoma"/>
        <family val="2"/>
      </rPr>
      <t>TOT TV, POST 2029</t>
    </r>
    <r>
      <rPr>
        <i/>
        <sz val="8"/>
        <color theme="1"/>
        <rFont val="Tahoma"/>
        <family val="2"/>
      </rPr>
      <t xml:space="preserve"> - Comune</t>
    </r>
  </si>
  <si>
    <r>
      <t>RC</t>
    </r>
    <r>
      <rPr>
        <b/>
        <vertAlign val="subscript"/>
        <sz val="8"/>
        <color theme="1"/>
        <rFont val="Tahoma"/>
        <family val="2"/>
      </rPr>
      <t>TOT TV, POST 2029</t>
    </r>
  </si>
  <si>
    <r>
      <t>RC</t>
    </r>
    <r>
      <rPr>
        <i/>
        <vertAlign val="subscript"/>
        <sz val="8"/>
        <color theme="1"/>
        <rFont val="Tahoma"/>
        <family val="2"/>
      </rPr>
      <t>TOT TF, POST 2029</t>
    </r>
    <r>
      <rPr>
        <i/>
        <sz val="8"/>
        <color theme="1"/>
        <rFont val="Tahoma"/>
        <family val="2"/>
      </rPr>
      <t xml:space="preserve"> - Gestore</t>
    </r>
  </si>
  <si>
    <r>
      <t>RC</t>
    </r>
    <r>
      <rPr>
        <i/>
        <vertAlign val="subscript"/>
        <sz val="8"/>
        <color theme="1"/>
        <rFont val="Tahoma"/>
        <family val="2"/>
      </rPr>
      <t>TOT TF, POST 2029</t>
    </r>
    <r>
      <rPr>
        <i/>
        <sz val="8"/>
        <color theme="1"/>
        <rFont val="Tahoma"/>
        <family val="2"/>
      </rPr>
      <t xml:space="preserve"> - Comune</t>
    </r>
  </si>
  <si>
    <r>
      <t>RC</t>
    </r>
    <r>
      <rPr>
        <b/>
        <vertAlign val="subscript"/>
        <sz val="8"/>
        <color theme="1"/>
        <rFont val="Tahoma"/>
        <family val="2"/>
      </rPr>
      <t>TOT TF, POST 2029</t>
    </r>
  </si>
  <si>
    <t>RCTOT_TV_P29</t>
  </si>
  <si>
    <t>RCTOT_TF_P29</t>
  </si>
  <si>
    <t>REC_DELTA_TV_26_GEST_PD</t>
  </si>
  <si>
    <t>REC_DELTA_TF_26_GEST_PD</t>
  </si>
  <si>
    <t>REC_DELTA_TV_27_GEST_PD</t>
  </si>
  <si>
    <t>REC_DELTA_TF_27_GEST_PD</t>
  </si>
  <si>
    <t>REC_DELTA_TV_28_GEST_PD</t>
  </si>
  <si>
    <t>REC_DELTA_TF_28_GEST_PD</t>
  </si>
  <si>
    <t>REC_DELTA_TV_29_GEST_PD</t>
  </si>
  <si>
    <t>REC_DELTA_TF_29_GEST_PD</t>
  </si>
  <si>
    <t>REC_DELTA_TV_26_COM_PD</t>
  </si>
  <si>
    <t>REC_DELTA_TF_26_COM_PD</t>
  </si>
  <si>
    <t>REC_DELTA_TV_27_COM_PD</t>
  </si>
  <si>
    <t>REC_DELTA_TF_27_COM_PD</t>
  </si>
  <si>
    <t>REC_DELTA_TV_28_COM_PD</t>
  </si>
  <si>
    <t>REC_DELTA_TF_28_COM_PD</t>
  </si>
  <si>
    <t>REC_DELTA_TV_29_COM_PD</t>
  </si>
  <si>
    <t>REC_DELTA_TF_29_COM_PD</t>
  </si>
  <si>
    <t>REC_DELTA_TV_26_GEST_DETR</t>
  </si>
  <si>
    <t>REC_DELTA_TV_26_COM_DETR</t>
  </si>
  <si>
    <t>REC_DELTA_TF_26_GEST_DETR</t>
  </si>
  <si>
    <t>REC_DELTA_TF_26_COM_DETR</t>
  </si>
  <si>
    <t>REC_DELTA_TF_27_GEST_DETR</t>
  </si>
  <si>
    <t>REC_DELTA_TV_27_GEST_DETR</t>
  </si>
  <si>
    <t>REC_DELTA_TV_27_COM_DETR</t>
  </si>
  <si>
    <t>REC_DELTA_TF_27_COM_DETR</t>
  </si>
  <si>
    <t>REC_DELTA_TF_28_GEST_DETR</t>
  </si>
  <si>
    <t>REC_DELTA_TF_28_COM_DETR</t>
  </si>
  <si>
    <t>REC_DELTA_TV_28_COM_DETR</t>
  </si>
  <si>
    <t>REC_DELTA_TV_28_GEST_DETR</t>
  </si>
  <si>
    <t>REC_DELTA_TV_29_GEST_DETR</t>
  </si>
  <si>
    <t>REC_DELTA_TV_29_COM_DETR</t>
  </si>
  <si>
    <t>REC_DELTA_TF_29_GEST_DETR</t>
  </si>
  <si>
    <t>REC_DELTA_TF_29_COM_DETR</t>
  </si>
  <si>
    <t>CODICI P29 GEST</t>
  </si>
  <si>
    <t>CODICI P29 COM</t>
  </si>
  <si>
    <t>CODICI P29 GEN</t>
  </si>
  <si>
    <t>CTR_24_GEST_B.7_BDV</t>
  </si>
  <si>
    <t>CTR_24_COM_B.7_BDV</t>
  </si>
  <si>
    <t>CTS_24_GEST_B.7_BDV</t>
  </si>
  <si>
    <t>CTS_24_COM_B.7_BDV</t>
  </si>
  <si>
    <r>
      <t>CTR Eventuali altri costi operativi B.7</t>
    </r>
    <r>
      <rPr>
        <b/>
        <i/>
        <vertAlign val="subscript"/>
        <sz val="8"/>
        <color theme="1"/>
        <rFont val="Tahoma"/>
        <family val="2"/>
      </rPr>
      <t xml:space="preserve">2024 </t>
    </r>
    <r>
      <rPr>
        <b/>
        <i/>
        <sz val="8"/>
        <color theme="1"/>
        <rFont val="Tahoma"/>
        <family val="2"/>
      </rPr>
      <t>- Gestore</t>
    </r>
  </si>
  <si>
    <r>
      <t>CTR Eventuali altri costi operativi B.7</t>
    </r>
    <r>
      <rPr>
        <b/>
        <i/>
        <vertAlign val="subscript"/>
        <sz val="8"/>
        <color theme="1"/>
        <rFont val="Tahoma"/>
        <family val="2"/>
      </rPr>
      <t xml:space="preserve">2024 </t>
    </r>
    <r>
      <rPr>
        <b/>
        <i/>
        <sz val="8"/>
        <color theme="1"/>
        <rFont val="Tahoma"/>
        <family val="2"/>
      </rPr>
      <t>- Comune</t>
    </r>
  </si>
  <si>
    <r>
      <t>CTS Eventuali altri costi operativi B.7</t>
    </r>
    <r>
      <rPr>
        <b/>
        <i/>
        <vertAlign val="subscript"/>
        <sz val="8"/>
        <color theme="1"/>
        <rFont val="Tahoma"/>
        <family val="2"/>
      </rPr>
      <t xml:space="preserve">2024 </t>
    </r>
    <r>
      <rPr>
        <b/>
        <i/>
        <sz val="8"/>
        <color theme="1"/>
        <rFont val="Tahoma"/>
        <family val="2"/>
      </rPr>
      <t>- Gestore</t>
    </r>
  </si>
  <si>
    <r>
      <t>CTS Eventuali altri costi operativi B.7</t>
    </r>
    <r>
      <rPr>
        <b/>
        <i/>
        <vertAlign val="subscript"/>
        <sz val="8"/>
        <color theme="1"/>
        <rFont val="Tahoma"/>
        <family val="2"/>
      </rPr>
      <t xml:space="preserve">2024 </t>
    </r>
    <r>
      <rPr>
        <b/>
        <i/>
        <sz val="8"/>
        <color theme="1"/>
        <rFont val="Tahoma"/>
        <family val="2"/>
      </rPr>
      <t>- Comune</t>
    </r>
  </si>
  <si>
    <r>
      <t>CTR Eventuali altri costi operativi B.7</t>
    </r>
    <r>
      <rPr>
        <b/>
        <i/>
        <vertAlign val="subscript"/>
        <sz val="8"/>
        <color theme="1"/>
        <rFont val="Tahoma"/>
        <family val="2"/>
      </rPr>
      <t xml:space="preserve">2025 </t>
    </r>
    <r>
      <rPr>
        <b/>
        <i/>
        <sz val="8"/>
        <color theme="1"/>
        <rFont val="Tahoma"/>
        <family val="2"/>
      </rPr>
      <t>- Gestore</t>
    </r>
  </si>
  <si>
    <r>
      <t>CTR Eventuali altri costi operativi B.7</t>
    </r>
    <r>
      <rPr>
        <b/>
        <i/>
        <vertAlign val="subscript"/>
        <sz val="8"/>
        <color theme="1"/>
        <rFont val="Tahoma"/>
        <family val="2"/>
      </rPr>
      <t xml:space="preserve">2025 </t>
    </r>
    <r>
      <rPr>
        <b/>
        <i/>
        <sz val="8"/>
        <color theme="1"/>
        <rFont val="Tahoma"/>
        <family val="2"/>
      </rPr>
      <t>- Comune</t>
    </r>
  </si>
  <si>
    <r>
      <t>CTS Eventuali altri costi operativi B.7</t>
    </r>
    <r>
      <rPr>
        <b/>
        <i/>
        <vertAlign val="subscript"/>
        <sz val="8"/>
        <color theme="1"/>
        <rFont val="Tahoma"/>
        <family val="2"/>
      </rPr>
      <t xml:space="preserve">2025 </t>
    </r>
    <r>
      <rPr>
        <b/>
        <i/>
        <sz val="8"/>
        <color theme="1"/>
        <rFont val="Tahoma"/>
        <family val="2"/>
      </rPr>
      <t>- Gestore</t>
    </r>
  </si>
  <si>
    <r>
      <t>CTS Eventuali altri costi operativi B.7</t>
    </r>
    <r>
      <rPr>
        <b/>
        <i/>
        <vertAlign val="subscript"/>
        <sz val="8"/>
        <color theme="1"/>
        <rFont val="Tahoma"/>
        <family val="2"/>
      </rPr>
      <t xml:space="preserve">2025 </t>
    </r>
    <r>
      <rPr>
        <b/>
        <i/>
        <sz val="8"/>
        <color theme="1"/>
        <rFont val="Tahoma"/>
        <family val="2"/>
      </rPr>
      <t>- Comune</t>
    </r>
  </si>
  <si>
    <t>CTR_DIV_B.7_GEST_24</t>
  </si>
  <si>
    <t>CTR_DIV_B.7_COM_24</t>
  </si>
  <si>
    <t>CTS_DIV_B.7_GEST_24</t>
  </si>
  <si>
    <t>CTS_DIV_B.7_COM_24</t>
  </si>
  <si>
    <t>CTR_DIV_B.7_GEST_25</t>
  </si>
  <si>
    <t>CTS_DIV_B.7_GEST_25</t>
  </si>
  <si>
    <t>CTR_DIV_B.7_COM_25</t>
  </si>
  <si>
    <t>CTS_DIV_B.7_COM_25</t>
  </si>
  <si>
    <t>CTR_25_GEST_B.7_BDV</t>
  </si>
  <si>
    <t>CTS_25_GEST_B.7_BDV</t>
  </si>
  <si>
    <t>CTR_25_COM_B.7_BDV</t>
  </si>
  <si>
    <t>CTS_25_COM_B.7_BDV</t>
  </si>
  <si>
    <r>
      <t>Residuo B.7 CTR</t>
    </r>
    <r>
      <rPr>
        <i/>
        <vertAlign val="subscript"/>
        <sz val="8"/>
        <color theme="1"/>
        <rFont val="Tahoma"/>
        <family val="2"/>
      </rPr>
      <t>2024</t>
    </r>
    <r>
      <rPr>
        <i/>
        <sz val="8"/>
        <color theme="1"/>
        <rFont val="Tahoma"/>
        <family val="2"/>
      </rPr>
      <t xml:space="preserve"> - Gestore</t>
    </r>
  </si>
  <si>
    <r>
      <t>B.7 CTR</t>
    </r>
    <r>
      <rPr>
        <vertAlign val="subscript"/>
        <sz val="8"/>
        <color theme="1"/>
        <rFont val="Tahoma"/>
        <family val="2"/>
      </rPr>
      <t>2024</t>
    </r>
    <r>
      <rPr>
        <sz val="8"/>
        <color theme="1"/>
        <rFont val="Tahoma"/>
        <family val="2"/>
      </rPr>
      <t xml:space="preserve"> da mappatura BdV - Gestore</t>
    </r>
  </si>
  <si>
    <r>
      <t>B.7 CTR</t>
    </r>
    <r>
      <rPr>
        <vertAlign val="subscript"/>
        <sz val="8"/>
        <color theme="1"/>
        <rFont val="Tahoma"/>
        <family val="2"/>
      </rPr>
      <t>2024</t>
    </r>
    <r>
      <rPr>
        <sz val="8"/>
        <color theme="1"/>
        <rFont val="Tahoma"/>
        <family val="2"/>
      </rPr>
      <t xml:space="preserve"> da mappatura BdV - Comune</t>
    </r>
  </si>
  <si>
    <r>
      <t>B.7 CTS</t>
    </r>
    <r>
      <rPr>
        <vertAlign val="subscript"/>
        <sz val="8"/>
        <color theme="1"/>
        <rFont val="Tahoma"/>
        <family val="2"/>
      </rPr>
      <t>2024</t>
    </r>
    <r>
      <rPr>
        <sz val="8"/>
        <color theme="1"/>
        <rFont val="Tahoma"/>
        <family val="2"/>
      </rPr>
      <t xml:space="preserve"> da mappatura BdV - Gestore</t>
    </r>
  </si>
  <si>
    <r>
      <t>B.7 CTS</t>
    </r>
    <r>
      <rPr>
        <vertAlign val="subscript"/>
        <sz val="8"/>
        <color theme="1"/>
        <rFont val="Tahoma"/>
        <family val="2"/>
      </rPr>
      <t>2024</t>
    </r>
    <r>
      <rPr>
        <sz val="8"/>
        <color theme="1"/>
        <rFont val="Tahoma"/>
        <family val="2"/>
      </rPr>
      <t xml:space="preserve"> da mappatura BdV - Comune</t>
    </r>
  </si>
  <si>
    <r>
      <t>B.7 CTR</t>
    </r>
    <r>
      <rPr>
        <vertAlign val="subscript"/>
        <sz val="8"/>
        <color theme="1"/>
        <rFont val="Tahoma"/>
        <family val="2"/>
      </rPr>
      <t>2025</t>
    </r>
    <r>
      <rPr>
        <sz val="8"/>
        <color theme="1"/>
        <rFont val="Tahoma"/>
        <family val="2"/>
      </rPr>
      <t xml:space="preserve"> da mappatura BdV - Gestore</t>
    </r>
  </si>
  <si>
    <r>
      <t>B.7 CTR</t>
    </r>
    <r>
      <rPr>
        <vertAlign val="subscript"/>
        <sz val="8"/>
        <color theme="1"/>
        <rFont val="Tahoma"/>
        <family val="2"/>
      </rPr>
      <t>2025</t>
    </r>
    <r>
      <rPr>
        <sz val="8"/>
        <color theme="1"/>
        <rFont val="Tahoma"/>
        <family val="2"/>
      </rPr>
      <t xml:space="preserve"> da mappatura BdV - Comune</t>
    </r>
  </si>
  <si>
    <r>
      <t>B.7 CTS</t>
    </r>
    <r>
      <rPr>
        <vertAlign val="subscript"/>
        <sz val="8"/>
        <color theme="1"/>
        <rFont val="Tahoma"/>
        <family val="2"/>
      </rPr>
      <t>2025</t>
    </r>
    <r>
      <rPr>
        <sz val="8"/>
        <color theme="1"/>
        <rFont val="Tahoma"/>
        <family val="2"/>
      </rPr>
      <t xml:space="preserve"> da mappatura BdV - Gestore</t>
    </r>
  </si>
  <si>
    <r>
      <t>B.7 CTS</t>
    </r>
    <r>
      <rPr>
        <vertAlign val="subscript"/>
        <sz val="8"/>
        <color theme="1"/>
        <rFont val="Tahoma"/>
        <family val="2"/>
      </rPr>
      <t>2025</t>
    </r>
    <r>
      <rPr>
        <sz val="8"/>
        <color theme="1"/>
        <rFont val="Tahoma"/>
        <family val="2"/>
      </rPr>
      <t xml:space="preserve"> da mappatura BdV - Comune</t>
    </r>
  </si>
  <si>
    <r>
      <t>Residuo B.7 CTR</t>
    </r>
    <r>
      <rPr>
        <i/>
        <vertAlign val="subscript"/>
        <sz val="8"/>
        <color theme="1"/>
        <rFont val="Tahoma"/>
        <family val="2"/>
      </rPr>
      <t>2024</t>
    </r>
    <r>
      <rPr>
        <i/>
        <sz val="8"/>
        <color theme="1"/>
        <rFont val="Tahoma"/>
        <family val="2"/>
      </rPr>
      <t xml:space="preserve"> - Comune</t>
    </r>
  </si>
  <si>
    <r>
      <t>Residuo B.7 CTS</t>
    </r>
    <r>
      <rPr>
        <i/>
        <vertAlign val="subscript"/>
        <sz val="8"/>
        <color theme="1"/>
        <rFont val="Tahoma"/>
        <family val="2"/>
      </rPr>
      <t>2024</t>
    </r>
    <r>
      <rPr>
        <i/>
        <sz val="8"/>
        <color theme="1"/>
        <rFont val="Tahoma"/>
        <family val="2"/>
      </rPr>
      <t xml:space="preserve"> - Comune</t>
    </r>
  </si>
  <si>
    <r>
      <t>Residuo B.7 CTR</t>
    </r>
    <r>
      <rPr>
        <i/>
        <vertAlign val="subscript"/>
        <sz val="8"/>
        <color theme="1"/>
        <rFont val="Tahoma"/>
        <family val="2"/>
      </rPr>
      <t>2025</t>
    </r>
    <r>
      <rPr>
        <i/>
        <sz val="8"/>
        <color theme="1"/>
        <rFont val="Tahoma"/>
        <family val="2"/>
      </rPr>
      <t xml:space="preserve"> - Comune</t>
    </r>
  </si>
  <si>
    <r>
      <t>Residuo B.7 CTS</t>
    </r>
    <r>
      <rPr>
        <i/>
        <vertAlign val="subscript"/>
        <sz val="8"/>
        <color theme="1"/>
        <rFont val="Tahoma"/>
        <family val="2"/>
      </rPr>
      <t>2025</t>
    </r>
    <r>
      <rPr>
        <i/>
        <sz val="8"/>
        <color theme="1"/>
        <rFont val="Tahoma"/>
        <family val="2"/>
      </rPr>
      <t xml:space="preserve"> - Comune</t>
    </r>
  </si>
  <si>
    <r>
      <t>Residuo B.7 CTS</t>
    </r>
    <r>
      <rPr>
        <i/>
        <vertAlign val="subscript"/>
        <sz val="8"/>
        <color theme="1"/>
        <rFont val="Tahoma"/>
        <family val="2"/>
      </rPr>
      <t>2024</t>
    </r>
    <r>
      <rPr>
        <i/>
        <sz val="8"/>
        <color theme="1"/>
        <rFont val="Tahoma"/>
        <family val="2"/>
      </rPr>
      <t xml:space="preserve"> - Gestore</t>
    </r>
  </si>
  <si>
    <r>
      <t>Residuo B.7 CTR</t>
    </r>
    <r>
      <rPr>
        <i/>
        <vertAlign val="subscript"/>
        <sz val="8"/>
        <color theme="1"/>
        <rFont val="Tahoma"/>
        <family val="2"/>
      </rPr>
      <t>2025</t>
    </r>
    <r>
      <rPr>
        <i/>
        <sz val="8"/>
        <color theme="1"/>
        <rFont val="Tahoma"/>
        <family val="2"/>
      </rPr>
      <t xml:space="preserve"> - Gestore</t>
    </r>
  </si>
  <si>
    <t>2026_2026_GEST</t>
  </si>
  <si>
    <t>2026_2025_GEST</t>
  </si>
  <si>
    <t>2026_2024_GEST</t>
  </si>
  <si>
    <t>2026_2023_GEST</t>
  </si>
  <si>
    <t>2027_2027_GEST</t>
  </si>
  <si>
    <t>2027_2026_GEST</t>
  </si>
  <si>
    <t>2027_2025_GEST</t>
  </si>
  <si>
    <t>2027_2024_GEST</t>
  </si>
  <si>
    <t>2026_2026_COM</t>
  </si>
  <si>
    <t>2026_2025_COM</t>
  </si>
  <si>
    <t>2026_2024_COM</t>
  </si>
  <si>
    <t>2026_2023_COM</t>
  </si>
  <si>
    <t>2027_2027_COM</t>
  </si>
  <si>
    <t>2027_2026_COM</t>
  </si>
  <si>
    <t>2027_2025_COM</t>
  </si>
  <si>
    <t>2027_2024_COM</t>
  </si>
  <si>
    <t>copiare tabella da riga 23 a 27 dal foglio CK 24-25 per le annualità 2024 e 2025 del tool MTR-2</t>
  </si>
  <si>
    <r>
      <t>IMN</t>
    </r>
    <r>
      <rPr>
        <b/>
        <vertAlign val="subscript"/>
        <sz val="8"/>
        <color theme="1"/>
        <rFont val="Tahoma"/>
        <family val="2"/>
      </rPr>
      <t>ante2018</t>
    </r>
  </si>
  <si>
    <r>
      <t>IMN</t>
    </r>
    <r>
      <rPr>
        <b/>
        <vertAlign val="subscript"/>
        <sz val="8"/>
        <color theme="1"/>
        <rFont val="Tahoma"/>
        <family val="2"/>
      </rPr>
      <t>dal2018</t>
    </r>
  </si>
  <si>
    <r>
      <t>CCN</t>
    </r>
    <r>
      <rPr>
        <b/>
        <vertAlign val="subscript"/>
        <sz val="8"/>
        <color theme="1"/>
        <rFont val="Tahoma"/>
        <family val="2"/>
      </rPr>
      <t>2024</t>
    </r>
  </si>
  <si>
    <t>PRK_24_GEST_PE</t>
  </si>
  <si>
    <r>
      <t>PR</t>
    </r>
    <r>
      <rPr>
        <b/>
        <vertAlign val="subscript"/>
        <sz val="8"/>
        <color theme="1"/>
        <rFont val="Tahoma"/>
        <family val="2"/>
      </rPr>
      <t>2024</t>
    </r>
  </si>
  <si>
    <r>
      <t>CCN</t>
    </r>
    <r>
      <rPr>
        <b/>
        <vertAlign val="subscript"/>
        <sz val="8"/>
        <color theme="1"/>
        <rFont val="Tahoma"/>
        <family val="2"/>
      </rPr>
      <t>2025</t>
    </r>
  </si>
  <si>
    <t>PRK_25_GEST_PE</t>
  </si>
  <si>
    <r>
      <t>PR</t>
    </r>
    <r>
      <rPr>
        <b/>
        <vertAlign val="subscript"/>
        <sz val="8"/>
        <color theme="1"/>
        <rFont val="Tahoma"/>
        <family val="2"/>
      </rPr>
      <t>2025</t>
    </r>
  </si>
  <si>
    <t>PRK_24_COM_PE</t>
  </si>
  <si>
    <t>PRK_25_COM_PE</t>
  </si>
  <si>
    <r>
      <t xml:space="preserve">Delibera 68/2022/R/rif
</t>
    </r>
    <r>
      <rPr>
        <i/>
        <sz val="8"/>
        <color rgb="FFFFC000"/>
        <rFont val="Tahoma"/>
        <family val="2"/>
      </rPr>
      <t>Modificabili in caso di valori intermedi diversi</t>
    </r>
  </si>
  <si>
    <r>
      <t xml:space="preserve">Poste rettificative capitale –&gt; </t>
    </r>
    <r>
      <rPr>
        <b/>
        <sz val="8"/>
        <color theme="1"/>
        <rFont val="Tahoma"/>
        <family val="2"/>
      </rPr>
      <t>PR</t>
    </r>
    <r>
      <rPr>
        <b/>
        <vertAlign val="subscript"/>
        <sz val="8"/>
        <color theme="1"/>
        <rFont val="Tahoma"/>
        <family val="2"/>
      </rPr>
      <t>2025</t>
    </r>
  </si>
  <si>
    <r>
      <t xml:space="preserve">Poste rettificative capitale –&gt; </t>
    </r>
    <r>
      <rPr>
        <b/>
        <sz val="8"/>
        <color theme="1"/>
        <rFont val="Tahoma"/>
        <family val="2"/>
      </rPr>
      <t>PR</t>
    </r>
    <r>
      <rPr>
        <b/>
        <vertAlign val="subscript"/>
        <sz val="8"/>
        <color theme="1"/>
        <rFont val="Tahoma"/>
        <family val="2"/>
      </rPr>
      <t>2024</t>
    </r>
  </si>
  <si>
    <t>Regime tariffario</t>
  </si>
  <si>
    <t>PEF Unitario</t>
  </si>
  <si>
    <t>Partiva IVA gestore GEST1</t>
  </si>
  <si>
    <t>Tipologia di affidamento GEST1</t>
  </si>
  <si>
    <t>Gara GEST1</t>
  </si>
  <si>
    <t>Offerta GEST1</t>
  </si>
  <si>
    <t>Inizio affidamento GEST1</t>
  </si>
  <si>
    <t>Fine affidamento GEST1</t>
  </si>
  <si>
    <t>CSL GEST1</t>
  </si>
  <si>
    <t>RT GEST1</t>
  </si>
  <si>
    <t>CTR GEST1</t>
  </si>
  <si>
    <t>CTS GEST1</t>
  </si>
  <si>
    <t>CARC GEST1</t>
  </si>
  <si>
    <t>Codice ISTAT Comune</t>
  </si>
  <si>
    <t>ID ARERA Comune</t>
  </si>
  <si>
    <t>CSL Comune</t>
  </si>
  <si>
    <t>RT Comune</t>
  </si>
  <si>
    <t>CTR Comune</t>
  </si>
  <si>
    <t>CTS Comune</t>
  </si>
  <si>
    <t>CARC Comune</t>
  </si>
  <si>
    <t>R1_2026</t>
  </si>
  <si>
    <t>Gamma 1_2026</t>
  </si>
  <si>
    <t>Gamma 1_2027</t>
  </si>
  <si>
    <t>Gamma 1_2028</t>
  </si>
  <si>
    <t>Gamma 1_2029</t>
  </si>
  <si>
    <t>Gamma 2_2026</t>
  </si>
  <si>
    <t>Gamma 2_2027</t>
  </si>
  <si>
    <t>Gamma 2_2028</t>
  </si>
  <si>
    <t>Gamma 2_2029</t>
  </si>
  <si>
    <t>R2_2026</t>
  </si>
  <si>
    <t>b_2026</t>
  </si>
  <si>
    <t>b_2027</t>
  </si>
  <si>
    <t>b_2028</t>
  </si>
  <si>
    <t>b_2029</t>
  </si>
  <si>
    <t>TV2024</t>
  </si>
  <si>
    <t>TV2025</t>
  </si>
  <si>
    <t>TF2024</t>
  </si>
  <si>
    <t>TF2025</t>
  </si>
  <si>
    <t>Q2024</t>
  </si>
  <si>
    <t>Q2025</t>
  </si>
  <si>
    <t>Benchmark_2026</t>
  </si>
  <si>
    <t>Benchmark_2027</t>
  </si>
  <si>
    <t>Valutazione obiettivi_2026</t>
  </si>
  <si>
    <t>Valutazione obiettivi_2027</t>
  </si>
  <si>
    <t>Valutazione obiettivi_2028</t>
  </si>
  <si>
    <t>Valutazione obiettivi_2029</t>
  </si>
  <si>
    <t>Xreg_2026</t>
  </si>
  <si>
    <t>Xreg_2027</t>
  </si>
  <si>
    <t>Xreg_2028</t>
  </si>
  <si>
    <t>Xreg_2029</t>
  </si>
  <si>
    <t>Xcom_2026</t>
  </si>
  <si>
    <t>Xcom_2027</t>
  </si>
  <si>
    <t>Xcom_2028</t>
  </si>
  <si>
    <t>Xcom_2029</t>
  </si>
  <si>
    <t>Kcom_2026</t>
  </si>
  <si>
    <t>Kcom_2027</t>
  </si>
  <si>
    <t>Kcom_2028</t>
  </si>
  <si>
    <t>Kcom_2029</t>
  </si>
  <si>
    <t>Kreg_2026</t>
  </si>
  <si>
    <t>Kreg_2027</t>
  </si>
  <si>
    <t>Kreg_2028</t>
  </si>
  <si>
    <t>Kreg_2029</t>
  </si>
  <si>
    <t>Xreg_2026_GEST</t>
  </si>
  <si>
    <t>Xreg_2027_GEST</t>
  </si>
  <si>
    <t>Xreg_2028_GEST</t>
  </si>
  <si>
    <t>Xreg_2029_GEST</t>
  </si>
  <si>
    <t>Xreg_2026_COM</t>
  </si>
  <si>
    <t>Xreg_2027_COM</t>
  </si>
  <si>
    <t>Xreg_2028_COM</t>
  </si>
  <si>
    <t>Xreg_2029_COM</t>
  </si>
  <si>
    <t>Kreg_2026_GEST</t>
  </si>
  <si>
    <t>Kreg_2027_GEST</t>
  </si>
  <si>
    <t>Kreg_2028_GEST</t>
  </si>
  <si>
    <t>Kreg_2029_GEST</t>
  </si>
  <si>
    <t>Kreg_2026_COM</t>
  </si>
  <si>
    <t>Kreg_2027_COM</t>
  </si>
  <si>
    <t>Kreg_2028_COM</t>
  </si>
  <si>
    <t>Kreg_2029_COM</t>
  </si>
  <si>
    <t>CRI_2026_GEST</t>
  </si>
  <si>
    <t>CRI_2027_GEST</t>
  </si>
  <si>
    <t>CRI_2028_GEST</t>
  </si>
  <si>
    <t>CRI_2029_GEST</t>
  </si>
  <si>
    <t>CRI_2026_COM</t>
  </si>
  <si>
    <t>CRI_2027_COM</t>
  </si>
  <si>
    <t>CRI_2028_COM</t>
  </si>
  <si>
    <t>CRI_2029_COM</t>
  </si>
  <si>
    <t>T_2025_GEST</t>
  </si>
  <si>
    <t>Ricavi_A1_2024_GEST1</t>
  </si>
  <si>
    <t>AR_2024 _A1_MAT_GEST1</t>
  </si>
  <si>
    <t>AR_2024 _A5_MAT_GEST1</t>
  </si>
  <si>
    <t>AR_2024 _A1_ENE_GEST1</t>
  </si>
  <si>
    <t>AR_2024 _A5_ENE_GEST1</t>
  </si>
  <si>
    <t>AR_2024 _A1_ALTRO_GEST1</t>
  </si>
  <si>
    <t>AR_2024 _A5_ALTRO_GEST1</t>
  </si>
  <si>
    <t>ARSC_2024 _A1_GEST1</t>
  </si>
  <si>
    <t>ARSC_2024 _A5_GEST1</t>
  </si>
  <si>
    <t>Deroga_2024_4.11_Det_1/DTAC/2025_GEST1</t>
  </si>
  <si>
    <t>CRT_B.6_2024_GEST1</t>
  </si>
  <si>
    <t>CTS_B.6_2024_GEST1</t>
  </si>
  <si>
    <t>CTR_B.6_2024_GEST1</t>
  </si>
  <si>
    <t>CRD_B.6_2024_GEST1</t>
  </si>
  <si>
    <t>CSL_B.6_2024_GEST1</t>
  </si>
  <si>
    <t>CARC_B.6_2024_GEST1</t>
  </si>
  <si>
    <t>CGG_B.6_2024_GEST1</t>
  </si>
  <si>
    <t>CCD_B.6_2024_GEST1</t>
  </si>
  <si>
    <t>COAL_B.6_2024_GEST1</t>
  </si>
  <si>
    <t>CRT_B.7_2024_GEST1</t>
  </si>
  <si>
    <t>CRD_B.7_2024_GEST1</t>
  </si>
  <si>
    <t>CSL_B.7_2024_GEST1</t>
  </si>
  <si>
    <t>CARC_B.7_2024_GEST1</t>
  </si>
  <si>
    <t>CGG_B.7_2024_GEST1</t>
  </si>
  <si>
    <t>CCD_B.7_2024_GEST1</t>
  </si>
  <si>
    <t>COAL_B.7_2024_GEST1</t>
  </si>
  <si>
    <t>CRT_B.8_2024_GEST1</t>
  </si>
  <si>
    <t>CTS_B.8_2024_GEST1</t>
  </si>
  <si>
    <t>CTR_B.8_2024_GEST1</t>
  </si>
  <si>
    <t>CRD_B.8_2024_GEST1</t>
  </si>
  <si>
    <t>CSL_B.8_2024_GEST1</t>
  </si>
  <si>
    <t>CARC_B.8_2024_GEST1</t>
  </si>
  <si>
    <t>CGG_B.8_2024_GEST1</t>
  </si>
  <si>
    <t>CCD_B.8_2024_GEST1</t>
  </si>
  <si>
    <t>COAL_B.8_2024_GEST1</t>
  </si>
  <si>
    <t>CRT_B.9_2024_GEST1</t>
  </si>
  <si>
    <t>CTS_B.9_2024_GEST1</t>
  </si>
  <si>
    <t>CTR_B.9_2024_GEST1</t>
  </si>
  <si>
    <t>CRD_B.9_2024_GEST1</t>
  </si>
  <si>
    <t>CSL_B.9_2024_GEST1</t>
  </si>
  <si>
    <t>CARC_B.9_2024_GEST1</t>
  </si>
  <si>
    <t>CGG_B.9_2024_GEST1</t>
  </si>
  <si>
    <t>CCD_B.9_2024_GEST1</t>
  </si>
  <si>
    <t>COAL_B.9_2024_GEST1</t>
  </si>
  <si>
    <t>CRT_B.11_2024_GEST1</t>
  </si>
  <si>
    <t>CTS_B.11_2024_GEST1</t>
  </si>
  <si>
    <t>CTR_B.11_2024_GEST1</t>
  </si>
  <si>
    <t>CRD_B.11_2024_GEST1</t>
  </si>
  <si>
    <t>CSL_B.11_2024_GEST1</t>
  </si>
  <si>
    <t>CARC_B.11_2024_GEST1</t>
  </si>
  <si>
    <t>CGG_B.11_2024_GEST1</t>
  </si>
  <si>
    <t>CCD_B.11_2024_GEST1</t>
  </si>
  <si>
    <t>COAL_B.11_2024_GEST1</t>
  </si>
  <si>
    <t>CRT_B.14_2024_GEST1</t>
  </si>
  <si>
    <t>CTS_B.14_2024_GEST1</t>
  </si>
  <si>
    <t>CTR_B.14_2024_GEST1</t>
  </si>
  <si>
    <t>CRD_B.14_2024_GEST1</t>
  </si>
  <si>
    <t>CSL_B.14_2024_GEST1</t>
  </si>
  <si>
    <t>CARC_B.14_2024_GEST1</t>
  </si>
  <si>
    <t>CGG_B.14_2024_GEST1</t>
  </si>
  <si>
    <t>CCD_B.14_2024_GEST1</t>
  </si>
  <si>
    <t>COAL_B.14_2024_GEST1</t>
  </si>
  <si>
    <t>ACC_B.10.d_Dett.1_2024_GEST1</t>
  </si>
  <si>
    <t>ACC_B.10.d_Dett.2_2024_GEST1</t>
  </si>
  <si>
    <t>ACC_B.10.d_Dett.3_2024_GEST1</t>
  </si>
  <si>
    <t>ACC_B.10.d_Dett.4_2024_GEST1</t>
  </si>
  <si>
    <t>ACC_B.12_Dett.1_2024_GEST1</t>
  </si>
  <si>
    <t>ACC_B.12_Dett.2_2024_GEST1</t>
  </si>
  <si>
    <t>ACC_B.12_Dett.3_2024_GEST1</t>
  </si>
  <si>
    <t>ACC_B.12_Dett.4_2024_GEST1</t>
  </si>
  <si>
    <t>ACC_B.13_Dett.1_2024_GEST1</t>
  </si>
  <si>
    <t>ACC_B.13_Dett.2_2024_GEST1</t>
  </si>
  <si>
    <t>ACC_B.13_Dett.3_2024_GEST1</t>
  </si>
  <si>
    <t>ACC_B.13_Dett.4_2024_GEST1</t>
  </si>
  <si>
    <t>PR.Cap_2024_GEST1</t>
  </si>
  <si>
    <t>PR.a_2024_GEST1</t>
  </si>
  <si>
    <t>PR.b_2024_GEST1</t>
  </si>
  <si>
    <t>PR.j.Canone_Mutuo_Leasing_2024_GEST1</t>
  </si>
  <si>
    <t>PR.c_2024_GEST1</t>
  </si>
  <si>
    <t>PR.k.Canone_Mutuo_Leasing_2024_GEST1</t>
  </si>
  <si>
    <t>PR.d_2024_GEST1</t>
  </si>
  <si>
    <t>PR.l.Canone_Mutuo_Leasing_2024_GEST1</t>
  </si>
  <si>
    <t>PR.e_2024_GEST1</t>
  </si>
  <si>
    <t>PR.f_2024_GEST1</t>
  </si>
  <si>
    <t>PR.g_2024_GEST1</t>
  </si>
  <si>
    <t>PR.h_2024_GEST1</t>
  </si>
  <si>
    <t>PR.i_2024_GEST1</t>
  </si>
  <si>
    <t>PR.o_2024_GEST1</t>
  </si>
  <si>
    <t>PRK_2024_GEST1</t>
  </si>
  <si>
    <t>PRK_Dett.1_2024_GEST1</t>
  </si>
  <si>
    <t>PRK_Dett.2_2024_GEST1</t>
  </si>
  <si>
    <t>PRK_Dett.3_2024_GEST1</t>
  </si>
  <si>
    <t>Ricavi_A1_2025_GEST1</t>
  </si>
  <si>
    <t>AR_2025 _A1_MAT_GEST1</t>
  </si>
  <si>
    <t>AR_2025 _A5_MAT_GEST1</t>
  </si>
  <si>
    <t>AR_2025 _A1_ENE_GEST1</t>
  </si>
  <si>
    <t>AR_2025 _A5_ENE_GEST1</t>
  </si>
  <si>
    <t>AR_2025 _A1_ALTRO_GEST1</t>
  </si>
  <si>
    <t>AR_2025 _A5_ALTRO_GEST1</t>
  </si>
  <si>
    <t>ARSC_2025 _A1_GEST1</t>
  </si>
  <si>
    <t>ARSC_2025 _A5_GEST1</t>
  </si>
  <si>
    <t>Deroga_2025_4.11_Det_1/DTAC/2025_GEST1</t>
  </si>
  <si>
    <t>CRT_B.6_2025_GEST1</t>
  </si>
  <si>
    <t>CTS_B.6_2025_GEST1</t>
  </si>
  <si>
    <t>CTR_B.6_2025_GEST1</t>
  </si>
  <si>
    <t>CRD_B.6_2025_GEST1</t>
  </si>
  <si>
    <t>CSL_B.6_2025_GEST1</t>
  </si>
  <si>
    <t>CARC_B.6_2025_GEST1</t>
  </si>
  <si>
    <t>CGG_B.6_2025_GEST1</t>
  </si>
  <si>
    <t>CCD_B.6_2025_GEST1</t>
  </si>
  <si>
    <t>COAL_B.6_2025_GEST1</t>
  </si>
  <si>
    <t>CRT_B.7_2025_GEST1</t>
  </si>
  <si>
    <t>CRD_B.7_2025_GEST1</t>
  </si>
  <si>
    <t>CSL_B.7_2025_GEST1</t>
  </si>
  <si>
    <t>CARC_B.7_2025_GEST1</t>
  </si>
  <si>
    <t>CGG_B.7_2025_GEST1</t>
  </si>
  <si>
    <t>CCD_B.7_2025_GEST1</t>
  </si>
  <si>
    <t>COAL_B.7_2025_GEST1</t>
  </si>
  <si>
    <t>CRT_B.8_2025_GEST1</t>
  </si>
  <si>
    <t>CTS_B.8_2025_GEST1</t>
  </si>
  <si>
    <t>CTR_B.8_2025_GEST1</t>
  </si>
  <si>
    <t>CRD_B.8_2025_GEST1</t>
  </si>
  <si>
    <t>CSL_B.8_2025_GEST1</t>
  </si>
  <si>
    <t>CARC_B.8_2025_GEST1</t>
  </si>
  <si>
    <t>CGG_B.8_2025_GEST1</t>
  </si>
  <si>
    <t>CCD_B.8_2025_GEST1</t>
  </si>
  <si>
    <t>COAL_B.8_2025_GEST1</t>
  </si>
  <si>
    <t>CRT_B.9_2025_GEST1</t>
  </si>
  <si>
    <t>CTS_B.9_2025_GEST1</t>
  </si>
  <si>
    <t>CTR_B.9_2025_GEST1</t>
  </si>
  <si>
    <t>CRD_B.9_2025_GEST1</t>
  </si>
  <si>
    <t>CSL_B.9_2025_GEST1</t>
  </si>
  <si>
    <t>CARC_B.9_2025_GEST1</t>
  </si>
  <si>
    <t>CGG_B.9_2025_GEST1</t>
  </si>
  <si>
    <t>CCD_B.9_2025_GEST1</t>
  </si>
  <si>
    <t>COAL_B.9_2025_GEST1</t>
  </si>
  <si>
    <t>CRT_B.11_2025_GEST1</t>
  </si>
  <si>
    <t>CTS_B.11_2025_GEST1</t>
  </si>
  <si>
    <t>CTR_B.11_2025_GEST1</t>
  </si>
  <si>
    <t>CRD_B.11_2025_GEST1</t>
  </si>
  <si>
    <t>CSL_B.11_2025_GEST1</t>
  </si>
  <si>
    <t>CARC_B.11_2025_GEST1</t>
  </si>
  <si>
    <t>CGG_B.11_2025_GEST1</t>
  </si>
  <si>
    <t>CCD_B.11_2025_GEST1</t>
  </si>
  <si>
    <t>COAL_B.11_2025_GEST1</t>
  </si>
  <si>
    <t>CRT_B.14_2025_GEST1</t>
  </si>
  <si>
    <t>CTS_B.14_2025_GEST1</t>
  </si>
  <si>
    <t>CTR_B.14_2025_GEST1</t>
  </si>
  <si>
    <t>CRD_B.14_2025_GEST1</t>
  </si>
  <si>
    <t>CSL_B.14_2025_GEST1</t>
  </si>
  <si>
    <t>CARC_B.14_2025_GEST1</t>
  </si>
  <si>
    <t>CGG_B.14_2025_GEST1</t>
  </si>
  <si>
    <t>CCD_B.14_2025_GEST1</t>
  </si>
  <si>
    <t>COAL_B.14_2025_GEST1</t>
  </si>
  <si>
    <t>ACC_B.10.d_Dett.1_2025_GEST1</t>
  </si>
  <si>
    <t>ACC_B.10.d_Dett.2_2025_GEST1</t>
  </si>
  <si>
    <t>ACC_B.10.d_Dett.3_2025_GEST1</t>
  </si>
  <si>
    <t>ACC_B.10.d_Dett.4_2025_GEST1</t>
  </si>
  <si>
    <t>ACC_B.12_Dett.1_2025_GEST1</t>
  </si>
  <si>
    <t>ACC_B.12_Dett.2_2025_GEST1</t>
  </si>
  <si>
    <t>ACC_B.12_Dett.3_2025_GEST1</t>
  </si>
  <si>
    <t>ACC_B.12_Dett.4_2025_GEST1</t>
  </si>
  <si>
    <t>ACC_B.13_Dett.1_2025_GEST1</t>
  </si>
  <si>
    <t>ACC_B.13_Dett.2_2025_GEST1</t>
  </si>
  <si>
    <t>ACC_B.13_Dett.3_2025_GEST1</t>
  </si>
  <si>
    <t>ACC_B.13_Dett.4_2025_GEST1</t>
  </si>
  <si>
    <t>PR.Cap_2025_GEST1</t>
  </si>
  <si>
    <t>PR.a_2025_GEST1</t>
  </si>
  <si>
    <t>PR.b_2025_GEST1</t>
  </si>
  <si>
    <t>PR.j.Canone_Mutuo_Leasing_2025_GEST1</t>
  </si>
  <si>
    <t>PR.c_2025_GEST1</t>
  </si>
  <si>
    <t>PR.k.Canone_Mutuo_Leasing_2025_GEST1</t>
  </si>
  <si>
    <t>PR.d_2025_GEST1</t>
  </si>
  <si>
    <t>PR.l.Canone_Mutuo_Leasing_2025_GEST1</t>
  </si>
  <si>
    <t>PR.e_2025_GEST1</t>
  </si>
  <si>
    <t>PR.m.Canone_Mutuo_Leasing_2025_GEST1</t>
  </si>
  <si>
    <t>PR.f_2025_GEST1</t>
  </si>
  <si>
    <t>PR.g_2025_GEST1</t>
  </si>
  <si>
    <t>PR.h_2025_GEST1</t>
  </si>
  <si>
    <t>PR.i_2025_GEST1</t>
  </si>
  <si>
    <t>PR.o_2025_GEST1</t>
  </si>
  <si>
    <t>PRK_2025_GEST1</t>
  </si>
  <si>
    <t>PRK_Dett.1_2025_GEST1</t>
  </si>
  <si>
    <t>PRK_Dett.2_2025_GEST1</t>
  </si>
  <si>
    <t>PRK_Dett.3_2025_GEST1</t>
  </si>
  <si>
    <t>Ricavi_A1_2024_COM</t>
  </si>
  <si>
    <t>AR_2024 _A1_MAT_COM</t>
  </si>
  <si>
    <t>AR_2024 _A5_MAT_COM</t>
  </si>
  <si>
    <t>AR_2024 _A1_ENE_COM</t>
  </si>
  <si>
    <t>AR_2024 _A5_ENE_COM</t>
  </si>
  <si>
    <t>AR_2024 _A1_ALTRO_COM</t>
  </si>
  <si>
    <t>AR_2024 _A5_ALTRO_COM</t>
  </si>
  <si>
    <t>ARSC_2024 _A1_COM</t>
  </si>
  <si>
    <t>ARSC_2024 _A5_COM</t>
  </si>
  <si>
    <t>Deroga_2024_4.11_Det_1/DTAC/2025_COM</t>
  </si>
  <si>
    <t>CRT_B.6_2024_COM</t>
  </si>
  <si>
    <t>CTS_B.6_2024_COM</t>
  </si>
  <si>
    <t>CTR_B.6_2024_COM</t>
  </si>
  <si>
    <t>CRD_B.6_2024_COM</t>
  </si>
  <si>
    <t>CSL_B.6_2024_COM</t>
  </si>
  <si>
    <t>CARC_B.6_2024_COM</t>
  </si>
  <si>
    <t>CGG_B.6_2024_COM</t>
  </si>
  <si>
    <t>CCD_B.6_2024_COM</t>
  </si>
  <si>
    <t>COAL_B.6_2024_COM</t>
  </si>
  <si>
    <t>CRT_B.7_2024_COM</t>
  </si>
  <si>
    <t>CRD_B.7_2024_COM</t>
  </si>
  <si>
    <t>CSL_B.7_2024_COM</t>
  </si>
  <si>
    <t>CARC_B.7_2024_COM</t>
  </si>
  <si>
    <t>CGG_B.7_2024_COM</t>
  </si>
  <si>
    <t>CCD_B.7_2024_COM</t>
  </si>
  <si>
    <t>COAL_B.7_2024_COM</t>
  </si>
  <si>
    <t>CRT_B.8_2024_COM</t>
  </si>
  <si>
    <t>CTS_B.8_2024_COM</t>
  </si>
  <si>
    <t>CTR_B.8_2024_COM</t>
  </si>
  <si>
    <t>CRD_B.8_2024_COM</t>
  </si>
  <si>
    <t>CSL_B.8_2024_COM</t>
  </si>
  <si>
    <t>CARC_B.8_2024_COM</t>
  </si>
  <si>
    <t>CGG_B.8_2024_COM</t>
  </si>
  <si>
    <t>CCD_B.8_2024_COM</t>
  </si>
  <si>
    <t>COAL_B.8_2024_COM</t>
  </si>
  <si>
    <t>CRT_B.9_2024_COM</t>
  </si>
  <si>
    <t>CTS_B.9_2024_COM</t>
  </si>
  <si>
    <t>CTR_B.9_2024_COM</t>
  </si>
  <si>
    <t>CRD_B.9_2024_COM</t>
  </si>
  <si>
    <t>CSL_B.9_2024_COM</t>
  </si>
  <si>
    <t>CARC_B.9_2024_COM</t>
  </si>
  <si>
    <t>CGG_B.9_2024_COM</t>
  </si>
  <si>
    <t>CCD_B.9_2024_COM</t>
  </si>
  <si>
    <t>COAL_B.9_2024_COM</t>
  </si>
  <si>
    <t>CRT_B.11_2024_COM</t>
  </si>
  <si>
    <t>CTS_B.11_2024_COM</t>
  </si>
  <si>
    <t>CTR_B.11_2024_COM</t>
  </si>
  <si>
    <t>CRD_B.11_2024_COM</t>
  </si>
  <si>
    <t>CSL_B.11_2024_COM</t>
  </si>
  <si>
    <t>CARC_B.11_2024_COM</t>
  </si>
  <si>
    <t>CGG_B.11_2024_COM</t>
  </si>
  <si>
    <t>CCD_B.11_2024_COM</t>
  </si>
  <si>
    <t>COAL_B.11_2024_COM</t>
  </si>
  <si>
    <t>CRT_B.14_2024_COM</t>
  </si>
  <si>
    <t>CTS_B.14_2024_COM</t>
  </si>
  <si>
    <t>CTR_B.14_2024_COM</t>
  </si>
  <si>
    <t>CRD_B.14_2024_COM</t>
  </si>
  <si>
    <t>CSL_B.14_2024_COM</t>
  </si>
  <si>
    <t>CARC_B.14_2024_COM</t>
  </si>
  <si>
    <t>CGG_B.14_2024_COM</t>
  </si>
  <si>
    <t>CCD_B.14_2024_COM</t>
  </si>
  <si>
    <t>COAL_B.14_2024_COM</t>
  </si>
  <si>
    <t>ACC_B.10.d_Dett.1_2024_COM</t>
  </si>
  <si>
    <t>ACC_B.10.d_Dett.2_2024_COM</t>
  </si>
  <si>
    <t>ACC_B.10.d_Dett.3_2024_COM</t>
  </si>
  <si>
    <t>ACC_B.10.d_Dett.4_2024_COM</t>
  </si>
  <si>
    <t>ACC_B.12_Dett.1_2024_COM</t>
  </si>
  <si>
    <t>ACC_B.12_Dett.2_2024_COM</t>
  </si>
  <si>
    <t>ACC_B.12_Dett.3_2024_COM</t>
  </si>
  <si>
    <t>ACC_B.12_Dett.4_2024_COM</t>
  </si>
  <si>
    <t>ACC_B.13_Dett.1_2024_COM</t>
  </si>
  <si>
    <t>ACC_B.13_Dett.2_2024_COM</t>
  </si>
  <si>
    <t>ACC_B.13_Dett.3_2024_COM</t>
  </si>
  <si>
    <t>ACC_B.13_Dett.4_2024_COM</t>
  </si>
  <si>
    <t>PR.Cap_2024_COM</t>
  </si>
  <si>
    <t>PR.a_2024_COM</t>
  </si>
  <si>
    <t>PR.b_2024_COM</t>
  </si>
  <si>
    <t>PR.j.Canone_Mutuo_Leasing_2024_COM</t>
  </si>
  <si>
    <t>PR.c_2024_COM</t>
  </si>
  <si>
    <t>PR.k.Canone_Mutuo_Leasing_2024_COM</t>
  </si>
  <si>
    <t>PR.d_2024_COM</t>
  </si>
  <si>
    <t>PR.l.Canone_Mutuo_Leasing_2024_COM</t>
  </si>
  <si>
    <t>PR.e_2024_COM</t>
  </si>
  <si>
    <t>PR.m.Canone_Mutuo_Leasing_2024_COM</t>
  </si>
  <si>
    <t>PR.f_2024_COM</t>
  </si>
  <si>
    <t>PR.g_2024_COM</t>
  </si>
  <si>
    <t>PR.h_2024_COM</t>
  </si>
  <si>
    <t>PR.i_2024_COM</t>
  </si>
  <si>
    <t>PR.o_2024_COM</t>
  </si>
  <si>
    <t>PRK_2024_COM</t>
  </si>
  <si>
    <t>PRK_Dett.1_2024_COM</t>
  </si>
  <si>
    <t>PRK_Dett.2_2024_COM</t>
  </si>
  <si>
    <t>PRK_Dett.3_2024_COM</t>
  </si>
  <si>
    <t>Ricavi_A1_2025_COM</t>
  </si>
  <si>
    <t>AR_2025 _A1_MAT_COM</t>
  </si>
  <si>
    <t>AR_2025 _A5_MAT_COM</t>
  </si>
  <si>
    <t>AR_2025 _A1_ENE_COM</t>
  </si>
  <si>
    <t>AR_2025 _A5_ENE_COM</t>
  </si>
  <si>
    <t>AR_2025 _A1_ALTRO_COM</t>
  </si>
  <si>
    <t>AR_2025 _A5_ALTRO_COM</t>
  </si>
  <si>
    <t>ARSC_2025 _A1_COM</t>
  </si>
  <si>
    <t>ARSC_2025 _A5_COM</t>
  </si>
  <si>
    <t>CRT_B.6_2025_COM</t>
  </si>
  <si>
    <t>CTS_B.6_2025_COM</t>
  </si>
  <si>
    <t>CTR_B.6_2025_COM</t>
  </si>
  <si>
    <t>CRD_B.6_2025_COM</t>
  </si>
  <si>
    <t>CSL_B.6_2025_COM</t>
  </si>
  <si>
    <t>CARC_B.6_2025_COM</t>
  </si>
  <si>
    <t>CGG_B.6_2025_COM</t>
  </si>
  <si>
    <t>CCD_B.6_2025_COM</t>
  </si>
  <si>
    <t>COAL_B.6_2025_COM</t>
  </si>
  <si>
    <t>CRT_B.7_2025_COM</t>
  </si>
  <si>
    <t>CRD_B.7_2025_COM</t>
  </si>
  <si>
    <t>CSL_B.7_2025_COM</t>
  </si>
  <si>
    <t>CARC_B.7_2025_COM</t>
  </si>
  <si>
    <t>CGG_B.7_2025_COM</t>
  </si>
  <si>
    <t>CCD_B.7_2025_COM</t>
  </si>
  <si>
    <t>COAL_B.7_2025_COM</t>
  </si>
  <si>
    <t>CRT_B.8_2025_COM</t>
  </si>
  <si>
    <t>CTS_B.8_2025_COM</t>
  </si>
  <si>
    <t>CTR_B.8_2025_COM</t>
  </si>
  <si>
    <t>CRD_B.8_2025_COM</t>
  </si>
  <si>
    <t>CSL_B.8_2025_COM</t>
  </si>
  <si>
    <t>CARC_B.8_2025_COM</t>
  </si>
  <si>
    <t>CGG_B.8_2025_COM</t>
  </si>
  <si>
    <t>CCD_B.8_2025_COM</t>
  </si>
  <si>
    <t>COAL_B.8_2025_COM</t>
  </si>
  <si>
    <t>CRT_B.9_2025_COM</t>
  </si>
  <si>
    <t>CTS_B.9_2025_COM</t>
  </si>
  <si>
    <t>CTR_B.9_2025_COM</t>
  </si>
  <si>
    <t>CRD_B.9_2025_COM</t>
  </si>
  <si>
    <t>CSL_B.9_2025_COM</t>
  </si>
  <si>
    <t>CARC_B.9_2025_COM</t>
  </si>
  <si>
    <t>CGG_B.9_2025_COM</t>
  </si>
  <si>
    <t>CCD_B.9_2025_COM</t>
  </si>
  <si>
    <t>COAL_B.9_2025_COM</t>
  </si>
  <si>
    <t>CRT_B.11_2025_COM</t>
  </si>
  <si>
    <t>CTS_B.11_2025_COM</t>
  </si>
  <si>
    <t>CTR_B.11_2025_COM</t>
  </si>
  <si>
    <t>CRD_B.11_2025_COM</t>
  </si>
  <si>
    <t>CSL_B.11_2025_COM</t>
  </si>
  <si>
    <t>CARC_B.11_2025_COM</t>
  </si>
  <si>
    <t>CGG_B.11_2025_COM</t>
  </si>
  <si>
    <t>CCD_B.11_2025_COM</t>
  </si>
  <si>
    <t>COAL_B.11_2025_COM</t>
  </si>
  <si>
    <t>CRT_B.14_2025_COM</t>
  </si>
  <si>
    <t>CTS_B.14_2025_COM</t>
  </si>
  <si>
    <t>CTR_B.14_2025_COM</t>
  </si>
  <si>
    <t>CRD_B.14_2025_COM</t>
  </si>
  <si>
    <t>CSL_B.14_2025_COM</t>
  </si>
  <si>
    <t>CARC_B.14_2025_COM</t>
  </si>
  <si>
    <t>CGG_B.14_2025_COM</t>
  </si>
  <si>
    <t>CCD_B.14_2025_COM</t>
  </si>
  <si>
    <t>COAL_B.14_2025_COM</t>
  </si>
  <si>
    <t>ACC_B.10.d_Dett.1_2025_COM</t>
  </si>
  <si>
    <t>ACC_B.10.d_Dett.2_2025_COM</t>
  </si>
  <si>
    <t>ACC_B.10.d_Dett.3_2025_COM</t>
  </si>
  <si>
    <t>ACC_B.10.d_Dett.4_2025_COM</t>
  </si>
  <si>
    <t>ACC_B.12_Dett.1_2025_COM</t>
  </si>
  <si>
    <t>ACC_B.12_Dett.2_2025_COM</t>
  </si>
  <si>
    <t>ACC_B.12_Dett.3_2025_COM</t>
  </si>
  <si>
    <t>ACC_B.12_Dett.4_2025_COM</t>
  </si>
  <si>
    <t>ACC_B.13_Dett.1_2025_COM</t>
  </si>
  <si>
    <t>ACC_B.13_Dett.2_2025_COM</t>
  </si>
  <si>
    <t>ACC_B.13_Dett.3_2025_COM</t>
  </si>
  <si>
    <t>ACC_B.13_Dett.4_2025_COM</t>
  </si>
  <si>
    <t>PR.Cap_2025_COM</t>
  </si>
  <si>
    <t>PR.a_2025_COM</t>
  </si>
  <si>
    <t>PR.b_2025_COM</t>
  </si>
  <si>
    <t>PR.j.Canone_Mutuo_Leasing_2025_COM</t>
  </si>
  <si>
    <t>PR.c_2025_COM</t>
  </si>
  <si>
    <t>PR.k.Canone_Mutuo_Leasing_2025_COM</t>
  </si>
  <si>
    <t>PR.d_2025_COM</t>
  </si>
  <si>
    <t>PR.l.Canone_Mutuo_Leasing_2025_COM</t>
  </si>
  <si>
    <t>PR.e_2025_COM</t>
  </si>
  <si>
    <t>PR.m.Canone_Mutuo_Leasing_2025_COM</t>
  </si>
  <si>
    <t>PR.f_2025_COM</t>
  </si>
  <si>
    <t>PR.g_2025_COM</t>
  </si>
  <si>
    <t>PR.h_2025_COM</t>
  </si>
  <si>
    <t>PR.i_2025_COM</t>
  </si>
  <si>
    <t>PR.o_2025_COM</t>
  </si>
  <si>
    <t>PRK_2025_COM</t>
  </si>
  <si>
    <t>PRK_Dett.1_2025_COM</t>
  </si>
  <si>
    <t>PRK_Dett.2_2025_COM</t>
  </si>
  <si>
    <t>PRK_Dett.3_2025_COM</t>
  </si>
  <si>
    <t>CTR_min_2024_GEST1</t>
  </si>
  <si>
    <t>CTR_min_2024_COM</t>
  </si>
  <si>
    <t>CTR_min_2025_GEST1</t>
  </si>
  <si>
    <t>CTR_min_2025_COM</t>
  </si>
  <si>
    <t>CTS_min_2024_GEST1</t>
  </si>
  <si>
    <t>CTS_min_2024_COM</t>
  </si>
  <si>
    <t>CTS_min_2025_GEST1</t>
  </si>
  <si>
    <t>CTS_min_2025_COM</t>
  </si>
  <si>
    <t>Altri costi B7-CTR_2024_GEST1</t>
  </si>
  <si>
    <t>Altri costi B7-CTR_2024_COM</t>
  </si>
  <si>
    <t>Altri costi B7-CTR_2025_GEST1</t>
  </si>
  <si>
    <t>Altri costi B7-CTR_2025_COM</t>
  </si>
  <si>
    <t>Altri costi B7-CTS_2024_GEST1</t>
  </si>
  <si>
    <t>Altri costi B7-CTS_2024_COM</t>
  </si>
  <si>
    <t>Altri costi B7-CTS_2025_GEST1</t>
  </si>
  <si>
    <t>Altri costi B7-CTS_2025_COM</t>
  </si>
  <si>
    <t>COexp116 TV_PREV_2024_GEST1</t>
  </si>
  <si>
    <t>COexp116 TV_PREV_2024_COM</t>
  </si>
  <si>
    <t>COexp116 TV_PREV_2025_GEST1</t>
  </si>
  <si>
    <t>COexp116 TV_PREV_2025_COM</t>
  </si>
  <si>
    <t>CQexp TV_PREV_2024_GEST1</t>
  </si>
  <si>
    <t>CQexp TV_PREV_2024_COM</t>
  </si>
  <si>
    <t>CQexp TV_PREV_2025_GEST1</t>
  </si>
  <si>
    <t>CQexp TV_PREV_2025_COM</t>
  </si>
  <si>
    <t>COexp116 TF_PREV_2024_GEST1</t>
  </si>
  <si>
    <t>COexp116 TF_PREV_2024_COM</t>
  </si>
  <si>
    <t>COexp116 TF_PREV_2025_GEST1</t>
  </si>
  <si>
    <t>COexp116 TF_PREV_2025_COM</t>
  </si>
  <si>
    <t>CQexp TF_PREV_2024_GEST1</t>
  </si>
  <si>
    <t>CQexp TF_PREV_2024_COM</t>
  </si>
  <si>
    <t>CQexp TF_PREV_2025_GEST1</t>
  </si>
  <si>
    <t>CQexp TF_PREV_2025_COM</t>
  </si>
  <si>
    <t>CO116 TV_EFF_2024_GEST1</t>
  </si>
  <si>
    <t>CO116 TV_EFF_2024_COM</t>
  </si>
  <si>
    <t>CO116 TV_EFF_2025_GEST1</t>
  </si>
  <si>
    <t>CO116 TV_EFF_2025_COM</t>
  </si>
  <si>
    <t>CQ TV_EFF_2024_GEST1</t>
  </si>
  <si>
    <t>CQ TV_EFF_2024_COM</t>
  </si>
  <si>
    <t>CQ TV_EFF_2025_GEST1</t>
  </si>
  <si>
    <t>CQ TV_EFF_2025_COM</t>
  </si>
  <si>
    <t>CO116 TF_EFF_2024_GEST1</t>
  </si>
  <si>
    <t>CO116 TF_EFF_2024_COM</t>
  </si>
  <si>
    <t>CO116 TF_EFF_2025_GEST1</t>
  </si>
  <si>
    <t>CO116 TF_EFF_2025_COM</t>
  </si>
  <si>
    <t>CQ TF_EFF_2024_GEST1</t>
  </si>
  <si>
    <t>CQ TF_EFF_2024_COM</t>
  </si>
  <si>
    <t>CQ TF_EFF_2025_GEST1</t>
  </si>
  <si>
    <t>CQ TF_EFF_2025_COM</t>
  </si>
  <si>
    <t>PR_CO116_CRD_2024_GEST1</t>
  </si>
  <si>
    <t>PR_CO116_CRD_2024_COM</t>
  </si>
  <si>
    <t>PR_CQ_CRD_2024_GEST1</t>
  </si>
  <si>
    <t>PR_CQ_CRD_2024_COM</t>
  </si>
  <si>
    <t>PR_COI_CRD_2024_GEST1</t>
  </si>
  <si>
    <t>PR_COI_CRD_2024_COM</t>
  </si>
  <si>
    <t>LIC movimentate l'ultima volta nel 2024_2024_GEST1</t>
  </si>
  <si>
    <t>LIC movimentate l'ultima volta nel 2025_2025_GEST1</t>
  </si>
  <si>
    <t>LIC movimentate l'ultima volta nel 2026_2026_GEST1</t>
  </si>
  <si>
    <t>LIC movimentate l'ultima volta nel 2027_2027_GEST1</t>
  </si>
  <si>
    <t>LIC movimentate l'ultima volta nel 2023_2024_GEST1</t>
  </si>
  <si>
    <t>Slic,a_LIC_2023_GEST1</t>
  </si>
  <si>
    <t>LIC movimentate l'ultima volta nel 2024_2025_GEST1</t>
  </si>
  <si>
    <t>Slic,a_LIC_2024_GEST1</t>
  </si>
  <si>
    <t>LIC movimentate l'ultima volta nel 2025_2026_GEST1</t>
  </si>
  <si>
    <t>Slic,a_LIC_2025_GEST1</t>
  </si>
  <si>
    <t>LIC movimentate l'ultima volta nel 2026_2027_GEST1</t>
  </si>
  <si>
    <t>Slic,a_LIC_2026_GEST1</t>
  </si>
  <si>
    <t>LIC movimentate l'ultima volta nel 2022_2024_GEST1</t>
  </si>
  <si>
    <t>LIC movimentate l'ultima volta nel 2023_2025_GEST1</t>
  </si>
  <si>
    <t>LIC movimentate l'ultima volta nel 2024_2026_GEST1</t>
  </si>
  <si>
    <t>LIC movimentate l'ultima volta nel 2025_2027_GEST1</t>
  </si>
  <si>
    <t>LIC movimentate l'ultima volta nel 2021_2024_GEST1</t>
  </si>
  <si>
    <t>LIC movimentate l'ultima volta nel 2022_2025_GEST1</t>
  </si>
  <si>
    <t>LIC movimentate l'ultima volta nel 2023_2026_GEST1</t>
  </si>
  <si>
    <t>LIC movimentate l'ultima volta nel 2024_2027_GEST1</t>
  </si>
  <si>
    <t>LIC movimentate l'ultima volta nel 2024_2024_COM</t>
  </si>
  <si>
    <t>LIC movimentate l'ultima volta nel 2025_2025_COM</t>
  </si>
  <si>
    <t>LIC movimentate l'ultima volta nel 2026_2026_COM</t>
  </si>
  <si>
    <t>LIC movimentate l'ultima volta nel 2027_2027_COM</t>
  </si>
  <si>
    <t>LIC movimentate l'ultima volta nel 2023_2024_COM</t>
  </si>
  <si>
    <t>Slic,a_LIC_2023_COM</t>
  </si>
  <si>
    <t>LIC movimentate l'ultima volta nel 2024_2025_COM</t>
  </si>
  <si>
    <t>Slic,a_LIC_2024_COM</t>
  </si>
  <si>
    <t>LIC movimentate l'ultima volta nel 2025_2026_COM</t>
  </si>
  <si>
    <t>Slic,a_LIC_2025_COM</t>
  </si>
  <si>
    <t>LIC movimentate l'ultima volta nel 2026_2027_COM</t>
  </si>
  <si>
    <t>Slic,a_LIC_2026_COM</t>
  </si>
  <si>
    <t>LIC movimentate l'ultima volta nel 2022_2024_COM</t>
  </si>
  <si>
    <t>LIC movimentate l'ultima volta nel 2023_2025_COM</t>
  </si>
  <si>
    <t>LIC movimentate l'ultima volta nel 2024_2026_COM</t>
  </si>
  <si>
    <t>LIC movimentate l'ultima volta nel 2025_2027_COM</t>
  </si>
  <si>
    <t>LIC movimentate l'ultima volta nel 2021_2024_COM</t>
  </si>
  <si>
    <t>LIC movimentate l'ultima volta nel 2022_2025_COM</t>
  </si>
  <si>
    <t>LIC movimentate l'ultima volta nel 2023_2026_COM</t>
  </si>
  <si>
    <t>LIC movimentate l'ultima volta nel 2024_2027_COM</t>
  </si>
  <si>
    <t>Slic,a_LIC_2021_utilizzato_GEST1</t>
  </si>
  <si>
    <t>Slic,a_LIC_2021_Del.7/247_GEST1</t>
  </si>
  <si>
    <t>Slic,a_LIC_2022_utilizzato_GEST1</t>
  </si>
  <si>
    <t>Slic,a_LIC_2022_Del.7/247_GEST1</t>
  </si>
  <si>
    <t>Slic,a_LIC_2020_utilizzato_GEST1</t>
  </si>
  <si>
    <t>Slic,a_LIC_2020_Del.7/247_GEST1</t>
  </si>
  <si>
    <t>Slic,a_LIC_2021_utilizzato_COM</t>
  </si>
  <si>
    <t>Slic,a_LIC_2021_Del.7/247_COM</t>
  </si>
  <si>
    <t>Slic,a_LIC_2022_utilizzato_COM</t>
  </si>
  <si>
    <t>Slic,a_LIC_2022_Del.7/247_COM</t>
  </si>
  <si>
    <t>Slic,a_LIC_2020_utilizzato_COM</t>
  </si>
  <si>
    <t>Slic,a_LIC_2020_Del.7/247_COM</t>
  </si>
  <si>
    <t>WaccRID_2022</t>
  </si>
  <si>
    <t>Kdreal_2022</t>
  </si>
  <si>
    <t>WaccRID_2023</t>
  </si>
  <si>
    <t>Kdreal_2023</t>
  </si>
  <si>
    <t>WACC_utilizzato_2024</t>
  </si>
  <si>
    <t>WACC_utilizzato_2025</t>
  </si>
  <si>
    <t>IMNa_2024_GEST1</t>
  </si>
  <si>
    <t>IMNa_2024_COM</t>
  </si>
  <si>
    <t>IMNa_2025_GEST1</t>
  </si>
  <si>
    <t>IMNa_2025_COM</t>
  </si>
  <si>
    <t>IMNante2018_2024_GEST1</t>
  </si>
  <si>
    <t>IMNante2018_2024_COM</t>
  </si>
  <si>
    <t>IMNante2018_2025_GEST1</t>
  </si>
  <si>
    <t>IMNante2018_2025_COM</t>
  </si>
  <si>
    <t>IMNdal2018_2024_GEST1</t>
  </si>
  <si>
    <t>IMNdal2018_2024_COM</t>
  </si>
  <si>
    <t>IMNdal2018_2025_GEST1</t>
  </si>
  <si>
    <t>IMNdal2018_2025_COM</t>
  </si>
  <si>
    <t>CCNa_2024_GEST1</t>
  </si>
  <si>
    <t>CCNa_2024_COM</t>
  </si>
  <si>
    <t>CCNa_2025_GEST1</t>
  </si>
  <si>
    <t>CCNa_2025_COM</t>
  </si>
  <si>
    <t>Pra_2024_GEST1</t>
  </si>
  <si>
    <t>Pra_2024_COM</t>
  </si>
  <si>
    <t>Pra_2025_GEST1</t>
  </si>
  <si>
    <t>Pra_2025_COM</t>
  </si>
  <si>
    <t>PROP1_2024_GEST1</t>
  </si>
  <si>
    <t>PROP1_2024_COM</t>
  </si>
  <si>
    <t>PROP1_2025_GEST1</t>
  </si>
  <si>
    <t>PROP1_2025_COM</t>
  </si>
  <si>
    <t>PROP2_2024_GEST1</t>
  </si>
  <si>
    <t>PROP2_2024_COM</t>
  </si>
  <si>
    <t>PROP2_2025_GEST1</t>
  </si>
  <si>
    <t>PROP2_2025_COM</t>
  </si>
  <si>
    <t>PROP3_2024_GEST1</t>
  </si>
  <si>
    <t>PROP3_2024_COM</t>
  </si>
  <si>
    <t>PROP3_2025_GEST1</t>
  </si>
  <si>
    <t>PROP3_2025_COM</t>
  </si>
  <si>
    <t>LEASING_2024_GEST1</t>
  </si>
  <si>
    <t>LEASING_2024_COM</t>
  </si>
  <si>
    <t>LEASING_2025_GEST1</t>
  </si>
  <si>
    <t>LEASING_2025_COM</t>
  </si>
  <si>
    <t>DER_LEASING_2024_GEST1</t>
  </si>
  <si>
    <t>DER_LEASING_2024_COM</t>
  </si>
  <si>
    <t>DER_LEASING_2025_GEST1</t>
  </si>
  <si>
    <t>DER_LEASING_2025_COM</t>
  </si>
  <si>
    <t>CTS_DELTA_TV_2026_GEST1</t>
  </si>
  <si>
    <t>CTS_DELTA_TV_2026_COM</t>
  </si>
  <si>
    <t>CTS_DELTA_TV_2027_GEST1</t>
  </si>
  <si>
    <t>CTS_DELTA_TV_2027_COM</t>
  </si>
  <si>
    <t>CTS_DELTA_TV_2028_GEST1</t>
  </si>
  <si>
    <t>CTS_DELTA_TV_2028_COM</t>
  </si>
  <si>
    <t>CTS_DELTA_TV_2029_GEST1</t>
  </si>
  <si>
    <t>CTS_DELTA_TV_2029_COM</t>
  </si>
  <si>
    <t>COexp116_TV_2026_GEST1</t>
  </si>
  <si>
    <t>COexp116_TV_2026_COM</t>
  </si>
  <si>
    <t>COexp116_TV_2027_GEST1</t>
  </si>
  <si>
    <t>COexp116_TV_2027_COM</t>
  </si>
  <si>
    <t>COexp116_TV_2028_GEST1</t>
  </si>
  <si>
    <t>COexp116_TV_2028_COM</t>
  </si>
  <si>
    <t>COexp116_TV_2029_GEST1</t>
  </si>
  <si>
    <t>COexp116_TV_2029_COM</t>
  </si>
  <si>
    <t>CQexp_TV_2026_GEST1</t>
  </si>
  <si>
    <t>CQexp_TV_2027_GEST1</t>
  </si>
  <si>
    <t>CQexp_TV_2027_COM</t>
  </si>
  <si>
    <t>CQexp_TV_2028_GEST1</t>
  </si>
  <si>
    <t>CQexp_TV_2028_COM</t>
  </si>
  <si>
    <t>CQexp_TV_2029_GEST1</t>
  </si>
  <si>
    <t>CQexp_TV_2029_COM</t>
  </si>
  <si>
    <t>COANT_TV_2026_GEST1</t>
  </si>
  <si>
    <t>COANT_TV_2026_COM</t>
  </si>
  <si>
    <t>COANT_TV_2027_GEST1</t>
  </si>
  <si>
    <t>COANT_TV_2027_COM</t>
  </si>
  <si>
    <t>COANT_TV_2028_GEST1</t>
  </si>
  <si>
    <t>COANT_TV_2028_COM</t>
  </si>
  <si>
    <t>COANT_TV_2029_GEST1</t>
  </si>
  <si>
    <t>COANT_TV_2029_COM</t>
  </si>
  <si>
    <t>COnew_TV_2026_GEST1</t>
  </si>
  <si>
    <t>COnew_TV_2026_COM</t>
  </si>
  <si>
    <t>COnew_TV_2027_GEST1</t>
  </si>
  <si>
    <t>COnew_TV_2027_COM</t>
  </si>
  <si>
    <t>COnew_TV_2028_GEST1</t>
  </si>
  <si>
    <t>COnew_TV_2028_COM</t>
  </si>
  <si>
    <t>COnew_TV_2029_GEST1</t>
  </si>
  <si>
    <t>COnew_TV_2029_COM</t>
  </si>
  <si>
    <t>COIexp_TV_2026_GEST1</t>
  </si>
  <si>
    <t>COIexp_TV_2026_COM</t>
  </si>
  <si>
    <t>COIexp_TV_2027_GEST1</t>
  </si>
  <si>
    <t>COIexp_TV_2027_COM</t>
  </si>
  <si>
    <t>COIexp_TV_2028_GEST1</t>
  </si>
  <si>
    <t>COIexp_TV_2028_COM</t>
  </si>
  <si>
    <t>COIexp_TV_2029_GEST1</t>
  </si>
  <si>
    <t>COIexp_TV_2029_COM</t>
  </si>
  <si>
    <t>COexp116_TF_2026_GEST1</t>
  </si>
  <si>
    <t>COexp116_TF_2026_COM</t>
  </si>
  <si>
    <t>COexp116_TF_2027_GEST1</t>
  </si>
  <si>
    <t>COexp116_TF_2027_COM</t>
  </si>
  <si>
    <t>COexp116_TF_2028_GEST1</t>
  </si>
  <si>
    <t>COexp116_TF_2028_COM</t>
  </si>
  <si>
    <t>COexp116_TF_2029_GEST1</t>
  </si>
  <si>
    <t>COexp116_TF_2029_COM</t>
  </si>
  <si>
    <t>CQexp_TF_2026_GEST1</t>
  </si>
  <si>
    <t>CQexp_TF_2026_COM</t>
  </si>
  <si>
    <t>CQexp_TF_2027_GEST1</t>
  </si>
  <si>
    <t>CQexp_TF_2027_COM</t>
  </si>
  <si>
    <t>CQexp_TF_2028_GEST1</t>
  </si>
  <si>
    <t>CQexp_TF_2028_COM</t>
  </si>
  <si>
    <t>CQexp_TF_2029_GEST1</t>
  </si>
  <si>
    <t>CQexp_TF_2029_COM</t>
  </si>
  <si>
    <t>COANT_TF_2026_GEST1</t>
  </si>
  <si>
    <t>COANT_TF_2026_COM</t>
  </si>
  <si>
    <t>COANT_TF_2027_GEST1</t>
  </si>
  <si>
    <t>COANT_TF_2027_COM</t>
  </si>
  <si>
    <t>COANT_TF_2028_GEST1</t>
  </si>
  <si>
    <t>COANT_TF_2028_COM</t>
  </si>
  <si>
    <t>COANT_TF_2029_GEST1</t>
  </si>
  <si>
    <t>COANT_TF_2029_COM</t>
  </si>
  <si>
    <t>COnew_TF_2026_GEST1</t>
  </si>
  <si>
    <t>COnew_TF_2026_COM</t>
  </si>
  <si>
    <t>COnew_TF_2027_GEST1</t>
  </si>
  <si>
    <t>COnew_TF_2027_COM</t>
  </si>
  <si>
    <t>COnew_TF_2028_GEST1</t>
  </si>
  <si>
    <t>COnew_TF_2028_COM</t>
  </si>
  <si>
    <t>COnew_TF_2029_GEST1</t>
  </si>
  <si>
    <t>COnew_TF_2029_COM</t>
  </si>
  <si>
    <t>COIexp_TF_2026_GEST1</t>
  </si>
  <si>
    <t>COIexp_TF_2026_COM</t>
  </si>
  <si>
    <t>COIexp_TF_2027_GEST1</t>
  </si>
  <si>
    <t>COIexp_TF_2027_COM</t>
  </si>
  <si>
    <t>COIexp_TF_2028_GEST1</t>
  </si>
  <si>
    <t>COIexp_TF_2028_COM</t>
  </si>
  <si>
    <t>COIexp_TF_2029_GEST1</t>
  </si>
  <si>
    <t>COIexp_TF_2029_COM</t>
  </si>
  <si>
    <t>RCRET_TV_26_GEST1</t>
  </si>
  <si>
    <t>RCRET_TV_27_GEST1</t>
  </si>
  <si>
    <t>RCRET_TV_28_GEST1</t>
  </si>
  <si>
    <t>RCRET_TV_29_GEST1</t>
  </si>
  <si>
    <t>REC_FATT_TV_26_GEST1</t>
  </si>
  <si>
    <t>REC_FATT_TV_27_GEST1</t>
  </si>
  <si>
    <t>REC_FATT_TV_28_GEST1</t>
  </si>
  <si>
    <t>REC_FATT_TV_29_GEST1</t>
  </si>
  <si>
    <t>I_25_TV_26_GEST1</t>
  </si>
  <si>
    <t>I_25_TV_26_COM</t>
  </si>
  <si>
    <t>I_25_TV_27_GEST1</t>
  </si>
  <si>
    <t>I_25_TV_27_COM</t>
  </si>
  <si>
    <t>RCRET_TF_26_GEST1</t>
  </si>
  <si>
    <t>RCRET_TF_27_GEST1</t>
  </si>
  <si>
    <t>RCRET_TF_28_GEST1</t>
  </si>
  <si>
    <t>RCRET_TF_29_GEST1</t>
  </si>
  <si>
    <t>REC_FATT_TF_26_GEST1</t>
  </si>
  <si>
    <t>REC_FATT_TF_27_GEST1</t>
  </si>
  <si>
    <t>REC_FATT_TF_28_GEST1</t>
  </si>
  <si>
    <t>REC_FATT_TF_29_GEST1</t>
  </si>
  <si>
    <t>I_25_TF_26_GEST1</t>
  </si>
  <si>
    <t>I_25_TF_26_COM</t>
  </si>
  <si>
    <t>I_25_TF_27_GEST1</t>
  </si>
  <si>
    <t>I_25_TF_27_COM</t>
  </si>
  <si>
    <t>IVA_indetraibile_V_2026</t>
  </si>
  <si>
    <t>IVA_indetraibile_V_2027</t>
  </si>
  <si>
    <t>IVA_indetraibile_V_2028</t>
  </si>
  <si>
    <t>IVA_indetraibile_V_2029</t>
  </si>
  <si>
    <t>IVA_indetraibile_F_2026</t>
  </si>
  <si>
    <t>IVA_indetraibile_F_2027</t>
  </si>
  <si>
    <t>IVA_indetraibile_F_2028</t>
  </si>
  <si>
    <t>IVA_indetraibile_F_2029</t>
  </si>
  <si>
    <t>DETR1.4_TV_2026</t>
  </si>
  <si>
    <t>DETR1.4_TV_2027</t>
  </si>
  <si>
    <t>DETR1.4_TV_2028</t>
  </si>
  <si>
    <t>DETR1.4_TV_2029</t>
  </si>
  <si>
    <t>DETR1.4_TF_2026</t>
  </si>
  <si>
    <t>DETR1.4_TF_2027</t>
  </si>
  <si>
    <t>DETR1.4_TF_2028</t>
  </si>
  <si>
    <t>DETR1.4_TF_2029</t>
  </si>
  <si>
    <t>ATTEST_2026_GEST1</t>
  </si>
  <si>
    <t>ATTEST_2026_COM</t>
  </si>
  <si>
    <t>ATTEST_2027_GEST1</t>
  </si>
  <si>
    <t>ATTEST_2027_COM</t>
  </si>
  <si>
    <t>ATTEST_2028_GEST1</t>
  </si>
  <si>
    <t>ATTEST_2028_COM</t>
  </si>
  <si>
    <t>ATTEST_2029_GEST1</t>
  </si>
  <si>
    <t>ATTEST_2029_COM</t>
  </si>
  <si>
    <t>MOT_RETT_T_2026_GEST1</t>
  </si>
  <si>
    <t>MOT_RETT_T_2026_COM</t>
  </si>
  <si>
    <t>MOT_RETT_T_2027_GEST1</t>
  </si>
  <si>
    <t>MOT_RETT_T_2027_COM</t>
  </si>
  <si>
    <t>MOT_RETT_T_2028_GEST1</t>
  </si>
  <si>
    <t>MOT_RETT_T_2028_COM</t>
  </si>
  <si>
    <t>RETT_TV_2026_GEST1</t>
  </si>
  <si>
    <t>RETT_TV_2026_COM</t>
  </si>
  <si>
    <t>RETT_TV_2027_GEST1</t>
  </si>
  <si>
    <t>RETT_TV_2027_COM</t>
  </si>
  <si>
    <t>RETT_TV_2028_GEST1</t>
  </si>
  <si>
    <t>RETT_TV_2028_COM</t>
  </si>
  <si>
    <t>RETT_TF_2026_GEST1</t>
  </si>
  <si>
    <t>RETT_TF_2026_COM</t>
  </si>
  <si>
    <t>RETT_TF_2027_GEST1</t>
  </si>
  <si>
    <t>RETT_TF_2027_COM</t>
  </si>
  <si>
    <t>RETT_TF_2028_GEST1</t>
  </si>
  <si>
    <t>RETT_TF_2028_COM</t>
  </si>
  <si>
    <t>CRT_2026_GEST1</t>
  </si>
  <si>
    <t>CRT_2026_COM</t>
  </si>
  <si>
    <t>CRT_2027_GEST1</t>
  </si>
  <si>
    <t>CRT_2027_COM</t>
  </si>
  <si>
    <t>CRT_2028_GEST1</t>
  </si>
  <si>
    <t>CRT_2028_COM</t>
  </si>
  <si>
    <t>CRT_2029_GEST1</t>
  </si>
  <si>
    <t>CRT_2029_COM</t>
  </si>
  <si>
    <t>CTS_2026_GEST1</t>
  </si>
  <si>
    <t>CTS_2026_COM</t>
  </si>
  <si>
    <t>CTS_2027_GEST1</t>
  </si>
  <si>
    <t>CTS_2027_COM</t>
  </si>
  <si>
    <t>CTS_2028_GEST1</t>
  </si>
  <si>
    <t>CTS_2028_COM</t>
  </si>
  <si>
    <t>CTS_2029_GEST1</t>
  </si>
  <si>
    <t>CTS_2029_COM</t>
  </si>
  <si>
    <t>CTR_2026_GEST1</t>
  </si>
  <si>
    <t>CTR_2026_COM</t>
  </si>
  <si>
    <t>CTR_2027_GEST1</t>
  </si>
  <si>
    <t>CTR_2027_COM</t>
  </si>
  <si>
    <t>CTR_2028_GEST1</t>
  </si>
  <si>
    <t>CTR_2028_COM</t>
  </si>
  <si>
    <t>CTR_2029_GEST1</t>
  </si>
  <si>
    <t>CTR_2029_COM</t>
  </si>
  <si>
    <t>CRD_2026_GEST1</t>
  </si>
  <si>
    <t>CRD_2026_COM</t>
  </si>
  <si>
    <t>CRD_2027_GEST1</t>
  </si>
  <si>
    <t>CRD_2027_COM</t>
  </si>
  <si>
    <t>CRD_2028_GEST1</t>
  </si>
  <si>
    <t>CRD_2028_COM</t>
  </si>
  <si>
    <t>CRD_2029_GEST1</t>
  </si>
  <si>
    <t>CRD_2029_COM</t>
  </si>
  <si>
    <t>RCRET_TV_2026_GEST1</t>
  </si>
  <si>
    <t>RCRET_TV_2026_COM</t>
  </si>
  <si>
    <t>RCRET_TV_2027_GEST1</t>
  </si>
  <si>
    <t>RCRET_TV_2027_COM</t>
  </si>
  <si>
    <t>RCRET_TV_2028_GEST1</t>
  </si>
  <si>
    <t>RCRET_TV_2028_COM</t>
  </si>
  <si>
    <t>RCRET_TV_2029_GEST1</t>
  </si>
  <si>
    <t>RCRET_TV_2029_COM</t>
  </si>
  <si>
    <t>RCSMAL_TV_2026_GEST1</t>
  </si>
  <si>
    <t>RCSMAL_TV_2026_COM</t>
  </si>
  <si>
    <t>RCSMAL_TV_2027_GEST1</t>
  </si>
  <si>
    <t>RCSMAL_TV_2027_COM</t>
  </si>
  <si>
    <t>RCSMAL_TV_2028_GEST1</t>
  </si>
  <si>
    <t>RCSMAL_TV_2028_COM</t>
  </si>
  <si>
    <t>RCSMAL_TV_2029_GEST1</t>
  </si>
  <si>
    <t>RCSMAL_TV_2029_COM</t>
  </si>
  <si>
    <t>RCCO116_TV_2026_GEST1</t>
  </si>
  <si>
    <t>RCCO116_TV_2026_COM</t>
  </si>
  <si>
    <t>RCCO116_TV_2027_GEST1</t>
  </si>
  <si>
    <t>RCCO116_TV_2027_COM</t>
  </si>
  <si>
    <t>RCCO116_TV_2028_GEST1</t>
  </si>
  <si>
    <t>RCCO116_TV_2028_COM</t>
  </si>
  <si>
    <t>RCCO116_TV_2029_GEST1</t>
  </si>
  <si>
    <t>RCCO116_TV_2029_COM</t>
  </si>
  <si>
    <t>RCIMP_TV_2026_GEST1</t>
  </si>
  <si>
    <t>RCIMP_TV_2026_COM</t>
  </si>
  <si>
    <t>RCIMP_TV_2027_GEST1</t>
  </si>
  <si>
    <t>RCIMP_TV_2027_COM</t>
  </si>
  <si>
    <t>RCIMP_TV_2028_GEST1</t>
  </si>
  <si>
    <t>RCIMP_TV_2029_GEST1</t>
  </si>
  <si>
    <t>RCIMP_TV_2029_COM</t>
  </si>
  <si>
    <t>RCFATT_TV_2026_GEST1</t>
  </si>
  <si>
    <t>RCFATT_TV_2026_COM</t>
  </si>
  <si>
    <t>RCFATT_TV_2027_GEST1</t>
  </si>
  <si>
    <t>RCFATT_TV_2027_COM</t>
  </si>
  <si>
    <t>RCFATT_TV_2028_GEST1</t>
  </si>
  <si>
    <t>RCFATT_TV_2028_COM</t>
  </si>
  <si>
    <t>RCFATT_TV_2029_GEST1</t>
  </si>
  <si>
    <t>RCFATT_TV_2029_COM</t>
  </si>
  <si>
    <t>RCI25_TV_2026_GEST1</t>
  </si>
  <si>
    <t>RCI25_TV_2026_COM</t>
  </si>
  <si>
    <t>RCI25_TV_2027_GEST1</t>
  </si>
  <si>
    <t>RCI25_TV_2027_COM</t>
  </si>
  <si>
    <t>RC DELTA_PRE_TV_2026_GEST1</t>
  </si>
  <si>
    <t>RC DELTA_PRE_TV_2026_COM</t>
  </si>
  <si>
    <t>RC DELTA_PRE_TV_2027_GEST1</t>
  </si>
  <si>
    <t>RC DELTA_PRE_TV_2027_COM</t>
  </si>
  <si>
    <t>RC DELTA_PRE_TV_2028_GEST1</t>
  </si>
  <si>
    <t>RC DELTA_PRE_TV_2028_COM</t>
  </si>
  <si>
    <t>RC DELTA_PRE_TV_2029_GEST1</t>
  </si>
  <si>
    <t>RC DELTA_PRE_TV_2029_COM</t>
  </si>
  <si>
    <t>IVA_VAR_2026</t>
  </si>
  <si>
    <t>IVA_VAR_2027</t>
  </si>
  <si>
    <t>IVA_VAR_2028</t>
  </si>
  <si>
    <t>IVA_VAR_2029</t>
  </si>
  <si>
    <t>CSL_2026_GEST1</t>
  </si>
  <si>
    <t>CSL_2026_COM</t>
  </si>
  <si>
    <t>CSL_2027_GEST1</t>
  </si>
  <si>
    <t>CSL_2027_COM</t>
  </si>
  <si>
    <t>CSL_2028_GEST1</t>
  </si>
  <si>
    <t>CSL_2028_COM</t>
  </si>
  <si>
    <t>CSL_2029_GEST1</t>
  </si>
  <si>
    <t>CSL_2029_COM</t>
  </si>
  <si>
    <t>CARC_2026_GEST1</t>
  </si>
  <si>
    <t>CARC_2026_COM</t>
  </si>
  <si>
    <t>CARC_2027_GEST1</t>
  </si>
  <si>
    <t>CARC_2027_COM</t>
  </si>
  <si>
    <t>CARC_2028_GEST1</t>
  </si>
  <si>
    <t>CARC_2028_COM</t>
  </si>
  <si>
    <t>CARC_2029_GEST1</t>
  </si>
  <si>
    <t>CARC_2029_COM</t>
  </si>
  <si>
    <t>CGG_2026_GEST1</t>
  </si>
  <si>
    <t>CGG_2026_COM</t>
  </si>
  <si>
    <t>CGG_2027_GEST1</t>
  </si>
  <si>
    <t>CGG_2027_COM</t>
  </si>
  <si>
    <t>CGG_2028_GEST1</t>
  </si>
  <si>
    <t>CGG_2028_COM</t>
  </si>
  <si>
    <t>CGG_2029_GEST1</t>
  </si>
  <si>
    <t>CGG_2029_COM</t>
  </si>
  <si>
    <t>CDD_2026_GEST1</t>
  </si>
  <si>
    <t>CDD_2026_COM</t>
  </si>
  <si>
    <t>CDD_2027_GEST1</t>
  </si>
  <si>
    <t>CDD_2027_COM</t>
  </si>
  <si>
    <t>CDD_2028_GEST1</t>
  </si>
  <si>
    <t>CDD_2028_COM</t>
  </si>
  <si>
    <t>CDD_2029_GEST1</t>
  </si>
  <si>
    <t>CDD_2029_COM</t>
  </si>
  <si>
    <t>COAL_2026_GEST1</t>
  </si>
  <si>
    <t>COAL_2026_COM</t>
  </si>
  <si>
    <t>COAL_2027_GEST1</t>
  </si>
  <si>
    <t>COAL_2027_COM</t>
  </si>
  <si>
    <t>COAL_2028_GEST1</t>
  </si>
  <si>
    <t>COAL_2028_COM</t>
  </si>
  <si>
    <t>COAL_2029_GEST1</t>
  </si>
  <si>
    <t>COAL_2029_COM</t>
  </si>
  <si>
    <t>AMM_2026_GEST1</t>
  </si>
  <si>
    <t>AMM_2026_COM</t>
  </si>
  <si>
    <t>AMM_2027_GEST1</t>
  </si>
  <si>
    <t>AMM_2027_COM</t>
  </si>
  <si>
    <t>AMM_2028_GEST1</t>
  </si>
  <si>
    <t>AMM_2028_COM</t>
  </si>
  <si>
    <t>AMM_2029_GEST1</t>
  </si>
  <si>
    <t>AMM_2029_COM</t>
  </si>
  <si>
    <t>ACC_DETT1_2026_GEST1</t>
  </si>
  <si>
    <t>ACC_DETT1_2026_COM</t>
  </si>
  <si>
    <t>ACC_DETT1_2027_GEST1</t>
  </si>
  <si>
    <t>ACC_DETT1_2027_COM</t>
  </si>
  <si>
    <t>ACC_DETT1_2028_GEST1</t>
  </si>
  <si>
    <t>ACC_DETT1_2028_COM</t>
  </si>
  <si>
    <t>ACC_DETT1_2029_GEST1</t>
  </si>
  <si>
    <t>ACC_DETT1_2029_COM</t>
  </si>
  <si>
    <t>ACC_DETT2_2026_GEST1</t>
  </si>
  <si>
    <t>ACC_DETT2_2026_COM</t>
  </si>
  <si>
    <t>ACC_DETT2_2027_GEST1</t>
  </si>
  <si>
    <t>ACC_DETT2_2027_COM</t>
  </si>
  <si>
    <t>ACC_DETT2_2028_GEST1</t>
  </si>
  <si>
    <t>ACC_DETT2_2028_COM</t>
  </si>
  <si>
    <t>ACC_DETT2_2029_GEST1</t>
  </si>
  <si>
    <t>ACC_DETT2_2029_COM</t>
  </si>
  <si>
    <t>ACC_DETT3_2026_GEST1</t>
  </si>
  <si>
    <t>ACC_DETT3_2026_COM</t>
  </si>
  <si>
    <t>ACC_DETT3_2027_GEST1</t>
  </si>
  <si>
    <t>ACC_DETT3_2027_COM</t>
  </si>
  <si>
    <t>ACC_DETT3_2028_GEST1</t>
  </si>
  <si>
    <t>ACC_DETT3_2028_COM</t>
  </si>
  <si>
    <t>ACC_DETT3_2029_GEST1</t>
  </si>
  <si>
    <t>ACC_DETT3_2029_COM</t>
  </si>
  <si>
    <t>ACC_DETT4_2026_GEST1</t>
  </si>
  <si>
    <t>ACC_DETT4_2026_COM</t>
  </si>
  <si>
    <t>ACC_DETT4_2027_GEST1</t>
  </si>
  <si>
    <t>ACC_DETT4_2027_COM</t>
  </si>
  <si>
    <t>ACC_DETT4_2028_GEST1</t>
  </si>
  <si>
    <t>ACC_DETT4_2028_COM</t>
  </si>
  <si>
    <t>ACC_DETT4_2029_GEST1</t>
  </si>
  <si>
    <t>ACC_DETT4_2029_COM</t>
  </si>
  <si>
    <t>R_2026_GEST1</t>
  </si>
  <si>
    <t>R_2026_COM</t>
  </si>
  <si>
    <t>R_2027_GEST1</t>
  </si>
  <si>
    <t>R_2027_COM</t>
  </si>
  <si>
    <t>R_2028_GEST1</t>
  </si>
  <si>
    <t>R_2028_COM</t>
  </si>
  <si>
    <t>R_2029_GEST1</t>
  </si>
  <si>
    <t>R_2029_COM</t>
  </si>
  <si>
    <t>RLIC_2026_GEST1</t>
  </si>
  <si>
    <t>RLIC_2026_COM</t>
  </si>
  <si>
    <t>RLIC_2027_GEST1</t>
  </si>
  <si>
    <t>RLIC_2027_COM</t>
  </si>
  <si>
    <t>RLIC_2028_GEST1</t>
  </si>
  <si>
    <t>RLIC_2028_COM</t>
  </si>
  <si>
    <t>RLIC_2029_GEST1</t>
  </si>
  <si>
    <t>RLIC_2029_COM</t>
  </si>
  <si>
    <t>CKL_PROP_2026_GEST1</t>
  </si>
  <si>
    <t>CKL_PROP_2026_COM</t>
  </si>
  <si>
    <t>CKL_PROP_2027_GEST1</t>
  </si>
  <si>
    <t>CKL_PROP_2027_COM</t>
  </si>
  <si>
    <t>CKL_PROP_2028_GEST1</t>
  </si>
  <si>
    <t>CKL_PROP_2028_COM</t>
  </si>
  <si>
    <t>CKL_PROP_2029_GEST1</t>
  </si>
  <si>
    <t>CKL_PROP_2029_COM</t>
  </si>
  <si>
    <t>RCRET_TF_2026_GEST1</t>
  </si>
  <si>
    <t>RCRET_TF_2026_COM</t>
  </si>
  <si>
    <t>RCRET_TF_2027_GEST1</t>
  </si>
  <si>
    <t>RCRET_TF_2027_COM</t>
  </si>
  <si>
    <t>RCRET_TF_2028_GEST1</t>
  </si>
  <si>
    <t>RCRET_TF_2028_COM</t>
  </si>
  <si>
    <t>RCRET_TF_2029_GEST1</t>
  </si>
  <si>
    <t>RCRET_TF_2029_COM</t>
  </si>
  <si>
    <t>RCCO116_TF_2026_GEST1</t>
  </si>
  <si>
    <t>RCCO116_TF_2026_COM</t>
  </si>
  <si>
    <t>RCCO116_TF_2027_GEST1</t>
  </si>
  <si>
    <t>RCCO116_TF_2027_COM</t>
  </si>
  <si>
    <t>RCCO116_TF_2028_GEST1</t>
  </si>
  <si>
    <t>RCCO116_TF_2028_COM</t>
  </si>
  <si>
    <t>RCCO116_TF_2029_GEST1</t>
  </si>
  <si>
    <t>RCCO116_TF_2029_COM</t>
  </si>
  <si>
    <t>RCFATT_TF_2026_GEST1</t>
  </si>
  <si>
    <t>RCFATT_TF_2026_COM</t>
  </si>
  <si>
    <t>RCFATT_TF_2027_GEST1</t>
  </si>
  <si>
    <t>RCFATT_TF_2027_COM</t>
  </si>
  <si>
    <t>RCFATT_TF_2028_GEST1</t>
  </si>
  <si>
    <t>RCFATT_TF_2028_COM</t>
  </si>
  <si>
    <t>RCFATT_TF_2029_GEST1</t>
  </si>
  <si>
    <t>RCFATT_TF_2029_COM</t>
  </si>
  <si>
    <t>CONG_CK_TF_2026_GEST1</t>
  </si>
  <si>
    <t>CONG_CK_TF_2026_COM</t>
  </si>
  <si>
    <t>CONG_CK_TF_2027_GEST1</t>
  </si>
  <si>
    <t>CONG_CK_TF_2027_COM</t>
  </si>
  <si>
    <t>CONG_CK_TF_2028_GEST1</t>
  </si>
  <si>
    <t>CONG_CK_TF_2028_COM</t>
  </si>
  <si>
    <t>CONG_CK_TF_2029_GEST1</t>
  </si>
  <si>
    <t>CONG_CK_TF_2029_COM</t>
  </si>
  <si>
    <t>RC DELTA_PRE_TF_2026_GEST1</t>
  </si>
  <si>
    <t>RC DELTA_PRE_TF_2026_COM</t>
  </si>
  <si>
    <t>RC DELTA_PRE_TF_2027_GEST1</t>
  </si>
  <si>
    <t>RC DELTA_PRE_TF_2027_COM</t>
  </si>
  <si>
    <t>RC DELTA_PRE_TF_2028_GEST1</t>
  </si>
  <si>
    <t>RC DELTA_PRE_TF_2028_COM</t>
  </si>
  <si>
    <t>RC DELTA_PRE_TF_2029_GEST1</t>
  </si>
  <si>
    <t>RC DELTA_PRE_TF_2029_COM</t>
  </si>
  <si>
    <t>IVA_FISSA_2026</t>
  </si>
  <si>
    <t>IVA_FISSA_2027</t>
  </si>
  <si>
    <t>IVA_FISSA_2028</t>
  </si>
  <si>
    <t>IVA_FISSA_2029</t>
  </si>
  <si>
    <t>REC_DELTA_22-25_TV_GEST1</t>
  </si>
  <si>
    <t>REC_DELTA_22-25_TF_GEST1</t>
  </si>
  <si>
    <t>REC_DELTA_22-25_TV_2026_GEST1</t>
  </si>
  <si>
    <t>REC_DELTA_22-25_TV_2026_COM</t>
  </si>
  <si>
    <t>REC_DELTA_22-25_TV_2027_GEST1</t>
  </si>
  <si>
    <t>REC_DELTA_22-25_TV_2027_COM</t>
  </si>
  <si>
    <t>REC_DELTA_22-25_TV_2028_GEST1</t>
  </si>
  <si>
    <t>REC_DELTA_22-25_TV_2028_COM</t>
  </si>
  <si>
    <t>REC_DELTA_22-25_TV_2029_GEST1</t>
  </si>
  <si>
    <t>REC_DELTA_22-25_TV_2029_COM</t>
  </si>
  <si>
    <t>REC_DELTA_22-25_TV_POST 2029_GEST1</t>
  </si>
  <si>
    <t>REC_DELTA_22-25_TV_POST 2029_COM</t>
  </si>
  <si>
    <t>REC_DELTA_22-25_TF_2026_GEST1</t>
  </si>
  <si>
    <t>REC_DELTA_22-25_TF_2026_COM</t>
  </si>
  <si>
    <t>REC_DELTA_22-25_TF_2027_GEST1</t>
  </si>
  <si>
    <t>REC_DELTA_22-25_TF_2027_COM</t>
  </si>
  <si>
    <t>REC_DELTA_22-25_TF_2028_GEST1</t>
  </si>
  <si>
    <t>REC_DELTA_22-25_TF_2028_COM</t>
  </si>
  <si>
    <t>REC_DELTA_22-25_TF_2029_GEST1</t>
  </si>
  <si>
    <t>REC_DELTA_22-25_TF_2029_COM</t>
  </si>
  <si>
    <t>REC_DELTA_22-25_TF_POST 2029_GEST1</t>
  </si>
  <si>
    <t>REC_DELTA_22-25_TF_POST 2029_COM</t>
  </si>
  <si>
    <t>REC_DELTA_2026_TV_2027_GEST1</t>
  </si>
  <si>
    <t>REC_DELTA_2026_TV_2027_COM</t>
  </si>
  <si>
    <t>REC_DELTA_2026_TV_2028_GEST1</t>
  </si>
  <si>
    <t>REC_DELTA_2026_TV_2028_COM</t>
  </si>
  <si>
    <t>REC_DELTA_2026_TV_2029_GEST1</t>
  </si>
  <si>
    <t>REC_DELTA_2026_TV_2029_COM</t>
  </si>
  <si>
    <t>REC_DELTA_2026_TV_POST 2029_GEST1</t>
  </si>
  <si>
    <t>REC_DELTA_2026_TV_POST 2029_COM</t>
  </si>
  <si>
    <t>REC_DELTA_2026_TF_2027_GEST1</t>
  </si>
  <si>
    <t>REC_DELTA_2026_TF_2027_COM</t>
  </si>
  <si>
    <t>REC_DELTA_2026_TF_2028_GEST1</t>
  </si>
  <si>
    <t>REC_DELTA_2026_TF_2028_COM</t>
  </si>
  <si>
    <t>REC_DELTA_2026_TF_2029_GEST1</t>
  </si>
  <si>
    <t>REC_DELTA_2026_TF_2029_COM</t>
  </si>
  <si>
    <t>REC_DELTA_2026_TF_POST 2029_GEST1</t>
  </si>
  <si>
    <t>REC_DELTA_2026_TF_POST 2029_COM</t>
  </si>
  <si>
    <t>REC_DELTA_2027_TV_2028_GEST1</t>
  </si>
  <si>
    <t>REC_DELTA_2027_TV_2028_COM</t>
  </si>
  <si>
    <t>REC_DELTA_2027_TV_2029_GEST1</t>
  </si>
  <si>
    <t>REC_DELTA_2027_TV_2029_COM</t>
  </si>
  <si>
    <t>REC_DELTA_2027_TV_POST 2029_GEST1</t>
  </si>
  <si>
    <t>REC_DELTA_2027_TV_POST 2029_COM</t>
  </si>
  <si>
    <t>REC_DELTA_2027_TF_2028_GEST1</t>
  </si>
  <si>
    <t>REC_DELTA_2027_TF_2028_COM</t>
  </si>
  <si>
    <t>REC_DELTA_2027_TF_2029_GEST1</t>
  </si>
  <si>
    <t>REC_DELTA_2027_TF_2029_COM</t>
  </si>
  <si>
    <t>REC_DELTA_2027_TF_POST 2029_GEST1</t>
  </si>
  <si>
    <t>REC_DELTA_2027_TF_POST 2029_COM</t>
  </si>
  <si>
    <t>REC_DELTA_2028_TV_2029_GEST1</t>
  </si>
  <si>
    <t>REC_DELTA_2028_TV_2029_COM</t>
  </si>
  <si>
    <t>REC_DELTA_2028_TV_POST 2029_GEST1</t>
  </si>
  <si>
    <t>REC_DELTA_2028_TV_POST 2029_COM</t>
  </si>
  <si>
    <t>REC_DELTA_2028_TF_2029_GEST1</t>
  </si>
  <si>
    <t>REC_DELTA_2028_TF_2029_COM</t>
  </si>
  <si>
    <t>REC_DELTA_2028_TF_POST 2029_GEST1</t>
  </si>
  <si>
    <t>REC_DELTA_2028_TF_POST 2029_COM</t>
  </si>
  <si>
    <t>REC_DELTA_2029_TV_POST 2029_GEST1</t>
  </si>
  <si>
    <t>REC_DELTA_2029_TV_POST 2029_COM</t>
  </si>
  <si>
    <t>REC_DELTA_2029_TF_POST 2029_GEST1</t>
  </si>
  <si>
    <t>REC_DELTA_2029_TF_POST 2029_COM</t>
  </si>
  <si>
    <t>AR_SC_2024</t>
  </si>
  <si>
    <t>CRD_SC_2024</t>
  </si>
  <si>
    <t>AR_AGG_SC_SI_2022</t>
  </si>
  <si>
    <t>CRD_AGG_SC_SI_2022</t>
  </si>
  <si>
    <t>G6</t>
  </si>
  <si>
    <t>H6</t>
  </si>
  <si>
    <t>K9</t>
  </si>
  <si>
    <t>L9</t>
  </si>
  <si>
    <t>O9</t>
  </si>
  <si>
    <t>P9</t>
  </si>
  <si>
    <t>N12</t>
  </si>
  <si>
    <t>O12</t>
  </si>
  <si>
    <t>P12</t>
  </si>
  <si>
    <t>Q12</t>
  </si>
  <si>
    <t>R12</t>
  </si>
  <si>
    <t>G18</t>
  </si>
  <si>
    <t>H18</t>
  </si>
  <si>
    <t>G19</t>
  </si>
  <si>
    <t>H19</t>
  </si>
  <si>
    <t>G20</t>
  </si>
  <si>
    <t>G33</t>
  </si>
  <si>
    <t>H33</t>
  </si>
  <si>
    <t>I33</t>
  </si>
  <si>
    <t>J33</t>
  </si>
  <si>
    <t>G35</t>
  </si>
  <si>
    <t>H35</t>
  </si>
  <si>
    <t>I35</t>
  </si>
  <si>
    <t>J35</t>
  </si>
  <si>
    <t>G51</t>
  </si>
  <si>
    <t>H51</t>
  </si>
  <si>
    <t>I51</t>
  </si>
  <si>
    <t>J51</t>
  </si>
  <si>
    <t>G57</t>
  </si>
  <si>
    <t>H57</t>
  </si>
  <si>
    <t>G58</t>
  </si>
  <si>
    <t>H58</t>
  </si>
  <si>
    <t>G60</t>
  </si>
  <si>
    <t>H60</t>
  </si>
  <si>
    <t>G62</t>
  </si>
  <si>
    <t>H62</t>
  </si>
  <si>
    <t>G72</t>
  </si>
  <si>
    <t>H72</t>
  </si>
  <si>
    <t>I72</t>
  </si>
  <si>
    <t>J72</t>
  </si>
  <si>
    <t>G83</t>
  </si>
  <si>
    <t>H83</t>
  </si>
  <si>
    <t>I83</t>
  </si>
  <si>
    <t>J83</t>
  </si>
  <si>
    <t>G84</t>
  </si>
  <si>
    <t>H84</t>
  </si>
  <si>
    <t>I84</t>
  </si>
  <si>
    <t>J84</t>
  </si>
  <si>
    <t>G87</t>
  </si>
  <si>
    <t>H87</t>
  </si>
  <si>
    <t>I87</t>
  </si>
  <si>
    <t>J87</t>
  </si>
  <si>
    <t>G89</t>
  </si>
  <si>
    <t>H89</t>
  </si>
  <si>
    <t>I89</t>
  </si>
  <si>
    <t>J89</t>
  </si>
  <si>
    <t>G102</t>
  </si>
  <si>
    <t>H102</t>
  </si>
  <si>
    <t>I102</t>
  </si>
  <si>
    <t>J102</t>
  </si>
  <si>
    <t>G105</t>
  </si>
  <si>
    <t>H105</t>
  </si>
  <si>
    <t>I105</t>
  </si>
  <si>
    <t>J105</t>
  </si>
  <si>
    <t>G114</t>
  </si>
  <si>
    <t>H114</t>
  </si>
  <si>
    <t>I114</t>
  </si>
  <si>
    <t>J114</t>
  </si>
  <si>
    <t>G117</t>
  </si>
  <si>
    <t>H117</t>
  </si>
  <si>
    <t>I117</t>
  </si>
  <si>
    <t>J117</t>
  </si>
  <si>
    <t>G118</t>
  </si>
  <si>
    <t>H118</t>
  </si>
  <si>
    <t>I118</t>
  </si>
  <si>
    <t>J118</t>
  </si>
  <si>
    <t>G121</t>
  </si>
  <si>
    <t>H121</t>
  </si>
  <si>
    <t>I121</t>
  </si>
  <si>
    <t>J121</t>
  </si>
  <si>
    <t>G132</t>
  </si>
  <si>
    <t>G135</t>
  </si>
  <si>
    <t>IN_BIL_Gest_24</t>
  </si>
  <si>
    <t>D13</t>
  </si>
  <si>
    <t>D14</t>
  </si>
  <si>
    <t>C21</t>
  </si>
  <si>
    <t>D28</t>
  </si>
  <si>
    <t>E28</t>
  </si>
  <si>
    <t>H28</t>
  </si>
  <si>
    <t>I28</t>
  </si>
  <si>
    <t>K28</t>
  </si>
  <si>
    <t>D29</t>
  </si>
  <si>
    <t>E29</t>
  </si>
  <si>
    <t>H29</t>
  </si>
  <si>
    <t>I29</t>
  </si>
  <si>
    <t>K29</t>
  </si>
  <si>
    <t>D30</t>
  </si>
  <si>
    <t>E30</t>
  </si>
  <si>
    <t>H30</t>
  </si>
  <si>
    <t>I30</t>
  </si>
  <si>
    <t>K30</t>
  </si>
  <si>
    <t>L31</t>
  </si>
  <si>
    <t>N31</t>
  </si>
  <si>
    <t>O31</t>
  </si>
  <si>
    <t>L32</t>
  </si>
  <si>
    <t>N32</t>
  </si>
  <si>
    <t>O32</t>
  </si>
  <si>
    <t>L33</t>
  </si>
  <si>
    <t>N33</t>
  </si>
  <si>
    <t>O33</t>
  </si>
  <si>
    <t>C49</t>
  </si>
  <si>
    <t>C56</t>
  </si>
  <si>
    <t>IN_BIL_Gest_25</t>
  </si>
  <si>
    <t>IN_BIL_Com_24</t>
  </si>
  <si>
    <t>IN_BIL_Com_25</t>
  </si>
  <si>
    <t>G34</t>
  </si>
  <si>
    <t>J34</t>
  </si>
  <si>
    <t>C17</t>
  </si>
  <si>
    <t>F17</t>
  </si>
  <si>
    <t>G17</t>
  </si>
  <si>
    <t>J17</t>
  </si>
  <si>
    <t>K79</t>
  </si>
  <si>
    <t>N79</t>
  </si>
  <si>
    <t>K80</t>
  </si>
  <si>
    <t>N80</t>
  </si>
  <si>
    <t>IN_LIC_RCSlic</t>
  </si>
  <si>
    <t>E6</t>
  </si>
  <si>
    <t>J6</t>
  </si>
  <si>
    <t>O6</t>
  </si>
  <si>
    <t>T6</t>
  </si>
  <si>
    <t>E7</t>
  </si>
  <si>
    <t>F7</t>
  </si>
  <si>
    <t>K7</t>
  </si>
  <si>
    <t>P7</t>
  </si>
  <si>
    <t>T7</t>
  </si>
  <si>
    <t>U7</t>
  </si>
  <si>
    <t>E8</t>
  </si>
  <si>
    <t>K8</t>
  </si>
  <si>
    <t>P8</t>
  </si>
  <si>
    <t>T8</t>
  </si>
  <si>
    <t>U8</t>
  </si>
  <si>
    <t>E9</t>
  </si>
  <si>
    <t>T9</t>
  </si>
  <si>
    <t>O24</t>
  </si>
  <si>
    <t>T24</t>
  </si>
  <si>
    <t>P25</t>
  </si>
  <si>
    <t>T25</t>
  </si>
  <si>
    <t>U25</t>
  </si>
  <si>
    <t>P26</t>
  </si>
  <si>
    <t>T26</t>
  </si>
  <si>
    <t>U26</t>
  </si>
  <si>
    <t>O27</t>
  </si>
  <si>
    <t>T27</t>
  </si>
  <si>
    <t>E40</t>
  </si>
  <si>
    <t>E41</t>
  </si>
  <si>
    <t>L41</t>
  </si>
  <si>
    <t>E42</t>
  </si>
  <si>
    <t>L42</t>
  </si>
  <si>
    <t>E43</t>
  </si>
  <si>
    <t>J43</t>
  </si>
  <si>
    <t>E58</t>
  </si>
  <si>
    <t>J58</t>
  </si>
  <si>
    <t>E59</t>
  </si>
  <si>
    <t>F59</t>
  </si>
  <si>
    <t>G59</t>
  </si>
  <si>
    <t>L59</t>
  </si>
  <si>
    <t>E60</t>
  </si>
  <si>
    <t>F60</t>
  </si>
  <si>
    <t>L60</t>
  </si>
  <si>
    <t>E61</t>
  </si>
  <si>
    <t>J61</t>
  </si>
  <si>
    <t>F64</t>
  </si>
  <si>
    <t>K64</t>
  </si>
  <si>
    <t>F65</t>
  </si>
  <si>
    <t>K65</t>
  </si>
  <si>
    <t>C4</t>
  </si>
  <si>
    <t>D4</t>
  </si>
  <si>
    <t>IN_COexp-RC-T</t>
  </si>
  <si>
    <t>G7</t>
  </si>
  <si>
    <t>H7</t>
  </si>
  <si>
    <t>L7</t>
  </si>
  <si>
    <t>H8</t>
  </si>
  <si>
    <t>L8</t>
  </si>
  <si>
    <t>L10</t>
  </si>
  <si>
    <t>L11</t>
  </si>
  <si>
    <t>M11</t>
  </si>
  <si>
    <t>Q11</t>
  </si>
  <si>
    <t>R11</t>
  </si>
  <si>
    <t>V11</t>
  </si>
  <si>
    <t>L12</t>
  </si>
  <si>
    <t>M12</t>
  </si>
  <si>
    <t>V12</t>
  </si>
  <si>
    <t>H16</t>
  </si>
  <si>
    <t>L16</t>
  </si>
  <si>
    <t>M16</t>
  </si>
  <si>
    <t>Q16</t>
  </si>
  <si>
    <t>R16</t>
  </si>
  <si>
    <t>V16</t>
  </si>
  <si>
    <t>H17</t>
  </si>
  <si>
    <t>L17</t>
  </si>
  <si>
    <t>M17</t>
  </si>
  <si>
    <t>Q17</t>
  </si>
  <si>
    <t>R17</t>
  </si>
  <si>
    <t>V17</t>
  </si>
  <si>
    <t>L18</t>
  </si>
  <si>
    <t>M18</t>
  </si>
  <si>
    <t>Q18</t>
  </si>
  <si>
    <t>V18</t>
  </si>
  <si>
    <t>C19</t>
  </si>
  <si>
    <t>L19</t>
  </si>
  <si>
    <t>M19</t>
  </si>
  <si>
    <t>Q19</t>
  </si>
  <si>
    <t>V19</t>
  </si>
  <si>
    <t>C20</t>
  </si>
  <si>
    <t>H20</t>
  </si>
  <si>
    <t>L20</t>
  </si>
  <si>
    <t>M20</t>
  </si>
  <si>
    <t>Q20</t>
  </si>
  <si>
    <t>R20</t>
  </si>
  <si>
    <t>V20</t>
  </si>
  <si>
    <t>L26</t>
  </si>
  <si>
    <t>M26</t>
  </si>
  <si>
    <t>Q26</t>
  </si>
  <si>
    <t>R26</t>
  </si>
  <si>
    <t>V26</t>
  </si>
  <si>
    <t>H34</t>
  </si>
  <si>
    <t>L34</t>
  </si>
  <si>
    <t>H42</t>
  </si>
  <si>
    <t>M42</t>
  </si>
  <si>
    <t>Q42</t>
  </si>
  <si>
    <t>R42</t>
  </si>
  <si>
    <t>V42</t>
  </si>
  <si>
    <t>G47</t>
  </si>
  <si>
    <t>H47</t>
  </si>
  <si>
    <t>L47</t>
  </si>
  <si>
    <t>G48</t>
  </si>
  <si>
    <t>H48</t>
  </si>
  <si>
    <t>L48</t>
  </si>
  <si>
    <t>C64</t>
  </si>
  <si>
    <t>D64</t>
  </si>
  <si>
    <t>E64</t>
  </si>
  <si>
    <t>C65</t>
  </si>
  <si>
    <t>D65</t>
  </si>
  <si>
    <t>E65</t>
  </si>
  <si>
    <t>C72</t>
  </si>
  <si>
    <t>D72</t>
  </si>
  <si>
    <t>E72</t>
  </si>
  <si>
    <t>F72</t>
  </si>
  <si>
    <t>C73</t>
  </si>
  <si>
    <t>D73</t>
  </si>
  <si>
    <t>E73</t>
  </si>
  <si>
    <t>F73</t>
  </si>
  <si>
    <t>C80</t>
  </si>
  <si>
    <t>G80</t>
  </si>
  <si>
    <t>H80</t>
  </si>
  <si>
    <t>L80</t>
  </si>
  <si>
    <t>M80</t>
  </si>
  <si>
    <t>Q80</t>
  </si>
  <si>
    <t>R80</t>
  </si>
  <si>
    <t>V80</t>
  </si>
  <si>
    <t>G3</t>
  </si>
  <si>
    <t>H3</t>
  </si>
  <si>
    <t>L3</t>
  </si>
  <si>
    <t>M3</t>
  </si>
  <si>
    <t>Q3</t>
  </si>
  <si>
    <t>H14</t>
  </si>
  <si>
    <t>L14</t>
  </si>
  <si>
    <t>H15</t>
  </si>
  <si>
    <t>L15</t>
  </si>
  <si>
    <t>G21</t>
  </si>
  <si>
    <t>H21</t>
  </si>
  <si>
    <t>L21</t>
  </si>
  <si>
    <t>L22</t>
  </si>
  <si>
    <t>L23</t>
  </si>
  <si>
    <t>L27</t>
  </si>
  <si>
    <t>M27</t>
  </si>
  <si>
    <t>Q27</t>
  </si>
  <si>
    <t>R27</t>
  </si>
  <si>
    <t>V27</t>
  </si>
  <si>
    <t>L28</t>
  </si>
  <si>
    <t>M28</t>
  </si>
  <si>
    <t>Q28</t>
  </si>
  <si>
    <t>R28</t>
  </si>
  <si>
    <t>V28</t>
  </si>
  <si>
    <t>L29</t>
  </si>
  <si>
    <t>G32</t>
  </si>
  <si>
    <t>H32</t>
  </si>
  <si>
    <t>Q34</t>
  </si>
  <si>
    <t>V34</t>
  </si>
  <si>
    <t>H41</t>
  </si>
  <si>
    <t>M41</t>
  </si>
  <si>
    <t>Q41</t>
  </si>
  <si>
    <t>R41</t>
  </si>
  <si>
    <t>V41</t>
  </si>
  <si>
    <t>G43</t>
  </si>
  <si>
    <t>H43</t>
  </si>
  <si>
    <t>L43</t>
  </si>
  <si>
    <t>G44</t>
  </si>
  <si>
    <t>H44</t>
  </si>
  <si>
    <t>L44</t>
  </si>
  <si>
    <t>G45</t>
  </si>
  <si>
    <t>H45</t>
  </si>
  <si>
    <t>L45</t>
  </si>
  <si>
    <t>G49</t>
  </si>
  <si>
    <t>H49</t>
  </si>
  <si>
    <t>L49</t>
  </si>
  <si>
    <t>C50</t>
  </si>
  <si>
    <t>G50</t>
  </si>
  <si>
    <t>H50</t>
  </si>
  <si>
    <t>L50</t>
  </si>
  <si>
    <t>M50</t>
  </si>
  <si>
    <t>Q50</t>
  </si>
  <si>
    <t>R50</t>
  </si>
  <si>
    <t>V50</t>
  </si>
  <si>
    <t>C51</t>
  </si>
  <si>
    <t>L51</t>
  </si>
  <si>
    <t>C52</t>
  </si>
  <si>
    <t>G52</t>
  </si>
  <si>
    <t>H52</t>
  </si>
  <si>
    <t>L52</t>
  </si>
  <si>
    <t>C53</t>
  </si>
  <si>
    <t>G53</t>
  </si>
  <si>
    <t>H53</t>
  </si>
  <si>
    <t>L53</t>
  </si>
  <si>
    <t>C54</t>
  </si>
  <si>
    <t>G54</t>
  </si>
  <si>
    <t>H54</t>
  </si>
  <si>
    <t>L54</t>
  </si>
  <si>
    <t>C55</t>
  </si>
  <si>
    <t>G55</t>
  </si>
  <si>
    <t>H55</t>
  </si>
  <si>
    <t>L55</t>
  </si>
  <si>
    <t>C62</t>
  </si>
  <si>
    <t>L62</t>
  </si>
  <si>
    <t>M62</t>
  </si>
  <si>
    <t>Q62</t>
  </si>
  <si>
    <t>R62</t>
  </si>
  <si>
    <t>V62</t>
  </si>
  <si>
    <t>C63</t>
  </si>
  <si>
    <t>G63</t>
  </si>
  <si>
    <t>H63</t>
  </si>
  <si>
    <t>L63</t>
  </si>
  <si>
    <t>C67</t>
  </si>
  <si>
    <t>G67</t>
  </si>
  <si>
    <t>H67</t>
  </si>
  <si>
    <t>L67</t>
  </si>
  <si>
    <t>C68</t>
  </si>
  <si>
    <t>G68</t>
  </si>
  <si>
    <t>H68</t>
  </si>
  <si>
    <t>L68</t>
  </si>
  <si>
    <t>C70</t>
  </si>
  <si>
    <t>G70</t>
  </si>
  <si>
    <t>H70</t>
  </si>
  <si>
    <t>L70</t>
  </si>
  <si>
    <t>M70</t>
  </si>
  <si>
    <t>Q70</t>
  </si>
  <si>
    <t>R70</t>
  </si>
  <si>
    <t>V70</t>
  </si>
  <si>
    <t>C71</t>
  </si>
  <si>
    <t>G71</t>
  </si>
  <si>
    <t>H71</t>
  </si>
  <si>
    <t>L71</t>
  </si>
  <si>
    <t>G73</t>
  </si>
  <si>
    <t>L73</t>
  </si>
  <si>
    <t>AC21</t>
  </si>
  <si>
    <t>AG21</t>
  </si>
  <si>
    <t>AC22</t>
  </si>
  <si>
    <t>AG22</t>
  </si>
  <si>
    <t>L30</t>
  </si>
  <si>
    <t>W33</t>
  </si>
  <si>
    <t>AA33</t>
  </si>
  <si>
    <t>M35</t>
  </si>
  <si>
    <t>R35</t>
  </si>
  <si>
    <t>W35</t>
  </si>
  <si>
    <t>AA35</t>
  </si>
  <si>
    <t>M36</t>
  </si>
  <si>
    <t>Q36</t>
  </si>
  <si>
    <t>R36</t>
  </si>
  <si>
    <t>V36</t>
  </si>
  <si>
    <t>W36</t>
  </si>
  <si>
    <t>AA36</t>
  </si>
  <si>
    <t>W38</t>
  </si>
  <si>
    <t>AA38</t>
  </si>
  <si>
    <t>R39</t>
  </si>
  <si>
    <t>V39</t>
  </si>
  <si>
    <t>W39</t>
  </si>
  <si>
    <t>W41</t>
  </si>
  <si>
    <t>AA41</t>
  </si>
  <si>
    <t>D111</t>
  </si>
  <si>
    <t>D112</t>
  </si>
  <si>
    <t>T_ante_detr.4.5</t>
  </si>
  <si>
    <t>C127</t>
  </si>
  <si>
    <t>G127</t>
  </si>
  <si>
    <t>H127</t>
  </si>
  <si>
    <t>L127</t>
  </si>
  <si>
    <t>M127</t>
  </si>
  <si>
    <t>Q127</t>
  </si>
  <si>
    <t>R127</t>
  </si>
  <si>
    <t>V127</t>
  </si>
  <si>
    <t>C128</t>
  </si>
  <si>
    <t>G128</t>
  </si>
  <si>
    <t>H128</t>
  </si>
  <si>
    <t>L128</t>
  </si>
  <si>
    <t>M128</t>
  </si>
  <si>
    <t>Q128</t>
  </si>
  <si>
    <t>R128</t>
  </si>
  <si>
    <t>V128</t>
  </si>
  <si>
    <t>C129</t>
  </si>
  <si>
    <t>G129</t>
  </si>
  <si>
    <t>H129</t>
  </si>
  <si>
    <t>L129</t>
  </si>
  <si>
    <t>M129</t>
  </si>
  <si>
    <t>Q129</t>
  </si>
  <si>
    <t>R129</t>
  </si>
  <si>
    <t>V129</t>
  </si>
  <si>
    <t>Ambiti</t>
  </si>
  <si>
    <t>Import_CO_Comuni</t>
  </si>
  <si>
    <t>Import CO_24</t>
  </si>
  <si>
    <t>Import CO_25</t>
  </si>
  <si>
    <t>CK_GEST</t>
  </si>
  <si>
    <t>Parametri MTR-3</t>
  </si>
  <si>
    <t>CK_COM</t>
  </si>
  <si>
    <t>WACCRID utilizzato per l'aggiornamento della predisipozione tariffaria 2024</t>
  </si>
  <si>
    <t>KDreal utilizzato per l'aggiornamento della predisipozione tariffaria 2024</t>
  </si>
  <si>
    <t>WACCRID utilizzato per l'aggiornamento della predisipozione tariffaria 2025</t>
  </si>
  <si>
    <t>KDreal utilizzato per l'aggiornamento della predisipozione tariffaria 2025</t>
  </si>
  <si>
    <t>IN_COexp</t>
  </si>
  <si>
    <t>Supporto Enti:</t>
  </si>
  <si>
    <t>Informazioni per Export Tool:</t>
  </si>
  <si>
    <t>Import</t>
  </si>
  <si>
    <t>Supporto enti</t>
  </si>
  <si>
    <t>DISPONIBILITà CALCOLO H</t>
  </si>
  <si>
    <t>Eccedenti il limite non rec_2026_GEST</t>
  </si>
  <si>
    <t>Eccedenti il limite non rec_2026_COM</t>
  </si>
  <si>
    <t>Eccedenti il limite non rec_2027_GEST</t>
  </si>
  <si>
    <t>Eccedenti il limite non rec_2027_COM</t>
  </si>
  <si>
    <t>Eccedenti il limite non rec_2028_GEST</t>
  </si>
  <si>
    <t>Eccedenti il limite non rec_2028_COM</t>
  </si>
  <si>
    <t>Eccedenti il limite non rec_2029_GEST</t>
  </si>
  <si>
    <t>Eccedenti il limite non rec_2029_COM</t>
  </si>
  <si>
    <t>Eccedenti il limite rec_2026_GEST</t>
  </si>
  <si>
    <t>Eccedenti il limite rec_2026_COM</t>
  </si>
  <si>
    <t>Eccedenti il limite rec_2027_GEST</t>
  </si>
  <si>
    <t>Eccedenti il limite rec_2027_COM</t>
  </si>
  <si>
    <t>Eccedenti il limite rec_2028_GEST</t>
  </si>
  <si>
    <t>Eccedenti il limite rec_2028_COM</t>
  </si>
  <si>
    <t>Eccedenti il limite rec_2029_GEST</t>
  </si>
  <si>
    <t>Eccedenti il limite rec_2029_COM</t>
  </si>
  <si>
    <t>Eccedenti il limite rinv rec_2026_GEST</t>
  </si>
  <si>
    <t>Eccedenti il limite rinv rec_2026_COM</t>
  </si>
  <si>
    <t>Eccedenti il limite rinv rec_2027_GEST</t>
  </si>
  <si>
    <t>Eccedenti il limite rinv rec_2027_COM</t>
  </si>
  <si>
    <t>Eccedenti il limite rinv rec_2028_GEST</t>
  </si>
  <si>
    <t>Eccedenti il limite rinv rec_2028_COM</t>
  </si>
  <si>
    <t>Eccedenti il limite rinv rec_2029_GEST</t>
  </si>
  <si>
    <t>Eccedenti il limite rinv rec_2029_COM</t>
  </si>
  <si>
    <t>Entrate tariffarie ante detrazioni di cui all'art. 4.5 delibera 397/2025/R/Rif</t>
  </si>
  <si>
    <r>
      <t>∑T</t>
    </r>
    <r>
      <rPr>
        <vertAlign val="subscript"/>
        <sz val="8"/>
        <rFont val="Tahoma"/>
        <family val="2"/>
      </rPr>
      <t>2026</t>
    </r>
    <r>
      <rPr>
        <sz val="8"/>
        <rFont val="Tahoma"/>
        <family val="2"/>
      </rPr>
      <t xml:space="preserve"> totale delle entrate tariffarie variabili - Gestore - Ante Detrazioni art. 4.5 Del. 397</t>
    </r>
  </si>
  <si>
    <r>
      <t>∑T</t>
    </r>
    <r>
      <rPr>
        <vertAlign val="subscript"/>
        <sz val="8"/>
        <rFont val="Tahoma"/>
        <family val="2"/>
      </rPr>
      <t>2026</t>
    </r>
    <r>
      <rPr>
        <sz val="8"/>
        <rFont val="Tahoma"/>
        <family val="2"/>
      </rPr>
      <t xml:space="preserve"> totale delle entrate tariffarie variabili - Comune - Ante Detrazioni art. 4.5 Del. 397</t>
    </r>
  </si>
  <si>
    <r>
      <t>∑T</t>
    </r>
    <r>
      <rPr>
        <b/>
        <vertAlign val="subscript"/>
        <sz val="8"/>
        <rFont val="Tahoma"/>
        <family val="2"/>
      </rPr>
      <t>2026</t>
    </r>
    <r>
      <rPr>
        <b/>
        <sz val="8"/>
        <rFont val="Tahoma"/>
        <family val="2"/>
      </rPr>
      <t xml:space="preserve"> totale delle entrate tariffarie variabili - Ante Detrazioni art. 4.5 Del. 397</t>
    </r>
  </si>
  <si>
    <r>
      <t>∑T</t>
    </r>
    <r>
      <rPr>
        <vertAlign val="subscript"/>
        <sz val="8"/>
        <rFont val="Tahoma"/>
        <family val="2"/>
      </rPr>
      <t>2026</t>
    </r>
    <r>
      <rPr>
        <sz val="8"/>
        <rFont val="Tahoma"/>
        <family val="2"/>
      </rPr>
      <t xml:space="preserve"> totale delle entrate tariffarie fisse - Gestore - Ante Detrazioni art. 4.5 Del. 397</t>
    </r>
  </si>
  <si>
    <r>
      <t>∑T</t>
    </r>
    <r>
      <rPr>
        <vertAlign val="subscript"/>
        <sz val="8"/>
        <rFont val="Tahoma"/>
        <family val="2"/>
      </rPr>
      <t>2026</t>
    </r>
    <r>
      <rPr>
        <sz val="8"/>
        <rFont val="Tahoma"/>
        <family val="2"/>
      </rPr>
      <t xml:space="preserve"> totale delle entrate tariffarie fisse - Comune - Ante Detrazioni art. 4.5 Del. 397</t>
    </r>
  </si>
  <si>
    <r>
      <t>∑T</t>
    </r>
    <r>
      <rPr>
        <b/>
        <vertAlign val="subscript"/>
        <sz val="8"/>
        <rFont val="Tahoma"/>
        <family val="2"/>
      </rPr>
      <t>2026</t>
    </r>
    <r>
      <rPr>
        <b/>
        <sz val="8"/>
        <rFont val="Tahoma"/>
        <family val="2"/>
      </rPr>
      <t xml:space="preserve"> totale delle entrate tariffarie fisse - Ante Detrazioni art. 4.5 Del. 397</t>
    </r>
  </si>
  <si>
    <r>
      <t>∑T</t>
    </r>
    <r>
      <rPr>
        <vertAlign val="subscript"/>
        <sz val="8"/>
        <rFont val="Tahoma"/>
        <family val="2"/>
      </rPr>
      <t>2026</t>
    </r>
    <r>
      <rPr>
        <sz val="8"/>
        <rFont val="Tahoma"/>
        <family val="2"/>
      </rPr>
      <t xml:space="preserve"> totale delle entrate tariffarie (variabili + fisse) - Gestore - Ante Detrazioni art. 4.5 Del. 397</t>
    </r>
  </si>
  <si>
    <r>
      <t>∑T</t>
    </r>
    <r>
      <rPr>
        <vertAlign val="subscript"/>
        <sz val="8"/>
        <rFont val="Tahoma"/>
        <family val="2"/>
      </rPr>
      <t>2026</t>
    </r>
    <r>
      <rPr>
        <sz val="8"/>
        <rFont val="Tahoma"/>
        <family val="2"/>
      </rPr>
      <t xml:space="preserve"> totale delle entrate tariffarie (variabili + fisse) - Comune - Ante Detrazioni art. 4.5 Del. 397</t>
    </r>
  </si>
  <si>
    <r>
      <t>∑T</t>
    </r>
    <r>
      <rPr>
        <b/>
        <vertAlign val="subscript"/>
        <sz val="8"/>
        <rFont val="Tahoma"/>
        <family val="2"/>
      </rPr>
      <t>2026</t>
    </r>
    <r>
      <rPr>
        <b/>
        <sz val="8"/>
        <rFont val="Tahoma"/>
        <family val="2"/>
      </rPr>
      <t xml:space="preserve"> totale delle entrate tariffarie (variabili + fisse) - Ante Detrazioni art. 4.5 Del. 397</t>
    </r>
  </si>
  <si>
    <t>TV_26</t>
  </si>
  <si>
    <t>TF_26</t>
  </si>
  <si>
    <t>X_SG_GEST_26</t>
  </si>
  <si>
    <t>K_SG_GEST_26</t>
  </si>
  <si>
    <t>R_SG_GEST_26</t>
  </si>
  <si>
    <t>RAPP_26_GEST</t>
  </si>
  <si>
    <r>
      <t>Rapporto T</t>
    </r>
    <r>
      <rPr>
        <b/>
        <vertAlign val="subscript"/>
        <sz val="8"/>
        <rFont val="Tahoma"/>
        <family val="2"/>
      </rPr>
      <t>2026</t>
    </r>
    <r>
      <rPr>
        <b/>
        <sz val="8"/>
        <rFont val="Tahoma"/>
        <family val="2"/>
      </rPr>
      <t>/T</t>
    </r>
    <r>
      <rPr>
        <b/>
        <vertAlign val="subscript"/>
        <sz val="8"/>
        <rFont val="Tahoma"/>
        <family val="2"/>
      </rPr>
      <t>2025</t>
    </r>
    <r>
      <rPr>
        <b/>
        <sz val="8"/>
        <rFont val="Tahoma"/>
        <family val="2"/>
      </rPr>
      <t xml:space="preserve"> - Gestore</t>
    </r>
  </si>
  <si>
    <r>
      <rPr>
        <sz val="8"/>
        <rFont val="Tahoma"/>
        <family val="2"/>
      </rPr>
      <t>parametro per la determinazione del limite di crescita –&gt;</t>
    </r>
    <r>
      <rPr>
        <b/>
        <sz val="8"/>
        <rFont val="Tahoma"/>
        <family val="2"/>
      </rPr>
      <t xml:space="preserve"> ρ</t>
    </r>
    <r>
      <rPr>
        <b/>
        <vertAlign val="subscript"/>
        <sz val="8"/>
        <rFont val="Tahoma"/>
        <family val="2"/>
      </rPr>
      <t>2026</t>
    </r>
    <r>
      <rPr>
        <b/>
        <sz val="8"/>
        <rFont val="Tahoma"/>
        <family val="2"/>
      </rPr>
      <t xml:space="preserve"> - Gestore</t>
    </r>
  </si>
  <si>
    <t>Superamento del limite? - Gestore</t>
  </si>
  <si>
    <r>
      <t>Delta (∑T</t>
    </r>
    <r>
      <rPr>
        <b/>
        <i/>
        <vertAlign val="subscript"/>
        <sz val="8"/>
        <rFont val="Tahoma"/>
        <family val="2"/>
      </rPr>
      <t>2026</t>
    </r>
    <r>
      <rPr>
        <b/>
        <i/>
        <sz val="8"/>
        <rFont val="Tahoma"/>
        <family val="2"/>
      </rPr>
      <t xml:space="preserve"> - ∑T</t>
    </r>
    <r>
      <rPr>
        <b/>
        <i/>
        <vertAlign val="subscript"/>
        <sz val="8"/>
        <rFont val="Tahoma"/>
        <family val="2"/>
      </rPr>
      <t>2026 max</t>
    </r>
    <r>
      <rPr>
        <b/>
        <i/>
        <sz val="8"/>
        <rFont val="Tahoma"/>
        <family val="2"/>
      </rPr>
      <t>) - Gestore</t>
    </r>
  </si>
  <si>
    <t>di cui eccedenti il limite non recuperabili (da indicare nel foglio IN_Detr. 4.5 del_397) - Gestore</t>
  </si>
  <si>
    <t>di cui eccedenti il limite rinviabili (da indicare nel foglio IN_Detr. 4.5 del_397 e poi rimodulare) - Gestore</t>
  </si>
  <si>
    <t>di cui eccedenti il limite recuperabili nell'anno 2026 - Gestore</t>
  </si>
  <si>
    <t>OVERCAP_NR_26_GEST</t>
  </si>
  <si>
    <t>OVERCAP_R_26_GEST</t>
  </si>
  <si>
    <t>OVERCAP_RIMD_26_GEST</t>
  </si>
  <si>
    <t>T_ante_detr.4.5_GEST</t>
  </si>
  <si>
    <t>Informazioni per Base Dati PEF 2027:</t>
  </si>
  <si>
    <t>Inflazionare DB PEF 2027?</t>
  </si>
  <si>
    <t>TV_27</t>
  </si>
  <si>
    <r>
      <t>∑T</t>
    </r>
    <r>
      <rPr>
        <vertAlign val="subscript"/>
        <sz val="8"/>
        <rFont val="Tahoma"/>
        <family val="2"/>
      </rPr>
      <t>2027</t>
    </r>
    <r>
      <rPr>
        <sz val="8"/>
        <rFont val="Tahoma"/>
        <family val="2"/>
      </rPr>
      <t xml:space="preserve"> totale delle entrate tariffarie variabili - Gestore - Ante Detrazioni art. 4.5 Del. 397</t>
    </r>
  </si>
  <si>
    <r>
      <t>∑T</t>
    </r>
    <r>
      <rPr>
        <vertAlign val="subscript"/>
        <sz val="8"/>
        <rFont val="Tahoma"/>
        <family val="2"/>
      </rPr>
      <t>2027</t>
    </r>
    <r>
      <rPr>
        <sz val="8"/>
        <rFont val="Tahoma"/>
        <family val="2"/>
      </rPr>
      <t xml:space="preserve"> totale delle entrate tariffarie variabili - Comune - Ante Detrazioni art. 4.5 Del. 397</t>
    </r>
  </si>
  <si>
    <r>
      <t>∑T</t>
    </r>
    <r>
      <rPr>
        <b/>
        <vertAlign val="subscript"/>
        <sz val="8"/>
        <rFont val="Tahoma"/>
        <family val="2"/>
      </rPr>
      <t>2027</t>
    </r>
    <r>
      <rPr>
        <b/>
        <sz val="8"/>
        <rFont val="Tahoma"/>
        <family val="2"/>
      </rPr>
      <t xml:space="preserve"> totale delle entrate tariffarie variabili - Ante Detrazioni art. 4.5 Del. 397</t>
    </r>
  </si>
  <si>
    <r>
      <t>∑T</t>
    </r>
    <r>
      <rPr>
        <vertAlign val="subscript"/>
        <sz val="8"/>
        <rFont val="Tahoma"/>
        <family val="2"/>
      </rPr>
      <t>2027</t>
    </r>
    <r>
      <rPr>
        <sz val="8"/>
        <rFont val="Tahoma"/>
        <family val="2"/>
      </rPr>
      <t xml:space="preserve"> totale delle entrate tariffarie fisse - Gestore - Ante Detrazioni art. 4.5 Del. 397</t>
    </r>
  </si>
  <si>
    <r>
      <t>∑T</t>
    </r>
    <r>
      <rPr>
        <vertAlign val="subscript"/>
        <sz val="8"/>
        <rFont val="Tahoma"/>
        <family val="2"/>
      </rPr>
      <t>2027</t>
    </r>
    <r>
      <rPr>
        <sz val="8"/>
        <rFont val="Tahoma"/>
        <family val="2"/>
      </rPr>
      <t xml:space="preserve"> totale delle entrate tariffarie fisse - Comune - Ante Detrazioni art. 4.5 Del. 397</t>
    </r>
  </si>
  <si>
    <r>
      <t>∑T</t>
    </r>
    <r>
      <rPr>
        <b/>
        <vertAlign val="subscript"/>
        <sz val="8"/>
        <rFont val="Tahoma"/>
        <family val="2"/>
      </rPr>
      <t>2027</t>
    </r>
    <r>
      <rPr>
        <b/>
        <sz val="8"/>
        <rFont val="Tahoma"/>
        <family val="2"/>
      </rPr>
      <t xml:space="preserve"> totale delle entrate tariffarie fisse - Ante Detrazioni art. 4.5 Del. 397</t>
    </r>
  </si>
  <si>
    <r>
      <t>∑T</t>
    </r>
    <r>
      <rPr>
        <vertAlign val="subscript"/>
        <sz val="8"/>
        <rFont val="Tahoma"/>
        <family val="2"/>
      </rPr>
      <t>2027</t>
    </r>
    <r>
      <rPr>
        <sz val="8"/>
        <rFont val="Tahoma"/>
        <family val="2"/>
      </rPr>
      <t xml:space="preserve"> totale delle entrate tariffarie (variabili + fisse) - Gestore - Ante Detrazioni art. 4.5 Del. 397</t>
    </r>
  </si>
  <si>
    <r>
      <t>∑T</t>
    </r>
    <r>
      <rPr>
        <vertAlign val="subscript"/>
        <sz val="8"/>
        <rFont val="Tahoma"/>
        <family val="2"/>
      </rPr>
      <t>2027</t>
    </r>
    <r>
      <rPr>
        <sz val="8"/>
        <rFont val="Tahoma"/>
        <family val="2"/>
      </rPr>
      <t xml:space="preserve"> totale delle entrate tariffarie (variabili + fisse) - Comune - Ante Detrazioni art. 4.5 Del. 397</t>
    </r>
  </si>
  <si>
    <r>
      <t>∑T</t>
    </r>
    <r>
      <rPr>
        <b/>
        <vertAlign val="subscript"/>
        <sz val="8"/>
        <rFont val="Tahoma"/>
        <family val="2"/>
      </rPr>
      <t>2027</t>
    </r>
    <r>
      <rPr>
        <b/>
        <sz val="8"/>
        <rFont val="Tahoma"/>
        <family val="2"/>
      </rPr>
      <t xml:space="preserve"> totale delle entrate tariffarie (variabili + fisse) - Ante Detrazioni art. 4.5 Del. 397</t>
    </r>
  </si>
  <si>
    <r>
      <t>∑T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totale delle entrate tariffarie variabili</t>
    </r>
  </si>
  <si>
    <r>
      <t>∑T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totale delle entrate tariffarie fisse</t>
    </r>
  </si>
  <si>
    <r>
      <t>∑T</t>
    </r>
    <r>
      <rPr>
        <b/>
        <i/>
        <vertAlign val="subscript"/>
        <sz val="8"/>
        <rFont val="Tahoma"/>
        <family val="2"/>
      </rPr>
      <t>2026</t>
    </r>
    <r>
      <rPr>
        <b/>
        <i/>
        <sz val="8"/>
        <rFont val="Tahoma"/>
        <family val="2"/>
      </rPr>
      <t xml:space="preserve"> totale delle entrate tariffarie (variabili + fisse)</t>
    </r>
  </si>
  <si>
    <t>TF_27</t>
  </si>
  <si>
    <t>T_27</t>
  </si>
  <si>
    <t>X_SG_GEST_27</t>
  </si>
  <si>
    <t>K_SG_GEST_27</t>
  </si>
  <si>
    <t>R_SG_GEST_27</t>
  </si>
  <si>
    <t>RAPP_27_GEST</t>
  </si>
  <si>
    <t>OVERCAP_NR_27_GEST</t>
  </si>
  <si>
    <t>OVERCAP_R_27_GEST</t>
  </si>
  <si>
    <t>OVERCAP_RIMD_27_GEST</t>
  </si>
  <si>
    <r>
      <rPr>
        <sz val="8"/>
        <rFont val="Tahoma"/>
        <family val="2"/>
      </rPr>
      <t>parametro per la determinazione del limite di crescita –&gt;</t>
    </r>
    <r>
      <rPr>
        <b/>
        <sz val="8"/>
        <rFont val="Tahoma"/>
        <family val="2"/>
      </rPr>
      <t xml:space="preserve"> ρ</t>
    </r>
    <r>
      <rPr>
        <b/>
        <vertAlign val="subscript"/>
        <sz val="8"/>
        <rFont val="Tahoma"/>
        <family val="2"/>
      </rPr>
      <t>2027</t>
    </r>
    <r>
      <rPr>
        <b/>
        <sz val="8"/>
        <rFont val="Tahoma"/>
        <family val="2"/>
      </rPr>
      <t xml:space="preserve"> - Gestore</t>
    </r>
  </si>
  <si>
    <r>
      <t>Rapporto T</t>
    </r>
    <r>
      <rPr>
        <b/>
        <vertAlign val="subscript"/>
        <sz val="8"/>
        <rFont val="Tahoma"/>
        <family val="2"/>
      </rPr>
      <t>2027</t>
    </r>
    <r>
      <rPr>
        <b/>
        <sz val="8"/>
        <rFont val="Tahoma"/>
        <family val="2"/>
      </rPr>
      <t>/T</t>
    </r>
    <r>
      <rPr>
        <b/>
        <vertAlign val="subscript"/>
        <sz val="8"/>
        <rFont val="Tahoma"/>
        <family val="2"/>
      </rPr>
      <t>2026</t>
    </r>
    <r>
      <rPr>
        <b/>
        <sz val="8"/>
        <rFont val="Tahoma"/>
        <family val="2"/>
      </rPr>
      <t xml:space="preserve"> - Gestore</t>
    </r>
  </si>
  <si>
    <r>
      <t>Delta (∑T</t>
    </r>
    <r>
      <rPr>
        <b/>
        <i/>
        <vertAlign val="subscript"/>
        <sz val="8"/>
        <rFont val="Tahoma"/>
        <family val="2"/>
      </rPr>
      <t>2027</t>
    </r>
    <r>
      <rPr>
        <b/>
        <i/>
        <sz val="8"/>
        <rFont val="Tahoma"/>
        <family val="2"/>
      </rPr>
      <t xml:space="preserve"> - ∑T</t>
    </r>
    <r>
      <rPr>
        <b/>
        <i/>
        <vertAlign val="subscript"/>
        <sz val="8"/>
        <rFont val="Tahoma"/>
        <family val="2"/>
      </rPr>
      <t>2027 max</t>
    </r>
    <r>
      <rPr>
        <b/>
        <i/>
        <sz val="8"/>
        <rFont val="Tahoma"/>
        <family val="2"/>
      </rPr>
      <t>) - Gestore</t>
    </r>
  </si>
  <si>
    <t>di cui eccedenti il limite recuperabili nell'anno 2027 - Gestore</t>
  </si>
  <si>
    <t>T_26_GEST_DEF_PR</t>
  </si>
  <si>
    <t>T_26_COM_DEF_PR</t>
  </si>
  <si>
    <r>
      <t xml:space="preserve">Tariffe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Comune - dopo distribuzione delta - Post Rettifiche</t>
    </r>
  </si>
  <si>
    <r>
      <t xml:space="preserve">Tariffe </t>
    </r>
    <r>
      <rPr>
        <i/>
        <vertAlign val="subscript"/>
        <sz val="8"/>
        <rFont val="Tahoma"/>
        <family val="2"/>
      </rPr>
      <t>2026</t>
    </r>
    <r>
      <rPr>
        <i/>
        <sz val="8"/>
        <rFont val="Tahoma"/>
        <family val="2"/>
      </rPr>
      <t xml:space="preserve"> - Gestore - dopo distribuzione delta - Post Rettifiche</t>
    </r>
  </si>
  <si>
    <t>T_27_GEST_DEF_PR</t>
  </si>
  <si>
    <t>T_27_COM_DEF_PR</t>
  </si>
  <si>
    <t>T_28_GEST_DEF_PR</t>
  </si>
  <si>
    <t>T_28_COM_DEF_PR</t>
  </si>
  <si>
    <r>
      <t xml:space="preserve">Tariffe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Gestore - dopo distribuzione delta - Post Rettifiche</t>
    </r>
  </si>
  <si>
    <r>
      <t xml:space="preserve">Tariffe 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- Comune - dopo distribuzione delta - Post Rettifiche</t>
    </r>
  </si>
  <si>
    <r>
      <t xml:space="preserve">Tariffe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Gestore - dopo distribuzione delta - Post Rettifiche</t>
    </r>
  </si>
  <si>
    <r>
      <t xml:space="preserve">Tariffe 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- Comune - dopo distribuzione delta - Post Rettifiche</t>
    </r>
  </si>
  <si>
    <t>TV_28</t>
  </si>
  <si>
    <t>TF_28</t>
  </si>
  <si>
    <t>T_28</t>
  </si>
  <si>
    <r>
      <t>∑T</t>
    </r>
    <r>
      <rPr>
        <vertAlign val="subscript"/>
        <sz val="8"/>
        <rFont val="Tahoma"/>
        <family val="2"/>
      </rPr>
      <t>2028</t>
    </r>
    <r>
      <rPr>
        <sz val="8"/>
        <rFont val="Tahoma"/>
        <family val="2"/>
      </rPr>
      <t xml:space="preserve"> totale delle entrate tariffarie variabili - Gestore - Ante Detrazioni art. 4.5 Del. 397</t>
    </r>
  </si>
  <si>
    <r>
      <t>∑T</t>
    </r>
    <r>
      <rPr>
        <vertAlign val="subscript"/>
        <sz val="8"/>
        <rFont val="Tahoma"/>
        <family val="2"/>
      </rPr>
      <t>2028</t>
    </r>
    <r>
      <rPr>
        <sz val="8"/>
        <rFont val="Tahoma"/>
        <family val="2"/>
      </rPr>
      <t xml:space="preserve"> totale delle entrate tariffarie variabili - Comune - Ante Detrazioni art. 4.5 Del. 397</t>
    </r>
  </si>
  <si>
    <r>
      <t>∑T</t>
    </r>
    <r>
      <rPr>
        <b/>
        <vertAlign val="subscript"/>
        <sz val="8"/>
        <rFont val="Tahoma"/>
        <family val="2"/>
      </rPr>
      <t>2028</t>
    </r>
    <r>
      <rPr>
        <b/>
        <sz val="8"/>
        <rFont val="Tahoma"/>
        <family val="2"/>
      </rPr>
      <t xml:space="preserve"> totale delle entrate tariffarie variabili - Ante Detrazioni art. 4.5 Del. 397</t>
    </r>
  </si>
  <si>
    <r>
      <t>∑T</t>
    </r>
    <r>
      <rPr>
        <vertAlign val="subscript"/>
        <sz val="8"/>
        <rFont val="Tahoma"/>
        <family val="2"/>
      </rPr>
      <t>2028</t>
    </r>
    <r>
      <rPr>
        <sz val="8"/>
        <rFont val="Tahoma"/>
        <family val="2"/>
      </rPr>
      <t xml:space="preserve"> totale delle entrate tariffarie fisse - Gestore - Ante Detrazioni art. 4.5 Del. 397</t>
    </r>
  </si>
  <si>
    <r>
      <t>∑T</t>
    </r>
    <r>
      <rPr>
        <vertAlign val="subscript"/>
        <sz val="8"/>
        <rFont val="Tahoma"/>
        <family val="2"/>
      </rPr>
      <t>2028</t>
    </r>
    <r>
      <rPr>
        <sz val="8"/>
        <rFont val="Tahoma"/>
        <family val="2"/>
      </rPr>
      <t xml:space="preserve"> totale delle entrate tariffarie fisse - Comune - Ante Detrazioni art. 4.5 Del. 397</t>
    </r>
  </si>
  <si>
    <r>
      <t>∑T</t>
    </r>
    <r>
      <rPr>
        <b/>
        <vertAlign val="subscript"/>
        <sz val="8"/>
        <rFont val="Tahoma"/>
        <family val="2"/>
      </rPr>
      <t>2028</t>
    </r>
    <r>
      <rPr>
        <b/>
        <sz val="8"/>
        <rFont val="Tahoma"/>
        <family val="2"/>
      </rPr>
      <t xml:space="preserve"> totale delle entrate tariffarie fisse - Ante Detrazioni art. 4.5 Del. 397</t>
    </r>
  </si>
  <si>
    <r>
      <t>∑T</t>
    </r>
    <r>
      <rPr>
        <vertAlign val="subscript"/>
        <sz val="8"/>
        <rFont val="Tahoma"/>
        <family val="2"/>
      </rPr>
      <t>2028</t>
    </r>
    <r>
      <rPr>
        <sz val="8"/>
        <rFont val="Tahoma"/>
        <family val="2"/>
      </rPr>
      <t xml:space="preserve"> totale delle entrate tariffarie (variabili + fisse) - Gestore - Ante Detrazioni art. 4.5 Del. 397</t>
    </r>
  </si>
  <si>
    <r>
      <t>∑T</t>
    </r>
    <r>
      <rPr>
        <vertAlign val="subscript"/>
        <sz val="8"/>
        <rFont val="Tahoma"/>
        <family val="2"/>
      </rPr>
      <t>2028</t>
    </r>
    <r>
      <rPr>
        <sz val="8"/>
        <rFont val="Tahoma"/>
        <family val="2"/>
      </rPr>
      <t xml:space="preserve"> totale delle entrate tariffarie (variabili + fisse) - Comune - Ante Detrazioni art. 4.5 Del. 397</t>
    </r>
  </si>
  <si>
    <r>
      <t>∑T</t>
    </r>
    <r>
      <rPr>
        <b/>
        <vertAlign val="subscript"/>
        <sz val="8"/>
        <rFont val="Tahoma"/>
        <family val="2"/>
      </rPr>
      <t>2028</t>
    </r>
    <r>
      <rPr>
        <b/>
        <sz val="8"/>
        <rFont val="Tahoma"/>
        <family val="2"/>
      </rPr>
      <t xml:space="preserve"> totale delle entrate tariffarie (variabili + fisse) - Ante Detrazioni art. 4.5 Del. 397</t>
    </r>
  </si>
  <si>
    <r>
      <t>∑T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totale delle entrate tariffarie variabili</t>
    </r>
  </si>
  <si>
    <r>
      <t>∑T</t>
    </r>
    <r>
      <rPr>
        <i/>
        <vertAlign val="subscript"/>
        <sz val="8"/>
        <rFont val="Tahoma"/>
        <family val="2"/>
      </rPr>
      <t>2027</t>
    </r>
    <r>
      <rPr>
        <i/>
        <sz val="8"/>
        <rFont val="Tahoma"/>
        <family val="2"/>
      </rPr>
      <t xml:space="preserve"> totale delle entrate tariffarie fisse</t>
    </r>
  </si>
  <si>
    <r>
      <t>∑T</t>
    </r>
    <r>
      <rPr>
        <b/>
        <i/>
        <vertAlign val="subscript"/>
        <sz val="8"/>
        <rFont val="Tahoma"/>
        <family val="2"/>
      </rPr>
      <t>2027</t>
    </r>
    <r>
      <rPr>
        <b/>
        <i/>
        <sz val="8"/>
        <rFont val="Tahoma"/>
        <family val="2"/>
      </rPr>
      <t xml:space="preserve"> totale delle entrate tariffarie (variabili + fisse)</t>
    </r>
  </si>
  <si>
    <t>X_SG_GEST_28</t>
  </si>
  <si>
    <t>K_SG_GEST_28</t>
  </si>
  <si>
    <t>R_SG_GEST_28</t>
  </si>
  <si>
    <t>RAPP_28_GEST</t>
  </si>
  <si>
    <r>
      <t>Rapporto T</t>
    </r>
    <r>
      <rPr>
        <b/>
        <vertAlign val="subscript"/>
        <sz val="8"/>
        <rFont val="Tahoma"/>
        <family val="2"/>
      </rPr>
      <t>2028</t>
    </r>
    <r>
      <rPr>
        <b/>
        <sz val="8"/>
        <rFont val="Tahoma"/>
        <family val="2"/>
      </rPr>
      <t>/T</t>
    </r>
    <r>
      <rPr>
        <b/>
        <vertAlign val="subscript"/>
        <sz val="8"/>
        <rFont val="Tahoma"/>
        <family val="2"/>
      </rPr>
      <t>2027</t>
    </r>
    <r>
      <rPr>
        <b/>
        <sz val="8"/>
        <rFont val="Tahoma"/>
        <family val="2"/>
      </rPr>
      <t xml:space="preserve"> - Gestore</t>
    </r>
  </si>
  <si>
    <r>
      <rPr>
        <sz val="8"/>
        <rFont val="Tahoma"/>
        <family val="2"/>
      </rPr>
      <t>parametro per la determinazione del limite di crescita –&gt;</t>
    </r>
    <r>
      <rPr>
        <b/>
        <sz val="8"/>
        <rFont val="Tahoma"/>
        <family val="2"/>
      </rPr>
      <t xml:space="preserve"> ρ</t>
    </r>
    <r>
      <rPr>
        <b/>
        <vertAlign val="subscript"/>
        <sz val="8"/>
        <rFont val="Tahoma"/>
        <family val="2"/>
      </rPr>
      <t>2028</t>
    </r>
    <r>
      <rPr>
        <b/>
        <sz val="8"/>
        <rFont val="Tahoma"/>
        <family val="2"/>
      </rPr>
      <t xml:space="preserve"> - Gestore</t>
    </r>
  </si>
  <si>
    <t>OVERCAP_NR_28_GEST</t>
  </si>
  <si>
    <t>OVERCAP_R_28_GEST</t>
  </si>
  <si>
    <t>OVERCAP_RIMD_28_GEST</t>
  </si>
  <si>
    <r>
      <t>Delta (∑T</t>
    </r>
    <r>
      <rPr>
        <b/>
        <i/>
        <vertAlign val="subscript"/>
        <sz val="8"/>
        <rFont val="Tahoma"/>
        <family val="2"/>
      </rPr>
      <t>2028</t>
    </r>
    <r>
      <rPr>
        <b/>
        <i/>
        <sz val="8"/>
        <rFont val="Tahoma"/>
        <family val="2"/>
      </rPr>
      <t xml:space="preserve"> - ∑T</t>
    </r>
    <r>
      <rPr>
        <b/>
        <i/>
        <vertAlign val="subscript"/>
        <sz val="8"/>
        <rFont val="Tahoma"/>
        <family val="2"/>
      </rPr>
      <t>2028 max</t>
    </r>
    <r>
      <rPr>
        <b/>
        <i/>
        <sz val="8"/>
        <rFont val="Tahoma"/>
        <family val="2"/>
      </rPr>
      <t>) - Gestore</t>
    </r>
  </si>
  <si>
    <t>di cui eccedenti il limite recuperabili nell'anno 2028 - Gestore</t>
  </si>
  <si>
    <t>TV_29</t>
  </si>
  <si>
    <t>TF_29</t>
  </si>
  <si>
    <t>T_29</t>
  </si>
  <si>
    <t>X_SG_GEST_29</t>
  </si>
  <si>
    <t>K_SG_GEST_29</t>
  </si>
  <si>
    <t>R_SG_GEST_29</t>
  </si>
  <si>
    <t>RAPP_29_GEST</t>
  </si>
  <si>
    <t>OVERCAP_NR_29_GEST</t>
  </si>
  <si>
    <t>OVERCAP_R_29_GEST</t>
  </si>
  <si>
    <t>OVERCAP_RIMD_29_GEST</t>
  </si>
  <si>
    <r>
      <t>∑T</t>
    </r>
    <r>
      <rPr>
        <vertAlign val="subscript"/>
        <sz val="8"/>
        <rFont val="Tahoma"/>
        <family val="2"/>
      </rPr>
      <t>2029</t>
    </r>
    <r>
      <rPr>
        <sz val="8"/>
        <rFont val="Tahoma"/>
        <family val="2"/>
      </rPr>
      <t xml:space="preserve"> totale delle entrate tariffarie variabili - Gestore - Ante Detrazioni art. 4.5 Del. 397</t>
    </r>
  </si>
  <si>
    <r>
      <t>∑T</t>
    </r>
    <r>
      <rPr>
        <vertAlign val="subscript"/>
        <sz val="8"/>
        <rFont val="Tahoma"/>
        <family val="2"/>
      </rPr>
      <t>2029</t>
    </r>
    <r>
      <rPr>
        <sz val="8"/>
        <rFont val="Tahoma"/>
        <family val="2"/>
      </rPr>
      <t xml:space="preserve"> totale delle entrate tariffarie variabili - Comune - Ante Detrazioni art. 4.5 Del. 397</t>
    </r>
  </si>
  <si>
    <r>
      <t>∑T</t>
    </r>
    <r>
      <rPr>
        <b/>
        <vertAlign val="subscript"/>
        <sz val="8"/>
        <rFont val="Tahoma"/>
        <family val="2"/>
      </rPr>
      <t>2029</t>
    </r>
    <r>
      <rPr>
        <b/>
        <sz val="8"/>
        <rFont val="Tahoma"/>
        <family val="2"/>
      </rPr>
      <t xml:space="preserve"> totale delle entrate tariffarie variabili - Ante Detrazioni art. 4.5 Del. 397</t>
    </r>
  </si>
  <si>
    <r>
      <t>∑T</t>
    </r>
    <r>
      <rPr>
        <vertAlign val="subscript"/>
        <sz val="8"/>
        <rFont val="Tahoma"/>
        <family val="2"/>
      </rPr>
      <t>2029</t>
    </r>
    <r>
      <rPr>
        <sz val="8"/>
        <rFont val="Tahoma"/>
        <family val="2"/>
      </rPr>
      <t xml:space="preserve"> totale delle entrate tariffarie fisse - Gestore - Ante Detrazioni art. 4.5 Del. 397</t>
    </r>
  </si>
  <si>
    <r>
      <t>∑T</t>
    </r>
    <r>
      <rPr>
        <vertAlign val="subscript"/>
        <sz val="8"/>
        <rFont val="Tahoma"/>
        <family val="2"/>
      </rPr>
      <t>2029</t>
    </r>
    <r>
      <rPr>
        <sz val="8"/>
        <rFont val="Tahoma"/>
        <family val="2"/>
      </rPr>
      <t xml:space="preserve"> totale delle entrate tariffarie fisse - Comune - Ante Detrazioni art. 4.5 Del. 397</t>
    </r>
  </si>
  <si>
    <r>
      <t>∑T</t>
    </r>
    <r>
      <rPr>
        <b/>
        <vertAlign val="subscript"/>
        <sz val="8"/>
        <rFont val="Tahoma"/>
        <family val="2"/>
      </rPr>
      <t>2029</t>
    </r>
    <r>
      <rPr>
        <b/>
        <sz val="8"/>
        <rFont val="Tahoma"/>
        <family val="2"/>
      </rPr>
      <t xml:space="preserve"> totale delle entrate tariffarie fisse - Ante Detrazioni art. 4.5 Del. 397</t>
    </r>
  </si>
  <si>
    <r>
      <t>∑T</t>
    </r>
    <r>
      <rPr>
        <vertAlign val="subscript"/>
        <sz val="8"/>
        <rFont val="Tahoma"/>
        <family val="2"/>
      </rPr>
      <t>2029</t>
    </r>
    <r>
      <rPr>
        <sz val="8"/>
        <rFont val="Tahoma"/>
        <family val="2"/>
      </rPr>
      <t xml:space="preserve"> totale delle entrate tariffarie (variabili + fisse) - Gestore - Ante Detrazioni art. 4.5 Del. 397</t>
    </r>
  </si>
  <si>
    <r>
      <t>∑T</t>
    </r>
    <r>
      <rPr>
        <vertAlign val="subscript"/>
        <sz val="8"/>
        <rFont val="Tahoma"/>
        <family val="2"/>
      </rPr>
      <t>2029</t>
    </r>
    <r>
      <rPr>
        <sz val="8"/>
        <rFont val="Tahoma"/>
        <family val="2"/>
      </rPr>
      <t xml:space="preserve"> totale delle entrate tariffarie (variabili + fisse) - Comune - Ante Detrazioni art. 4.5 Del. 397</t>
    </r>
  </si>
  <si>
    <r>
      <t>∑T</t>
    </r>
    <r>
      <rPr>
        <b/>
        <vertAlign val="subscript"/>
        <sz val="8"/>
        <rFont val="Tahoma"/>
        <family val="2"/>
      </rPr>
      <t>2029</t>
    </r>
    <r>
      <rPr>
        <b/>
        <sz val="8"/>
        <rFont val="Tahoma"/>
        <family val="2"/>
      </rPr>
      <t xml:space="preserve"> totale delle entrate tariffarie (variabili + fisse) - Ante Detrazioni art. 4.5 Del. 397</t>
    </r>
  </si>
  <si>
    <r>
      <t>∑T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totale delle entrate tariffarie variabili</t>
    </r>
  </si>
  <si>
    <r>
      <t>∑T</t>
    </r>
    <r>
      <rPr>
        <i/>
        <vertAlign val="subscript"/>
        <sz val="8"/>
        <rFont val="Tahoma"/>
        <family val="2"/>
      </rPr>
      <t>2028</t>
    </r>
    <r>
      <rPr>
        <i/>
        <sz val="8"/>
        <rFont val="Tahoma"/>
        <family val="2"/>
      </rPr>
      <t xml:space="preserve"> totale delle entrate tariffarie fisse</t>
    </r>
  </si>
  <si>
    <r>
      <t>∑T</t>
    </r>
    <r>
      <rPr>
        <b/>
        <i/>
        <vertAlign val="subscript"/>
        <sz val="8"/>
        <rFont val="Tahoma"/>
        <family val="2"/>
      </rPr>
      <t>2028</t>
    </r>
    <r>
      <rPr>
        <b/>
        <i/>
        <sz val="8"/>
        <rFont val="Tahoma"/>
        <family val="2"/>
      </rPr>
      <t xml:space="preserve"> totale delle entrate tariffarie (variabili + fisse)</t>
    </r>
  </si>
  <si>
    <r>
      <rPr>
        <sz val="8"/>
        <rFont val="Tahoma"/>
        <family val="2"/>
      </rPr>
      <t>parametro per la determinazione del limite di crescita –&gt;</t>
    </r>
    <r>
      <rPr>
        <b/>
        <sz val="8"/>
        <rFont val="Tahoma"/>
        <family val="2"/>
      </rPr>
      <t xml:space="preserve"> ρ</t>
    </r>
    <r>
      <rPr>
        <b/>
        <vertAlign val="subscript"/>
        <sz val="8"/>
        <rFont val="Tahoma"/>
        <family val="2"/>
      </rPr>
      <t>2029</t>
    </r>
    <r>
      <rPr>
        <b/>
        <sz val="8"/>
        <rFont val="Tahoma"/>
        <family val="2"/>
      </rPr>
      <t xml:space="preserve"> - Gestore</t>
    </r>
  </si>
  <si>
    <r>
      <t>Rapporto T</t>
    </r>
    <r>
      <rPr>
        <b/>
        <vertAlign val="subscript"/>
        <sz val="8"/>
        <rFont val="Tahoma"/>
        <family val="2"/>
      </rPr>
      <t>2029</t>
    </r>
    <r>
      <rPr>
        <b/>
        <sz val="8"/>
        <rFont val="Tahoma"/>
        <family val="2"/>
      </rPr>
      <t>/T</t>
    </r>
    <r>
      <rPr>
        <b/>
        <vertAlign val="subscript"/>
        <sz val="8"/>
        <rFont val="Tahoma"/>
        <family val="2"/>
      </rPr>
      <t>2028</t>
    </r>
    <r>
      <rPr>
        <b/>
        <sz val="8"/>
        <rFont val="Tahoma"/>
        <family val="2"/>
      </rPr>
      <t xml:space="preserve"> - Gestore</t>
    </r>
  </si>
  <si>
    <r>
      <t>Delta (∑T</t>
    </r>
    <r>
      <rPr>
        <b/>
        <i/>
        <vertAlign val="subscript"/>
        <sz val="8"/>
        <rFont val="Tahoma"/>
        <family val="2"/>
      </rPr>
      <t>2029</t>
    </r>
    <r>
      <rPr>
        <b/>
        <i/>
        <sz val="8"/>
        <rFont val="Tahoma"/>
        <family val="2"/>
      </rPr>
      <t xml:space="preserve"> - ∑T</t>
    </r>
    <r>
      <rPr>
        <b/>
        <i/>
        <vertAlign val="subscript"/>
        <sz val="8"/>
        <rFont val="Tahoma"/>
        <family val="2"/>
      </rPr>
      <t>2029 max</t>
    </r>
    <r>
      <rPr>
        <b/>
        <i/>
        <sz val="8"/>
        <rFont val="Tahoma"/>
        <family val="2"/>
      </rPr>
      <t>) - Gestore</t>
    </r>
  </si>
  <si>
    <t>di cui eccedenti il limite recuperabili nell'anno 2029 - Gestore</t>
  </si>
  <si>
    <t>T_ante_detr.4.5_COM</t>
  </si>
  <si>
    <t>X_SG_COM_26</t>
  </si>
  <si>
    <t>K_SG_COM_26</t>
  </si>
  <si>
    <t>R_SG_COM_26</t>
  </si>
  <si>
    <t>RAPP_26_COM</t>
  </si>
  <si>
    <t>OVERCAP_NR_26_COM</t>
  </si>
  <si>
    <t>OVERCAP_R_26_COM</t>
  </si>
  <si>
    <t>OVERCAP_RIMD_26_COM</t>
  </si>
  <si>
    <t>X_SG_COM_27</t>
  </si>
  <si>
    <t>K_SG_COM_27</t>
  </si>
  <si>
    <t>R_SG_COM_27</t>
  </si>
  <si>
    <t>RAPP_27_COM</t>
  </si>
  <si>
    <t>OVERCAP_NR_27_COM</t>
  </si>
  <si>
    <t>OVERCAP_R_27_COM</t>
  </si>
  <si>
    <t>OVERCAP_RIMD_27_COM</t>
  </si>
  <si>
    <t>X_SG_COM_28</t>
  </si>
  <si>
    <t>K_SG_COM_28</t>
  </si>
  <si>
    <t>R_SG_COM_28</t>
  </si>
  <si>
    <t>RAPP_28_COM</t>
  </si>
  <si>
    <t>OVERCAP_NR_28_COM</t>
  </si>
  <si>
    <t>OVERCAP_R_28_COM</t>
  </si>
  <si>
    <t>OVERCAP_RIMD_28_COM</t>
  </si>
  <si>
    <t>X_SG_COM_29</t>
  </si>
  <si>
    <t>K_SG_COM_29</t>
  </si>
  <si>
    <t>R_SG_COM_29</t>
  </si>
  <si>
    <t>RAPP_29_COM</t>
  </si>
  <si>
    <t>OVERCAP_NR_29_COM</t>
  </si>
  <si>
    <t>OVERCAP_R_29_COM</t>
  </si>
  <si>
    <t>OVERCAP_RIMD_29_COM</t>
  </si>
  <si>
    <r>
      <rPr>
        <sz val="8"/>
        <rFont val="Tahoma"/>
        <family val="2"/>
      </rPr>
      <t>parametro per la determinazione del limite di crescita –&gt;</t>
    </r>
    <r>
      <rPr>
        <b/>
        <sz val="8"/>
        <rFont val="Tahoma"/>
        <family val="2"/>
      </rPr>
      <t xml:space="preserve"> ρ</t>
    </r>
    <r>
      <rPr>
        <b/>
        <vertAlign val="subscript"/>
        <sz val="8"/>
        <rFont val="Tahoma"/>
        <family val="2"/>
      </rPr>
      <t>2026</t>
    </r>
    <r>
      <rPr>
        <b/>
        <sz val="8"/>
        <rFont val="Tahoma"/>
        <family val="2"/>
      </rPr>
      <t xml:space="preserve"> - Comune</t>
    </r>
  </si>
  <si>
    <r>
      <t>Rapporto T</t>
    </r>
    <r>
      <rPr>
        <b/>
        <vertAlign val="subscript"/>
        <sz val="8"/>
        <rFont val="Tahoma"/>
        <family val="2"/>
      </rPr>
      <t>2026</t>
    </r>
    <r>
      <rPr>
        <b/>
        <sz val="8"/>
        <rFont val="Tahoma"/>
        <family val="2"/>
      </rPr>
      <t>/T</t>
    </r>
    <r>
      <rPr>
        <b/>
        <vertAlign val="subscript"/>
        <sz val="8"/>
        <rFont val="Tahoma"/>
        <family val="2"/>
      </rPr>
      <t>2025</t>
    </r>
    <r>
      <rPr>
        <b/>
        <sz val="8"/>
        <rFont val="Tahoma"/>
        <family val="2"/>
      </rPr>
      <t xml:space="preserve"> - Comune</t>
    </r>
  </si>
  <si>
    <r>
      <t>Delta (∑T</t>
    </r>
    <r>
      <rPr>
        <b/>
        <i/>
        <vertAlign val="subscript"/>
        <sz val="8"/>
        <rFont val="Tahoma"/>
        <family val="2"/>
      </rPr>
      <t>2026</t>
    </r>
    <r>
      <rPr>
        <b/>
        <i/>
        <sz val="8"/>
        <rFont val="Tahoma"/>
        <family val="2"/>
      </rPr>
      <t xml:space="preserve"> - ∑T</t>
    </r>
    <r>
      <rPr>
        <b/>
        <i/>
        <vertAlign val="subscript"/>
        <sz val="8"/>
        <rFont val="Tahoma"/>
        <family val="2"/>
      </rPr>
      <t>2026 max</t>
    </r>
    <r>
      <rPr>
        <b/>
        <i/>
        <sz val="8"/>
        <rFont val="Tahoma"/>
        <family val="2"/>
      </rPr>
      <t>) - Comune</t>
    </r>
  </si>
  <si>
    <t>di cui eccedenti il limite non recuperabili (da indicare nel foglio IN_Detr. 4.5 del_397) - Comune</t>
  </si>
  <si>
    <t>di cui eccedenti il limite recuperabili nell'anno 2026 - Comune</t>
  </si>
  <si>
    <t>di cui eccedenti il limite rinviabili (da indicare nel foglio IN_Detr. 4.5 del_397 e poi rimodulare) - Comune</t>
  </si>
  <si>
    <r>
      <rPr>
        <sz val="8"/>
        <rFont val="Tahoma"/>
        <family val="2"/>
      </rPr>
      <t>parametro per la determinazione del limite di crescita –&gt;</t>
    </r>
    <r>
      <rPr>
        <b/>
        <sz val="8"/>
        <rFont val="Tahoma"/>
        <family val="2"/>
      </rPr>
      <t xml:space="preserve"> ρ</t>
    </r>
    <r>
      <rPr>
        <b/>
        <vertAlign val="subscript"/>
        <sz val="8"/>
        <rFont val="Tahoma"/>
        <family val="2"/>
      </rPr>
      <t>2027</t>
    </r>
    <r>
      <rPr>
        <b/>
        <sz val="8"/>
        <rFont val="Tahoma"/>
        <family val="2"/>
      </rPr>
      <t xml:space="preserve"> - Comune</t>
    </r>
  </si>
  <si>
    <r>
      <t>Rapporto T</t>
    </r>
    <r>
      <rPr>
        <b/>
        <vertAlign val="subscript"/>
        <sz val="8"/>
        <rFont val="Tahoma"/>
        <family val="2"/>
      </rPr>
      <t>2027</t>
    </r>
    <r>
      <rPr>
        <b/>
        <sz val="8"/>
        <rFont val="Tahoma"/>
        <family val="2"/>
      </rPr>
      <t>/T</t>
    </r>
    <r>
      <rPr>
        <b/>
        <vertAlign val="subscript"/>
        <sz val="8"/>
        <rFont val="Tahoma"/>
        <family val="2"/>
      </rPr>
      <t>2026</t>
    </r>
    <r>
      <rPr>
        <b/>
        <sz val="8"/>
        <rFont val="Tahoma"/>
        <family val="2"/>
      </rPr>
      <t xml:space="preserve"> - Comune</t>
    </r>
  </si>
  <si>
    <t>Superamento del limite? - Comune</t>
  </si>
  <si>
    <r>
      <t>Delta (∑T</t>
    </r>
    <r>
      <rPr>
        <b/>
        <i/>
        <vertAlign val="subscript"/>
        <sz val="8"/>
        <rFont val="Tahoma"/>
        <family val="2"/>
      </rPr>
      <t>2027</t>
    </r>
    <r>
      <rPr>
        <b/>
        <i/>
        <sz val="8"/>
        <rFont val="Tahoma"/>
        <family val="2"/>
      </rPr>
      <t xml:space="preserve"> - ∑T</t>
    </r>
    <r>
      <rPr>
        <b/>
        <i/>
        <vertAlign val="subscript"/>
        <sz val="8"/>
        <rFont val="Tahoma"/>
        <family val="2"/>
      </rPr>
      <t>2027 max</t>
    </r>
    <r>
      <rPr>
        <b/>
        <i/>
        <sz val="8"/>
        <rFont val="Tahoma"/>
        <family val="2"/>
      </rPr>
      <t>) - Comune</t>
    </r>
  </si>
  <si>
    <t>di cui eccedenti il limite recuperabili nell'anno 2027 - Comune</t>
  </si>
  <si>
    <r>
      <rPr>
        <sz val="8"/>
        <rFont val="Tahoma"/>
        <family val="2"/>
      </rPr>
      <t>parametro per la determinazione del limite di crescita –&gt;</t>
    </r>
    <r>
      <rPr>
        <b/>
        <sz val="8"/>
        <rFont val="Tahoma"/>
        <family val="2"/>
      </rPr>
      <t xml:space="preserve"> ρ</t>
    </r>
    <r>
      <rPr>
        <b/>
        <vertAlign val="subscript"/>
        <sz val="8"/>
        <rFont val="Tahoma"/>
        <family val="2"/>
      </rPr>
      <t>2028</t>
    </r>
    <r>
      <rPr>
        <b/>
        <sz val="8"/>
        <rFont val="Tahoma"/>
        <family val="2"/>
      </rPr>
      <t xml:space="preserve"> - Comune</t>
    </r>
  </si>
  <si>
    <r>
      <t>Rapporto T</t>
    </r>
    <r>
      <rPr>
        <b/>
        <vertAlign val="subscript"/>
        <sz val="8"/>
        <rFont val="Tahoma"/>
        <family val="2"/>
      </rPr>
      <t>2028</t>
    </r>
    <r>
      <rPr>
        <b/>
        <sz val="8"/>
        <rFont val="Tahoma"/>
        <family val="2"/>
      </rPr>
      <t>/T</t>
    </r>
    <r>
      <rPr>
        <b/>
        <vertAlign val="subscript"/>
        <sz val="8"/>
        <rFont val="Tahoma"/>
        <family val="2"/>
      </rPr>
      <t>2027</t>
    </r>
    <r>
      <rPr>
        <b/>
        <sz val="8"/>
        <rFont val="Tahoma"/>
        <family val="2"/>
      </rPr>
      <t xml:space="preserve"> - Comune</t>
    </r>
  </si>
  <si>
    <r>
      <t>Delta (∑T</t>
    </r>
    <r>
      <rPr>
        <b/>
        <i/>
        <vertAlign val="subscript"/>
        <sz val="8"/>
        <rFont val="Tahoma"/>
        <family val="2"/>
      </rPr>
      <t>2028</t>
    </r>
    <r>
      <rPr>
        <b/>
        <i/>
        <sz val="8"/>
        <rFont val="Tahoma"/>
        <family val="2"/>
      </rPr>
      <t xml:space="preserve"> - ∑T</t>
    </r>
    <r>
      <rPr>
        <b/>
        <i/>
        <vertAlign val="subscript"/>
        <sz val="8"/>
        <rFont val="Tahoma"/>
        <family val="2"/>
      </rPr>
      <t>2028 max</t>
    </r>
    <r>
      <rPr>
        <b/>
        <i/>
        <sz val="8"/>
        <rFont val="Tahoma"/>
        <family val="2"/>
      </rPr>
      <t>) - Comune</t>
    </r>
  </si>
  <si>
    <t>di cui eccedenti il limite recuperabili nell'anno 2028 - Comune</t>
  </si>
  <si>
    <r>
      <rPr>
        <sz val="8"/>
        <rFont val="Tahoma"/>
        <family val="2"/>
      </rPr>
      <t>parametro per la determinazione del limite di crescita –&gt;</t>
    </r>
    <r>
      <rPr>
        <b/>
        <sz val="8"/>
        <rFont val="Tahoma"/>
        <family val="2"/>
      </rPr>
      <t xml:space="preserve"> ρ</t>
    </r>
    <r>
      <rPr>
        <b/>
        <vertAlign val="subscript"/>
        <sz val="8"/>
        <rFont val="Tahoma"/>
        <family val="2"/>
      </rPr>
      <t>2029</t>
    </r>
    <r>
      <rPr>
        <b/>
        <sz val="8"/>
        <rFont val="Tahoma"/>
        <family val="2"/>
      </rPr>
      <t xml:space="preserve"> - Comune</t>
    </r>
  </si>
  <si>
    <r>
      <t>Rapporto T</t>
    </r>
    <r>
      <rPr>
        <b/>
        <vertAlign val="subscript"/>
        <sz val="8"/>
        <rFont val="Tahoma"/>
        <family val="2"/>
      </rPr>
      <t>2029</t>
    </r>
    <r>
      <rPr>
        <b/>
        <sz val="8"/>
        <rFont val="Tahoma"/>
        <family val="2"/>
      </rPr>
      <t>/T</t>
    </r>
    <r>
      <rPr>
        <b/>
        <vertAlign val="subscript"/>
        <sz val="8"/>
        <rFont val="Tahoma"/>
        <family val="2"/>
      </rPr>
      <t>2028</t>
    </r>
    <r>
      <rPr>
        <b/>
        <sz val="8"/>
        <rFont val="Tahoma"/>
        <family val="2"/>
      </rPr>
      <t xml:space="preserve"> - Comune</t>
    </r>
  </si>
  <si>
    <r>
      <t>Delta (∑T</t>
    </r>
    <r>
      <rPr>
        <b/>
        <i/>
        <vertAlign val="subscript"/>
        <sz val="8"/>
        <rFont val="Tahoma"/>
        <family val="2"/>
      </rPr>
      <t>2029</t>
    </r>
    <r>
      <rPr>
        <b/>
        <i/>
        <sz val="8"/>
        <rFont val="Tahoma"/>
        <family val="2"/>
      </rPr>
      <t xml:space="preserve"> - ∑T</t>
    </r>
    <r>
      <rPr>
        <b/>
        <i/>
        <vertAlign val="subscript"/>
        <sz val="8"/>
        <rFont val="Tahoma"/>
        <family val="2"/>
      </rPr>
      <t>2029 max</t>
    </r>
    <r>
      <rPr>
        <b/>
        <i/>
        <sz val="8"/>
        <rFont val="Tahoma"/>
        <family val="2"/>
      </rPr>
      <t>) - Comune</t>
    </r>
  </si>
  <si>
    <t>di cui eccedenti il limite recuperabili nell'anno 2029 - Comune</t>
  </si>
  <si>
    <t>ACC_25_GEST_PD</t>
  </si>
  <si>
    <t>ACC_DETT1_25_GEST_PD</t>
  </si>
  <si>
    <t>ACC_DETT2_25_GEST_PD</t>
  </si>
  <si>
    <t>ACC_DETT3_25_GEST_PD</t>
  </si>
  <si>
    <t>ACC_DETT4_25_GEST_PD</t>
  </si>
  <si>
    <t>ACC_DETT1_25_GEST_PD_I</t>
  </si>
  <si>
    <t>ACC_DETT2_25_GEST_PD_I</t>
  </si>
  <si>
    <t>ACC_DETT3_25_GEST_PD_I</t>
  </si>
  <si>
    <t>ACC_DETT4_25_GEST_PD_I</t>
  </si>
  <si>
    <t>ACC_25_COM_PD</t>
  </si>
  <si>
    <t>ACC_DETT1_25_COM_PD</t>
  </si>
  <si>
    <t>ACC_DETT2_25_COM_PD</t>
  </si>
  <si>
    <t>ACC_DETT3_25_COM_PD</t>
  </si>
  <si>
    <t>ACC_DETT4_25_COM_PD</t>
  </si>
  <si>
    <t>ACC_DETT1_25_COM_PD_I</t>
  </si>
  <si>
    <t>ACC_DETT2_25_COM_PD_I</t>
  </si>
  <si>
    <t>ACC_DETT3_25_COM_PD_I</t>
  </si>
  <si>
    <t>ACC_DETT4_25_COM_PD_I</t>
  </si>
  <si>
    <t>Ordinare la tabella per Comune</t>
  </si>
  <si>
    <t>2027
 vs
2026</t>
  </si>
  <si>
    <t>QRD_SI_2024</t>
  </si>
  <si>
    <t>Xreg=0,1%</t>
  </si>
  <si>
    <r>
      <t>Residuo B.7 CTS</t>
    </r>
    <r>
      <rPr>
        <i/>
        <vertAlign val="subscript"/>
        <sz val="8"/>
        <color theme="1"/>
        <rFont val="Tahoma"/>
        <family val="2"/>
      </rPr>
      <t>2025</t>
    </r>
    <r>
      <rPr>
        <i/>
        <sz val="8"/>
        <color theme="1"/>
        <rFont val="Tahoma"/>
        <family val="2"/>
      </rPr>
      <t xml:space="preserve"> - Gestore</t>
    </r>
  </si>
  <si>
    <r>
      <t xml:space="preserve">Totale CTR 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B.7 - Gestore</t>
    </r>
  </si>
  <si>
    <r>
      <t xml:space="preserve">Totale CTR 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B.7 - Comune</t>
    </r>
  </si>
  <si>
    <r>
      <t xml:space="preserve">Totale CTS 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B.7 - Gestore</t>
    </r>
  </si>
  <si>
    <r>
      <t xml:space="preserve">Totale CTS </t>
    </r>
    <r>
      <rPr>
        <b/>
        <vertAlign val="subscript"/>
        <sz val="8"/>
        <color theme="1"/>
        <rFont val="Tahoma"/>
        <family val="2"/>
      </rPr>
      <t>2025</t>
    </r>
    <r>
      <rPr>
        <b/>
        <sz val="8"/>
        <color theme="1"/>
        <rFont val="Tahoma"/>
        <family val="2"/>
      </rPr>
      <t xml:space="preserve"> B.7 - Comune</t>
    </r>
  </si>
  <si>
    <t>Ordinare la tabella per Comune e inflazionare i corrispettivi delle righe Anno=2025 quando si utilizza la base dati 2024 anche per il PEF 2027</t>
  </si>
  <si>
    <t>Arrotondare i valori delle T</t>
  </si>
  <si>
    <r>
      <t>AMM</t>
    </r>
    <r>
      <rPr>
        <b/>
        <vertAlign val="subscript"/>
        <sz val="8"/>
        <color theme="1"/>
        <rFont val="Tahoma"/>
        <family val="2"/>
      </rPr>
      <t>2029</t>
    </r>
  </si>
  <si>
    <r>
      <t>RLIC</t>
    </r>
    <r>
      <rPr>
        <b/>
        <vertAlign val="subscript"/>
        <sz val="8"/>
        <color theme="1"/>
        <rFont val="Tahoma"/>
        <family val="2"/>
      </rPr>
      <t>2029</t>
    </r>
  </si>
  <si>
    <r>
      <t>CK</t>
    </r>
    <r>
      <rPr>
        <b/>
        <vertAlign val="subscript"/>
        <sz val="8"/>
        <color theme="1"/>
        <rFont val="Tahoma"/>
        <family val="2"/>
      </rPr>
      <t>proprietari 2029</t>
    </r>
  </si>
  <si>
    <t>BUSTO ARSIZIO</t>
  </si>
  <si>
    <t>FAGNANO OLONA</t>
  </si>
  <si>
    <t>VENEGONO SUPERIORE</t>
  </si>
  <si>
    <t>AGESP</t>
  </si>
  <si>
    <t>02212870121</t>
  </si>
  <si>
    <t>13913</t>
  </si>
  <si>
    <t>012026</t>
  </si>
  <si>
    <t>012067</t>
  </si>
  <si>
    <t>012137</t>
  </si>
  <si>
    <t>22817</t>
  </si>
  <si>
    <t>22797</t>
  </si>
  <si>
    <t>Rifiuto Urbano Residuo</t>
  </si>
  <si>
    <t>Rifiuto Organico e Verde</t>
  </si>
  <si>
    <t>Altro</t>
  </si>
  <si>
    <t>Neutalia srl</t>
  </si>
  <si>
    <t>03842010120</t>
  </si>
  <si>
    <t>Busto Arsizio</t>
  </si>
  <si>
    <t>20.03.01</t>
  </si>
  <si>
    <t>20.01.08</t>
  </si>
  <si>
    <t>20.02.03</t>
  </si>
  <si>
    <t>20.03.03</t>
  </si>
  <si>
    <t>20.03.07</t>
  </si>
  <si>
    <t>20.03.99</t>
  </si>
  <si>
    <t>20.01.32</t>
  </si>
  <si>
    <t>Koster srl</t>
  </si>
  <si>
    <t>01854150032</t>
  </si>
  <si>
    <t>Gallarate</t>
  </si>
  <si>
    <t>20.02.01</t>
  </si>
  <si>
    <t>Cereda Ambrogio srl</t>
  </si>
  <si>
    <t>02264790961</t>
  </si>
  <si>
    <t>Lurago d'Erba</t>
  </si>
  <si>
    <t>20.01.38</t>
  </si>
  <si>
    <t>Tramonto Antonio srl</t>
  </si>
  <si>
    <t>02136140122</t>
  </si>
  <si>
    <t>Sesto Calenda</t>
  </si>
  <si>
    <t>08.03.18</t>
  </si>
  <si>
    <t>15.01.10</t>
  </si>
  <si>
    <t>20.01.27</t>
  </si>
  <si>
    <t>20.01.31</t>
  </si>
  <si>
    <t>Cava Fusi Srl</t>
  </si>
  <si>
    <t>01170620122</t>
  </si>
  <si>
    <t>Uboldo</t>
  </si>
  <si>
    <t>17.09.04</t>
  </si>
  <si>
    <t>Sesto Calende</t>
  </si>
  <si>
    <t>Ipotesi: 50% sul 2026 e 50% sul 2027</t>
  </si>
  <si>
    <t>Ipotesi recupero nel 2026</t>
  </si>
  <si>
    <t>2026
 vs
2025</t>
  </si>
  <si>
    <t>Ipotesi Xreg</t>
  </si>
  <si>
    <t>Articolazione tariffaria</t>
  </si>
  <si>
    <t>Determinazione PEF</t>
  </si>
  <si>
    <t>PEF 2025 Busto Arsizio</t>
  </si>
  <si>
    <t>Ipotesi recupero nel 2027</t>
  </si>
  <si>
    <t>Variabile 2027</t>
  </si>
  <si>
    <t>Fissa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</si>
</sst>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164" formatCode="_(&quot;€&quot;* #,##0.00_);_(&quot;€&quot;* \(#,##0.00\);_(&quot;€&quot;* &quot;-&quot;??_);_(@_)"/>
    <numFmt numFmtId="165" formatCode="_(* #,##0.00_);_(* \(#,##0.00\);_(* &quot;-&quot;??_);_(@_)"/>
    <numFmt numFmtId="166" formatCode="#,##0_ ;[Red]\-#,##0\ "/>
    <numFmt numFmtId="167" formatCode="#,##0.00_ ;[Red]\-#,##0.00\ "/>
    <numFmt numFmtId="168" formatCode="_-[$€-2]\ * #,##0.00_-;\-[$€-2]\ * #,##0.00_-;_-[$€-2]\ * &quot;-&quot;??_-"/>
    <numFmt numFmtId="169" formatCode="_-* #,##0_-;\-* #,##0_-;_-* &quot;-&quot;??_-;_-@_-"/>
    <numFmt numFmtId="170" formatCode="0.0%"/>
    <numFmt numFmtId="171" formatCode="_-* #,##0.000_-;\-* #,##0.000_-;_-* &quot;-&quot;??_-;_-@_-"/>
    <numFmt numFmtId="172" formatCode="_-* #,##0\ _€_-;\-* #,##0\ _€_-;_-* &quot;-&quot;??\ _€_-;_-@_-"/>
    <numFmt numFmtId="173" formatCode="_-* #,##0.0000\ _€_-;\-* #,##0.0000\ _€_-;_-* &quot;-&quot;??\ _€_-;_-@_-"/>
    <numFmt numFmtId="174" formatCode="#,##0.0_ ;[Red]\-#,##0.0\ "/>
    <numFmt numFmtId="175" formatCode="_-&quot;€&quot;\ * #,##0.00_-;\-&quot;€&quot;\ * #,##0.00_-;_-&quot;€&quot;\ * &quot;-&quot;??_-;_-@_-"/>
    <numFmt numFmtId="176" formatCode="_-* #,##0.00\ _€_-;\-* #,##0.00\ _€_-;_-* &quot;-&quot;??\ _€_-;_-@_-"/>
    <numFmt numFmtId="177" formatCode="_-[$€]\ * #,##0.00_-;\-[$€]\ * #,##0.00_-;_-[$€]\ * &quot;-&quot;??_-;_-@_-"/>
    <numFmt numFmtId="178" formatCode="0.000"/>
    <numFmt numFmtId="179" formatCode="0.00_ ;[Red]\-0.00\ "/>
    <numFmt numFmtId="180" formatCode="0_ ;[Red]\-0\ "/>
    <numFmt numFmtId="181" formatCode="dd/mm/yy;@"/>
  </numFmts>
  <fonts count="6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0" tint="-0.499984740745262"/>
      <name val="Tahoma"/>
      <family val="2"/>
    </font>
    <font>
      <b/>
      <sz val="8"/>
      <color theme="0"/>
      <name val="Tahoma"/>
      <family val="2"/>
    </font>
    <font>
      <sz val="8"/>
      <color theme="1"/>
      <name val="Tahoma"/>
      <family val="2"/>
    </font>
    <font>
      <b/>
      <sz val="8"/>
      <color theme="1"/>
      <name val="Tahoma"/>
      <family val="2"/>
    </font>
    <font>
      <b/>
      <sz val="8"/>
      <color theme="3" tint="-0.499984740745262"/>
      <name val="Tahoma"/>
      <family val="2"/>
    </font>
    <font>
      <i/>
      <sz val="8"/>
      <color theme="0" tint="-0.499984740745262"/>
      <name val="Tahoma"/>
      <family val="2"/>
    </font>
    <font>
      <sz val="10"/>
      <name val="Arial"/>
      <family val="2"/>
    </font>
    <font>
      <sz val="8"/>
      <color rgb="FFFF0000"/>
      <name val="Tahoma"/>
      <family val="2"/>
    </font>
    <font>
      <b/>
      <vertAlign val="superscript"/>
      <sz val="8"/>
      <color theme="1"/>
      <name val="Tahoma"/>
      <family val="2"/>
    </font>
    <font>
      <b/>
      <vertAlign val="subscript"/>
      <sz val="8"/>
      <color theme="1"/>
      <name val="Tahoma"/>
      <family val="2"/>
    </font>
    <font>
      <i/>
      <sz val="8"/>
      <name val="Tahoma"/>
      <family val="2"/>
    </font>
    <font>
      <b/>
      <i/>
      <sz val="8"/>
      <name val="Tahoma"/>
      <family val="2"/>
    </font>
    <font>
      <i/>
      <sz val="8"/>
      <color theme="1"/>
      <name val="Tahoma"/>
      <family val="2"/>
    </font>
    <font>
      <sz val="10"/>
      <name val="Arial"/>
      <family val="2"/>
    </font>
    <font>
      <sz val="8"/>
      <name val="Tahoma"/>
      <family val="2"/>
    </font>
    <font>
      <b/>
      <sz val="8"/>
      <name val="Tahoma"/>
      <family val="2"/>
    </font>
    <font>
      <b/>
      <i/>
      <sz val="8"/>
      <color rgb="FFFF0000"/>
      <name val="Tahoma"/>
      <family val="2"/>
    </font>
    <font>
      <b/>
      <i/>
      <sz val="8"/>
      <color theme="1"/>
      <name val="Tahoma"/>
      <family val="2"/>
    </font>
    <font>
      <vertAlign val="subscript"/>
      <sz val="8"/>
      <color theme="1"/>
      <name val="Tahoma"/>
      <family val="2"/>
    </font>
    <font>
      <i/>
      <vertAlign val="subscript"/>
      <sz val="8"/>
      <color theme="1"/>
      <name val="Tahoma"/>
      <family val="2"/>
    </font>
    <font>
      <b/>
      <sz val="8"/>
      <color rgb="FFFFFF00"/>
      <name val="Tahoma"/>
      <family val="2"/>
    </font>
    <font>
      <i/>
      <vertAlign val="subscript"/>
      <sz val="8"/>
      <name val="Tahoma"/>
      <family val="2"/>
    </font>
    <font>
      <b/>
      <vertAlign val="subscript"/>
      <sz val="8"/>
      <name val="Tahoma"/>
      <family val="2"/>
    </font>
    <font>
      <b/>
      <i/>
      <vertAlign val="subscript"/>
      <sz val="8"/>
      <name val="Tahoma"/>
      <family val="2"/>
    </font>
    <font>
      <vertAlign val="superscript"/>
      <sz val="8"/>
      <color theme="1"/>
      <name val="Tahoma"/>
      <family val="2"/>
    </font>
    <font>
      <b/>
      <i/>
      <sz val="8"/>
      <color theme="0"/>
      <name val="Tahoma"/>
      <family val="2"/>
    </font>
    <font>
      <i/>
      <vertAlign val="superscript"/>
      <sz val="8"/>
      <color theme="1"/>
      <name val="Tahoma"/>
      <family val="2"/>
    </font>
    <font>
      <sz val="8"/>
      <color indexed="8"/>
      <name val="Tahoma"/>
      <family val="2"/>
    </font>
    <font>
      <b/>
      <sz val="8"/>
      <color rgb="FFFF0000"/>
      <name val="Tahoma"/>
      <family val="2"/>
    </font>
    <font>
      <b/>
      <sz val="8"/>
      <color rgb="FFFFC000"/>
      <name val="Tahoma"/>
      <family val="2"/>
    </font>
    <font>
      <vertAlign val="subscript"/>
      <sz val="8"/>
      <name val="Tahoma"/>
      <family val="2"/>
    </font>
    <font>
      <sz val="8"/>
      <color theme="0"/>
      <name val="Tahoma"/>
      <family val="2"/>
    </font>
    <font>
      <b/>
      <vertAlign val="subscript"/>
      <sz val="8"/>
      <color theme="0"/>
      <name val="Tahoma"/>
      <family val="2"/>
    </font>
    <font>
      <sz val="8"/>
      <color theme="3" tint="-0.499984740745262"/>
      <name val="Tahoma"/>
      <family val="2"/>
    </font>
    <font>
      <b/>
      <sz val="8"/>
      <color rgb="FF0070C0"/>
      <name val="Tahoma"/>
      <family val="2"/>
    </font>
    <font>
      <b/>
      <i/>
      <vertAlign val="subscript"/>
      <sz val="8"/>
      <color theme="1"/>
      <name val="Tahoma"/>
      <family val="2"/>
    </font>
    <font>
      <b/>
      <sz val="8"/>
      <color rgb="FFC00000"/>
      <name val="Tahoma"/>
      <family val="2"/>
    </font>
    <font>
      <i/>
      <sz val="8"/>
      <color theme="0"/>
      <name val="Tahoma"/>
      <family val="2"/>
    </font>
    <font>
      <i/>
      <vertAlign val="subscript"/>
      <sz val="8"/>
      <color theme="0"/>
      <name val="Tahoma"/>
      <family val="2"/>
    </font>
    <font>
      <b/>
      <i/>
      <vertAlign val="subscript"/>
      <sz val="8"/>
      <color theme="0"/>
      <name val="Tahoma"/>
      <family val="2"/>
    </font>
    <font>
      <b/>
      <i/>
      <sz val="8"/>
      <color theme="0" tint="-0.499984740745262"/>
      <name val="Tahoma"/>
      <family val="2"/>
    </font>
    <font>
      <b/>
      <i/>
      <sz val="8"/>
      <color theme="4" tint="-0.499984740745262"/>
      <name val="Tahoma"/>
      <family val="2"/>
    </font>
    <font>
      <b/>
      <i/>
      <sz val="8"/>
      <color rgb="FF00B050"/>
      <name val="Tahoma"/>
      <family val="2"/>
    </font>
    <font>
      <i/>
      <sz val="8"/>
      <color theme="4" tint="-0.499984740745262"/>
      <name val="Tahoma"/>
      <family val="2"/>
    </font>
    <font>
      <i/>
      <sz val="8"/>
      <color rgb="FF00B050"/>
      <name val="Tahoma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color theme="0" tint="-0.499984740745262"/>
      <name val="Tahoma"/>
      <family val="2"/>
    </font>
    <font>
      <i/>
      <sz val="8"/>
      <color rgb="FFFF0000"/>
      <name val="Tahoma"/>
      <family val="2"/>
    </font>
    <font>
      <b/>
      <vertAlign val="subscript"/>
      <sz val="8"/>
      <color rgb="FFFF0000"/>
      <name val="Tahoma"/>
      <family val="2"/>
    </font>
    <font>
      <b/>
      <vertAlign val="superscript"/>
      <sz val="8"/>
      <color rgb="FFFF0000"/>
      <name val="Tahoma"/>
      <family val="2"/>
    </font>
    <font>
      <b/>
      <vertAlign val="superscript"/>
      <sz val="8"/>
      <color theme="0"/>
      <name val="Tahoma"/>
      <family val="2"/>
    </font>
    <font>
      <b/>
      <i/>
      <sz val="8"/>
      <color theme="8" tint="-0.249977111117893"/>
      <name val="Tahoma"/>
      <family val="2"/>
    </font>
    <font>
      <b/>
      <sz val="8"/>
      <color rgb="FFFF0000"/>
      <name val="Calibri"/>
      <family val="2"/>
    </font>
    <font>
      <b/>
      <sz val="8"/>
      <color theme="1"/>
      <name val="Calibri"/>
      <family val="2"/>
    </font>
    <font>
      <i/>
      <sz val="8"/>
      <color theme="0"/>
      <name val="Calibri"/>
      <family val="2"/>
    </font>
    <font>
      <b/>
      <vertAlign val="superscript"/>
      <sz val="8"/>
      <name val="Tahoma"/>
      <family val="2"/>
    </font>
    <font>
      <sz val="8"/>
      <color rgb="FF00B050"/>
      <name val="Tahoma"/>
      <family val="2"/>
    </font>
    <font>
      <b/>
      <sz val="8"/>
      <color theme="5"/>
      <name val="Tahoma"/>
      <family val="2"/>
    </font>
    <font>
      <i/>
      <sz val="8"/>
      <color indexed="8"/>
      <name val="Tahoma"/>
      <family val="2"/>
    </font>
    <font>
      <sz val="8"/>
      <color rgb="FFFFC000"/>
      <name val="Tahoma"/>
      <family val="2"/>
    </font>
    <font>
      <i/>
      <sz val="8"/>
      <color rgb="FFFFC000"/>
      <name val="Tahoma"/>
      <family val="2"/>
    </font>
  </fonts>
  <fills count="25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theme="0" tint="-0.499984740745262"/>
      </patternFill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gray125">
        <bgColor theme="0"/>
      </patternFill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3DBB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theme="0" tint="-0.499984740745262"/>
      </patternFill>
    </fill>
  </fills>
  <borders count="1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theme="1" tint="0.499984740745262"/>
      </left>
      <right/>
      <top style="medium">
        <color indexed="64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FF0000"/>
      </left>
      <right/>
      <top style="medium">
        <color rgb="FFFF0000"/>
      </top>
      <bottom style="medium">
        <color indexed="64"/>
      </bottom>
      <diagonal/>
    </border>
    <border>
      <left/>
      <right/>
      <top style="medium">
        <color rgb="FFFF0000"/>
      </top>
      <bottom style="medium">
        <color indexed="64"/>
      </bottom>
      <diagonal/>
    </border>
    <border>
      <left/>
      <right style="medium">
        <color rgb="FFFF0000"/>
      </right>
      <top style="medium">
        <color rgb="FFFF0000"/>
      </top>
      <bottom style="medium">
        <color indexed="64"/>
      </bottom>
      <diagonal/>
    </border>
    <border>
      <left style="medium">
        <color rgb="FFFF0000"/>
      </left>
      <right/>
      <top style="medium">
        <color indexed="64"/>
      </top>
      <bottom/>
      <diagonal/>
    </border>
    <border>
      <left/>
      <right style="medium">
        <color rgb="FFFF0000"/>
      </right>
      <top style="medium">
        <color indexed="64"/>
      </top>
      <bottom/>
      <diagonal/>
    </border>
    <border>
      <left style="medium">
        <color rgb="FFFF0000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FF0000"/>
      </right>
      <top style="medium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rgb="FFFF0000"/>
      </right>
      <top style="thin">
        <color indexed="64"/>
      </top>
      <bottom/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FF0000"/>
      </right>
      <top style="thin">
        <color indexed="64"/>
      </top>
      <bottom style="medium">
        <color indexed="64"/>
      </bottom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/>
      <right style="medium">
        <color rgb="FFFF0000"/>
      </right>
      <top style="medium">
        <color indexed="64"/>
      </top>
      <bottom style="thin">
        <color indexed="64"/>
      </bottom>
      <diagonal/>
    </border>
    <border>
      <left/>
      <right style="medium">
        <color rgb="FFFF0000"/>
      </right>
      <top style="thin">
        <color indexed="64"/>
      </top>
      <bottom/>
      <diagonal/>
    </border>
    <border>
      <left style="medium">
        <color rgb="FFFF0000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rgb="FFFF0000"/>
      </right>
      <top style="hair">
        <color indexed="64"/>
      </top>
      <bottom style="hair">
        <color indexed="64"/>
      </bottom>
      <diagonal/>
    </border>
    <border>
      <left style="medium">
        <color rgb="FFFF0000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rgb="FFFF0000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rgb="FFFF0000"/>
      </right>
      <top style="hair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FF000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medium">
        <color indexed="64"/>
      </bottom>
      <diagonal/>
    </border>
    <border>
      <left style="medium">
        <color rgb="FFFF0000"/>
      </left>
      <right style="thin">
        <color theme="1" tint="0.499984740745262"/>
      </right>
      <top style="medium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rgb="FFFF0000"/>
      </right>
      <top style="medium">
        <color indexed="64"/>
      </top>
      <bottom style="medium">
        <color theme="1" tint="0.499984740745262"/>
      </bottom>
      <diagonal/>
    </border>
    <border>
      <left style="medium">
        <color rgb="FFFF0000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rgb="FFFF0000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rgb="FFFF0000"/>
      </left>
      <right style="thin">
        <color theme="1" tint="0.499984740745262"/>
      </right>
      <top style="thin">
        <color theme="1" tint="0.499984740745262"/>
      </top>
      <bottom style="medium">
        <color indexed="64"/>
      </bottom>
      <diagonal/>
    </border>
    <border>
      <left style="thin">
        <color theme="1" tint="0.499984740745262"/>
      </left>
      <right style="medium">
        <color rgb="FFFF0000"/>
      </right>
      <top style="thin">
        <color theme="1" tint="0.499984740745262"/>
      </top>
      <bottom style="medium">
        <color indexed="64"/>
      </bottom>
      <diagonal/>
    </border>
    <border>
      <left style="medium">
        <color rgb="FFFF0000"/>
      </left>
      <right/>
      <top/>
      <bottom style="medium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indexed="64"/>
      </top>
      <bottom style="medium">
        <color rgb="FFFF0000"/>
      </bottom>
      <diagonal/>
    </border>
    <border>
      <left/>
      <right style="medium">
        <color indexed="64"/>
      </right>
      <top style="medium">
        <color indexed="64"/>
      </top>
      <bottom style="medium">
        <color rgb="FFFF0000"/>
      </bottom>
      <diagonal/>
    </border>
    <border>
      <left/>
      <right style="medium">
        <color rgb="FFFF0000"/>
      </right>
      <top style="medium">
        <color indexed="64"/>
      </top>
      <bottom style="medium">
        <color rgb="FFFF0000"/>
      </bottom>
      <diagonal/>
    </border>
    <border>
      <left/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/>
      <top style="medium">
        <color rgb="FFFF0000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rgb="FFFF0000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rgb="FFFF0000"/>
      </right>
      <top style="hair">
        <color indexed="64"/>
      </top>
      <bottom style="hair">
        <color indexed="64"/>
      </bottom>
      <diagonal/>
    </border>
    <border>
      <left style="medium">
        <color rgb="FFFF0000"/>
      </left>
      <right/>
      <top style="hair">
        <color indexed="64"/>
      </top>
      <bottom style="thin">
        <color indexed="64"/>
      </bottom>
      <diagonal/>
    </border>
    <border>
      <left/>
      <right style="medium">
        <color rgb="FFFF0000"/>
      </right>
      <top style="hair">
        <color indexed="64"/>
      </top>
      <bottom/>
      <diagonal/>
    </border>
    <border>
      <left style="medium">
        <color rgb="FFFF0000"/>
      </left>
      <right style="medium">
        <color indexed="64"/>
      </right>
      <top/>
      <bottom/>
      <diagonal/>
    </border>
    <border>
      <left style="medium">
        <color rgb="FFFF0000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rgb="FFFF0000"/>
      </right>
      <top/>
      <bottom style="hair">
        <color indexed="64"/>
      </bottom>
      <diagonal/>
    </border>
    <border>
      <left/>
      <right style="medium">
        <color rgb="FFFF0000"/>
      </right>
      <top style="thin">
        <color indexed="64"/>
      </top>
      <bottom style="hair">
        <color auto="1"/>
      </bottom>
      <diagonal/>
    </border>
    <border>
      <left/>
      <right style="medium">
        <color rgb="FFFF0000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/>
      <right style="medium">
        <color rgb="FFFF0000"/>
      </right>
      <top style="medium">
        <color indexed="64"/>
      </top>
      <bottom style="medium">
        <color indexed="64"/>
      </bottom>
      <diagonal/>
    </border>
    <border>
      <left/>
      <right style="medium">
        <color rgb="FFFF0000"/>
      </right>
      <top/>
      <bottom style="medium">
        <color indexed="64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FF0000"/>
      </left>
      <right/>
      <top style="medium">
        <color indexed="64"/>
      </top>
      <bottom style="medium">
        <color rgb="FFFF0000"/>
      </bottom>
      <diagonal/>
    </border>
    <border>
      <left/>
      <right style="thin">
        <color indexed="64"/>
      </right>
      <top style="medium">
        <color indexed="64"/>
      </top>
      <bottom style="medium">
        <color rgb="FFFF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rgb="FFFF0000"/>
      </bottom>
      <diagonal/>
    </border>
    <border>
      <left style="medium">
        <color indexed="64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rgb="FFFF0000"/>
      </right>
      <top/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FF0000"/>
      </right>
      <top/>
      <bottom style="thin">
        <color indexed="64"/>
      </bottom>
      <diagonal/>
    </border>
    <border>
      <left style="medium">
        <color rgb="FFFF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FF0000"/>
      </right>
      <top/>
      <bottom style="medium">
        <color indexed="64"/>
      </bottom>
      <diagonal/>
    </border>
    <border>
      <left style="medium">
        <color rgb="FFFF0000"/>
      </left>
      <right style="medium">
        <color indexed="64"/>
      </right>
      <top style="medium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</borders>
  <cellStyleXfs count="48">
    <xf numFmtId="0" fontId="0" fillId="0" borderId="0"/>
    <xf numFmtId="0" fontId="1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5" fillId="0" borderId="0"/>
    <xf numFmtId="0" fontId="8" fillId="0" borderId="0"/>
    <xf numFmtId="0" fontId="8" fillId="0" borderId="0"/>
    <xf numFmtId="0" fontId="4" fillId="0" borderId="0"/>
    <xf numFmtId="165" fontId="1" fillId="0" borderId="0" applyFont="0" applyFill="0" applyBorder="0" applyAlignment="0" applyProtection="0"/>
    <xf numFmtId="168" fontId="1" fillId="0" borderId="0"/>
    <xf numFmtId="165" fontId="1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7" fillId="0" borderId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6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75" fontId="8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1145">
    <xf numFmtId="0" fontId="0" fillId="0" borderId="0" xfId="0"/>
    <xf numFmtId="0" fontId="3" fillId="2" borderId="1" xfId="1" applyFont="1" applyFill="1" applyBorder="1" applyAlignment="1">
      <alignment horizontal="center"/>
    </xf>
    <xf numFmtId="0" fontId="4" fillId="0" borderId="0" xfId="1" applyFont="1" applyAlignment="1">
      <alignment horizontal="center"/>
    </xf>
    <xf numFmtId="0" fontId="5" fillId="0" borderId="0" xfId="1" applyFont="1" applyAlignment="1">
      <alignment horizontal="right"/>
    </xf>
    <xf numFmtId="0" fontId="5" fillId="0" borderId="0" xfId="1" applyFont="1" applyAlignment="1">
      <alignment horizontal="center"/>
    </xf>
    <xf numFmtId="0" fontId="4" fillId="0" borderId="0" xfId="1" applyFont="1"/>
    <xf numFmtId="0" fontId="4" fillId="0" borderId="0" xfId="1" applyFont="1" applyAlignment="1">
      <alignment horizontal="center" vertical="center"/>
    </xf>
    <xf numFmtId="0" fontId="7" fillId="0" borderId="0" xfId="1" applyFont="1" applyAlignment="1">
      <alignment horizontal="left"/>
    </xf>
    <xf numFmtId="0" fontId="7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2" fillId="0" borderId="0" xfId="1" applyFont="1"/>
    <xf numFmtId="166" fontId="3" fillId="2" borderId="1" xfId="2" applyNumberFormat="1" applyFont="1" applyFill="1" applyBorder="1" applyAlignment="1">
      <alignment horizontal="right" vertical="center" wrapText="1"/>
    </xf>
    <xf numFmtId="166" fontId="3" fillId="2" borderId="1" xfId="2" applyNumberFormat="1" applyFont="1" applyFill="1" applyBorder="1" applyAlignment="1">
      <alignment vertical="center" wrapText="1"/>
    </xf>
    <xf numFmtId="0" fontId="9" fillId="0" borderId="0" xfId="1" applyFont="1" applyAlignment="1">
      <alignment horizontal="center" vertical="center"/>
    </xf>
    <xf numFmtId="0" fontId="4" fillId="0" borderId="1" xfId="1" applyFont="1" applyBorder="1" applyAlignment="1">
      <alignment vertical="center"/>
    </xf>
    <xf numFmtId="166" fontId="4" fillId="0" borderId="1" xfId="2" applyNumberFormat="1" applyFont="1" applyFill="1" applyBorder="1" applyAlignment="1">
      <alignment horizontal="right" vertical="center"/>
    </xf>
    <xf numFmtId="166" fontId="4" fillId="0" borderId="1" xfId="2" applyNumberFormat="1" applyFont="1" applyFill="1" applyBorder="1" applyAlignment="1">
      <alignment vertical="center"/>
    </xf>
    <xf numFmtId="166" fontId="4" fillId="0" borderId="1" xfId="1" applyNumberFormat="1" applyFont="1" applyBorder="1" applyAlignment="1">
      <alignment horizontal="right" vertical="center"/>
    </xf>
    <xf numFmtId="166" fontId="4" fillId="0" borderId="1" xfId="1" applyNumberFormat="1" applyFont="1" applyBorder="1" applyAlignment="1">
      <alignment vertical="center"/>
    </xf>
    <xf numFmtId="0" fontId="4" fillId="4" borderId="0" xfId="1" applyFont="1" applyFill="1" applyAlignment="1">
      <alignment horizontal="center" vertical="center"/>
    </xf>
    <xf numFmtId="0" fontId="12" fillId="5" borderId="1" xfId="1" applyFont="1" applyFill="1" applyBorder="1" applyAlignment="1">
      <alignment vertical="center"/>
    </xf>
    <xf numFmtId="0" fontId="4" fillId="6" borderId="1" xfId="1" applyFont="1" applyFill="1" applyBorder="1" applyAlignment="1">
      <alignment vertical="center"/>
    </xf>
    <xf numFmtId="166" fontId="4" fillId="6" borderId="1" xfId="2" applyNumberFormat="1" applyFont="1" applyFill="1" applyBorder="1" applyAlignment="1">
      <alignment horizontal="right" vertical="center"/>
    </xf>
    <xf numFmtId="166" fontId="4" fillId="6" borderId="1" xfId="2" applyNumberFormat="1" applyFont="1" applyFill="1" applyBorder="1" applyAlignment="1">
      <alignment vertical="center"/>
    </xf>
    <xf numFmtId="0" fontId="4" fillId="0" borderId="0" xfId="1" applyFont="1" applyProtection="1">
      <protection locked="0"/>
    </xf>
    <xf numFmtId="0" fontId="4" fillId="0" borderId="0" xfId="1" applyFont="1" applyAlignment="1">
      <alignment horizontal="right"/>
    </xf>
    <xf numFmtId="0" fontId="4" fillId="0" borderId="3" xfId="1" applyFont="1" applyBorder="1" applyAlignment="1">
      <alignment vertical="center"/>
    </xf>
    <xf numFmtId="166" fontId="4" fillId="0" borderId="3" xfId="2" applyNumberFormat="1" applyFont="1" applyFill="1" applyBorder="1" applyAlignment="1">
      <alignment horizontal="right" vertical="center"/>
    </xf>
    <xf numFmtId="166" fontId="4" fillId="0" borderId="3" xfId="2" applyNumberFormat="1" applyFont="1" applyFill="1" applyBorder="1" applyAlignment="1">
      <alignment vertical="center"/>
    </xf>
    <xf numFmtId="166" fontId="4" fillId="0" borderId="4" xfId="2" applyNumberFormat="1" applyFont="1" applyFill="1" applyBorder="1" applyAlignment="1">
      <alignment horizontal="right" vertical="center"/>
    </xf>
    <xf numFmtId="166" fontId="4" fillId="0" borderId="4" xfId="2" applyNumberFormat="1" applyFont="1" applyFill="1" applyBorder="1" applyAlignment="1">
      <alignment vertical="center"/>
    </xf>
    <xf numFmtId="0" fontId="7" fillId="0" borderId="0" xfId="1" applyFont="1" applyAlignment="1">
      <alignment horizontal="left" vertical="center"/>
    </xf>
    <xf numFmtId="167" fontId="16" fillId="0" borderId="0" xfId="5" applyNumberFormat="1" applyFont="1"/>
    <xf numFmtId="167" fontId="4" fillId="9" borderId="5" xfId="1" applyNumberFormat="1" applyFont="1" applyFill="1" applyBorder="1" applyAlignment="1">
      <alignment vertical="center"/>
    </xf>
    <xf numFmtId="167" fontId="16" fillId="9" borderId="1" xfId="5" applyNumberFormat="1" applyFont="1" applyFill="1" applyBorder="1"/>
    <xf numFmtId="167" fontId="7" fillId="0" borderId="0" xfId="5" applyNumberFormat="1" applyFont="1"/>
    <xf numFmtId="167" fontId="14" fillId="0" borderId="2" xfId="1" applyNumberFormat="1" applyFont="1" applyBorder="1" applyAlignment="1">
      <alignment vertical="center"/>
    </xf>
    <xf numFmtId="167" fontId="12" fillId="0" borderId="2" xfId="5" applyNumberFormat="1" applyFont="1" applyBorder="1"/>
    <xf numFmtId="167" fontId="14" fillId="0" borderId="3" xfId="1" applyNumberFormat="1" applyFont="1" applyBorder="1" applyAlignment="1">
      <alignment vertical="center"/>
    </xf>
    <xf numFmtId="167" fontId="12" fillId="0" borderId="3" xfId="5" applyNumberFormat="1" applyFont="1" applyBorder="1"/>
    <xf numFmtId="167" fontId="14" fillId="0" borderId="4" xfId="1" applyNumberFormat="1" applyFont="1" applyBorder="1" applyAlignment="1">
      <alignment vertical="center"/>
    </xf>
    <xf numFmtId="167" fontId="12" fillId="0" borderId="4" xfId="5" applyNumberFormat="1" applyFont="1" applyBorder="1"/>
    <xf numFmtId="167" fontId="4" fillId="9" borderId="1" xfId="1" applyNumberFormat="1" applyFont="1" applyFill="1" applyBorder="1" applyAlignment="1">
      <alignment vertical="center"/>
    </xf>
    <xf numFmtId="167" fontId="7" fillId="0" borderId="0" xfId="1" applyNumberFormat="1" applyFont="1" applyAlignment="1">
      <alignment horizontal="right" vertical="center"/>
    </xf>
    <xf numFmtId="167" fontId="4" fillId="0" borderId="0" xfId="1" applyNumberFormat="1" applyFont="1" applyAlignment="1">
      <alignment vertical="center"/>
    </xf>
    <xf numFmtId="167" fontId="7" fillId="0" borderId="0" xfId="5" applyNumberFormat="1" applyFont="1" applyAlignment="1">
      <alignment horizontal="right"/>
    </xf>
    <xf numFmtId="167" fontId="12" fillId="0" borderId="6" xfId="5" applyNumberFormat="1" applyFont="1" applyBorder="1"/>
    <xf numFmtId="167" fontId="16" fillId="0" borderId="3" xfId="5" applyNumberFormat="1" applyFont="1" applyBorder="1"/>
    <xf numFmtId="0" fontId="4" fillId="0" borderId="0" xfId="7"/>
    <xf numFmtId="0" fontId="14" fillId="0" borderId="1" xfId="11" applyFont="1" applyBorder="1" applyAlignment="1">
      <alignment horizontal="center" vertical="center"/>
    </xf>
    <xf numFmtId="0" fontId="3" fillId="2" borderId="1" xfId="11" applyFont="1" applyFill="1" applyBorder="1" applyAlignment="1">
      <alignment horizontal="center" vertical="center" wrapText="1"/>
    </xf>
    <xf numFmtId="0" fontId="4" fillId="0" borderId="0" xfId="0" applyFont="1"/>
    <xf numFmtId="0" fontId="4" fillId="0" borderId="8" xfId="1" applyFont="1" applyBorder="1" applyAlignment="1">
      <alignment vertical="center"/>
    </xf>
    <xf numFmtId="166" fontId="4" fillId="0" borderId="8" xfId="2" applyNumberFormat="1" applyFont="1" applyFill="1" applyBorder="1" applyAlignment="1">
      <alignment horizontal="right" vertical="center"/>
    </xf>
    <xf numFmtId="166" fontId="4" fillId="0" borderId="8" xfId="2" applyNumberFormat="1" applyFont="1" applyFill="1" applyBorder="1" applyAlignment="1">
      <alignment vertical="center"/>
    </xf>
    <xf numFmtId="0" fontId="5" fillId="11" borderId="1" xfId="0" applyFont="1" applyFill="1" applyBorder="1"/>
    <xf numFmtId="0" fontId="5" fillId="5" borderId="1" xfId="0" applyFont="1" applyFill="1" applyBorder="1"/>
    <xf numFmtId="0" fontId="5" fillId="0" borderId="0" xfId="0" applyFont="1" applyAlignment="1">
      <alignment horizontal="center"/>
    </xf>
    <xf numFmtId="0" fontId="5" fillId="0" borderId="43" xfId="0" applyFont="1" applyBorder="1"/>
    <xf numFmtId="0" fontId="4" fillId="11" borderId="1" xfId="0" applyFont="1" applyFill="1" applyBorder="1"/>
    <xf numFmtId="0" fontId="5" fillId="5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11" borderId="2" xfId="0" applyFont="1" applyFill="1" applyBorder="1"/>
    <xf numFmtId="0" fontId="4" fillId="11" borderId="4" xfId="0" applyFont="1" applyFill="1" applyBorder="1"/>
    <xf numFmtId="0" fontId="4" fillId="11" borderId="4" xfId="0" applyFont="1" applyFill="1" applyBorder="1" applyAlignment="1">
      <alignment horizontal="center"/>
    </xf>
    <xf numFmtId="0" fontId="14" fillId="5" borderId="1" xfId="0" applyFont="1" applyFill="1" applyBorder="1"/>
    <xf numFmtId="0" fontId="14" fillId="5" borderId="1" xfId="0" applyFont="1" applyFill="1" applyBorder="1" applyAlignment="1">
      <alignment horizontal="center"/>
    </xf>
    <xf numFmtId="0" fontId="19" fillId="5" borderId="1" xfId="0" applyFont="1" applyFill="1" applyBorder="1"/>
    <xf numFmtId="0" fontId="19" fillId="5" borderId="1" xfId="0" applyFont="1" applyFill="1" applyBorder="1" applyAlignment="1">
      <alignment horizontal="center"/>
    </xf>
    <xf numFmtId="0" fontId="22" fillId="2" borderId="1" xfId="0" applyFont="1" applyFill="1" applyBorder="1" applyAlignment="1">
      <alignment horizontal="center"/>
    </xf>
    <xf numFmtId="0" fontId="4" fillId="7" borderId="0" xfId="1" applyFont="1" applyFill="1"/>
    <xf numFmtId="0" fontId="17" fillId="0" borderId="1" xfId="1" applyFont="1" applyBorder="1" applyAlignment="1">
      <alignment vertical="center"/>
    </xf>
    <xf numFmtId="0" fontId="3" fillId="2" borderId="44" xfId="1" applyFont="1" applyFill="1" applyBorder="1" applyAlignment="1">
      <alignment horizontal="center" vertical="center"/>
    </xf>
    <xf numFmtId="0" fontId="3" fillId="2" borderId="44" xfId="0" applyFont="1" applyFill="1" applyBorder="1" applyAlignment="1">
      <alignment horizontal="center"/>
    </xf>
    <xf numFmtId="0" fontId="3" fillId="0" borderId="0" xfId="1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12" fillId="0" borderId="1" xfId="1" applyFont="1" applyBorder="1" applyAlignment="1">
      <alignment vertical="center"/>
    </xf>
    <xf numFmtId="170" fontId="5" fillId="0" borderId="1" xfId="13" applyNumberFormat="1" applyFont="1" applyBorder="1" applyAlignment="1">
      <alignment horizontal="center"/>
    </xf>
    <xf numFmtId="170" fontId="4" fillId="5" borderId="1" xfId="13" applyNumberFormat="1" applyFont="1" applyFill="1" applyBorder="1" applyAlignment="1">
      <alignment horizontal="center"/>
    </xf>
    <xf numFmtId="0" fontId="22" fillId="2" borderId="44" xfId="0" applyFont="1" applyFill="1" applyBorder="1" applyAlignment="1">
      <alignment horizontal="center"/>
    </xf>
    <xf numFmtId="167" fontId="4" fillId="11" borderId="1" xfId="0" applyNumberFormat="1" applyFont="1" applyFill="1" applyBorder="1"/>
    <xf numFmtId="167" fontId="5" fillId="5" borderId="1" xfId="0" applyNumberFormat="1" applyFont="1" applyFill="1" applyBorder="1"/>
    <xf numFmtId="0" fontId="5" fillId="0" borderId="0" xfId="0" applyFont="1"/>
    <xf numFmtId="167" fontId="5" fillId="0" borderId="0" xfId="0" applyNumberFormat="1" applyFont="1"/>
    <xf numFmtId="0" fontId="7" fillId="0" borderId="0" xfId="0" applyFont="1" applyAlignment="1">
      <alignment horizontal="center"/>
    </xf>
    <xf numFmtId="0" fontId="7" fillId="0" borderId="0" xfId="0" applyFont="1"/>
    <xf numFmtId="0" fontId="14" fillId="0" borderId="1" xfId="0" applyFont="1" applyBorder="1"/>
    <xf numFmtId="167" fontId="14" fillId="0" borderId="1" xfId="0" applyNumberFormat="1" applyFont="1" applyBorder="1"/>
    <xf numFmtId="0" fontId="4" fillId="0" borderId="1" xfId="0" applyFont="1" applyBorder="1"/>
    <xf numFmtId="0" fontId="4" fillId="0" borderId="0" xfId="14" applyFont="1"/>
    <xf numFmtId="0" fontId="4" fillId="0" borderId="0" xfId="14" applyFont="1" applyAlignment="1">
      <alignment horizontal="center"/>
    </xf>
    <xf numFmtId="0" fontId="16" fillId="0" borderId="1" xfId="14" applyFont="1" applyBorder="1" applyAlignment="1">
      <alignment horizontal="center" vertical="center"/>
    </xf>
    <xf numFmtId="169" fontId="17" fillId="19" borderId="1" xfId="14" applyNumberFormat="1" applyFont="1" applyFill="1" applyBorder="1" applyAlignment="1">
      <alignment horizontal="center" vertical="center"/>
    </xf>
    <xf numFmtId="167" fontId="29" fillId="0" borderId="0" xfId="15" applyNumberFormat="1" applyFont="1" applyAlignment="1">
      <alignment horizontal="center" vertical="center"/>
    </xf>
    <xf numFmtId="169" fontId="17" fillId="0" borderId="1" xfId="14" applyNumberFormat="1" applyFont="1" applyBorder="1" applyAlignment="1">
      <alignment vertical="center"/>
    </xf>
    <xf numFmtId="0" fontId="5" fillId="0" borderId="1" xfId="14" applyFont="1" applyBorder="1" applyAlignment="1">
      <alignment horizontal="center" vertical="center"/>
    </xf>
    <xf numFmtId="169" fontId="4" fillId="0" borderId="1" xfId="14" applyNumberFormat="1" applyFont="1" applyBorder="1" applyAlignment="1">
      <alignment horizontal="center" vertical="center"/>
    </xf>
    <xf numFmtId="0" fontId="4" fillId="5" borderId="1" xfId="14" applyFont="1" applyFill="1" applyBorder="1" applyAlignment="1">
      <alignment horizontal="center" vertical="center"/>
    </xf>
    <xf numFmtId="10" fontId="19" fillId="5" borderId="1" xfId="14" applyNumberFormat="1" applyFont="1" applyFill="1" applyBorder="1" applyAlignment="1">
      <alignment horizontal="center" vertical="center"/>
    </xf>
    <xf numFmtId="10" fontId="14" fillId="5" borderId="1" xfId="14" applyNumberFormat="1" applyFont="1" applyFill="1" applyBorder="1" applyAlignment="1">
      <alignment horizontal="right" vertical="center"/>
    </xf>
    <xf numFmtId="0" fontId="4" fillId="0" borderId="1" xfId="14" applyFont="1" applyBorder="1" applyAlignment="1">
      <alignment horizontal="center" vertical="center"/>
    </xf>
    <xf numFmtId="169" fontId="16" fillId="0" borderId="1" xfId="16" applyNumberFormat="1" applyFont="1" applyFill="1" applyBorder="1" applyAlignment="1">
      <alignment horizontal="center" vertical="center"/>
    </xf>
    <xf numFmtId="169" fontId="17" fillId="0" borderId="1" xfId="16" applyNumberFormat="1" applyFont="1" applyFill="1" applyBorder="1" applyAlignment="1">
      <alignment horizontal="center" vertical="center"/>
    </xf>
    <xf numFmtId="169" fontId="16" fillId="0" borderId="0" xfId="14" applyNumberFormat="1" applyFont="1"/>
    <xf numFmtId="169" fontId="16" fillId="0" borderId="1" xfId="14" applyNumberFormat="1" applyFont="1" applyBorder="1"/>
    <xf numFmtId="0" fontId="5" fillId="0" borderId="41" xfId="14" applyFont="1" applyBorder="1" applyAlignment="1">
      <alignment horizontal="center" vertical="center"/>
    </xf>
    <xf numFmtId="0" fontId="16" fillId="0" borderId="0" xfId="14" applyFont="1" applyAlignment="1">
      <alignment horizontal="center"/>
    </xf>
    <xf numFmtId="0" fontId="5" fillId="5" borderId="41" xfId="14" applyFont="1" applyFill="1" applyBorder="1" applyAlignment="1">
      <alignment horizontal="center" vertical="center"/>
    </xf>
    <xf numFmtId="10" fontId="17" fillId="5" borderId="1" xfId="17" applyNumberFormat="1" applyFont="1" applyFill="1" applyBorder="1" applyAlignment="1">
      <alignment horizontal="center" vertical="center"/>
    </xf>
    <xf numFmtId="169" fontId="5" fillId="19" borderId="1" xfId="16" applyNumberFormat="1" applyFont="1" applyFill="1" applyBorder="1" applyAlignment="1">
      <alignment horizontal="center" vertical="center"/>
    </xf>
    <xf numFmtId="169" fontId="4" fillId="0" borderId="1" xfId="16" applyNumberFormat="1" applyFont="1" applyFill="1" applyBorder="1" applyAlignment="1">
      <alignment horizontal="center" vertical="center"/>
    </xf>
    <xf numFmtId="0" fontId="14" fillId="0" borderId="2" xfId="14" applyFont="1" applyBorder="1" applyAlignment="1">
      <alignment horizontal="center" vertical="center"/>
    </xf>
    <xf numFmtId="169" fontId="19" fillId="19" borderId="2" xfId="16" applyNumberFormat="1" applyFont="1" applyFill="1" applyBorder="1" applyAlignment="1">
      <alignment horizontal="center" vertical="center"/>
    </xf>
    <xf numFmtId="169" fontId="14" fillId="0" borderId="2" xfId="16" applyNumberFormat="1" applyFont="1" applyFill="1" applyBorder="1" applyAlignment="1">
      <alignment horizontal="center" vertical="center"/>
    </xf>
    <xf numFmtId="0" fontId="14" fillId="0" borderId="4" xfId="14" applyFont="1" applyBorder="1" applyAlignment="1">
      <alignment horizontal="center" vertical="center"/>
    </xf>
    <xf numFmtId="169" fontId="19" fillId="19" borderId="4" xfId="16" applyNumberFormat="1" applyFont="1" applyFill="1" applyBorder="1" applyAlignment="1">
      <alignment horizontal="center" vertical="center"/>
    </xf>
    <xf numFmtId="169" fontId="14" fillId="0" borderId="4" xfId="16" applyNumberFormat="1" applyFont="1" applyFill="1" applyBorder="1" applyAlignment="1">
      <alignment horizontal="center" vertical="center"/>
    </xf>
    <xf numFmtId="0" fontId="5" fillId="0" borderId="2" xfId="14" applyFont="1" applyBorder="1" applyAlignment="1">
      <alignment horizontal="center" vertical="center"/>
    </xf>
    <xf numFmtId="169" fontId="5" fillId="19" borderId="2" xfId="16" applyNumberFormat="1" applyFont="1" applyFill="1" applyBorder="1" applyAlignment="1">
      <alignment horizontal="center" vertical="center"/>
    </xf>
    <xf numFmtId="169" fontId="4" fillId="0" borderId="0" xfId="14" applyNumberFormat="1" applyFont="1"/>
    <xf numFmtId="0" fontId="3" fillId="0" borderId="0" xfId="14" applyFont="1" applyAlignment="1">
      <alignment horizontal="center" vertical="center"/>
    </xf>
    <xf numFmtId="0" fontId="3" fillId="0" borderId="0" xfId="14" applyFont="1" applyAlignment="1">
      <alignment horizontal="center" vertical="center" wrapText="1"/>
    </xf>
    <xf numFmtId="0" fontId="7" fillId="0" borderId="0" xfId="14" applyFont="1"/>
    <xf numFmtId="0" fontId="7" fillId="0" borderId="0" xfId="7" applyFont="1"/>
    <xf numFmtId="0" fontId="4" fillId="5" borderId="1" xfId="7" applyFill="1" applyBorder="1"/>
    <xf numFmtId="0" fontId="4" fillId="0" borderId="1" xfId="7" applyBorder="1"/>
    <xf numFmtId="0" fontId="16" fillId="5" borderId="1" xfId="7" applyFont="1" applyFill="1" applyBorder="1"/>
    <xf numFmtId="167" fontId="17" fillId="0" borderId="1" xfId="5" applyNumberFormat="1" applyFont="1" applyBorder="1"/>
    <xf numFmtId="167" fontId="17" fillId="10" borderId="1" xfId="5" applyNumberFormat="1" applyFont="1" applyFill="1" applyBorder="1"/>
    <xf numFmtId="167" fontId="17" fillId="9" borderId="1" xfId="5" applyNumberFormat="1" applyFont="1" applyFill="1" applyBorder="1"/>
    <xf numFmtId="0" fontId="16" fillId="0" borderId="0" xfId="1" applyFont="1" applyAlignment="1">
      <alignment horizontal="center" vertical="center"/>
    </xf>
    <xf numFmtId="166" fontId="30" fillId="20" borderId="1" xfId="2" applyNumberFormat="1" applyFont="1" applyFill="1" applyBorder="1" applyAlignment="1">
      <alignment horizontal="right" vertical="center" wrapText="1"/>
    </xf>
    <xf numFmtId="166" fontId="30" fillId="20" borderId="1" xfId="2" applyNumberFormat="1" applyFont="1" applyFill="1" applyBorder="1" applyAlignment="1">
      <alignment vertical="center" wrapText="1"/>
    </xf>
    <xf numFmtId="167" fontId="17" fillId="0" borderId="1" xfId="0" applyNumberFormat="1" applyFont="1" applyBorder="1" applyAlignment="1">
      <alignment horizontal="center"/>
    </xf>
    <xf numFmtId="0" fontId="3" fillId="0" borderId="0" xfId="1" applyFont="1" applyAlignment="1">
      <alignment horizontal="center"/>
    </xf>
    <xf numFmtId="0" fontId="17" fillId="0" borderId="0" xfId="1" applyFont="1" applyAlignment="1">
      <alignment vertical="center"/>
    </xf>
    <xf numFmtId="0" fontId="12" fillId="0" borderId="0" xfId="1" applyFont="1" applyAlignment="1">
      <alignment vertical="center"/>
    </xf>
    <xf numFmtId="0" fontId="14" fillId="0" borderId="0" xfId="0" applyFont="1"/>
    <xf numFmtId="0" fontId="2" fillId="0" borderId="0" xfId="0" applyFont="1"/>
    <xf numFmtId="167" fontId="12" fillId="0" borderId="1" xfId="0" applyNumberFormat="1" applyFont="1" applyBorder="1" applyAlignment="1">
      <alignment horizontal="right"/>
    </xf>
    <xf numFmtId="167" fontId="12" fillId="0" borderId="1" xfId="1" applyNumberFormat="1" applyFont="1" applyBorder="1" applyAlignment="1">
      <alignment vertical="center"/>
    </xf>
    <xf numFmtId="167" fontId="16" fillId="0" borderId="1" xfId="0" applyNumberFormat="1" applyFont="1" applyBorder="1" applyAlignment="1">
      <alignment horizontal="right"/>
    </xf>
    <xf numFmtId="0" fontId="17" fillId="5" borderId="1" xfId="1" applyFont="1" applyFill="1" applyBorder="1" applyAlignment="1">
      <alignment vertical="center"/>
    </xf>
    <xf numFmtId="167" fontId="17" fillId="5" borderId="1" xfId="1" applyNumberFormat="1" applyFont="1" applyFill="1" applyBorder="1" applyAlignment="1">
      <alignment vertical="center"/>
    </xf>
    <xf numFmtId="167" fontId="17" fillId="5" borderId="1" xfId="0" applyNumberFormat="1" applyFont="1" applyFill="1" applyBorder="1" applyAlignment="1">
      <alignment horizontal="right"/>
    </xf>
    <xf numFmtId="0" fontId="13" fillId="5" borderId="1" xfId="1" applyFont="1" applyFill="1" applyBorder="1" applyAlignment="1">
      <alignment vertical="center"/>
    </xf>
    <xf numFmtId="167" fontId="13" fillId="5" borderId="1" xfId="1" applyNumberFormat="1" applyFont="1" applyFill="1" applyBorder="1" applyAlignment="1">
      <alignment vertical="center"/>
    </xf>
    <xf numFmtId="0" fontId="13" fillId="0" borderId="0" xfId="1" applyFont="1" applyAlignment="1">
      <alignment vertical="center"/>
    </xf>
    <xf numFmtId="0" fontId="27" fillId="0" borderId="0" xfId="1" applyFont="1" applyAlignment="1">
      <alignment horizontal="center" vertical="center"/>
    </xf>
    <xf numFmtId="167" fontId="13" fillId="5" borderId="1" xfId="0" applyNumberFormat="1" applyFont="1" applyFill="1" applyBorder="1" applyAlignment="1">
      <alignment horizontal="right"/>
    </xf>
    <xf numFmtId="0" fontId="17" fillId="0" borderId="1" xfId="1" applyFont="1" applyBorder="1" applyAlignment="1">
      <alignment horizontal="left" vertical="center"/>
    </xf>
    <xf numFmtId="0" fontId="33" fillId="0" borderId="0" xfId="1" applyFont="1" applyAlignment="1">
      <alignment horizontal="center" vertical="center"/>
    </xf>
    <xf numFmtId="0" fontId="12" fillId="0" borderId="1" xfId="1" applyFont="1" applyBorder="1" applyAlignment="1">
      <alignment horizontal="left" vertical="center"/>
    </xf>
    <xf numFmtId="0" fontId="17" fillId="11" borderId="1" xfId="1" applyFont="1" applyFill="1" applyBorder="1" applyAlignment="1">
      <alignment horizontal="left" vertical="center"/>
    </xf>
    <xf numFmtId="0" fontId="17" fillId="5" borderId="1" xfId="1" applyFont="1" applyFill="1" applyBorder="1" applyAlignment="1">
      <alignment horizontal="left" vertical="center"/>
    </xf>
    <xf numFmtId="0" fontId="17" fillId="5" borderId="1" xfId="0" applyFont="1" applyFill="1" applyBorder="1" applyAlignment="1">
      <alignment horizontal="center"/>
    </xf>
    <xf numFmtId="0" fontId="17" fillId="11" borderId="1" xfId="0" applyFont="1" applyFill="1" applyBorder="1" applyAlignment="1">
      <alignment horizontal="center"/>
    </xf>
    <xf numFmtId="0" fontId="12" fillId="0" borderId="0" xfId="0" applyFont="1"/>
    <xf numFmtId="0" fontId="17" fillId="0" borderId="0" xfId="1" applyFont="1" applyAlignment="1">
      <alignment horizontal="center" vertical="center"/>
    </xf>
    <xf numFmtId="0" fontId="16" fillId="0" borderId="0" xfId="0" applyFont="1"/>
    <xf numFmtId="167" fontId="12" fillId="0" borderId="1" xfId="1" applyNumberFormat="1" applyFont="1" applyBorder="1" applyAlignment="1">
      <alignment horizontal="right" vertical="center"/>
    </xf>
    <xf numFmtId="0" fontId="13" fillId="5" borderId="1" xfId="1" applyFont="1" applyFill="1" applyBorder="1" applyAlignment="1">
      <alignment horizontal="left" vertical="center"/>
    </xf>
    <xf numFmtId="167" fontId="17" fillId="5" borderId="1" xfId="1" applyNumberFormat="1" applyFont="1" applyFill="1" applyBorder="1" applyAlignment="1">
      <alignment horizontal="right" vertical="center"/>
    </xf>
    <xf numFmtId="0" fontId="2" fillId="0" borderId="0" xfId="1" applyFont="1" applyAlignment="1">
      <alignment horizontal="left"/>
    </xf>
    <xf numFmtId="0" fontId="13" fillId="0" borderId="0" xfId="1" applyFont="1" applyAlignment="1">
      <alignment horizontal="center" vertical="center"/>
    </xf>
    <xf numFmtId="0" fontId="17" fillId="0" borderId="0" xfId="1" applyFont="1" applyAlignment="1">
      <alignment horizontal="left" vertical="center"/>
    </xf>
    <xf numFmtId="0" fontId="9" fillId="0" borderId="0" xfId="0" applyFont="1" applyAlignment="1">
      <alignment horizontal="center" vertical="center" wrapText="1"/>
    </xf>
    <xf numFmtId="0" fontId="12" fillId="0" borderId="0" xfId="1" applyFont="1" applyAlignment="1">
      <alignment horizontal="left" vertical="center"/>
    </xf>
    <xf numFmtId="167" fontId="12" fillId="0" borderId="0" xfId="1" applyNumberFormat="1" applyFont="1" applyAlignment="1">
      <alignment horizontal="right" vertical="center"/>
    </xf>
    <xf numFmtId="167" fontId="12" fillId="0" borderId="0" xfId="0" applyNumberFormat="1" applyFont="1" applyAlignment="1">
      <alignment horizontal="right"/>
    </xf>
    <xf numFmtId="0" fontId="4" fillId="0" borderId="2" xfId="0" applyFont="1" applyBorder="1"/>
    <xf numFmtId="0" fontId="4" fillId="0" borderId="4" xfId="0" applyFont="1" applyBorder="1"/>
    <xf numFmtId="167" fontId="5" fillId="5" borderId="1" xfId="0" applyNumberFormat="1" applyFont="1" applyFill="1" applyBorder="1" applyAlignment="1">
      <alignment horizontal="right"/>
    </xf>
    <xf numFmtId="0" fontId="12" fillId="0" borderId="2" xfId="1" applyFont="1" applyBorder="1" applyAlignment="1">
      <alignment vertical="center"/>
    </xf>
    <xf numFmtId="0" fontId="12" fillId="0" borderId="3" xfId="1" applyFont="1" applyBorder="1" applyAlignment="1">
      <alignment vertical="center"/>
    </xf>
    <xf numFmtId="0" fontId="12" fillId="0" borderId="4" xfId="1" applyFont="1" applyBorder="1" applyAlignment="1">
      <alignment vertical="center"/>
    </xf>
    <xf numFmtId="170" fontId="14" fillId="0" borderId="2" xfId="13" applyNumberFormat="1" applyFont="1" applyBorder="1" applyAlignment="1">
      <alignment horizontal="center"/>
    </xf>
    <xf numFmtId="170" fontId="14" fillId="0" borderId="3" xfId="13" applyNumberFormat="1" applyFont="1" applyBorder="1" applyAlignment="1">
      <alignment horizontal="center"/>
    </xf>
    <xf numFmtId="0" fontId="16" fillId="0" borderId="2" xfId="1" applyFont="1" applyBorder="1" applyAlignment="1">
      <alignment vertical="center"/>
    </xf>
    <xf numFmtId="167" fontId="16" fillId="0" borderId="2" xfId="1" applyNumberFormat="1" applyFont="1" applyBorder="1" applyAlignment="1">
      <alignment vertical="center"/>
    </xf>
    <xf numFmtId="0" fontId="16" fillId="0" borderId="4" xfId="1" applyFont="1" applyBorder="1" applyAlignment="1">
      <alignment vertical="center"/>
    </xf>
    <xf numFmtId="167" fontId="16" fillId="0" borderId="4" xfId="1" applyNumberFormat="1" applyFont="1" applyBorder="1" applyAlignment="1">
      <alignment vertical="center"/>
    </xf>
    <xf numFmtId="167" fontId="16" fillId="0" borderId="2" xfId="0" applyNumberFormat="1" applyFont="1" applyBorder="1" applyAlignment="1">
      <alignment horizontal="right"/>
    </xf>
    <xf numFmtId="167" fontId="16" fillId="0" borderId="4" xfId="0" applyNumberFormat="1" applyFont="1" applyBorder="1" applyAlignment="1">
      <alignment horizontal="right"/>
    </xf>
    <xf numFmtId="167" fontId="12" fillId="0" borderId="2" xfId="1" applyNumberFormat="1" applyFont="1" applyBorder="1" applyAlignment="1">
      <alignment vertical="center"/>
    </xf>
    <xf numFmtId="167" fontId="12" fillId="0" borderId="4" xfId="1" applyNumberFormat="1" applyFont="1" applyBorder="1" applyAlignment="1">
      <alignment vertical="center"/>
    </xf>
    <xf numFmtId="167" fontId="12" fillId="0" borderId="2" xfId="0" applyNumberFormat="1" applyFont="1" applyBorder="1" applyAlignment="1">
      <alignment horizontal="right"/>
    </xf>
    <xf numFmtId="167" fontId="12" fillId="0" borderId="4" xfId="0" applyNumberFormat="1" applyFont="1" applyBorder="1" applyAlignment="1">
      <alignment horizontal="right"/>
    </xf>
    <xf numFmtId="0" fontId="12" fillId="11" borderId="2" xfId="1" applyFont="1" applyFill="1" applyBorder="1" applyAlignment="1">
      <alignment horizontal="left" vertical="center"/>
    </xf>
    <xf numFmtId="167" fontId="12" fillId="11" borderId="2" xfId="1" applyNumberFormat="1" applyFont="1" applyFill="1" applyBorder="1" applyAlignment="1">
      <alignment horizontal="right" vertical="center"/>
    </xf>
    <xf numFmtId="0" fontId="12" fillId="11" borderId="4" xfId="1" applyFont="1" applyFill="1" applyBorder="1" applyAlignment="1">
      <alignment horizontal="left" vertical="center"/>
    </xf>
    <xf numFmtId="167" fontId="12" fillId="11" borderId="4" xfId="1" applyNumberFormat="1" applyFont="1" applyFill="1" applyBorder="1" applyAlignment="1">
      <alignment horizontal="right" vertical="center"/>
    </xf>
    <xf numFmtId="0" fontId="12" fillId="0" borderId="2" xfId="1" applyFont="1" applyBorder="1" applyAlignment="1">
      <alignment horizontal="left" vertical="center"/>
    </xf>
    <xf numFmtId="167" fontId="12" fillId="0" borderId="2" xfId="1" applyNumberFormat="1" applyFont="1" applyBorder="1" applyAlignment="1">
      <alignment horizontal="right" vertical="center"/>
    </xf>
    <xf numFmtId="0" fontId="12" fillId="0" borderId="4" xfId="1" applyFont="1" applyBorder="1" applyAlignment="1">
      <alignment horizontal="left" vertical="center"/>
    </xf>
    <xf numFmtId="167" fontId="12" fillId="0" borderId="4" xfId="1" applyNumberFormat="1" applyFont="1" applyBorder="1" applyAlignment="1">
      <alignment horizontal="right" vertical="center"/>
    </xf>
    <xf numFmtId="167" fontId="12" fillId="11" borderId="2" xfId="0" applyNumberFormat="1" applyFont="1" applyFill="1" applyBorder="1" applyAlignment="1">
      <alignment horizontal="right"/>
    </xf>
    <xf numFmtId="167" fontId="12" fillId="11" borderId="4" xfId="0" applyNumberFormat="1" applyFont="1" applyFill="1" applyBorder="1" applyAlignment="1">
      <alignment horizontal="right"/>
    </xf>
    <xf numFmtId="0" fontId="5" fillId="11" borderId="2" xfId="0" applyFont="1" applyFill="1" applyBorder="1"/>
    <xf numFmtId="0" fontId="5" fillId="11" borderId="4" xfId="0" applyFont="1" applyFill="1" applyBorder="1"/>
    <xf numFmtId="167" fontId="4" fillId="11" borderId="2" xfId="0" applyNumberFormat="1" applyFont="1" applyFill="1" applyBorder="1"/>
    <xf numFmtId="167" fontId="4" fillId="11" borderId="4" xfId="0" applyNumberFormat="1" applyFont="1" applyFill="1" applyBorder="1"/>
    <xf numFmtId="0" fontId="5" fillId="5" borderId="2" xfId="0" applyFont="1" applyFill="1" applyBorder="1"/>
    <xf numFmtId="167" fontId="4" fillId="5" borderId="2" xfId="0" applyNumberFormat="1" applyFont="1" applyFill="1" applyBorder="1"/>
    <xf numFmtId="0" fontId="5" fillId="5" borderId="4" xfId="0" applyFont="1" applyFill="1" applyBorder="1"/>
    <xf numFmtId="167" fontId="4" fillId="5" borderId="4" xfId="0" applyNumberFormat="1" applyFont="1" applyFill="1" applyBorder="1"/>
    <xf numFmtId="167" fontId="4" fillId="0" borderId="2" xfId="0" applyNumberFormat="1" applyFont="1" applyBorder="1"/>
    <xf numFmtId="167" fontId="4" fillId="0" borderId="3" xfId="0" applyNumberFormat="1" applyFont="1" applyBorder="1"/>
    <xf numFmtId="167" fontId="4" fillId="0" borderId="4" xfId="0" applyNumberFormat="1" applyFont="1" applyBorder="1"/>
    <xf numFmtId="0" fontId="14" fillId="0" borderId="2" xfId="0" applyFont="1" applyBorder="1"/>
    <xf numFmtId="167" fontId="14" fillId="0" borderId="2" xfId="0" applyNumberFormat="1" applyFont="1" applyBorder="1"/>
    <xf numFmtId="0" fontId="14" fillId="0" borderId="4" xfId="0" applyFont="1" applyBorder="1"/>
    <xf numFmtId="167" fontId="14" fillId="0" borderId="4" xfId="0" applyNumberFormat="1" applyFont="1" applyBorder="1"/>
    <xf numFmtId="166" fontId="18" fillId="0" borderId="2" xfId="2" applyNumberFormat="1" applyFont="1" applyFill="1" applyBorder="1" applyAlignment="1">
      <alignment horizontal="right" vertical="center" wrapText="1"/>
    </xf>
    <xf numFmtId="166" fontId="18" fillId="0" borderId="4" xfId="2" applyNumberFormat="1" applyFont="1" applyFill="1" applyBorder="1" applyAlignment="1">
      <alignment horizontal="right" vertical="center" wrapText="1"/>
    </xf>
    <xf numFmtId="166" fontId="18" fillId="0" borderId="2" xfId="2" applyNumberFormat="1" applyFont="1" applyFill="1" applyBorder="1" applyAlignment="1">
      <alignment vertical="center" wrapText="1"/>
    </xf>
    <xf numFmtId="166" fontId="18" fillId="0" borderId="4" xfId="2" applyNumberFormat="1" applyFont="1" applyFill="1" applyBorder="1" applyAlignment="1">
      <alignment vertical="center" wrapText="1"/>
    </xf>
    <xf numFmtId="0" fontId="4" fillId="5" borderId="2" xfId="14" applyFont="1" applyFill="1" applyBorder="1" applyAlignment="1">
      <alignment horizontal="left" vertical="center"/>
    </xf>
    <xf numFmtId="0" fontId="4" fillId="5" borderId="3" xfId="14" applyFont="1" applyFill="1" applyBorder="1" applyAlignment="1">
      <alignment horizontal="left" vertical="center"/>
    </xf>
    <xf numFmtId="0" fontId="4" fillId="5" borderId="4" xfId="14" applyFont="1" applyFill="1" applyBorder="1" applyAlignment="1">
      <alignment horizontal="left" vertical="center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16" fillId="7" borderId="11" xfId="0" applyFont="1" applyFill="1" applyBorder="1"/>
    <xf numFmtId="0" fontId="16" fillId="7" borderId="0" xfId="0" applyFont="1" applyFill="1"/>
    <xf numFmtId="0" fontId="17" fillId="7" borderId="11" xfId="0" applyFont="1" applyFill="1" applyBorder="1" applyAlignment="1">
      <alignment vertical="center" wrapText="1"/>
    </xf>
    <xf numFmtId="0" fontId="17" fillId="0" borderId="11" xfId="0" applyFont="1" applyBorder="1" applyAlignment="1">
      <alignment vertical="center" wrapText="1"/>
    </xf>
    <xf numFmtId="0" fontId="4" fillId="7" borderId="0" xfId="0" applyFont="1" applyFill="1"/>
    <xf numFmtId="0" fontId="6" fillId="7" borderId="0" xfId="0" applyFont="1" applyFill="1" applyAlignment="1">
      <alignment horizontal="center"/>
    </xf>
    <xf numFmtId="0" fontId="35" fillId="7" borderId="0" xfId="0" applyFont="1" applyFill="1" applyAlignment="1">
      <alignment horizontal="center"/>
    </xf>
    <xf numFmtId="0" fontId="9" fillId="7" borderId="0" xfId="0" applyFont="1" applyFill="1" applyAlignment="1">
      <alignment horizontal="center"/>
    </xf>
    <xf numFmtId="0" fontId="36" fillId="7" borderId="13" xfId="0" applyFont="1" applyFill="1" applyBorder="1" applyAlignment="1">
      <alignment horizontal="center" vertical="center"/>
    </xf>
    <xf numFmtId="0" fontId="5" fillId="7" borderId="0" xfId="0" applyFont="1" applyFill="1" applyAlignment="1">
      <alignment horizontal="center" vertical="center"/>
    </xf>
    <xf numFmtId="0" fontId="9" fillId="7" borderId="16" xfId="0" applyFont="1" applyFill="1" applyBorder="1" applyAlignment="1">
      <alignment horizontal="center" vertical="center"/>
    </xf>
    <xf numFmtId="0" fontId="5" fillId="7" borderId="0" xfId="0" applyFont="1" applyFill="1" applyAlignment="1">
      <alignment horizontal="center" vertical="center" wrapText="1"/>
    </xf>
    <xf numFmtId="0" fontId="17" fillId="7" borderId="13" xfId="0" applyFont="1" applyFill="1" applyBorder="1" applyAlignment="1">
      <alignment horizontal="center" vertical="center" wrapText="1"/>
    </xf>
    <xf numFmtId="0" fontId="4" fillId="7" borderId="16" xfId="0" applyFont="1" applyFill="1" applyBorder="1" applyAlignment="1">
      <alignment vertical="center"/>
    </xf>
    <xf numFmtId="0" fontId="3" fillId="14" borderId="20" xfId="0" applyFont="1" applyFill="1" applyBorder="1" applyAlignment="1">
      <alignment vertical="center" wrapText="1"/>
    </xf>
    <xf numFmtId="0" fontId="4" fillId="7" borderId="21" xfId="0" applyFont="1" applyFill="1" applyBorder="1"/>
    <xf numFmtId="0" fontId="5" fillId="7" borderId="0" xfId="0" applyFont="1" applyFill="1" applyAlignment="1">
      <alignment horizontal="center"/>
    </xf>
    <xf numFmtId="0" fontId="4" fillId="7" borderId="13" xfId="0" applyFont="1" applyFill="1" applyBorder="1" applyAlignment="1">
      <alignment vertical="center"/>
    </xf>
    <xf numFmtId="0" fontId="4" fillId="7" borderId="15" xfId="0" applyFont="1" applyFill="1" applyBorder="1" applyAlignment="1">
      <alignment vertical="center"/>
    </xf>
    <xf numFmtId="0" fontId="4" fillId="7" borderId="14" xfId="0" applyFont="1" applyFill="1" applyBorder="1" applyAlignment="1">
      <alignment horizontal="center" vertical="center"/>
    </xf>
    <xf numFmtId="0" fontId="13" fillId="7" borderId="13" xfId="0" applyFont="1" applyFill="1" applyBorder="1" applyAlignment="1">
      <alignment vertical="center"/>
    </xf>
    <xf numFmtId="0" fontId="27" fillId="14" borderId="20" xfId="0" applyFont="1" applyFill="1" applyBorder="1" applyAlignment="1">
      <alignment vertical="center"/>
    </xf>
    <xf numFmtId="0" fontId="38" fillId="7" borderId="0" xfId="0" applyFont="1" applyFill="1" applyAlignment="1">
      <alignment horizontal="center"/>
    </xf>
    <xf numFmtId="0" fontId="38" fillId="7" borderId="21" xfId="0" applyFont="1" applyFill="1" applyBorder="1"/>
    <xf numFmtId="0" fontId="14" fillId="7" borderId="16" xfId="0" applyFont="1" applyFill="1" applyBorder="1" applyAlignment="1">
      <alignment vertical="center"/>
    </xf>
    <xf numFmtId="0" fontId="4" fillId="7" borderId="20" xfId="0" applyFont="1" applyFill="1" applyBorder="1" applyAlignment="1">
      <alignment vertical="center"/>
    </xf>
    <xf numFmtId="0" fontId="3" fillId="14" borderId="16" xfId="0" applyFont="1" applyFill="1" applyBorder="1" applyAlignment="1">
      <alignment vertical="center"/>
    </xf>
    <xf numFmtId="0" fontId="3" fillId="14" borderId="20" xfId="0" applyFont="1" applyFill="1" applyBorder="1" applyAlignment="1">
      <alignment vertical="center"/>
    </xf>
    <xf numFmtId="0" fontId="4" fillId="7" borderId="15" xfId="0" applyFont="1" applyFill="1" applyBorder="1"/>
    <xf numFmtId="0" fontId="4" fillId="7" borderId="14" xfId="0" applyFont="1" applyFill="1" applyBorder="1" applyAlignment="1">
      <alignment horizontal="center"/>
    </xf>
    <xf numFmtId="0" fontId="27" fillId="14" borderId="16" xfId="0" applyFont="1" applyFill="1" applyBorder="1" applyAlignment="1">
      <alignment vertical="center"/>
    </xf>
    <xf numFmtId="0" fontId="33" fillId="14" borderId="16" xfId="0" applyFont="1" applyFill="1" applyBorder="1" applyAlignment="1">
      <alignment vertical="center"/>
    </xf>
    <xf numFmtId="0" fontId="4" fillId="15" borderId="16" xfId="0" applyFont="1" applyFill="1" applyBorder="1" applyAlignment="1">
      <alignment vertical="center"/>
    </xf>
    <xf numFmtId="0" fontId="3" fillId="14" borderId="28" xfId="0" applyFont="1" applyFill="1" applyBorder="1" applyAlignment="1">
      <alignment vertical="center"/>
    </xf>
    <xf numFmtId="0" fontId="3" fillId="14" borderId="32" xfId="0" applyFont="1" applyFill="1" applyBorder="1" applyAlignment="1">
      <alignment vertical="center"/>
    </xf>
    <xf numFmtId="0" fontId="33" fillId="16" borderId="27" xfId="0" applyFont="1" applyFill="1" applyBorder="1" applyAlignment="1">
      <alignment vertical="center"/>
    </xf>
    <xf numFmtId="0" fontId="5" fillId="7" borderId="21" xfId="0" applyFont="1" applyFill="1" applyBorder="1" applyAlignment="1">
      <alignment horizontal="center" vertical="center"/>
    </xf>
    <xf numFmtId="169" fontId="17" fillId="7" borderId="39" xfId="12" applyNumberFormat="1" applyFont="1" applyFill="1" applyBorder="1" applyAlignment="1" applyProtection="1">
      <alignment horizontal="center" vertical="center"/>
    </xf>
    <xf numFmtId="169" fontId="17" fillId="7" borderId="34" xfId="12" applyNumberFormat="1" applyFont="1" applyFill="1" applyBorder="1" applyAlignment="1" applyProtection="1">
      <alignment horizontal="center" vertical="center"/>
    </xf>
    <xf numFmtId="169" fontId="3" fillId="14" borderId="40" xfId="12" applyNumberFormat="1" applyFont="1" applyFill="1" applyBorder="1" applyAlignment="1" applyProtection="1">
      <alignment horizontal="center" vertical="center"/>
    </xf>
    <xf numFmtId="0" fontId="4" fillId="7" borderId="0" xfId="0" applyFont="1" applyFill="1" applyAlignment="1">
      <alignment horizontal="center"/>
    </xf>
    <xf numFmtId="0" fontId="4" fillId="7" borderId="12" xfId="0" applyFont="1" applyFill="1" applyBorder="1"/>
    <xf numFmtId="0" fontId="4" fillId="7" borderId="14" xfId="0" applyFont="1" applyFill="1" applyBorder="1"/>
    <xf numFmtId="0" fontId="3" fillId="14" borderId="27" xfId="0" applyFont="1" applyFill="1" applyBorder="1" applyAlignment="1">
      <alignment vertical="center" wrapText="1"/>
    </xf>
    <xf numFmtId="0" fontId="4" fillId="7" borderId="25" xfId="0" applyFont="1" applyFill="1" applyBorder="1"/>
    <xf numFmtId="0" fontId="5" fillId="18" borderId="35" xfId="0" applyFont="1" applyFill="1" applyBorder="1" applyAlignment="1">
      <alignment vertical="center"/>
    </xf>
    <xf numFmtId="0" fontId="9" fillId="7" borderId="0" xfId="0" applyFont="1" applyFill="1"/>
    <xf numFmtId="0" fontId="17" fillId="7" borderId="50" xfId="0" applyFont="1" applyFill="1" applyBorder="1" applyAlignment="1">
      <alignment horizontal="center" vertical="center" wrapText="1"/>
    </xf>
    <xf numFmtId="0" fontId="17" fillId="0" borderId="51" xfId="0" applyFont="1" applyBorder="1" applyAlignment="1">
      <alignment horizontal="center" vertical="center" wrapText="1"/>
    </xf>
    <xf numFmtId="0" fontId="4" fillId="7" borderId="58" xfId="0" applyFont="1" applyFill="1" applyBorder="1" applyAlignment="1">
      <alignment horizontal="center"/>
    </xf>
    <xf numFmtId="0" fontId="4" fillId="7" borderId="48" xfId="0" applyFont="1" applyFill="1" applyBorder="1" applyAlignment="1">
      <alignment horizontal="center" vertical="center"/>
    </xf>
    <xf numFmtId="0" fontId="4" fillId="7" borderId="49" xfId="0" applyFont="1" applyFill="1" applyBorder="1"/>
    <xf numFmtId="0" fontId="38" fillId="7" borderId="58" xfId="0" applyFont="1" applyFill="1" applyBorder="1" applyAlignment="1">
      <alignment horizontal="center"/>
    </xf>
    <xf numFmtId="0" fontId="4" fillId="7" borderId="58" xfId="0" applyFont="1" applyFill="1" applyBorder="1"/>
    <xf numFmtId="0" fontId="38" fillId="7" borderId="59" xfId="0" applyFont="1" applyFill="1" applyBorder="1" applyAlignment="1">
      <alignment horizontal="center"/>
    </xf>
    <xf numFmtId="9" fontId="4" fillId="7" borderId="70" xfId="13" applyFont="1" applyFill="1" applyBorder="1" applyAlignment="1" applyProtection="1">
      <alignment horizontal="center" vertical="center"/>
    </xf>
    <xf numFmtId="165" fontId="16" fillId="7" borderId="71" xfId="12" applyFont="1" applyFill="1" applyBorder="1" applyAlignment="1" applyProtection="1">
      <alignment horizontal="center" vertical="center"/>
    </xf>
    <xf numFmtId="165" fontId="4" fillId="7" borderId="71" xfId="0" applyNumberFormat="1" applyFont="1" applyFill="1" applyBorder="1" applyAlignment="1">
      <alignment horizontal="center" vertical="center"/>
    </xf>
    <xf numFmtId="0" fontId="4" fillId="7" borderId="59" xfId="0" applyFont="1" applyFill="1" applyBorder="1"/>
    <xf numFmtId="0" fontId="4" fillId="7" borderId="48" xfId="0" applyFont="1" applyFill="1" applyBorder="1" applyAlignment="1">
      <alignment horizontal="center"/>
    </xf>
    <xf numFmtId="169" fontId="4" fillId="7" borderId="49" xfId="12" applyNumberFormat="1" applyFont="1" applyFill="1" applyBorder="1" applyAlignment="1" applyProtection="1">
      <alignment horizontal="center"/>
    </xf>
    <xf numFmtId="10" fontId="4" fillId="7" borderId="71" xfId="0" applyNumberFormat="1" applyFont="1" applyFill="1" applyBorder="1" applyAlignment="1">
      <alignment horizontal="center" vertical="center"/>
    </xf>
    <xf numFmtId="171" fontId="3" fillId="14" borderId="71" xfId="12" applyNumberFormat="1" applyFont="1" applyFill="1" applyBorder="1" applyAlignment="1" applyProtection="1">
      <alignment vertical="center"/>
    </xf>
    <xf numFmtId="169" fontId="33" fillId="14" borderId="71" xfId="12" applyNumberFormat="1" applyFont="1" applyFill="1" applyBorder="1" applyAlignment="1" applyProtection="1">
      <alignment horizontal="center"/>
    </xf>
    <xf numFmtId="172" fontId="4" fillId="7" borderId="71" xfId="12" applyNumberFormat="1" applyFont="1" applyFill="1" applyBorder="1" applyAlignment="1" applyProtection="1">
      <alignment horizontal="center" vertical="center"/>
    </xf>
    <xf numFmtId="172" fontId="3" fillId="14" borderId="71" xfId="12" applyNumberFormat="1" applyFont="1" applyFill="1" applyBorder="1" applyAlignment="1" applyProtection="1">
      <alignment horizontal="center" vertical="center"/>
    </xf>
    <xf numFmtId="173" fontId="3" fillId="14" borderId="72" xfId="12" applyNumberFormat="1" applyFont="1" applyFill="1" applyBorder="1" applyAlignment="1" applyProtection="1">
      <alignment horizontal="center" vertical="center"/>
    </xf>
    <xf numFmtId="0" fontId="4" fillId="7" borderId="59" xfId="0" applyFont="1" applyFill="1" applyBorder="1" applyAlignment="1">
      <alignment horizontal="center"/>
    </xf>
    <xf numFmtId="169" fontId="3" fillId="14" borderId="70" xfId="12" applyNumberFormat="1" applyFont="1" applyFill="1" applyBorder="1" applyAlignment="1" applyProtection="1">
      <alignment horizontal="center" vertical="center"/>
    </xf>
    <xf numFmtId="169" fontId="33" fillId="14" borderId="72" xfId="12" applyNumberFormat="1" applyFont="1" applyFill="1" applyBorder="1" applyAlignment="1" applyProtection="1">
      <alignment horizontal="center" vertical="center"/>
    </xf>
    <xf numFmtId="169" fontId="17" fillId="7" borderId="73" xfId="12" applyNumberFormat="1" applyFont="1" applyFill="1" applyBorder="1" applyAlignment="1" applyProtection="1">
      <alignment horizontal="center" vertical="center"/>
    </xf>
    <xf numFmtId="169" fontId="3" fillId="14" borderId="74" xfId="12" applyNumberFormat="1" applyFont="1" applyFill="1" applyBorder="1" applyAlignment="1" applyProtection="1">
      <alignment horizontal="center" vertical="center"/>
    </xf>
    <xf numFmtId="169" fontId="17" fillId="7" borderId="75" xfId="12" applyNumberFormat="1" applyFont="1" applyFill="1" applyBorder="1" applyAlignment="1" applyProtection="1">
      <alignment horizontal="center" vertical="center"/>
    </xf>
    <xf numFmtId="169" fontId="3" fillId="14" borderId="76" xfId="12" applyNumberFormat="1" applyFont="1" applyFill="1" applyBorder="1" applyAlignment="1" applyProtection="1">
      <alignment horizontal="center" vertical="center"/>
    </xf>
    <xf numFmtId="169" fontId="3" fillId="14" borderId="77" xfId="12" applyNumberFormat="1" applyFont="1" applyFill="1" applyBorder="1" applyAlignment="1" applyProtection="1">
      <alignment horizontal="center" vertical="center"/>
    </xf>
    <xf numFmtId="169" fontId="3" fillId="14" borderId="78" xfId="12" applyNumberFormat="1" applyFont="1" applyFill="1" applyBorder="1" applyAlignment="1" applyProtection="1">
      <alignment horizontal="center" vertical="center"/>
    </xf>
    <xf numFmtId="169" fontId="9" fillId="7" borderId="59" xfId="12" applyNumberFormat="1" applyFont="1" applyFill="1" applyBorder="1" applyAlignment="1" applyProtection="1">
      <alignment horizontal="center"/>
    </xf>
    <xf numFmtId="0" fontId="4" fillId="7" borderId="48" xfId="0" applyFont="1" applyFill="1" applyBorder="1"/>
    <xf numFmtId="0" fontId="4" fillId="7" borderId="79" xfId="0" applyFont="1" applyFill="1" applyBorder="1"/>
    <xf numFmtId="169" fontId="4" fillId="12" borderId="82" xfId="12" applyNumberFormat="1" applyFont="1" applyFill="1" applyBorder="1" applyAlignment="1" applyProtection="1">
      <alignment horizontal="center" vertical="center"/>
    </xf>
    <xf numFmtId="9" fontId="4" fillId="7" borderId="48" xfId="13" applyFont="1" applyFill="1" applyBorder="1" applyAlignment="1" applyProtection="1">
      <alignment horizontal="center" vertical="center"/>
    </xf>
    <xf numFmtId="0" fontId="30" fillId="7" borderId="11" xfId="0" applyFont="1" applyFill="1" applyBorder="1" applyAlignment="1">
      <alignment horizontal="left" vertical="center"/>
    </xf>
    <xf numFmtId="0" fontId="7" fillId="7" borderId="11" xfId="0" applyFont="1" applyFill="1" applyBorder="1"/>
    <xf numFmtId="0" fontId="7" fillId="7" borderId="0" xfId="0" applyFont="1" applyFill="1"/>
    <xf numFmtId="0" fontId="7" fillId="0" borderId="31" xfId="0" applyFont="1" applyBorder="1"/>
    <xf numFmtId="0" fontId="7" fillId="7" borderId="31" xfId="0" applyFont="1" applyFill="1" applyBorder="1"/>
    <xf numFmtId="0" fontId="7" fillId="7" borderId="33" xfId="0" applyFont="1" applyFill="1" applyBorder="1"/>
    <xf numFmtId="0" fontId="7" fillId="5" borderId="31" xfId="0" applyFont="1" applyFill="1" applyBorder="1"/>
    <xf numFmtId="0" fontId="43" fillId="5" borderId="28" xfId="0" applyFont="1" applyFill="1" applyBorder="1" applyAlignment="1">
      <alignment horizontal="center" vertical="center" wrapText="1"/>
    </xf>
    <xf numFmtId="0" fontId="44" fillId="5" borderId="29" xfId="0" applyFont="1" applyFill="1" applyBorder="1" applyAlignment="1">
      <alignment horizontal="center" vertical="center" wrapText="1"/>
    </xf>
    <xf numFmtId="0" fontId="42" fillId="5" borderId="30" xfId="0" applyFont="1" applyFill="1" applyBorder="1" applyAlignment="1">
      <alignment horizontal="center" vertical="center" wrapText="1"/>
    </xf>
    <xf numFmtId="0" fontId="7" fillId="0" borderId="16" xfId="0" applyFont="1" applyBorder="1"/>
    <xf numFmtId="0" fontId="7" fillId="5" borderId="16" xfId="0" applyFont="1" applyFill="1" applyBorder="1"/>
    <xf numFmtId="0" fontId="7" fillId="7" borderId="16" xfId="0" applyFont="1" applyFill="1" applyBorder="1"/>
    <xf numFmtId="0" fontId="7" fillId="7" borderId="20" xfId="0" applyFont="1" applyFill="1" applyBorder="1"/>
    <xf numFmtId="0" fontId="18" fillId="5" borderId="13" xfId="0" applyFont="1" applyFill="1" applyBorder="1" applyAlignment="1">
      <alignment horizontal="center" vertical="center" wrapText="1"/>
    </xf>
    <xf numFmtId="0" fontId="45" fillId="7" borderId="11" xfId="0" applyFont="1" applyFill="1" applyBorder="1"/>
    <xf numFmtId="0" fontId="45" fillId="0" borderId="0" xfId="0" applyFont="1"/>
    <xf numFmtId="0" fontId="45" fillId="0" borderId="19" xfId="0" applyFont="1" applyBorder="1"/>
    <xf numFmtId="0" fontId="45" fillId="5" borderId="19" xfId="0" applyFont="1" applyFill="1" applyBorder="1"/>
    <xf numFmtId="0" fontId="45" fillId="7" borderId="19" xfId="0" applyFont="1" applyFill="1" applyBorder="1"/>
    <xf numFmtId="0" fontId="45" fillId="7" borderId="32" xfId="0" applyFont="1" applyFill="1" applyBorder="1"/>
    <xf numFmtId="0" fontId="45" fillId="7" borderId="0" xfId="0" applyFont="1" applyFill="1"/>
    <xf numFmtId="0" fontId="46" fillId="7" borderId="11" xfId="0" applyFont="1" applyFill="1" applyBorder="1"/>
    <xf numFmtId="0" fontId="46" fillId="0" borderId="0" xfId="0" applyFont="1"/>
    <xf numFmtId="0" fontId="46" fillId="0" borderId="1" xfId="0" applyFont="1" applyBorder="1"/>
    <xf numFmtId="0" fontId="46" fillId="5" borderId="1" xfId="0" applyFont="1" applyFill="1" applyBorder="1"/>
    <xf numFmtId="0" fontId="46" fillId="7" borderId="1" xfId="0" applyFont="1" applyFill="1" applyBorder="1"/>
    <xf numFmtId="0" fontId="46" fillId="7" borderId="7" xfId="0" applyFont="1" applyFill="1" applyBorder="1"/>
    <xf numFmtId="0" fontId="46" fillId="7" borderId="0" xfId="0" applyFont="1" applyFill="1"/>
    <xf numFmtId="0" fontId="46" fillId="0" borderId="16" xfId="0" applyFont="1" applyBorder="1"/>
    <xf numFmtId="170" fontId="4" fillId="0" borderId="70" xfId="13" applyNumberFormat="1" applyFont="1" applyFill="1" applyBorder="1" applyAlignment="1" applyProtection="1">
      <alignment horizontal="center"/>
    </xf>
    <xf numFmtId="0" fontId="14" fillId="0" borderId="13" xfId="0" applyFont="1" applyBorder="1"/>
    <xf numFmtId="0" fontId="5" fillId="0" borderId="1" xfId="0" applyFont="1" applyBorder="1"/>
    <xf numFmtId="167" fontId="5" fillId="0" borderId="1" xfId="0" applyNumberFormat="1" applyFont="1" applyBorder="1"/>
    <xf numFmtId="167" fontId="12" fillId="0" borderId="8" xfId="5" applyNumberFormat="1" applyFont="1" applyBorder="1"/>
    <xf numFmtId="167" fontId="14" fillId="0" borderId="8" xfId="1" applyNumberFormat="1" applyFont="1" applyBorder="1" applyAlignment="1">
      <alignment vertical="center"/>
    </xf>
    <xf numFmtId="0" fontId="4" fillId="0" borderId="8" xfId="0" applyFont="1" applyBorder="1" applyAlignment="1">
      <alignment horizontal="center"/>
    </xf>
    <xf numFmtId="167" fontId="5" fillId="5" borderId="1" xfId="0" applyNumberFormat="1" applyFont="1" applyFill="1" applyBorder="1" applyAlignment="1">
      <alignment horizontal="center"/>
    </xf>
    <xf numFmtId="10" fontId="4" fillId="11" borderId="1" xfId="13" applyNumberFormat="1" applyFont="1" applyFill="1" applyBorder="1" applyAlignment="1">
      <alignment horizontal="center"/>
    </xf>
    <xf numFmtId="0" fontId="7" fillId="0" borderId="0" xfId="0" applyFont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3" fillId="2" borderId="44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7" applyAlignment="1">
      <alignment horizontal="center"/>
    </xf>
    <xf numFmtId="167" fontId="4" fillId="5" borderId="1" xfId="7" applyNumberFormat="1" applyFill="1" applyBorder="1" applyAlignment="1">
      <alignment horizontal="center"/>
    </xf>
    <xf numFmtId="167" fontId="4" fillId="0" borderId="1" xfId="7" applyNumberFormat="1" applyBorder="1" applyAlignment="1">
      <alignment horizontal="center"/>
    </xf>
    <xf numFmtId="167" fontId="16" fillId="5" borderId="1" xfId="7" applyNumberFormat="1" applyFont="1" applyFill="1" applyBorder="1" applyAlignment="1">
      <alignment horizontal="center"/>
    </xf>
    <xf numFmtId="0" fontId="7" fillId="0" borderId="0" xfId="1" applyFont="1" applyAlignment="1">
      <alignment horizontal="left" wrapText="1"/>
    </xf>
    <xf numFmtId="0" fontId="4" fillId="0" borderId="0" xfId="1" applyFont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4" fillId="0" borderId="0" xfId="1" applyFont="1" applyAlignment="1">
      <alignment wrapText="1"/>
    </xf>
    <xf numFmtId="0" fontId="4" fillId="0" borderId="0" xfId="1" applyFont="1" applyAlignment="1" applyProtection="1">
      <alignment wrapText="1"/>
      <protection locked="0"/>
    </xf>
    <xf numFmtId="0" fontId="7" fillId="0" borderId="0" xfId="7" applyFont="1" applyAlignment="1">
      <alignment horizontal="center" vertical="center" wrapText="1"/>
    </xf>
    <xf numFmtId="0" fontId="4" fillId="0" borderId="0" xfId="7" applyAlignment="1">
      <alignment horizontal="center" vertical="center" wrapText="1"/>
    </xf>
    <xf numFmtId="167" fontId="17" fillId="8" borderId="1" xfId="6" applyNumberFormat="1" applyFont="1" applyFill="1" applyBorder="1" applyAlignment="1">
      <alignment horizontal="center" vertical="center" wrapText="1"/>
    </xf>
    <xf numFmtId="0" fontId="7" fillId="0" borderId="0" xfId="14" applyFont="1" applyAlignment="1">
      <alignment wrapText="1"/>
    </xf>
    <xf numFmtId="0" fontId="4" fillId="0" borderId="0" xfId="14" applyFont="1" applyAlignment="1">
      <alignment wrapText="1"/>
    </xf>
    <xf numFmtId="0" fontId="17" fillId="0" borderId="44" xfId="14" applyFont="1" applyBorder="1" applyAlignment="1">
      <alignment horizontal="center" vertical="center" wrapText="1"/>
    </xf>
    <xf numFmtId="0" fontId="16" fillId="0" borderId="0" xfId="14" applyFont="1" applyAlignment="1">
      <alignment wrapText="1"/>
    </xf>
    <xf numFmtId="0" fontId="17" fillId="0" borderId="1" xfId="14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167" fontId="4" fillId="11" borderId="1" xfId="0" applyNumberFormat="1" applyFont="1" applyFill="1" applyBorder="1" applyAlignment="1">
      <alignment horizontal="center"/>
    </xf>
    <xf numFmtId="166" fontId="4" fillId="11" borderId="1" xfId="0" applyNumberFormat="1" applyFont="1" applyFill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10" fontId="4" fillId="0" borderId="1" xfId="13" applyNumberFormat="1" applyFont="1" applyBorder="1" applyAlignment="1">
      <alignment horizontal="center"/>
    </xf>
    <xf numFmtId="167" fontId="4" fillId="0" borderId="1" xfId="0" applyNumberFormat="1" applyFont="1" applyBorder="1" applyAlignment="1">
      <alignment horizontal="center"/>
    </xf>
    <xf numFmtId="0" fontId="4" fillId="0" borderId="1" xfId="0" quotePrefix="1" applyFont="1" applyBorder="1" applyAlignment="1">
      <alignment horizontal="center"/>
    </xf>
    <xf numFmtId="170" fontId="4" fillId="0" borderId="1" xfId="13" applyNumberFormat="1" applyFont="1" applyBorder="1" applyAlignment="1">
      <alignment horizontal="center"/>
    </xf>
    <xf numFmtId="0" fontId="14" fillId="0" borderId="0" xfId="0" applyFont="1" applyAlignment="1">
      <alignment horizontal="center"/>
    </xf>
    <xf numFmtId="0" fontId="7" fillId="0" borderId="0" xfId="7" applyFont="1" applyAlignment="1">
      <alignment vertical="center"/>
    </xf>
    <xf numFmtId="0" fontId="19" fillId="0" borderId="0" xfId="7" applyFont="1" applyAlignment="1">
      <alignment vertical="center"/>
    </xf>
    <xf numFmtId="0" fontId="50" fillId="0" borderId="0" xfId="7" applyFont="1" applyAlignment="1">
      <alignment horizontal="center" vertical="center" wrapText="1"/>
    </xf>
    <xf numFmtId="0" fontId="4" fillId="0" borderId="0" xfId="7" applyAlignment="1">
      <alignment vertical="center"/>
    </xf>
    <xf numFmtId="2" fontId="5" fillId="5" borderId="1" xfId="0" applyNumberFormat="1" applyFont="1" applyFill="1" applyBorder="1" applyAlignment="1">
      <alignment horizontal="center"/>
    </xf>
    <xf numFmtId="167" fontId="16" fillId="0" borderId="0" xfId="5" applyNumberFormat="1" applyFont="1" applyAlignment="1">
      <alignment horizontal="center" wrapText="1"/>
    </xf>
    <xf numFmtId="0" fontId="2" fillId="0" borderId="0" xfId="14" applyFont="1" applyAlignment="1">
      <alignment horizontal="center"/>
    </xf>
    <xf numFmtId="0" fontId="2" fillId="0" borderId="0" xfId="14" applyFont="1"/>
    <xf numFmtId="0" fontId="7" fillId="0" borderId="0" xfId="14" applyFont="1" applyAlignment="1">
      <alignment horizontal="center"/>
    </xf>
    <xf numFmtId="0" fontId="42" fillId="0" borderId="0" xfId="14" applyFont="1" applyAlignment="1">
      <alignment horizontal="left" vertical="center" wrapText="1"/>
    </xf>
    <xf numFmtId="169" fontId="4" fillId="0" borderId="5" xfId="16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0" fontId="33" fillId="6" borderId="1" xfId="13" applyNumberFormat="1" applyFont="1" applyFill="1" applyBorder="1" applyAlignment="1">
      <alignment horizontal="center"/>
    </xf>
    <xf numFmtId="0" fontId="33" fillId="0" borderId="0" xfId="0" applyFont="1" applyAlignment="1">
      <alignment horizontal="center"/>
    </xf>
    <xf numFmtId="0" fontId="33" fillId="0" borderId="0" xfId="0" applyFont="1"/>
    <xf numFmtId="10" fontId="33" fillId="6" borderId="1" xfId="13" applyNumberFormat="1" applyFont="1" applyFill="1" applyBorder="1" applyAlignment="1">
      <alignment horizontal="center"/>
    </xf>
    <xf numFmtId="0" fontId="33" fillId="6" borderId="2" xfId="0" applyFont="1" applyFill="1" applyBorder="1" applyAlignment="1">
      <alignment horizontal="center"/>
    </xf>
    <xf numFmtId="10" fontId="33" fillId="6" borderId="2" xfId="13" applyNumberFormat="1" applyFont="1" applyFill="1" applyBorder="1" applyAlignment="1">
      <alignment horizontal="center"/>
    </xf>
    <xf numFmtId="0" fontId="33" fillId="6" borderId="4" xfId="0" applyFont="1" applyFill="1" applyBorder="1" applyAlignment="1">
      <alignment horizontal="center"/>
    </xf>
    <xf numFmtId="10" fontId="33" fillId="6" borderId="4" xfId="13" applyNumberFormat="1" applyFont="1" applyFill="1" applyBorder="1" applyAlignment="1">
      <alignment horizontal="center"/>
    </xf>
    <xf numFmtId="0" fontId="33" fillId="6" borderId="2" xfId="0" applyFont="1" applyFill="1" applyBorder="1"/>
    <xf numFmtId="0" fontId="33" fillId="6" borderId="3" xfId="0" applyFont="1" applyFill="1" applyBorder="1"/>
    <xf numFmtId="0" fontId="33" fillId="6" borderId="4" xfId="0" applyFont="1" applyFill="1" applyBorder="1"/>
    <xf numFmtId="170" fontId="9" fillId="11" borderId="1" xfId="13" applyNumberFormat="1" applyFont="1" applyFill="1" applyBorder="1" applyAlignment="1">
      <alignment horizontal="center"/>
    </xf>
    <xf numFmtId="10" fontId="9" fillId="11" borderId="1" xfId="13" applyNumberFormat="1" applyFont="1" applyFill="1" applyBorder="1" applyAlignment="1">
      <alignment horizontal="center"/>
    </xf>
    <xf numFmtId="10" fontId="9" fillId="11" borderId="2" xfId="13" applyNumberFormat="1" applyFont="1" applyFill="1" applyBorder="1" applyAlignment="1">
      <alignment horizontal="center"/>
    </xf>
    <xf numFmtId="10" fontId="9" fillId="11" borderId="4" xfId="13" applyNumberFormat="1" applyFont="1" applyFill="1" applyBorder="1" applyAlignment="1">
      <alignment horizontal="center"/>
    </xf>
    <xf numFmtId="178" fontId="4" fillId="0" borderId="1" xfId="0" applyNumberFormat="1" applyFont="1" applyBorder="1" applyAlignment="1">
      <alignment horizontal="center"/>
    </xf>
    <xf numFmtId="167" fontId="4" fillId="0" borderId="5" xfId="0" applyNumberFormat="1" applyFont="1" applyBorder="1"/>
    <xf numFmtId="167" fontId="4" fillId="0" borderId="8" xfId="0" applyNumberFormat="1" applyFont="1" applyBorder="1"/>
    <xf numFmtId="0" fontId="9" fillId="0" borderId="0" xfId="0" applyFont="1"/>
    <xf numFmtId="169" fontId="3" fillId="2" borderId="1" xfId="14" applyNumberFormat="1" applyFont="1" applyFill="1" applyBorder="1" applyAlignment="1">
      <alignment horizontal="center" vertical="center"/>
    </xf>
    <xf numFmtId="169" fontId="3" fillId="2" borderId="1" xfId="16" applyNumberFormat="1" applyFont="1" applyFill="1" applyBorder="1" applyAlignment="1">
      <alignment horizontal="center" vertical="center"/>
    </xf>
    <xf numFmtId="169" fontId="4" fillId="19" borderId="4" xfId="16" applyNumberFormat="1" applyFont="1" applyFill="1" applyBorder="1" applyAlignment="1">
      <alignment horizontal="center" vertical="center"/>
    </xf>
    <xf numFmtId="0" fontId="5" fillId="0" borderId="1" xfId="14" applyFont="1" applyBorder="1" applyAlignment="1">
      <alignment horizontal="center"/>
    </xf>
    <xf numFmtId="166" fontId="33" fillId="2" borderId="1" xfId="14" applyNumberFormat="1" applyFont="1" applyFill="1" applyBorder="1" applyAlignment="1">
      <alignment horizontal="right"/>
    </xf>
    <xf numFmtId="166" fontId="4" fillId="0" borderId="2" xfId="14" applyNumberFormat="1" applyFont="1" applyBorder="1" applyAlignment="1">
      <alignment horizontal="right"/>
    </xf>
    <xf numFmtId="166" fontId="4" fillId="0" borderId="3" xfId="14" applyNumberFormat="1" applyFont="1" applyBorder="1" applyAlignment="1">
      <alignment horizontal="right"/>
    </xf>
    <xf numFmtId="166" fontId="4" fillId="0" borderId="4" xfId="14" applyNumberFormat="1" applyFont="1" applyBorder="1" applyAlignment="1">
      <alignment horizontal="right"/>
    </xf>
    <xf numFmtId="166" fontId="4" fillId="11" borderId="2" xfId="14" applyNumberFormat="1" applyFont="1" applyFill="1" applyBorder="1" applyAlignment="1">
      <alignment horizontal="right"/>
    </xf>
    <xf numFmtId="166" fontId="4" fillId="11" borderId="3" xfId="14" applyNumberFormat="1" applyFont="1" applyFill="1" applyBorder="1" applyAlignment="1">
      <alignment horizontal="right"/>
    </xf>
    <xf numFmtId="166" fontId="4" fillId="11" borderId="4" xfId="14" applyNumberFormat="1" applyFont="1" applyFill="1" applyBorder="1" applyAlignment="1">
      <alignment horizontal="right"/>
    </xf>
    <xf numFmtId="0" fontId="4" fillId="11" borderId="2" xfId="14" applyFont="1" applyFill="1" applyBorder="1" applyAlignment="1">
      <alignment horizontal="center"/>
    </xf>
    <xf numFmtId="0" fontId="4" fillId="11" borderId="3" xfId="14" applyFont="1" applyFill="1" applyBorder="1" applyAlignment="1">
      <alignment horizontal="center"/>
    </xf>
    <xf numFmtId="0" fontId="4" fillId="11" borderId="4" xfId="14" applyFont="1" applyFill="1" applyBorder="1" applyAlignment="1">
      <alignment horizontal="center"/>
    </xf>
    <xf numFmtId="169" fontId="7" fillId="0" borderId="0" xfId="14" applyNumberFormat="1" applyFont="1" applyAlignment="1">
      <alignment horizontal="right"/>
    </xf>
    <xf numFmtId="169" fontId="17" fillId="0" borderId="1" xfId="14" applyNumberFormat="1" applyFont="1" applyBorder="1" applyAlignment="1">
      <alignment horizontal="center" vertical="center"/>
    </xf>
    <xf numFmtId="169" fontId="19" fillId="0" borderId="2" xfId="16" applyNumberFormat="1" applyFont="1" applyFill="1" applyBorder="1" applyAlignment="1">
      <alignment horizontal="center" vertical="center"/>
    </xf>
    <xf numFmtId="169" fontId="19" fillId="0" borderId="4" xfId="16" applyNumberFormat="1" applyFont="1" applyFill="1" applyBorder="1" applyAlignment="1">
      <alignment horizontal="center" vertical="center"/>
    </xf>
    <xf numFmtId="169" fontId="5" fillId="0" borderId="1" xfId="16" applyNumberFormat="1" applyFont="1" applyFill="1" applyBorder="1" applyAlignment="1">
      <alignment horizontal="center" vertical="center"/>
    </xf>
    <xf numFmtId="169" fontId="5" fillId="0" borderId="2" xfId="16" applyNumberFormat="1" applyFont="1" applyFill="1" applyBorder="1" applyAlignment="1">
      <alignment horizontal="center" vertical="center"/>
    </xf>
    <xf numFmtId="0" fontId="4" fillId="0" borderId="2" xfId="14" applyFont="1" applyBorder="1" applyAlignment="1">
      <alignment horizontal="center"/>
    </xf>
    <xf numFmtId="0" fontId="4" fillId="0" borderId="3" xfId="14" applyFont="1" applyBorder="1" applyAlignment="1">
      <alignment horizontal="center"/>
    </xf>
    <xf numFmtId="0" fontId="4" fillId="0" borderId="4" xfId="14" applyFont="1" applyBorder="1" applyAlignment="1">
      <alignment horizontal="center"/>
    </xf>
    <xf numFmtId="10" fontId="9" fillId="0" borderId="3" xfId="13" applyNumberFormat="1" applyFont="1" applyFill="1" applyBorder="1" applyAlignment="1">
      <alignment horizontal="center"/>
    </xf>
    <xf numFmtId="10" fontId="33" fillId="6" borderId="3" xfId="13" applyNumberFormat="1" applyFont="1" applyFill="1" applyBorder="1" applyAlignment="1">
      <alignment horizontal="center"/>
    </xf>
    <xf numFmtId="166" fontId="17" fillId="0" borderId="1" xfId="14" applyNumberFormat="1" applyFont="1" applyBorder="1" applyAlignment="1">
      <alignment horizontal="right"/>
    </xf>
    <xf numFmtId="166" fontId="3" fillId="2" borderId="1" xfId="14" applyNumberFormat="1" applyFont="1" applyFill="1" applyBorder="1" applyAlignment="1">
      <alignment horizontal="right"/>
    </xf>
    <xf numFmtId="169" fontId="4" fillId="0" borderId="4" xfId="16" applyNumberFormat="1" applyFont="1" applyFill="1" applyBorder="1" applyAlignment="1">
      <alignment horizontal="center" vertical="center"/>
    </xf>
    <xf numFmtId="9" fontId="4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9" fillId="11" borderId="2" xfId="0" applyFont="1" applyFill="1" applyBorder="1"/>
    <xf numFmtId="0" fontId="14" fillId="11" borderId="4" xfId="0" applyFont="1" applyFill="1" applyBorder="1"/>
    <xf numFmtId="0" fontId="19" fillId="11" borderId="44" xfId="0" applyFont="1" applyFill="1" applyBorder="1"/>
    <xf numFmtId="0" fontId="19" fillId="11" borderId="4" xfId="0" applyFont="1" applyFill="1" applyBorder="1"/>
    <xf numFmtId="179" fontId="4" fillId="0" borderId="2" xfId="0" applyNumberFormat="1" applyFont="1" applyBorder="1"/>
    <xf numFmtId="0" fontId="5" fillId="0" borderId="4" xfId="0" applyFont="1" applyBorder="1"/>
    <xf numFmtId="179" fontId="4" fillId="0" borderId="4" xfId="0" applyNumberFormat="1" applyFont="1" applyBorder="1"/>
    <xf numFmtId="0" fontId="14" fillId="0" borderId="1" xfId="0" applyFont="1" applyBorder="1" applyAlignment="1">
      <alignment horizontal="center"/>
    </xf>
    <xf numFmtId="0" fontId="50" fillId="0" borderId="0" xfId="0" applyFont="1"/>
    <xf numFmtId="0" fontId="5" fillId="0" borderId="2" xfId="0" applyFont="1" applyBorder="1"/>
    <xf numFmtId="167" fontId="17" fillId="0" borderId="2" xfId="5" applyNumberFormat="1" applyFont="1" applyBorder="1" applyAlignment="1">
      <alignment horizontal="left" vertical="center" wrapText="1"/>
    </xf>
    <xf numFmtId="167" fontId="17" fillId="0" borderId="4" xfId="5" applyNumberFormat="1" applyFont="1" applyBorder="1" applyAlignment="1">
      <alignment horizontal="left" vertical="center" wrapText="1"/>
    </xf>
    <xf numFmtId="167" fontId="12" fillId="0" borderId="2" xfId="5" applyNumberFormat="1" applyFont="1" applyBorder="1" applyAlignment="1">
      <alignment vertical="center"/>
    </xf>
    <xf numFmtId="167" fontId="12" fillId="0" borderId="4" xfId="5" applyNumberFormat="1" applyFont="1" applyBorder="1" applyAlignment="1">
      <alignment vertical="center"/>
    </xf>
    <xf numFmtId="0" fontId="30" fillId="2" borderId="1" xfId="0" applyFont="1" applyFill="1" applyBorder="1" applyAlignment="1">
      <alignment horizontal="center"/>
    </xf>
    <xf numFmtId="0" fontId="30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/>
    </xf>
    <xf numFmtId="0" fontId="22" fillId="2" borderId="44" xfId="1" applyFont="1" applyFill="1" applyBorder="1" applyAlignment="1">
      <alignment horizontal="center" vertical="center"/>
    </xf>
    <xf numFmtId="0" fontId="30" fillId="2" borderId="1" xfId="1" applyFont="1" applyFill="1" applyBorder="1" applyAlignment="1">
      <alignment horizontal="center"/>
    </xf>
    <xf numFmtId="166" fontId="4" fillId="6" borderId="4" xfId="14" applyNumberFormat="1" applyFont="1" applyFill="1" applyBorder="1" applyAlignment="1">
      <alignment horizontal="right"/>
    </xf>
    <xf numFmtId="0" fontId="14" fillId="11" borderId="1" xfId="0" applyFont="1" applyFill="1" applyBorder="1"/>
    <xf numFmtId="0" fontId="30" fillId="2" borderId="1" xfId="0" applyFont="1" applyFill="1" applyBorder="1" applyAlignment="1">
      <alignment horizontal="center" vertical="center"/>
    </xf>
    <xf numFmtId="166" fontId="4" fillId="0" borderId="1" xfId="0" applyNumberFormat="1" applyFont="1" applyBorder="1" applyAlignment="1">
      <alignment horizontal="center"/>
    </xf>
    <xf numFmtId="166" fontId="5" fillId="5" borderId="1" xfId="0" applyNumberFormat="1" applyFont="1" applyFill="1" applyBorder="1"/>
    <xf numFmtId="0" fontId="19" fillId="5" borderId="2" xfId="0" applyFont="1" applyFill="1" applyBorder="1"/>
    <xf numFmtId="0" fontId="19" fillId="5" borderId="4" xfId="0" applyFont="1" applyFill="1" applyBorder="1"/>
    <xf numFmtId="0" fontId="19" fillId="5" borderId="44" xfId="0" applyFont="1" applyFill="1" applyBorder="1"/>
    <xf numFmtId="166" fontId="4" fillId="0" borderId="2" xfId="0" applyNumberFormat="1" applyFont="1" applyBorder="1" applyAlignment="1">
      <alignment horizontal="right"/>
    </xf>
    <xf numFmtId="166" fontId="4" fillId="0" borderId="4" xfId="0" applyNumberFormat="1" applyFont="1" applyBorder="1"/>
    <xf numFmtId="0" fontId="19" fillId="7" borderId="2" xfId="0" applyFont="1" applyFill="1" applyBorder="1"/>
    <xf numFmtId="166" fontId="19" fillId="7" borderId="2" xfId="0" applyNumberFormat="1" applyFont="1" applyFill="1" applyBorder="1" applyAlignment="1">
      <alignment horizontal="right"/>
    </xf>
    <xf numFmtId="0" fontId="19" fillId="7" borderId="2" xfId="0" applyFont="1" applyFill="1" applyBorder="1" applyAlignment="1">
      <alignment wrapText="1"/>
    </xf>
    <xf numFmtId="166" fontId="19" fillId="7" borderId="2" xfId="0" applyNumberFormat="1" applyFont="1" applyFill="1" applyBorder="1" applyAlignment="1">
      <alignment horizontal="right" vertical="center"/>
    </xf>
    <xf numFmtId="0" fontId="19" fillId="7" borderId="1" xfId="0" applyFont="1" applyFill="1" applyBorder="1" applyAlignment="1">
      <alignment wrapText="1"/>
    </xf>
    <xf numFmtId="166" fontId="19" fillId="7" borderId="1" xfId="0" applyNumberFormat="1" applyFont="1" applyFill="1" applyBorder="1" applyAlignment="1">
      <alignment horizontal="right" vertical="center"/>
    </xf>
    <xf numFmtId="0" fontId="19" fillId="5" borderId="2" xfId="0" applyFont="1" applyFill="1" applyBorder="1" applyAlignment="1">
      <alignment wrapText="1"/>
    </xf>
    <xf numFmtId="0" fontId="19" fillId="5" borderId="4" xfId="0" applyFont="1" applyFill="1" applyBorder="1" applyAlignment="1">
      <alignment wrapText="1"/>
    </xf>
    <xf numFmtId="166" fontId="5" fillId="5" borderId="1" xfId="0" applyNumberFormat="1" applyFont="1" applyFill="1" applyBorder="1" applyAlignment="1">
      <alignment horizontal="right"/>
    </xf>
    <xf numFmtId="0" fontId="19" fillId="5" borderId="1" xfId="0" applyFont="1" applyFill="1" applyBorder="1" applyAlignment="1">
      <alignment vertical="center" wrapText="1"/>
    </xf>
    <xf numFmtId="9" fontId="19" fillId="5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5" fillId="11" borderId="1" xfId="0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5" fillId="0" borderId="3" xfId="0" applyFont="1" applyBorder="1"/>
    <xf numFmtId="0" fontId="14" fillId="0" borderId="10" xfId="0" applyFont="1" applyBorder="1" applyAlignment="1">
      <alignment horizontal="center"/>
    </xf>
    <xf numFmtId="0" fontId="14" fillId="0" borderId="4" xfId="1" applyFont="1" applyBorder="1" applyAlignment="1">
      <alignment vertical="center"/>
    </xf>
    <xf numFmtId="0" fontId="14" fillId="0" borderId="2" xfId="1" applyFont="1" applyBorder="1" applyAlignment="1">
      <alignment vertical="center"/>
    </xf>
    <xf numFmtId="0" fontId="19" fillId="0" borderId="4" xfId="1" applyFont="1" applyBorder="1" applyAlignment="1">
      <alignment vertical="center"/>
    </xf>
    <xf numFmtId="0" fontId="12" fillId="0" borderId="2" xfId="1" applyFont="1" applyBorder="1" applyAlignment="1">
      <alignment vertical="center" wrapText="1"/>
    </xf>
    <xf numFmtId="0" fontId="12" fillId="0" borderId="4" xfId="1" applyFont="1" applyBorder="1" applyAlignment="1">
      <alignment vertical="center" wrapText="1"/>
    </xf>
    <xf numFmtId="0" fontId="13" fillId="0" borderId="4" xfId="1" applyFont="1" applyBorder="1" applyAlignment="1">
      <alignment vertical="center" wrapText="1"/>
    </xf>
    <xf numFmtId="0" fontId="14" fillId="0" borderId="44" xfId="1" applyFont="1" applyBorder="1" applyAlignment="1">
      <alignment vertical="center"/>
    </xf>
    <xf numFmtId="0" fontId="19" fillId="0" borderId="5" xfId="1" applyFont="1" applyBorder="1" applyAlignment="1">
      <alignment vertical="center"/>
    </xf>
    <xf numFmtId="0" fontId="19" fillId="5" borderId="1" xfId="1" applyFont="1" applyFill="1" applyBorder="1" applyAlignment="1">
      <alignment vertical="center"/>
    </xf>
    <xf numFmtId="0" fontId="19" fillId="0" borderId="44" xfId="0" applyFont="1" applyBorder="1"/>
    <xf numFmtId="0" fontId="19" fillId="0" borderId="8" xfId="1" applyFont="1" applyBorder="1" applyAlignment="1">
      <alignment vertical="center"/>
    </xf>
    <xf numFmtId="0" fontId="19" fillId="5" borderId="4" xfId="1" applyFont="1" applyFill="1" applyBorder="1" applyAlignment="1">
      <alignment vertical="center"/>
    </xf>
    <xf numFmtId="170" fontId="5" fillId="5" borderId="1" xfId="0" applyNumberFormat="1" applyFont="1" applyFill="1" applyBorder="1" applyAlignment="1">
      <alignment horizontal="center"/>
    </xf>
    <xf numFmtId="0" fontId="14" fillId="0" borderId="2" xfId="14" applyFont="1" applyBorder="1" applyAlignment="1">
      <alignment horizontal="center"/>
    </xf>
    <xf numFmtId="0" fontId="14" fillId="0" borderId="3" xfId="14" applyFont="1" applyBorder="1" applyAlignment="1">
      <alignment horizontal="center"/>
    </xf>
    <xf numFmtId="0" fontId="14" fillId="0" borderId="4" xfId="14" applyFont="1" applyBorder="1" applyAlignment="1">
      <alignment horizontal="center"/>
    </xf>
    <xf numFmtId="169" fontId="5" fillId="19" borderId="3" xfId="16" applyNumberFormat="1" applyFont="1" applyFill="1" applyBorder="1" applyAlignment="1">
      <alignment horizontal="center" vertical="center"/>
    </xf>
    <xf numFmtId="169" fontId="5" fillId="19" borderId="4" xfId="16" applyNumberFormat="1" applyFont="1" applyFill="1" applyBorder="1" applyAlignment="1">
      <alignment horizontal="center" vertical="center"/>
    </xf>
    <xf numFmtId="169" fontId="14" fillId="0" borderId="3" xfId="16" applyNumberFormat="1" applyFont="1" applyFill="1" applyBorder="1" applyAlignment="1">
      <alignment horizontal="center" vertical="center"/>
    </xf>
    <xf numFmtId="169" fontId="4" fillId="7" borderId="70" xfId="12" applyNumberFormat="1" applyFont="1" applyFill="1" applyBorder="1" applyProtection="1"/>
    <xf numFmtId="169" fontId="4" fillId="7" borderId="71" xfId="12" applyNumberFormat="1" applyFont="1" applyFill="1" applyBorder="1" applyProtection="1"/>
    <xf numFmtId="169" fontId="5" fillId="7" borderId="72" xfId="12" applyNumberFormat="1" applyFont="1" applyFill="1" applyBorder="1" applyAlignment="1" applyProtection="1">
      <alignment horizontal="center" vertical="center"/>
    </xf>
    <xf numFmtId="0" fontId="45" fillId="7" borderId="85" xfId="0" applyFont="1" applyFill="1" applyBorder="1"/>
    <xf numFmtId="0" fontId="46" fillId="7" borderId="44" xfId="0" applyFont="1" applyFill="1" applyBorder="1"/>
    <xf numFmtId="0" fontId="7" fillId="7" borderId="38" xfId="0" applyFont="1" applyFill="1" applyBorder="1"/>
    <xf numFmtId="166" fontId="5" fillId="5" borderId="2" xfId="0" applyNumberFormat="1" applyFont="1" applyFill="1" applyBorder="1" applyAlignment="1">
      <alignment horizontal="right"/>
    </xf>
    <xf numFmtId="166" fontId="5" fillId="5" borderId="4" xfId="0" applyNumberFormat="1" applyFont="1" applyFill="1" applyBorder="1" applyAlignment="1">
      <alignment horizontal="right"/>
    </xf>
    <xf numFmtId="166" fontId="5" fillId="5" borderId="2" xfId="0" applyNumberFormat="1" applyFont="1" applyFill="1" applyBorder="1" applyAlignment="1">
      <alignment horizontal="right" vertical="center"/>
    </xf>
    <xf numFmtId="166" fontId="5" fillId="5" borderId="4" xfId="0" applyNumberFormat="1" applyFont="1" applyFill="1" applyBorder="1" applyAlignment="1">
      <alignment horizontal="right" vertical="center"/>
    </xf>
    <xf numFmtId="166" fontId="4" fillId="0" borderId="2" xfId="0" applyNumberFormat="1" applyFont="1" applyBorder="1"/>
    <xf numFmtId="166" fontId="5" fillId="0" borderId="4" xfId="0" applyNumberFormat="1" applyFont="1" applyBorder="1"/>
    <xf numFmtId="166" fontId="5" fillId="0" borderId="4" xfId="0" applyNumberFormat="1" applyFont="1" applyBorder="1" applyAlignment="1">
      <alignment vertical="center"/>
    </xf>
    <xf numFmtId="166" fontId="14" fillId="0" borderId="2" xfId="1" applyNumberFormat="1" applyFont="1" applyBorder="1" applyAlignment="1">
      <alignment vertical="center"/>
    </xf>
    <xf numFmtId="166" fontId="14" fillId="0" borderId="3" xfId="1" applyNumberFormat="1" applyFont="1" applyBorder="1" applyAlignment="1">
      <alignment vertical="center"/>
    </xf>
    <xf numFmtId="166" fontId="14" fillId="0" borderId="4" xfId="1" applyNumberFormat="1" applyFont="1" applyBorder="1" applyAlignment="1">
      <alignment vertical="center"/>
    </xf>
    <xf numFmtId="166" fontId="4" fillId="5" borderId="2" xfId="0" applyNumberFormat="1" applyFont="1" applyFill="1" applyBorder="1"/>
    <xf numFmtId="167" fontId="4" fillId="0" borderId="70" xfId="0" applyNumberFormat="1" applyFont="1" applyBorder="1" applyAlignment="1">
      <alignment horizontal="center" vertical="center"/>
    </xf>
    <xf numFmtId="167" fontId="4" fillId="0" borderId="71" xfId="0" applyNumberFormat="1" applyFont="1" applyBorder="1" applyAlignment="1">
      <alignment horizontal="center" vertical="center"/>
    </xf>
    <xf numFmtId="167" fontId="3" fillId="14" borderId="71" xfId="0" applyNumberFormat="1" applyFont="1" applyFill="1" applyBorder="1" applyAlignment="1">
      <alignment horizontal="center" vertical="center"/>
    </xf>
    <xf numFmtId="167" fontId="3" fillId="14" borderId="72" xfId="0" applyNumberFormat="1" applyFont="1" applyFill="1" applyBorder="1" applyAlignment="1">
      <alignment horizontal="center" vertical="center"/>
    </xf>
    <xf numFmtId="10" fontId="3" fillId="14" borderId="71" xfId="13" applyNumberFormat="1" applyFont="1" applyFill="1" applyBorder="1" applyAlignment="1" applyProtection="1">
      <alignment horizontal="center" vertical="center"/>
    </xf>
    <xf numFmtId="0" fontId="19" fillId="8" borderId="44" xfId="7" applyFont="1" applyFill="1" applyBorder="1" applyAlignment="1">
      <alignment horizontal="center" vertical="center" wrapText="1"/>
    </xf>
    <xf numFmtId="0" fontId="14" fillId="0" borderId="3" xfId="0" applyFont="1" applyBorder="1"/>
    <xf numFmtId="0" fontId="4" fillId="5" borderId="4" xfId="0" applyFont="1" applyFill="1" applyBorder="1"/>
    <xf numFmtId="0" fontId="4" fillId="5" borderId="4" xfId="0" applyFont="1" applyFill="1" applyBorder="1" applyAlignment="1">
      <alignment horizontal="center"/>
    </xf>
    <xf numFmtId="180" fontId="4" fillId="0" borderId="1" xfId="0" applyNumberFormat="1" applyFont="1" applyBorder="1"/>
    <xf numFmtId="9" fontId="4" fillId="0" borderId="1" xfId="0" applyNumberFormat="1" applyFont="1" applyBorder="1"/>
    <xf numFmtId="180" fontId="5" fillId="0" borderId="1" xfId="0" applyNumberFormat="1" applyFont="1" applyBorder="1"/>
    <xf numFmtId="0" fontId="5" fillId="20" borderId="89" xfId="0" applyFont="1" applyFill="1" applyBorder="1" applyAlignment="1">
      <alignment horizontal="center" vertical="center" wrapText="1"/>
    </xf>
    <xf numFmtId="166" fontId="4" fillId="0" borderId="0" xfId="0" applyNumberFormat="1" applyFont="1"/>
    <xf numFmtId="166" fontId="5" fillId="0" borderId="1" xfId="0" applyNumberFormat="1" applyFont="1" applyBorder="1"/>
    <xf numFmtId="0" fontId="19" fillId="0" borderId="0" xfId="0" applyFont="1" applyAlignment="1">
      <alignment horizontal="center"/>
    </xf>
    <xf numFmtId="166" fontId="14" fillId="0" borderId="1" xfId="0" applyNumberFormat="1" applyFont="1" applyBorder="1"/>
    <xf numFmtId="166" fontId="7" fillId="0" borderId="0" xfId="0" applyNumberFormat="1" applyFont="1"/>
    <xf numFmtId="180" fontId="5" fillId="0" borderId="0" xfId="0" applyNumberFormat="1" applyFont="1"/>
    <xf numFmtId="180" fontId="14" fillId="0" borderId="0" xfId="0" applyNumberFormat="1" applyFont="1" applyAlignment="1">
      <alignment horizontal="center"/>
    </xf>
    <xf numFmtId="166" fontId="4" fillId="11" borderId="1" xfId="0" applyNumberFormat="1" applyFont="1" applyFill="1" applyBorder="1"/>
    <xf numFmtId="0" fontId="19" fillId="5" borderId="8" xfId="1" applyFont="1" applyFill="1" applyBorder="1" applyAlignment="1">
      <alignment vertical="center"/>
    </xf>
    <xf numFmtId="9" fontId="4" fillId="5" borderId="3" xfId="13" applyFont="1" applyFill="1" applyBorder="1"/>
    <xf numFmtId="166" fontId="4" fillId="5" borderId="3" xfId="0" applyNumberFormat="1" applyFont="1" applyFill="1" applyBorder="1"/>
    <xf numFmtId="9" fontId="4" fillId="5" borderId="4" xfId="13" applyFont="1" applyFill="1" applyBorder="1"/>
    <xf numFmtId="166" fontId="17" fillId="19" borderId="2" xfId="14" applyNumberFormat="1" applyFont="1" applyFill="1" applyBorder="1"/>
    <xf numFmtId="166" fontId="17" fillId="19" borderId="3" xfId="14" applyNumberFormat="1" applyFont="1" applyFill="1" applyBorder="1"/>
    <xf numFmtId="166" fontId="17" fillId="19" borderId="4" xfId="14" applyNumberFormat="1" applyFont="1" applyFill="1" applyBorder="1"/>
    <xf numFmtId="0" fontId="16" fillId="0" borderId="2" xfId="14" applyFont="1" applyBorder="1" applyAlignment="1">
      <alignment horizontal="center"/>
    </xf>
    <xf numFmtId="0" fontId="16" fillId="0" borderId="3" xfId="14" applyFont="1" applyBorder="1" applyAlignment="1">
      <alignment horizontal="center"/>
    </xf>
    <xf numFmtId="0" fontId="16" fillId="0" borderId="4" xfId="14" applyFont="1" applyBorder="1" applyAlignment="1">
      <alignment horizontal="center"/>
    </xf>
    <xf numFmtId="166" fontId="12" fillId="0" borderId="2" xfId="14" applyNumberFormat="1" applyFont="1" applyBorder="1"/>
    <xf numFmtId="166" fontId="12" fillId="0" borderId="3" xfId="14" applyNumberFormat="1" applyFont="1" applyBorder="1"/>
    <xf numFmtId="166" fontId="12" fillId="0" borderId="4" xfId="14" applyNumberFormat="1" applyFont="1" applyBorder="1"/>
    <xf numFmtId="166" fontId="5" fillId="19" borderId="2" xfId="14" applyNumberFormat="1" applyFont="1" applyFill="1" applyBorder="1"/>
    <xf numFmtId="166" fontId="5" fillId="19" borderId="3" xfId="14" applyNumberFormat="1" applyFont="1" applyFill="1" applyBorder="1"/>
    <xf numFmtId="166" fontId="5" fillId="19" borderId="4" xfId="14" applyNumberFormat="1" applyFont="1" applyFill="1" applyBorder="1"/>
    <xf numFmtId="0" fontId="14" fillId="0" borderId="2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5" fillId="17" borderId="1" xfId="11" applyFont="1" applyFill="1" applyBorder="1" applyAlignment="1">
      <alignment horizontal="center" vertical="center"/>
    </xf>
    <xf numFmtId="0" fontId="4" fillId="17" borderId="1" xfId="0" applyFont="1" applyFill="1" applyBorder="1" applyAlignment="1">
      <alignment horizontal="center" vertical="center" wrapText="1"/>
    </xf>
    <xf numFmtId="166" fontId="14" fillId="17" borderId="1" xfId="0" applyNumberFormat="1" applyFont="1" applyFill="1" applyBorder="1" applyAlignment="1">
      <alignment horizontal="right"/>
    </xf>
    <xf numFmtId="167" fontId="18" fillId="6" borderId="1" xfId="5" applyNumberFormat="1" applyFont="1" applyFill="1" applyBorder="1" applyAlignment="1">
      <alignment horizontal="left"/>
    </xf>
    <xf numFmtId="166" fontId="4" fillId="11" borderId="4" xfId="14" applyNumberFormat="1" applyFont="1" applyFill="1" applyBorder="1" applyAlignment="1">
      <alignment horizontal="center"/>
    </xf>
    <xf numFmtId="0" fontId="4" fillId="11" borderId="1" xfId="0" applyFont="1" applyFill="1" applyBorder="1" applyAlignment="1">
      <alignment horizontal="center"/>
    </xf>
    <xf numFmtId="0" fontId="4" fillId="17" borderId="1" xfId="0" applyFont="1" applyFill="1" applyBorder="1" applyAlignment="1">
      <alignment vertical="center" textRotation="90"/>
    </xf>
    <xf numFmtId="0" fontId="4" fillId="0" borderId="1" xfId="0" applyFont="1" applyBorder="1" applyAlignment="1">
      <alignment horizontal="center" vertical="center" wrapText="1"/>
    </xf>
    <xf numFmtId="0" fontId="4" fillId="11" borderId="1" xfId="0" applyFont="1" applyFill="1" applyBorder="1" applyAlignment="1">
      <alignment horizontal="center" vertical="center" textRotation="90"/>
    </xf>
    <xf numFmtId="181" fontId="4" fillId="11" borderId="1" xfId="0" applyNumberFormat="1" applyFont="1" applyFill="1" applyBorder="1" applyAlignment="1">
      <alignment horizontal="center" vertical="center" textRotation="90"/>
    </xf>
    <xf numFmtId="0" fontId="4" fillId="11" borderId="1" xfId="0" applyFont="1" applyFill="1" applyBorder="1" applyAlignment="1">
      <alignment horizontal="center" vertical="center"/>
    </xf>
    <xf numFmtId="0" fontId="3" fillId="2" borderId="1" xfId="0" applyFont="1" applyFill="1" applyBorder="1"/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wrapText="1"/>
    </xf>
    <xf numFmtId="0" fontId="17" fillId="0" borderId="1" xfId="0" applyFont="1" applyBorder="1"/>
    <xf numFmtId="0" fontId="17" fillId="0" borderId="1" xfId="0" applyFont="1" applyBorder="1" applyAlignment="1">
      <alignment horizontal="left" vertical="center" wrapText="1"/>
    </xf>
    <xf numFmtId="167" fontId="4" fillId="0" borderId="0" xfId="0" applyNumberFormat="1" applyFont="1" applyAlignment="1">
      <alignment horizontal="center"/>
    </xf>
    <xf numFmtId="0" fontId="16" fillId="7" borderId="91" xfId="0" applyFont="1" applyFill="1" applyBorder="1" applyAlignment="1">
      <alignment horizontal="center" vertical="center"/>
    </xf>
    <xf numFmtId="167" fontId="4" fillId="0" borderId="1" xfId="12" applyNumberFormat="1" applyFont="1" applyBorder="1" applyAlignment="1" applyProtection="1">
      <alignment horizontal="center"/>
    </xf>
    <xf numFmtId="167" fontId="33" fillId="0" borderId="1" xfId="12" applyNumberFormat="1" applyFont="1" applyBorder="1" applyAlignment="1" applyProtection="1">
      <alignment horizontal="center"/>
    </xf>
    <xf numFmtId="167" fontId="4" fillId="0" borderId="41" xfId="12" applyNumberFormat="1" applyFont="1" applyBorder="1" applyAlignment="1" applyProtection="1">
      <alignment horizontal="center"/>
    </xf>
    <xf numFmtId="0" fontId="16" fillId="7" borderId="1" xfId="0" applyFont="1" applyFill="1" applyBorder="1" applyAlignment="1">
      <alignment horizontal="center" vertical="center"/>
    </xf>
    <xf numFmtId="167" fontId="4" fillId="11" borderId="2" xfId="0" applyNumberFormat="1" applyFont="1" applyFill="1" applyBorder="1" applyAlignment="1">
      <alignment horizontal="center"/>
    </xf>
    <xf numFmtId="9" fontId="4" fillId="11" borderId="2" xfId="0" applyNumberFormat="1" applyFont="1" applyFill="1" applyBorder="1" applyAlignment="1">
      <alignment horizontal="center"/>
    </xf>
    <xf numFmtId="0" fontId="17" fillId="0" borderId="41" xfId="1" applyFont="1" applyBorder="1" applyAlignment="1">
      <alignment horizontal="left" vertical="center"/>
    </xf>
    <xf numFmtId="0" fontId="19" fillId="5" borderId="4" xfId="13" applyNumberFormat="1" applyFont="1" applyFill="1" applyBorder="1" applyAlignment="1">
      <alignment horizontal="center"/>
    </xf>
    <xf numFmtId="167" fontId="4" fillId="0" borderId="2" xfId="0" applyNumberFormat="1" applyFont="1" applyBorder="1" applyAlignment="1">
      <alignment horizontal="center"/>
    </xf>
    <xf numFmtId="167" fontId="4" fillId="5" borderId="2" xfId="13" applyNumberFormat="1" applyFont="1" applyFill="1" applyBorder="1" applyAlignment="1">
      <alignment horizontal="center"/>
    </xf>
    <xf numFmtId="0" fontId="39" fillId="2" borderId="1" xfId="0" applyFont="1" applyFill="1" applyBorder="1"/>
    <xf numFmtId="0" fontId="4" fillId="5" borderId="2" xfId="0" applyFont="1" applyFill="1" applyBorder="1"/>
    <xf numFmtId="9" fontId="4" fillId="0" borderId="2" xfId="0" applyNumberFormat="1" applyFont="1" applyBorder="1" applyAlignment="1">
      <alignment horizontal="center"/>
    </xf>
    <xf numFmtId="2" fontId="4" fillId="11" borderId="1" xfId="0" applyNumberFormat="1" applyFont="1" applyFill="1" applyBorder="1" applyAlignment="1">
      <alignment horizontal="center"/>
    </xf>
    <xf numFmtId="167" fontId="16" fillId="0" borderId="1" xfId="12" applyNumberFormat="1" applyFont="1" applyBorder="1" applyAlignment="1" applyProtection="1">
      <alignment horizontal="center" vertical="center"/>
    </xf>
    <xf numFmtId="167" fontId="33" fillId="0" borderId="1" xfId="12" applyNumberFormat="1" applyFont="1" applyBorder="1" applyAlignment="1" applyProtection="1">
      <alignment horizontal="center" vertical="center"/>
    </xf>
    <xf numFmtId="167" fontId="4" fillId="0" borderId="41" xfId="12" applyNumberFormat="1" applyFont="1" applyBorder="1" applyAlignment="1" applyProtection="1">
      <alignment horizontal="center" vertical="center"/>
    </xf>
    <xf numFmtId="167" fontId="4" fillId="0" borderId="1" xfId="12" applyNumberFormat="1" applyFont="1" applyBorder="1" applyAlignment="1" applyProtection="1">
      <alignment horizontal="center" vertical="center"/>
    </xf>
    <xf numFmtId="167" fontId="4" fillId="11" borderId="2" xfId="0" applyNumberFormat="1" applyFont="1" applyFill="1" applyBorder="1" applyAlignment="1">
      <alignment horizontal="right"/>
    </xf>
    <xf numFmtId="167" fontId="4" fillId="11" borderId="4" xfId="0" applyNumberFormat="1" applyFont="1" applyFill="1" applyBorder="1" applyAlignment="1">
      <alignment horizontal="right"/>
    </xf>
    <xf numFmtId="10" fontId="5" fillId="5" borderId="1" xfId="13" applyNumberFormat="1" applyFont="1" applyFill="1" applyBorder="1" applyAlignment="1">
      <alignment horizontal="center"/>
    </xf>
    <xf numFmtId="10" fontId="4" fillId="11" borderId="2" xfId="13" applyNumberFormat="1" applyFont="1" applyFill="1" applyBorder="1" applyAlignment="1">
      <alignment horizontal="center"/>
    </xf>
    <xf numFmtId="10" fontId="4" fillId="11" borderId="4" xfId="13" applyNumberFormat="1" applyFont="1" applyFill="1" applyBorder="1" applyAlignment="1">
      <alignment horizontal="center"/>
    </xf>
    <xf numFmtId="0" fontId="12" fillId="0" borderId="92" xfId="1" applyFont="1" applyBorder="1" applyAlignment="1">
      <alignment vertical="center"/>
    </xf>
    <xf numFmtId="10" fontId="5" fillId="0" borderId="92" xfId="13" applyNumberFormat="1" applyFont="1" applyFill="1" applyBorder="1" applyAlignment="1">
      <alignment horizontal="center"/>
    </xf>
    <xf numFmtId="0" fontId="5" fillId="0" borderId="92" xfId="0" applyFont="1" applyBorder="1"/>
    <xf numFmtId="0" fontId="5" fillId="0" borderId="92" xfId="0" applyFont="1" applyBorder="1" applyAlignment="1">
      <alignment horizontal="center"/>
    </xf>
    <xf numFmtId="10" fontId="4" fillId="0" borderId="2" xfId="13" applyNumberFormat="1" applyFont="1" applyFill="1" applyBorder="1" applyAlignment="1">
      <alignment horizontal="center"/>
    </xf>
    <xf numFmtId="10" fontId="5" fillId="5" borderId="2" xfId="13" applyNumberFormat="1" applyFont="1" applyFill="1" applyBorder="1" applyAlignment="1">
      <alignment horizontal="center"/>
    </xf>
    <xf numFmtId="10" fontId="5" fillId="5" borderId="1" xfId="0" applyNumberFormat="1" applyFont="1" applyFill="1" applyBorder="1" applyAlignment="1">
      <alignment horizontal="center"/>
    </xf>
    <xf numFmtId="0" fontId="5" fillId="11" borderId="3" xfId="0" applyFont="1" applyFill="1" applyBorder="1"/>
    <xf numFmtId="10" fontId="4" fillId="11" borderId="3" xfId="13" applyNumberFormat="1" applyFont="1" applyFill="1" applyBorder="1" applyAlignment="1">
      <alignment horizontal="center"/>
    </xf>
    <xf numFmtId="10" fontId="5" fillId="5" borderId="1" xfId="13" applyNumberFormat="1" applyFont="1" applyFill="1" applyBorder="1" applyAlignment="1">
      <alignment horizontal="center" wrapText="1"/>
    </xf>
    <xf numFmtId="0" fontId="12" fillId="0" borderId="43" xfId="1" applyFont="1" applyBorder="1" applyAlignment="1">
      <alignment vertical="center"/>
    </xf>
    <xf numFmtId="10" fontId="5" fillId="0" borderId="43" xfId="13" applyNumberFormat="1" applyFont="1" applyFill="1" applyBorder="1" applyAlignment="1">
      <alignment horizontal="center" wrapText="1"/>
    </xf>
    <xf numFmtId="10" fontId="4" fillId="0" borderId="3" xfId="13" applyNumberFormat="1" applyFont="1" applyFill="1" applyBorder="1" applyAlignment="1">
      <alignment horizontal="center"/>
    </xf>
    <xf numFmtId="10" fontId="4" fillId="0" borderId="4" xfId="13" applyNumberFormat="1" applyFont="1" applyFill="1" applyBorder="1" applyAlignment="1">
      <alignment horizontal="center"/>
    </xf>
    <xf numFmtId="0" fontId="19" fillId="0" borderId="0" xfId="0" applyFont="1"/>
    <xf numFmtId="166" fontId="5" fillId="7" borderId="1" xfId="0" applyNumberFormat="1" applyFont="1" applyFill="1" applyBorder="1"/>
    <xf numFmtId="0" fontId="4" fillId="0" borderId="3" xfId="0" applyFont="1" applyBorder="1" applyAlignment="1">
      <alignment horizontal="center"/>
    </xf>
    <xf numFmtId="180" fontId="4" fillId="11" borderId="1" xfId="0" applyNumberFormat="1" applyFont="1" applyFill="1" applyBorder="1"/>
    <xf numFmtId="0" fontId="19" fillId="11" borderId="1" xfId="0" applyFont="1" applyFill="1" applyBorder="1"/>
    <xf numFmtId="9" fontId="4" fillId="11" borderId="1" xfId="13" applyFont="1" applyFill="1" applyBorder="1"/>
    <xf numFmtId="9" fontId="4" fillId="11" borderId="1" xfId="13" applyFont="1" applyFill="1" applyBorder="1" applyAlignment="1">
      <alignment horizontal="center"/>
    </xf>
    <xf numFmtId="9" fontId="4" fillId="11" borderId="2" xfId="13" applyFont="1" applyFill="1" applyBorder="1" applyAlignment="1">
      <alignment horizontal="center"/>
    </xf>
    <xf numFmtId="9" fontId="4" fillId="11" borderId="4" xfId="13" applyFont="1" applyFill="1" applyBorder="1" applyAlignment="1">
      <alignment horizontal="center"/>
    </xf>
    <xf numFmtId="166" fontId="4" fillId="0" borderId="2" xfId="13" applyNumberFormat="1" applyFont="1" applyFill="1" applyBorder="1" applyAlignment="1">
      <alignment horizontal="center"/>
    </xf>
    <xf numFmtId="166" fontId="4" fillId="0" borderId="4" xfId="13" applyNumberFormat="1" applyFont="1" applyFill="1" applyBorder="1" applyAlignment="1">
      <alignment horizontal="center"/>
    </xf>
    <xf numFmtId="0" fontId="5" fillId="20" borderId="93" xfId="0" applyFont="1" applyFill="1" applyBorder="1" applyAlignment="1">
      <alignment horizontal="center" vertical="center" wrapText="1"/>
    </xf>
    <xf numFmtId="0" fontId="5" fillId="22" borderId="93" xfId="0" applyFont="1" applyFill="1" applyBorder="1" applyAlignment="1">
      <alignment horizontal="center" vertical="center" wrapText="1"/>
    </xf>
    <xf numFmtId="166" fontId="4" fillId="0" borderId="1" xfId="0" applyNumberFormat="1" applyFont="1" applyBorder="1"/>
    <xf numFmtId="166" fontId="4" fillId="5" borderId="1" xfId="0" applyNumberFormat="1" applyFont="1" applyFill="1" applyBorder="1"/>
    <xf numFmtId="166" fontId="4" fillId="0" borderId="1" xfId="13" applyNumberFormat="1" applyFont="1" applyFill="1" applyBorder="1" applyAlignment="1">
      <alignment horizontal="center"/>
    </xf>
    <xf numFmtId="170" fontId="4" fillId="0" borderId="2" xfId="0" applyNumberFormat="1" applyFont="1" applyBorder="1" applyAlignment="1">
      <alignment horizontal="center"/>
    </xf>
    <xf numFmtId="170" fontId="4" fillId="0" borderId="4" xfId="0" applyNumberFormat="1" applyFont="1" applyBorder="1" applyAlignment="1">
      <alignment horizontal="center"/>
    </xf>
    <xf numFmtId="10" fontId="19" fillId="11" borderId="1" xfId="14" applyNumberFormat="1" applyFont="1" applyFill="1" applyBorder="1" applyAlignment="1">
      <alignment horizontal="center" vertical="center"/>
    </xf>
    <xf numFmtId="0" fontId="5" fillId="11" borderId="1" xfId="14" applyFont="1" applyFill="1" applyBorder="1" applyAlignment="1">
      <alignment horizontal="left" vertical="center"/>
    </xf>
    <xf numFmtId="0" fontId="22" fillId="0" borderId="94" xfId="14" applyFont="1" applyBorder="1" applyAlignment="1">
      <alignment horizontal="center" vertical="center"/>
    </xf>
    <xf numFmtId="169" fontId="3" fillId="21" borderId="1" xfId="14" applyNumberFormat="1" applyFont="1" applyFill="1" applyBorder="1" applyAlignment="1">
      <alignment horizontal="center" vertical="center"/>
    </xf>
    <xf numFmtId="169" fontId="3" fillId="21" borderId="1" xfId="16" applyNumberFormat="1" applyFont="1" applyFill="1" applyBorder="1" applyAlignment="1">
      <alignment horizontal="center" vertical="center"/>
    </xf>
    <xf numFmtId="166" fontId="3" fillId="21" borderId="1" xfId="14" applyNumberFormat="1" applyFont="1" applyFill="1" applyBorder="1" applyAlignment="1">
      <alignment horizontal="right"/>
    </xf>
    <xf numFmtId="166" fontId="33" fillId="21" borderId="1" xfId="14" applyNumberFormat="1" applyFont="1" applyFill="1" applyBorder="1" applyAlignment="1">
      <alignment horizontal="right"/>
    </xf>
    <xf numFmtId="0" fontId="4" fillId="2" borderId="41" xfId="14" applyFont="1" applyFill="1" applyBorder="1" applyAlignment="1">
      <alignment wrapText="1"/>
    </xf>
    <xf numFmtId="0" fontId="4" fillId="2" borderId="42" xfId="14" applyFont="1" applyFill="1" applyBorder="1" applyAlignment="1">
      <alignment wrapText="1"/>
    </xf>
    <xf numFmtId="0" fontId="4" fillId="21" borderId="41" xfId="14" applyFont="1" applyFill="1" applyBorder="1" applyAlignment="1">
      <alignment wrapText="1"/>
    </xf>
    <xf numFmtId="0" fontId="4" fillId="21" borderId="42" xfId="14" applyFont="1" applyFill="1" applyBorder="1" applyAlignment="1">
      <alignment wrapText="1"/>
    </xf>
    <xf numFmtId="0" fontId="5" fillId="0" borderId="1" xfId="14" applyFont="1" applyBorder="1" applyAlignment="1">
      <alignment horizontal="left" vertical="center"/>
    </xf>
    <xf numFmtId="10" fontId="4" fillId="0" borderId="2" xfId="0" applyNumberFormat="1" applyFont="1" applyBorder="1" applyAlignment="1">
      <alignment horizontal="center"/>
    </xf>
    <xf numFmtId="10" fontId="4" fillId="0" borderId="4" xfId="0" applyNumberFormat="1" applyFont="1" applyBorder="1" applyAlignment="1">
      <alignment horizontal="center"/>
    </xf>
    <xf numFmtId="0" fontId="5" fillId="6" borderId="2" xfId="0" applyFont="1" applyFill="1" applyBorder="1"/>
    <xf numFmtId="167" fontId="4" fillId="6" borderId="2" xfId="0" applyNumberFormat="1" applyFont="1" applyFill="1" applyBorder="1"/>
    <xf numFmtId="0" fontId="5" fillId="6" borderId="4" xfId="0" applyFont="1" applyFill="1" applyBorder="1"/>
    <xf numFmtId="167" fontId="4" fillId="6" borderId="4" xfId="0" applyNumberFormat="1" applyFont="1" applyFill="1" applyBorder="1"/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 vertical="center" wrapText="1"/>
    </xf>
    <xf numFmtId="0" fontId="5" fillId="6" borderId="3" xfId="0" applyFont="1" applyFill="1" applyBorder="1"/>
    <xf numFmtId="167" fontId="4" fillId="6" borderId="3" xfId="0" applyNumberFormat="1" applyFont="1" applyFill="1" applyBorder="1"/>
    <xf numFmtId="167" fontId="4" fillId="6" borderId="8" xfId="0" applyNumberFormat="1" applyFont="1" applyFill="1" applyBorder="1"/>
    <xf numFmtId="0" fontId="4" fillId="11" borderId="3" xfId="0" applyFont="1" applyFill="1" applyBorder="1"/>
    <xf numFmtId="167" fontId="5" fillId="5" borderId="4" xfId="0" applyNumberFormat="1" applyFont="1" applyFill="1" applyBorder="1"/>
    <xf numFmtId="167" fontId="4" fillId="11" borderId="3" xfId="0" applyNumberFormat="1" applyFont="1" applyFill="1" applyBorder="1"/>
    <xf numFmtId="0" fontId="5" fillId="5" borderId="3" xfId="0" applyFont="1" applyFill="1" applyBorder="1"/>
    <xf numFmtId="167" fontId="5" fillId="5" borderId="3" xfId="0" applyNumberFormat="1" applyFont="1" applyFill="1" applyBorder="1"/>
    <xf numFmtId="167" fontId="14" fillId="0" borderId="0" xfId="0" applyNumberFormat="1" applyFont="1"/>
    <xf numFmtId="167" fontId="14" fillId="0" borderId="3" xfId="0" applyNumberFormat="1" applyFont="1" applyBorder="1"/>
    <xf numFmtId="0" fontId="4" fillId="6" borderId="3" xfId="0" applyFont="1" applyFill="1" applyBorder="1"/>
    <xf numFmtId="0" fontId="30" fillId="0" borderId="1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166" fontId="14" fillId="17" borderId="4" xfId="0" applyNumberFormat="1" applyFont="1" applyFill="1" applyBorder="1" applyAlignment="1">
      <alignment horizontal="right"/>
    </xf>
    <xf numFmtId="166" fontId="4" fillId="11" borderId="2" xfId="0" applyNumberFormat="1" applyFont="1" applyFill="1" applyBorder="1"/>
    <xf numFmtId="0" fontId="19" fillId="11" borderId="4" xfId="1" applyFont="1" applyFill="1" applyBorder="1" applyAlignment="1">
      <alignment vertical="center"/>
    </xf>
    <xf numFmtId="166" fontId="4" fillId="11" borderId="4" xfId="0" applyNumberFormat="1" applyFont="1" applyFill="1" applyBorder="1"/>
    <xf numFmtId="0" fontId="14" fillId="0" borderId="92" xfId="0" applyFont="1" applyBorder="1"/>
    <xf numFmtId="166" fontId="14" fillId="0" borderId="92" xfId="0" applyNumberFormat="1" applyFont="1" applyBorder="1" applyAlignment="1">
      <alignment horizontal="right"/>
    </xf>
    <xf numFmtId="166" fontId="14" fillId="0" borderId="0" xfId="0" applyNumberFormat="1" applyFont="1" applyAlignment="1">
      <alignment horizontal="right"/>
    </xf>
    <xf numFmtId="0" fontId="19" fillId="0" borderId="95" xfId="0" applyFont="1" applyBorder="1"/>
    <xf numFmtId="166" fontId="19" fillId="0" borderId="95" xfId="0" applyNumberFormat="1" applyFont="1" applyBorder="1" applyAlignment="1">
      <alignment horizontal="right"/>
    </xf>
    <xf numFmtId="0" fontId="19" fillId="0" borderId="95" xfId="0" applyFont="1" applyBorder="1" applyAlignment="1">
      <alignment wrapText="1"/>
    </xf>
    <xf numFmtId="166" fontId="19" fillId="0" borderId="95" xfId="0" applyNumberFormat="1" applyFont="1" applyBorder="1" applyAlignment="1">
      <alignment horizontal="right" vertical="center"/>
    </xf>
    <xf numFmtId="0" fontId="19" fillId="0" borderId="0" xfId="1" applyFont="1" applyAlignment="1">
      <alignment vertical="center"/>
    </xf>
    <xf numFmtId="166" fontId="5" fillId="0" borderId="0" xfId="0" applyNumberFormat="1" applyFont="1"/>
    <xf numFmtId="0" fontId="3" fillId="2" borderId="1" xfId="1" applyFont="1" applyFill="1" applyBorder="1" applyAlignment="1">
      <alignment horizontal="left" vertical="center"/>
    </xf>
    <xf numFmtId="0" fontId="30" fillId="20" borderId="1" xfId="1" applyFont="1" applyFill="1" applyBorder="1" applyAlignment="1">
      <alignment horizontal="left" vertical="center"/>
    </xf>
    <xf numFmtId="0" fontId="18" fillId="0" borderId="2" xfId="1" applyFont="1" applyBorder="1" applyAlignment="1">
      <alignment horizontal="left" vertical="center"/>
    </xf>
    <xf numFmtId="0" fontId="18" fillId="0" borderId="4" xfId="1" applyFont="1" applyBorder="1" applyAlignment="1">
      <alignment horizontal="left" vertical="center"/>
    </xf>
    <xf numFmtId="0" fontId="4" fillId="5" borderId="1" xfId="1" applyFont="1" applyFill="1" applyBorder="1" applyAlignment="1">
      <alignment vertical="center"/>
    </xf>
    <xf numFmtId="166" fontId="4" fillId="5" borderId="1" xfId="2" applyNumberFormat="1" applyFont="1" applyFill="1" applyBorder="1" applyAlignment="1">
      <alignment horizontal="right" vertical="center"/>
    </xf>
    <xf numFmtId="166" fontId="4" fillId="5" borderId="1" xfId="2" applyNumberFormat="1" applyFont="1" applyFill="1" applyBorder="1" applyAlignment="1">
      <alignment vertical="center"/>
    </xf>
    <xf numFmtId="0" fontId="4" fillId="5" borderId="3" xfId="1" applyFont="1" applyFill="1" applyBorder="1" applyAlignment="1">
      <alignment vertical="center"/>
    </xf>
    <xf numFmtId="166" fontId="4" fillId="5" borderId="3" xfId="2" applyNumberFormat="1" applyFont="1" applyFill="1" applyBorder="1" applyAlignment="1">
      <alignment horizontal="right" vertical="center"/>
    </xf>
    <xf numFmtId="166" fontId="4" fillId="5" borderId="3" xfId="2" applyNumberFormat="1" applyFont="1" applyFill="1" applyBorder="1" applyAlignment="1">
      <alignment vertical="center"/>
    </xf>
    <xf numFmtId="0" fontId="14" fillId="0" borderId="8" xfId="1" applyFont="1" applyBorder="1" applyAlignment="1">
      <alignment vertical="center"/>
    </xf>
    <xf numFmtId="166" fontId="14" fillId="0" borderId="8" xfId="2" applyNumberFormat="1" applyFont="1" applyFill="1" applyBorder="1" applyAlignment="1">
      <alignment horizontal="right" vertical="center"/>
    </xf>
    <xf numFmtId="0" fontId="14" fillId="0" borderId="84" xfId="1" applyFont="1" applyBorder="1" applyAlignment="1">
      <alignment vertical="center"/>
    </xf>
    <xf numFmtId="166" fontId="14" fillId="0" borderId="84" xfId="2" applyNumberFormat="1" applyFont="1" applyFill="1" applyBorder="1" applyAlignment="1">
      <alignment horizontal="right" vertical="center"/>
    </xf>
    <xf numFmtId="0" fontId="14" fillId="0" borderId="6" xfId="1" applyFont="1" applyBorder="1" applyAlignment="1">
      <alignment vertical="center"/>
    </xf>
    <xf numFmtId="166" fontId="14" fillId="0" borderId="6" xfId="2" applyNumberFormat="1" applyFont="1" applyFill="1" applyBorder="1" applyAlignment="1">
      <alignment horizontal="right" vertical="center"/>
    </xf>
    <xf numFmtId="166" fontId="14" fillId="0" borderId="8" xfId="2" applyNumberFormat="1" applyFont="1" applyFill="1" applyBorder="1" applyAlignment="1">
      <alignment vertical="center"/>
    </xf>
    <xf numFmtId="166" fontId="14" fillId="0" borderId="84" xfId="2" applyNumberFormat="1" applyFont="1" applyFill="1" applyBorder="1" applyAlignment="1">
      <alignment vertical="center"/>
    </xf>
    <xf numFmtId="166" fontId="14" fillId="0" borderId="6" xfId="2" applyNumberFormat="1" applyFont="1" applyFill="1" applyBorder="1" applyAlignment="1">
      <alignment vertical="center"/>
    </xf>
    <xf numFmtId="0" fontId="3" fillId="21" borderId="1" xfId="1" applyFont="1" applyFill="1" applyBorder="1" applyAlignment="1">
      <alignment horizontal="center"/>
    </xf>
    <xf numFmtId="0" fontId="3" fillId="21" borderId="1" xfId="1" applyFont="1" applyFill="1" applyBorder="1" applyAlignment="1">
      <alignment horizontal="left" vertical="center"/>
    </xf>
    <xf numFmtId="166" fontId="3" fillId="21" borderId="1" xfId="2" applyNumberFormat="1" applyFont="1" applyFill="1" applyBorder="1" applyAlignment="1">
      <alignment horizontal="right" vertical="center" wrapText="1"/>
    </xf>
    <xf numFmtId="166" fontId="3" fillId="21" borderId="1" xfId="2" applyNumberFormat="1" applyFont="1" applyFill="1" applyBorder="1" applyAlignment="1">
      <alignment vertical="center" wrapText="1"/>
    </xf>
    <xf numFmtId="0" fontId="4" fillId="0" borderId="2" xfId="1" applyFont="1" applyBorder="1" applyAlignment="1">
      <alignment vertical="center"/>
    </xf>
    <xf numFmtId="166" fontId="4" fillId="0" borderId="2" xfId="2" applyNumberFormat="1" applyFont="1" applyFill="1" applyBorder="1" applyAlignment="1">
      <alignment horizontal="right" vertical="center"/>
    </xf>
    <xf numFmtId="0" fontId="14" fillId="0" borderId="4" xfId="1" applyFont="1" applyBorder="1" applyAlignment="1">
      <alignment horizontal="right" vertical="center"/>
    </xf>
    <xf numFmtId="166" fontId="4" fillId="0" borderId="2" xfId="2" applyNumberFormat="1" applyFont="1" applyFill="1" applyBorder="1" applyAlignment="1">
      <alignment vertical="center"/>
    </xf>
    <xf numFmtId="0" fontId="14" fillId="0" borderId="6" xfId="0" applyFont="1" applyBorder="1"/>
    <xf numFmtId="0" fontId="14" fillId="20" borderId="1" xfId="0" applyFont="1" applyFill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12" fillId="11" borderId="3" xfId="1" applyFont="1" applyFill="1" applyBorder="1" applyAlignment="1">
      <alignment horizontal="left" vertical="center"/>
    </xf>
    <xf numFmtId="167" fontId="12" fillId="11" borderId="3" xfId="1" applyNumberFormat="1" applyFont="1" applyFill="1" applyBorder="1" applyAlignment="1">
      <alignment horizontal="right" vertical="center"/>
    </xf>
    <xf numFmtId="167" fontId="12" fillId="11" borderId="3" xfId="0" applyNumberFormat="1" applyFont="1" applyFill="1" applyBorder="1" applyAlignment="1">
      <alignment horizontal="right"/>
    </xf>
    <xf numFmtId="0" fontId="17" fillId="0" borderId="0" xfId="0" applyFont="1" applyAlignment="1">
      <alignment horizontal="center"/>
    </xf>
    <xf numFmtId="0" fontId="12" fillId="0" borderId="92" xfId="1" applyFont="1" applyBorder="1" applyAlignment="1">
      <alignment horizontal="left" vertical="center"/>
    </xf>
    <xf numFmtId="167" fontId="12" fillId="0" borderId="92" xfId="1" applyNumberFormat="1" applyFont="1" applyBorder="1" applyAlignment="1">
      <alignment horizontal="right" vertical="center"/>
    </xf>
    <xf numFmtId="167" fontId="12" fillId="0" borderId="92" xfId="0" applyNumberFormat="1" applyFont="1" applyBorder="1" applyAlignment="1">
      <alignment horizontal="right"/>
    </xf>
    <xf numFmtId="0" fontId="13" fillId="23" borderId="1" xfId="1" applyFont="1" applyFill="1" applyBorder="1" applyAlignment="1">
      <alignment horizontal="left" vertical="center"/>
    </xf>
    <xf numFmtId="167" fontId="17" fillId="23" borderId="1" xfId="1" applyNumberFormat="1" applyFont="1" applyFill="1" applyBorder="1" applyAlignment="1">
      <alignment horizontal="right" vertical="center"/>
    </xf>
    <xf numFmtId="167" fontId="17" fillId="23" borderId="1" xfId="0" applyNumberFormat="1" applyFont="1" applyFill="1" applyBorder="1" applyAlignment="1">
      <alignment horizontal="right"/>
    </xf>
    <xf numFmtId="0" fontId="27" fillId="2" borderId="1" xfId="1" applyFont="1" applyFill="1" applyBorder="1" applyAlignment="1">
      <alignment horizontal="left" vertical="center"/>
    </xf>
    <xf numFmtId="167" fontId="3" fillId="2" borderId="1" xfId="1" applyNumberFormat="1" applyFont="1" applyFill="1" applyBorder="1" applyAlignment="1">
      <alignment horizontal="right" vertical="center"/>
    </xf>
    <xf numFmtId="167" fontId="3" fillId="2" borderId="1" xfId="0" applyNumberFormat="1" applyFont="1" applyFill="1" applyBorder="1" applyAlignment="1">
      <alignment horizontal="right"/>
    </xf>
    <xf numFmtId="0" fontId="12" fillId="0" borderId="3" xfId="1" applyFont="1" applyBorder="1" applyAlignment="1">
      <alignment horizontal="left" vertical="center"/>
    </xf>
    <xf numFmtId="167" fontId="12" fillId="0" borderId="3" xfId="1" applyNumberFormat="1" applyFont="1" applyBorder="1" applyAlignment="1">
      <alignment horizontal="right" vertical="center"/>
    </xf>
    <xf numFmtId="167" fontId="12" fillId="0" borderId="3" xfId="0" applyNumberFormat="1" applyFont="1" applyBorder="1" applyAlignment="1">
      <alignment horizontal="right"/>
    </xf>
    <xf numFmtId="0" fontId="13" fillId="5" borderId="2" xfId="1" applyFont="1" applyFill="1" applyBorder="1" applyAlignment="1">
      <alignment horizontal="left" vertical="center"/>
    </xf>
    <xf numFmtId="167" fontId="17" fillId="5" borderId="2" xfId="1" applyNumberFormat="1" applyFont="1" applyFill="1" applyBorder="1" applyAlignment="1">
      <alignment horizontal="right" vertical="center"/>
    </xf>
    <xf numFmtId="0" fontId="13" fillId="5" borderId="4" xfId="1" applyFont="1" applyFill="1" applyBorder="1" applyAlignment="1">
      <alignment horizontal="left" vertical="center"/>
    </xf>
    <xf numFmtId="167" fontId="17" fillId="5" borderId="4" xfId="1" applyNumberFormat="1" applyFont="1" applyFill="1" applyBorder="1" applyAlignment="1">
      <alignment horizontal="right" vertical="center"/>
    </xf>
    <xf numFmtId="167" fontId="17" fillId="5" borderId="2" xfId="0" applyNumberFormat="1" applyFont="1" applyFill="1" applyBorder="1" applyAlignment="1">
      <alignment horizontal="right"/>
    </xf>
    <xf numFmtId="167" fontId="17" fillId="5" borderId="4" xfId="0" applyNumberFormat="1" applyFont="1" applyFill="1" applyBorder="1" applyAlignment="1">
      <alignment horizontal="right"/>
    </xf>
    <xf numFmtId="0" fontId="4" fillId="0" borderId="16" xfId="1" applyFont="1" applyBorder="1" applyAlignment="1">
      <alignment vertical="center"/>
    </xf>
    <xf numFmtId="0" fontId="4" fillId="5" borderId="16" xfId="1" applyFont="1" applyFill="1" applyBorder="1" applyAlignment="1">
      <alignment vertical="center"/>
    </xf>
    <xf numFmtId="0" fontId="4" fillId="0" borderId="17" xfId="1" applyFont="1" applyBorder="1" applyAlignment="1">
      <alignment vertical="center"/>
    </xf>
    <xf numFmtId="0" fontId="14" fillId="0" borderId="24" xfId="1" applyFont="1" applyBorder="1" applyAlignment="1">
      <alignment horizontal="right" vertical="center"/>
    </xf>
    <xf numFmtId="0" fontId="12" fillId="3" borderId="2" xfId="1" applyFont="1" applyFill="1" applyBorder="1" applyAlignment="1">
      <alignment vertical="center"/>
    </xf>
    <xf numFmtId="167" fontId="12" fillId="3" borderId="2" xfId="3" applyNumberFormat="1" applyFont="1" applyFill="1" applyBorder="1" applyAlignment="1">
      <alignment horizontal="right" vertical="center"/>
    </xf>
    <xf numFmtId="0" fontId="4" fillId="5" borderId="4" xfId="1" applyFont="1" applyFill="1" applyBorder="1" applyAlignment="1">
      <alignment vertical="center"/>
    </xf>
    <xf numFmtId="166" fontId="4" fillId="5" borderId="4" xfId="2" applyNumberFormat="1" applyFont="1" applyFill="1" applyBorder="1" applyAlignment="1">
      <alignment horizontal="right" vertical="center"/>
    </xf>
    <xf numFmtId="174" fontId="12" fillId="3" borderId="2" xfId="3" applyNumberFormat="1" applyFont="1" applyFill="1" applyBorder="1" applyAlignment="1">
      <alignment vertical="center"/>
    </xf>
    <xf numFmtId="166" fontId="4" fillId="5" borderId="4" xfId="2" applyNumberFormat="1" applyFont="1" applyFill="1" applyBorder="1" applyAlignment="1">
      <alignment vertical="center"/>
    </xf>
    <xf numFmtId="0" fontId="12" fillId="3" borderId="17" xfId="1" applyFont="1" applyFill="1" applyBorder="1" applyAlignment="1">
      <alignment vertical="center"/>
    </xf>
    <xf numFmtId="0" fontId="4" fillId="0" borderId="22" xfId="1" applyFont="1" applyBorder="1" applyAlignment="1">
      <alignment vertical="center"/>
    </xf>
    <xf numFmtId="0" fontId="4" fillId="5" borderId="24" xfId="1" applyFont="1" applyFill="1" applyBorder="1" applyAlignment="1">
      <alignment vertical="center"/>
    </xf>
    <xf numFmtId="0" fontId="4" fillId="0" borderId="23" xfId="1" applyFont="1" applyBorder="1" applyAlignment="1">
      <alignment vertical="center"/>
    </xf>
    <xf numFmtId="0" fontId="4" fillId="5" borderId="22" xfId="1" applyFont="1" applyFill="1" applyBorder="1" applyAlignment="1">
      <alignment vertical="center"/>
    </xf>
    <xf numFmtId="0" fontId="14" fillId="0" borderId="23" xfId="1" applyFont="1" applyBorder="1" applyAlignment="1">
      <alignment vertical="center"/>
    </xf>
    <xf numFmtId="0" fontId="14" fillId="0" borderId="96" xfId="1" applyFont="1" applyBorder="1" applyAlignment="1">
      <alignment vertical="center"/>
    </xf>
    <xf numFmtId="0" fontId="14" fillId="0" borderId="9" xfId="1" applyFont="1" applyBorder="1" applyAlignment="1">
      <alignment vertical="center"/>
    </xf>
    <xf numFmtId="0" fontId="4" fillId="0" borderId="13" xfId="1" applyFont="1" applyBorder="1" applyAlignment="1">
      <alignment vertical="center"/>
    </xf>
    <xf numFmtId="9" fontId="4" fillId="0" borderId="70" xfId="13" applyFont="1" applyFill="1" applyBorder="1" applyAlignment="1" applyProtection="1">
      <alignment horizontal="center" vertical="center"/>
    </xf>
    <xf numFmtId="165" fontId="16" fillId="0" borderId="71" xfId="12" applyFont="1" applyFill="1" applyBorder="1" applyAlignment="1" applyProtection="1">
      <alignment horizontal="center" vertical="center"/>
    </xf>
    <xf numFmtId="165" fontId="4" fillId="0" borderId="71" xfId="0" applyNumberFormat="1" applyFont="1" applyBorder="1" applyAlignment="1">
      <alignment horizontal="center" vertical="center"/>
    </xf>
    <xf numFmtId="2" fontId="4" fillId="0" borderId="72" xfId="0" applyNumberFormat="1" applyFont="1" applyBorder="1" applyAlignment="1">
      <alignment horizontal="center" vertical="center"/>
    </xf>
    <xf numFmtId="0" fontId="5" fillId="0" borderId="26" xfId="0" applyFont="1" applyBorder="1"/>
    <xf numFmtId="0" fontId="4" fillId="7" borderId="107" xfId="0" applyFont="1" applyFill="1" applyBorder="1"/>
    <xf numFmtId="0" fontId="4" fillId="7" borderId="90" xfId="0" applyFont="1" applyFill="1" applyBorder="1"/>
    <xf numFmtId="0" fontId="4" fillId="7" borderId="108" xfId="0" applyFont="1" applyFill="1" applyBorder="1"/>
    <xf numFmtId="165" fontId="3" fillId="14" borderId="109" xfId="12" applyFont="1" applyFill="1" applyBorder="1" applyAlignment="1" applyProtection="1">
      <alignment horizontal="center" vertical="center"/>
    </xf>
    <xf numFmtId="0" fontId="17" fillId="0" borderId="13" xfId="0" applyFont="1" applyBorder="1" applyAlignment="1">
      <alignment vertical="center"/>
    </xf>
    <xf numFmtId="0" fontId="5" fillId="7" borderId="16" xfId="0" applyFont="1" applyFill="1" applyBorder="1"/>
    <xf numFmtId="0" fontId="5" fillId="7" borderId="20" xfId="0" applyFont="1" applyFill="1" applyBorder="1"/>
    <xf numFmtId="0" fontId="4" fillId="7" borderId="26" xfId="0" applyFont="1" applyFill="1" applyBorder="1"/>
    <xf numFmtId="0" fontId="3" fillId="14" borderId="16" xfId="0" applyFont="1" applyFill="1" applyBorder="1"/>
    <xf numFmtId="0" fontId="3" fillId="14" borderId="20" xfId="0" applyFont="1" applyFill="1" applyBorder="1"/>
    <xf numFmtId="0" fontId="4" fillId="7" borderId="110" xfId="0" applyFont="1" applyFill="1" applyBorder="1"/>
    <xf numFmtId="165" fontId="3" fillId="14" borderId="69" xfId="12" applyFont="1" applyFill="1" applyBorder="1" applyAlignment="1" applyProtection="1">
      <alignment horizontal="center" vertical="center"/>
    </xf>
    <xf numFmtId="0" fontId="38" fillId="7" borderId="27" xfId="0" applyFont="1" applyFill="1" applyBorder="1"/>
    <xf numFmtId="0" fontId="4" fillId="7" borderId="106" xfId="0" applyFont="1" applyFill="1" applyBorder="1"/>
    <xf numFmtId="0" fontId="17" fillId="0" borderId="27" xfId="0" applyFont="1" applyBorder="1" applyAlignment="1">
      <alignment vertical="center"/>
    </xf>
    <xf numFmtId="0" fontId="4" fillId="7" borderId="111" xfId="0" applyFont="1" applyFill="1" applyBorder="1"/>
    <xf numFmtId="0" fontId="4" fillId="7" borderId="112" xfId="0" applyFont="1" applyFill="1" applyBorder="1"/>
    <xf numFmtId="0" fontId="4" fillId="7" borderId="113" xfId="0" applyFont="1" applyFill="1" applyBorder="1"/>
    <xf numFmtId="0" fontId="4" fillId="13" borderId="48" xfId="0" applyFont="1" applyFill="1" applyBorder="1" applyAlignment="1">
      <alignment horizontal="center" vertical="center"/>
    </xf>
    <xf numFmtId="0" fontId="4" fillId="13" borderId="114" xfId="0" applyFont="1" applyFill="1" applyBorder="1" applyAlignment="1">
      <alignment horizontal="center" vertical="center"/>
    </xf>
    <xf numFmtId="0" fontId="4" fillId="13" borderId="58" xfId="0" applyFont="1" applyFill="1" applyBorder="1" applyAlignment="1">
      <alignment horizontal="center" vertical="center"/>
    </xf>
    <xf numFmtId="0" fontId="4" fillId="13" borderId="88" xfId="0" applyFont="1" applyFill="1" applyBorder="1" applyAlignment="1">
      <alignment horizontal="center" vertical="center"/>
    </xf>
    <xf numFmtId="0" fontId="4" fillId="13" borderId="79" xfId="0" applyFont="1" applyFill="1" applyBorder="1" applyAlignment="1">
      <alignment horizontal="center" vertical="center"/>
    </xf>
    <xf numFmtId="0" fontId="4" fillId="13" borderId="115" xfId="0" applyFont="1" applyFill="1" applyBorder="1" applyAlignment="1">
      <alignment horizontal="center" vertical="center"/>
    </xf>
    <xf numFmtId="10" fontId="59" fillId="11" borderId="1" xfId="13" applyNumberFormat="1" applyFont="1" applyFill="1" applyBorder="1" applyAlignment="1">
      <alignment horizontal="center"/>
    </xf>
    <xf numFmtId="166" fontId="4" fillId="7" borderId="52" xfId="12" applyNumberFormat="1" applyFont="1" applyFill="1" applyBorder="1" applyAlignment="1" applyProtection="1">
      <alignment horizontal="right" vertical="center"/>
    </xf>
    <xf numFmtId="166" fontId="4" fillId="7" borderId="18" xfId="12" applyNumberFormat="1" applyFont="1" applyFill="1" applyBorder="1" applyAlignment="1" applyProtection="1">
      <alignment horizontal="right" vertical="center"/>
    </xf>
    <xf numFmtId="166" fontId="4" fillId="12" borderId="53" xfId="12" applyNumberFormat="1" applyFont="1" applyFill="1" applyBorder="1" applyAlignment="1" applyProtection="1">
      <alignment horizontal="right" vertical="center"/>
    </xf>
    <xf numFmtId="166" fontId="4" fillId="7" borderId="62" xfId="12" applyNumberFormat="1" applyFont="1" applyFill="1" applyBorder="1" applyAlignment="1" applyProtection="1">
      <alignment horizontal="right" vertical="center"/>
    </xf>
    <xf numFmtId="166" fontId="4" fillId="7" borderId="22" xfId="12" applyNumberFormat="1" applyFont="1" applyFill="1" applyBorder="1" applyAlignment="1" applyProtection="1">
      <alignment horizontal="right" vertical="center"/>
    </xf>
    <xf numFmtId="166" fontId="4" fillId="12" borderId="98" xfId="12" applyNumberFormat="1" applyFont="1" applyFill="1" applyBorder="1" applyAlignment="1" applyProtection="1">
      <alignment horizontal="right" vertical="center"/>
    </xf>
    <xf numFmtId="166" fontId="4" fillId="5" borderId="64" xfId="12" applyNumberFormat="1" applyFont="1" applyFill="1" applyBorder="1" applyAlignment="1" applyProtection="1">
      <alignment horizontal="right" vertical="center"/>
    </xf>
    <xf numFmtId="166" fontId="4" fillId="5" borderId="24" xfId="12" applyNumberFormat="1" applyFont="1" applyFill="1" applyBorder="1" applyAlignment="1" applyProtection="1">
      <alignment horizontal="right" vertical="center"/>
    </xf>
    <xf numFmtId="166" fontId="4" fillId="12" borderId="67" xfId="12" applyNumberFormat="1" applyFont="1" applyFill="1" applyBorder="1" applyAlignment="1" applyProtection="1">
      <alignment horizontal="right" vertical="center"/>
    </xf>
    <xf numFmtId="166" fontId="4" fillId="7" borderId="65" xfId="12" applyNumberFormat="1" applyFont="1" applyFill="1" applyBorder="1" applyAlignment="1" applyProtection="1">
      <alignment horizontal="right" vertical="center"/>
    </xf>
    <xf numFmtId="166" fontId="4" fillId="7" borderId="17" xfId="12" applyNumberFormat="1" applyFont="1" applyFill="1" applyBorder="1" applyAlignment="1" applyProtection="1">
      <alignment horizontal="right" vertical="center"/>
    </xf>
    <xf numFmtId="166" fontId="4" fillId="12" borderId="97" xfId="12" applyNumberFormat="1" applyFont="1" applyFill="1" applyBorder="1" applyAlignment="1" applyProtection="1">
      <alignment horizontal="right" vertical="center"/>
    </xf>
    <xf numFmtId="166" fontId="4" fillId="7" borderId="99" xfId="12" applyNumberFormat="1" applyFont="1" applyFill="1" applyBorder="1" applyAlignment="1" applyProtection="1">
      <alignment horizontal="right" vertical="center"/>
    </xf>
    <xf numFmtId="166" fontId="4" fillId="7" borderId="24" xfId="12" applyNumberFormat="1" applyFont="1" applyFill="1" applyBorder="1" applyAlignment="1" applyProtection="1">
      <alignment horizontal="right" vertical="center"/>
    </xf>
    <xf numFmtId="166" fontId="4" fillId="13" borderId="54" xfId="0" applyNumberFormat="1" applyFont="1" applyFill="1" applyBorder="1" applyAlignment="1">
      <alignment horizontal="right" vertical="center"/>
    </xf>
    <xf numFmtId="166" fontId="3" fillId="14" borderId="56" xfId="12" applyNumberFormat="1" applyFont="1" applyFill="1" applyBorder="1" applyAlignment="1" applyProtection="1">
      <alignment horizontal="right" vertical="center"/>
    </xf>
    <xf numFmtId="166" fontId="3" fillId="14" borderId="20" xfId="12" applyNumberFormat="1" applyFont="1" applyFill="1" applyBorder="1" applyAlignment="1" applyProtection="1">
      <alignment horizontal="right" vertical="center"/>
    </xf>
    <xf numFmtId="166" fontId="3" fillId="14" borderId="57" xfId="12" applyNumberFormat="1" applyFont="1" applyFill="1" applyBorder="1" applyAlignment="1" applyProtection="1">
      <alignment horizontal="right" vertical="center"/>
    </xf>
    <xf numFmtId="166" fontId="4" fillId="7" borderId="58" xfId="0" applyNumberFormat="1" applyFont="1" applyFill="1" applyBorder="1" applyAlignment="1">
      <alignment horizontal="right"/>
    </xf>
    <xf numFmtId="166" fontId="4" fillId="7" borderId="0" xfId="0" applyNumberFormat="1" applyFont="1" applyFill="1" applyAlignment="1">
      <alignment horizontal="right"/>
    </xf>
    <xf numFmtId="166" fontId="4" fillId="7" borderId="59" xfId="12" applyNumberFormat="1" applyFont="1" applyFill="1" applyBorder="1" applyAlignment="1" applyProtection="1">
      <alignment horizontal="right"/>
    </xf>
    <xf numFmtId="166" fontId="4" fillId="7" borderId="50" xfId="12" applyNumberFormat="1" applyFont="1" applyFill="1" applyBorder="1" applyAlignment="1" applyProtection="1">
      <alignment horizontal="right" vertical="center"/>
    </xf>
    <xf numFmtId="166" fontId="4" fillId="7" borderId="13" xfId="12" applyNumberFormat="1" applyFont="1" applyFill="1" applyBorder="1" applyAlignment="1" applyProtection="1">
      <alignment horizontal="right" vertical="center"/>
    </xf>
    <xf numFmtId="166" fontId="4" fillId="12" borderId="60" xfId="12" applyNumberFormat="1" applyFont="1" applyFill="1" applyBorder="1" applyAlignment="1" applyProtection="1">
      <alignment horizontal="right" vertical="center"/>
    </xf>
    <xf numFmtId="166" fontId="4" fillId="12" borderId="61" xfId="12" applyNumberFormat="1" applyFont="1" applyFill="1" applyBorder="1" applyAlignment="1" applyProtection="1">
      <alignment horizontal="right" vertical="center"/>
    </xf>
    <xf numFmtId="166" fontId="4" fillId="12" borderId="63" xfId="12" applyNumberFormat="1" applyFont="1" applyFill="1" applyBorder="1" applyAlignment="1" applyProtection="1">
      <alignment horizontal="right" vertical="center"/>
    </xf>
    <xf numFmtId="166" fontId="4" fillId="7" borderId="66" xfId="12" applyNumberFormat="1" applyFont="1" applyFill="1" applyBorder="1" applyAlignment="1" applyProtection="1">
      <alignment horizontal="right" vertical="center"/>
    </xf>
    <xf numFmtId="166" fontId="4" fillId="7" borderId="23" xfId="12" applyNumberFormat="1" applyFont="1" applyFill="1" applyBorder="1" applyAlignment="1" applyProtection="1">
      <alignment horizontal="right" vertical="center"/>
    </xf>
    <xf numFmtId="166" fontId="4" fillId="12" borderId="100" xfId="12" applyNumberFormat="1" applyFont="1" applyFill="1" applyBorder="1" applyAlignment="1" applyProtection="1">
      <alignment horizontal="right" vertical="center"/>
    </xf>
    <xf numFmtId="166" fontId="4" fillId="12" borderId="68" xfId="12" applyNumberFormat="1" applyFont="1" applyFill="1" applyBorder="1" applyAlignment="1" applyProtection="1">
      <alignment horizontal="right" vertical="center"/>
    </xf>
    <xf numFmtId="166" fontId="4" fillId="12" borderId="16" xfId="12" applyNumberFormat="1" applyFont="1" applyFill="1" applyBorder="1" applyAlignment="1" applyProtection="1">
      <alignment horizontal="right" vertical="center"/>
    </xf>
    <xf numFmtId="166" fontId="4" fillId="12" borderId="83" xfId="12" applyNumberFormat="1" applyFont="1" applyFill="1" applyBorder="1" applyAlignment="1" applyProtection="1">
      <alignment horizontal="right" vertical="center"/>
    </xf>
    <xf numFmtId="166" fontId="4" fillId="5" borderId="62" xfId="12" applyNumberFormat="1" applyFont="1" applyFill="1" applyBorder="1" applyAlignment="1" applyProtection="1">
      <alignment horizontal="right" vertical="center"/>
    </xf>
    <xf numFmtId="166" fontId="4" fillId="5" borderId="22" xfId="12" applyNumberFormat="1" applyFont="1" applyFill="1" applyBorder="1" applyAlignment="1" applyProtection="1">
      <alignment horizontal="right" vertical="center"/>
    </xf>
    <xf numFmtId="166" fontId="4" fillId="7" borderId="101" xfId="12" applyNumberFormat="1" applyFont="1" applyFill="1" applyBorder="1" applyAlignment="1" applyProtection="1">
      <alignment horizontal="right" vertical="center"/>
    </xf>
    <xf numFmtId="166" fontId="4" fillId="7" borderId="96" xfId="12" applyNumberFormat="1" applyFont="1" applyFill="1" applyBorder="1" applyAlignment="1" applyProtection="1">
      <alignment horizontal="right" vertical="center"/>
    </xf>
    <xf numFmtId="166" fontId="4" fillId="12" borderId="59" xfId="12" applyNumberFormat="1" applyFont="1" applyFill="1" applyBorder="1" applyAlignment="1" applyProtection="1">
      <alignment horizontal="right" vertical="center"/>
    </xf>
    <xf numFmtId="166" fontId="4" fillId="7" borderId="102" xfId="12" applyNumberFormat="1" applyFont="1" applyFill="1" applyBorder="1" applyAlignment="1" applyProtection="1">
      <alignment horizontal="right" vertical="center"/>
    </xf>
    <xf numFmtId="166" fontId="4" fillId="7" borderId="9" xfId="12" applyNumberFormat="1" applyFont="1" applyFill="1" applyBorder="1" applyAlignment="1" applyProtection="1">
      <alignment horizontal="right" vertical="center"/>
    </xf>
    <xf numFmtId="166" fontId="4" fillId="12" borderId="103" xfId="12" applyNumberFormat="1" applyFont="1" applyFill="1" applyBorder="1" applyAlignment="1" applyProtection="1">
      <alignment horizontal="right" vertical="center"/>
    </xf>
    <xf numFmtId="166" fontId="4" fillId="5" borderId="68" xfId="12" applyNumberFormat="1" applyFont="1" applyFill="1" applyBorder="1" applyAlignment="1" applyProtection="1">
      <alignment horizontal="right" vertical="center"/>
    </xf>
    <xf numFmtId="166" fontId="4" fillId="5" borderId="16" xfId="12" applyNumberFormat="1" applyFont="1" applyFill="1" applyBorder="1" applyAlignment="1" applyProtection="1">
      <alignment horizontal="right" vertical="center"/>
    </xf>
    <xf numFmtId="166" fontId="4" fillId="12" borderId="55" xfId="12" applyNumberFormat="1" applyFont="1" applyFill="1" applyBorder="1" applyAlignment="1" applyProtection="1">
      <alignment horizontal="right" vertical="center"/>
    </xf>
    <xf numFmtId="166" fontId="4" fillId="7" borderId="68" xfId="12" applyNumberFormat="1" applyFont="1" applyFill="1" applyBorder="1" applyAlignment="1" applyProtection="1">
      <alignment horizontal="right" vertical="center"/>
    </xf>
    <xf numFmtId="166" fontId="4" fillId="7" borderId="16" xfId="12" applyNumberFormat="1" applyFont="1" applyFill="1" applyBorder="1" applyAlignment="1" applyProtection="1">
      <alignment horizontal="right" vertical="center"/>
    </xf>
    <xf numFmtId="166" fontId="4" fillId="12" borderId="104" xfId="12" applyNumberFormat="1" applyFont="1" applyFill="1" applyBorder="1" applyAlignment="1" applyProtection="1">
      <alignment horizontal="right" vertical="center"/>
    </xf>
    <xf numFmtId="166" fontId="4" fillId="7" borderId="64" xfId="12" applyNumberFormat="1" applyFont="1" applyFill="1" applyBorder="1" applyAlignment="1" applyProtection="1">
      <alignment horizontal="right" vertical="center"/>
    </xf>
    <xf numFmtId="166" fontId="4" fillId="12" borderId="105" xfId="12" applyNumberFormat="1" applyFont="1" applyFill="1" applyBorder="1" applyAlignment="1" applyProtection="1">
      <alignment horizontal="right" vertical="center"/>
    </xf>
    <xf numFmtId="166" fontId="4" fillId="13" borderId="68" xfId="0" applyNumberFormat="1" applyFont="1" applyFill="1" applyBorder="1" applyAlignment="1">
      <alignment horizontal="right" vertical="center"/>
    </xf>
    <xf numFmtId="166" fontId="4" fillId="0" borderId="16" xfId="0" applyNumberFormat="1" applyFont="1" applyBorder="1" applyAlignment="1">
      <alignment horizontal="right"/>
    </xf>
    <xf numFmtId="166" fontId="3" fillId="14" borderId="69" xfId="12" applyNumberFormat="1" applyFont="1" applyFill="1" applyBorder="1" applyAlignment="1" applyProtection="1">
      <alignment horizontal="right" vertical="center"/>
    </xf>
    <xf numFmtId="166" fontId="3" fillId="14" borderId="68" xfId="12" applyNumberFormat="1" applyFont="1" applyFill="1" applyBorder="1" applyAlignment="1" applyProtection="1">
      <alignment horizontal="right" vertical="center"/>
    </xf>
    <xf numFmtId="166" fontId="3" fillId="14" borderId="16" xfId="12" applyNumberFormat="1" applyFont="1" applyFill="1" applyBorder="1" applyAlignment="1" applyProtection="1">
      <alignment horizontal="right" vertical="center"/>
    </xf>
    <xf numFmtId="166" fontId="3" fillId="14" borderId="83" xfId="12" applyNumberFormat="1" applyFont="1" applyFill="1" applyBorder="1" applyAlignment="1" applyProtection="1">
      <alignment horizontal="right" vertical="center"/>
    </xf>
    <xf numFmtId="166" fontId="4" fillId="7" borderId="48" xfId="0" applyNumberFormat="1" applyFont="1" applyFill="1" applyBorder="1" applyAlignment="1">
      <alignment horizontal="right" vertical="center"/>
    </xf>
    <xf numFmtId="166" fontId="4" fillId="7" borderId="14" xfId="0" applyNumberFormat="1" applyFont="1" applyFill="1" applyBorder="1" applyAlignment="1">
      <alignment horizontal="right" vertical="center"/>
    </xf>
    <xf numFmtId="166" fontId="4" fillId="7" borderId="49" xfId="0" applyNumberFormat="1" applyFont="1" applyFill="1" applyBorder="1" applyAlignment="1">
      <alignment horizontal="right"/>
    </xf>
    <xf numFmtId="166" fontId="17" fillId="7" borderId="50" xfId="12" applyNumberFormat="1" applyFont="1" applyFill="1" applyBorder="1" applyAlignment="1" applyProtection="1">
      <alignment horizontal="right" vertical="center"/>
    </xf>
    <xf numFmtId="166" fontId="17" fillId="7" borderId="13" xfId="12" applyNumberFormat="1" applyFont="1" applyFill="1" applyBorder="1" applyAlignment="1" applyProtection="1">
      <alignment horizontal="right" vertical="center"/>
    </xf>
    <xf numFmtId="166" fontId="17" fillId="7" borderId="51" xfId="12" applyNumberFormat="1" applyFont="1" applyFill="1" applyBorder="1" applyAlignment="1" applyProtection="1">
      <alignment horizontal="right" vertical="center"/>
    </xf>
    <xf numFmtId="167" fontId="16" fillId="5" borderId="65" xfId="0" applyNumberFormat="1" applyFont="1" applyFill="1" applyBorder="1" applyAlignment="1">
      <alignment horizontal="right" vertical="center"/>
    </xf>
    <xf numFmtId="167" fontId="16" fillId="5" borderId="17" xfId="0" applyNumberFormat="1" applyFont="1" applyFill="1" applyBorder="1" applyAlignment="1">
      <alignment horizontal="right" vertical="center"/>
    </xf>
    <xf numFmtId="167" fontId="4" fillId="12" borderId="97" xfId="0" applyNumberFormat="1" applyFont="1" applyFill="1" applyBorder="1" applyAlignment="1">
      <alignment horizontal="right" vertical="center"/>
    </xf>
    <xf numFmtId="167" fontId="5" fillId="0" borderId="4" xfId="0" applyNumberFormat="1" applyFont="1" applyBorder="1"/>
    <xf numFmtId="169" fontId="4" fillId="0" borderId="49" xfId="12" applyNumberFormat="1" applyFont="1" applyFill="1" applyBorder="1" applyAlignment="1" applyProtection="1">
      <alignment horizontal="center" vertical="center"/>
    </xf>
    <xf numFmtId="169" fontId="4" fillId="0" borderId="69" xfId="12" applyNumberFormat="1" applyFont="1" applyFill="1" applyBorder="1" applyAlignment="1" applyProtection="1">
      <alignment horizontal="center" vertical="center"/>
    </xf>
    <xf numFmtId="169" fontId="4" fillId="0" borderId="80" xfId="12" applyNumberFormat="1" applyFont="1" applyFill="1" applyBorder="1" applyAlignment="1" applyProtection="1">
      <alignment horizontal="center" vertical="center"/>
    </xf>
    <xf numFmtId="169" fontId="4" fillId="0" borderId="81" xfId="12" applyNumberFormat="1" applyFont="1" applyFill="1" applyBorder="1" applyAlignment="1" applyProtection="1">
      <alignment horizontal="center" vertical="center"/>
    </xf>
    <xf numFmtId="0" fontId="4" fillId="13" borderId="116" xfId="0" applyFont="1" applyFill="1" applyBorder="1" applyAlignment="1">
      <alignment horizontal="center" vertical="center"/>
    </xf>
    <xf numFmtId="0" fontId="4" fillId="13" borderId="117" xfId="0" applyFont="1" applyFill="1" applyBorder="1" applyAlignment="1">
      <alignment horizontal="center" vertical="center"/>
    </xf>
    <xf numFmtId="167" fontId="18" fillId="2" borderId="1" xfId="5" applyNumberFormat="1" applyFont="1" applyFill="1" applyBorder="1" applyAlignment="1">
      <alignment horizontal="center"/>
    </xf>
    <xf numFmtId="166" fontId="4" fillId="0" borderId="2" xfId="0" applyNumberFormat="1" applyFont="1" applyBorder="1" applyAlignment="1">
      <alignment vertical="center"/>
    </xf>
    <xf numFmtId="166" fontId="4" fillId="0" borderId="4" xfId="0" applyNumberFormat="1" applyFont="1" applyBorder="1" applyAlignment="1">
      <alignment vertical="center"/>
    </xf>
    <xf numFmtId="0" fontId="17" fillId="21" borderId="44" xfId="1" applyFont="1" applyFill="1" applyBorder="1" applyAlignment="1">
      <alignment horizontal="center" vertical="center" wrapText="1"/>
    </xf>
    <xf numFmtId="0" fontId="17" fillId="21" borderId="44" xfId="1" applyFont="1" applyFill="1" applyBorder="1" applyAlignment="1">
      <alignment horizontal="center" vertical="center"/>
    </xf>
    <xf numFmtId="0" fontId="17" fillId="21" borderId="1" xfId="1" applyFont="1" applyFill="1" applyBorder="1" applyAlignment="1">
      <alignment horizontal="center" vertical="center" wrapText="1"/>
    </xf>
    <xf numFmtId="0" fontId="17" fillId="21" borderId="1" xfId="0" applyFont="1" applyFill="1" applyBorder="1" applyAlignment="1">
      <alignment horizontal="center" vertical="center" wrapText="1"/>
    </xf>
    <xf numFmtId="0" fontId="17" fillId="21" borderId="44" xfId="0" applyFont="1" applyFill="1" applyBorder="1" applyAlignment="1">
      <alignment horizontal="center" vertical="center" wrapText="1"/>
    </xf>
    <xf numFmtId="167" fontId="4" fillId="0" borderId="2" xfId="0" applyNumberFormat="1" applyFont="1" applyBorder="1" applyAlignment="1">
      <alignment horizontal="right"/>
    </xf>
    <xf numFmtId="167" fontId="4" fillId="0" borderId="4" xfId="0" applyNumberFormat="1" applyFont="1" applyBorder="1" applyAlignment="1">
      <alignment horizontal="right"/>
    </xf>
    <xf numFmtId="0" fontId="4" fillId="7" borderId="118" xfId="0" applyFont="1" applyFill="1" applyBorder="1" applyAlignment="1">
      <alignment vertical="center"/>
    </xf>
    <xf numFmtId="0" fontId="4" fillId="7" borderId="116" xfId="0" applyFont="1" applyFill="1" applyBorder="1"/>
    <xf numFmtId="0" fontId="4" fillId="7" borderId="119" xfId="0" applyFont="1" applyFill="1" applyBorder="1"/>
    <xf numFmtId="0" fontId="4" fillId="7" borderId="82" xfId="0" applyFont="1" applyFill="1" applyBorder="1"/>
    <xf numFmtId="9" fontId="4" fillId="7" borderId="116" xfId="13" applyFont="1" applyFill="1" applyBorder="1" applyAlignment="1" applyProtection="1">
      <alignment horizontal="center" vertical="center"/>
    </xf>
    <xf numFmtId="166" fontId="12" fillId="0" borderId="2" xfId="1" applyNumberFormat="1" applyFont="1" applyBorder="1" applyAlignment="1">
      <alignment horizontal="right" vertical="center"/>
    </xf>
    <xf numFmtId="166" fontId="13" fillId="23" borderId="1" xfId="1" applyNumberFormat="1" applyFont="1" applyFill="1" applyBorder="1" applyAlignment="1">
      <alignment horizontal="right" vertical="center"/>
    </xf>
    <xf numFmtId="166" fontId="27" fillId="2" borderId="1" xfId="1" applyNumberFormat="1" applyFont="1" applyFill="1" applyBorder="1" applyAlignment="1">
      <alignment horizontal="right" vertical="center"/>
    </xf>
    <xf numFmtId="0" fontId="12" fillId="10" borderId="4" xfId="1" applyFont="1" applyFill="1" applyBorder="1" applyAlignment="1">
      <alignment horizontal="left" vertical="center"/>
    </xf>
    <xf numFmtId="166" fontId="12" fillId="10" borderId="4" xfId="1" applyNumberFormat="1" applyFont="1" applyFill="1" applyBorder="1" applyAlignment="1">
      <alignment horizontal="right" vertical="center"/>
    </xf>
    <xf numFmtId="0" fontId="3" fillId="2" borderId="1" xfId="11" applyFont="1" applyFill="1" applyBorder="1" applyAlignment="1">
      <alignment horizontal="center" vertical="center"/>
    </xf>
    <xf numFmtId="0" fontId="9" fillId="0" borderId="0" xfId="1" applyFont="1" applyAlignment="1">
      <alignment horizontal="left" vertical="center" wrapText="1"/>
    </xf>
    <xf numFmtId="0" fontId="13" fillId="11" borderId="2" xfId="1" applyFont="1" applyFill="1" applyBorder="1" applyAlignment="1">
      <alignment horizontal="left" vertical="center"/>
    </xf>
    <xf numFmtId="167" fontId="17" fillId="11" borderId="2" xfId="0" applyNumberFormat="1" applyFont="1" applyFill="1" applyBorder="1" applyAlignment="1">
      <alignment horizontal="center"/>
    </xf>
    <xf numFmtId="0" fontId="13" fillId="11" borderId="4" xfId="1" applyFont="1" applyFill="1" applyBorder="1" applyAlignment="1">
      <alignment horizontal="left" vertical="center"/>
    </xf>
    <xf numFmtId="167" fontId="17" fillId="11" borderId="4" xfId="0" applyNumberFormat="1" applyFont="1" applyFill="1" applyBorder="1" applyAlignment="1">
      <alignment horizontal="center"/>
    </xf>
    <xf numFmtId="167" fontId="12" fillId="5" borderId="1" xfId="3" applyNumberFormat="1" applyFont="1" applyFill="1" applyBorder="1" applyAlignment="1">
      <alignment horizontal="right" vertical="center"/>
    </xf>
    <xf numFmtId="167" fontId="12" fillId="5" borderId="1" xfId="1" applyNumberFormat="1" applyFont="1" applyFill="1" applyBorder="1" applyAlignment="1">
      <alignment vertical="center"/>
    </xf>
    <xf numFmtId="0" fontId="4" fillId="0" borderId="4" xfId="1" applyFont="1" applyBorder="1" applyAlignment="1">
      <alignment vertical="center"/>
    </xf>
    <xf numFmtId="0" fontId="4" fillId="11" borderId="1" xfId="1" applyFont="1" applyFill="1" applyBorder="1" applyAlignment="1">
      <alignment vertical="center"/>
    </xf>
    <xf numFmtId="0" fontId="12" fillId="24" borderId="1" xfId="1" applyFont="1" applyFill="1" applyBorder="1" applyAlignment="1">
      <alignment vertical="center"/>
    </xf>
    <xf numFmtId="166" fontId="4" fillId="11" borderId="1" xfId="2" applyNumberFormat="1" applyFont="1" applyFill="1" applyBorder="1" applyAlignment="1">
      <alignment vertical="center"/>
    </xf>
    <xf numFmtId="174" fontId="12" fillId="24" borderId="1" xfId="3" applyNumberFormat="1" applyFont="1" applyFill="1" applyBorder="1" applyAlignment="1">
      <alignment vertical="center"/>
    </xf>
    <xf numFmtId="0" fontId="12" fillId="11" borderId="1" xfId="1" applyFont="1" applyFill="1" applyBorder="1" applyAlignment="1">
      <alignment vertical="center"/>
    </xf>
    <xf numFmtId="167" fontId="12" fillId="0" borderId="1" xfId="3" applyNumberFormat="1" applyFont="1" applyFill="1" applyBorder="1" applyAlignment="1">
      <alignment horizontal="right" vertical="center"/>
    </xf>
    <xf numFmtId="0" fontId="4" fillId="11" borderId="3" xfId="1" applyFont="1" applyFill="1" applyBorder="1" applyAlignment="1">
      <alignment vertical="center"/>
    </xf>
    <xf numFmtId="0" fontId="4" fillId="11" borderId="8" xfId="1" applyFont="1" applyFill="1" applyBorder="1" applyAlignment="1">
      <alignment vertical="center"/>
    </xf>
    <xf numFmtId="166" fontId="4" fillId="11" borderId="3" xfId="2" applyNumberFormat="1" applyFont="1" applyFill="1" applyBorder="1" applyAlignment="1">
      <alignment vertical="center"/>
    </xf>
    <xf numFmtId="166" fontId="4" fillId="11" borderId="8" xfId="2" applyNumberFormat="1" applyFont="1" applyFill="1" applyBorder="1" applyAlignment="1">
      <alignment vertical="center"/>
    </xf>
    <xf numFmtId="174" fontId="12" fillId="0" borderId="1" xfId="3" applyNumberFormat="1" applyFont="1" applyFill="1" applyBorder="1" applyAlignment="1">
      <alignment vertical="center"/>
    </xf>
    <xf numFmtId="0" fontId="12" fillId="0" borderId="10" xfId="1" applyFont="1" applyBorder="1" applyAlignment="1">
      <alignment vertical="center"/>
    </xf>
    <xf numFmtId="0" fontId="13" fillId="0" borderId="10" xfId="1" applyFont="1" applyBorder="1" applyAlignment="1">
      <alignment vertical="center"/>
    </xf>
    <xf numFmtId="166" fontId="12" fillId="0" borderId="2" xfId="1" applyNumberFormat="1" applyFont="1" applyBorder="1" applyAlignment="1">
      <alignment vertical="center"/>
    </xf>
    <xf numFmtId="166" fontId="12" fillId="0" borderId="4" xfId="1" applyNumberFormat="1" applyFont="1" applyBorder="1" applyAlignment="1">
      <alignment vertical="center"/>
    </xf>
    <xf numFmtId="166" fontId="13" fillId="5" borderId="1" xfId="1" applyNumberFormat="1" applyFont="1" applyFill="1" applyBorder="1" applyAlignment="1">
      <alignment vertical="center"/>
    </xf>
    <xf numFmtId="166" fontId="17" fillId="21" borderId="1" xfId="2" applyNumberFormat="1" applyFont="1" applyFill="1" applyBorder="1" applyAlignment="1">
      <alignment horizontal="right" vertical="center" wrapText="1"/>
    </xf>
    <xf numFmtId="166" fontId="17" fillId="21" borderId="1" xfId="2" applyNumberFormat="1" applyFont="1" applyFill="1" applyBorder="1" applyAlignment="1">
      <alignment vertical="center" wrapText="1"/>
    </xf>
    <xf numFmtId="0" fontId="30" fillId="21" borderId="1" xfId="0" applyFont="1" applyFill="1" applyBorder="1" applyAlignment="1">
      <alignment horizontal="center"/>
    </xf>
    <xf numFmtId="167" fontId="16" fillId="0" borderId="2" xfId="7" applyNumberFormat="1" applyFont="1" applyBorder="1" applyAlignment="1">
      <alignment horizontal="center" vertical="center" wrapText="1"/>
    </xf>
    <xf numFmtId="167" fontId="16" fillId="0" borderId="3" xfId="7" applyNumberFormat="1" applyFont="1" applyBorder="1" applyAlignment="1">
      <alignment horizontal="center" vertical="center" wrapText="1"/>
    </xf>
    <xf numFmtId="167" fontId="16" fillId="0" borderId="4" xfId="7" applyNumberFormat="1" applyFont="1" applyBorder="1" applyAlignment="1">
      <alignment horizontal="center" vertical="center" wrapText="1"/>
    </xf>
    <xf numFmtId="167" fontId="16" fillId="0" borderId="6" xfId="7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14" fontId="4" fillId="11" borderId="1" xfId="0" applyNumberFormat="1" applyFont="1" applyFill="1" applyBorder="1" applyAlignment="1">
      <alignment horizontal="center" vertical="center" textRotation="90"/>
    </xf>
    <xf numFmtId="166" fontId="13" fillId="0" borderId="0" xfId="1" applyNumberFormat="1" applyFont="1" applyAlignment="1">
      <alignment vertical="center"/>
    </xf>
    <xf numFmtId="166" fontId="14" fillId="0" borderId="0" xfId="1" applyNumberFormat="1" applyFont="1" applyAlignment="1">
      <alignment horizontal="right"/>
    </xf>
    <xf numFmtId="0" fontId="14" fillId="0" borderId="0" xfId="1" applyFont="1"/>
    <xf numFmtId="166" fontId="16" fillId="11" borderId="2" xfId="1" applyNumberFormat="1" applyFont="1" applyFill="1" applyBorder="1" applyAlignment="1">
      <alignment vertical="center"/>
    </xf>
    <xf numFmtId="166" fontId="16" fillId="11" borderId="4" xfId="1" applyNumberFormat="1" applyFont="1" applyFill="1" applyBorder="1" applyAlignment="1">
      <alignment vertical="center"/>
    </xf>
    <xf numFmtId="0" fontId="30" fillId="2" borderId="0" xfId="0" applyFont="1" applyFill="1" applyAlignment="1">
      <alignment horizontal="center"/>
    </xf>
    <xf numFmtId="0" fontId="30" fillId="21" borderId="0" xfId="0" applyFont="1" applyFill="1" applyAlignment="1">
      <alignment horizontal="center"/>
    </xf>
    <xf numFmtId="169" fontId="4" fillId="0" borderId="0" xfId="12" applyNumberFormat="1" applyFont="1" applyFill="1" applyBorder="1" applyAlignment="1" applyProtection="1">
      <alignment horizontal="center" vertical="center"/>
    </xf>
    <xf numFmtId="170" fontId="4" fillId="0" borderId="59" xfId="13" applyNumberFormat="1" applyFont="1" applyFill="1" applyBorder="1" applyAlignment="1" applyProtection="1">
      <alignment horizontal="center"/>
    </xf>
    <xf numFmtId="169" fontId="4" fillId="0" borderId="59" xfId="12" applyNumberFormat="1" applyFont="1" applyFill="1" applyBorder="1" applyAlignment="1" applyProtection="1">
      <alignment horizontal="center" vertical="center"/>
    </xf>
    <xf numFmtId="169" fontId="4" fillId="0" borderId="58" xfId="12" applyNumberFormat="1" applyFont="1" applyFill="1" applyBorder="1" applyAlignment="1" applyProtection="1">
      <alignment horizontal="center" vertical="center"/>
    </xf>
    <xf numFmtId="166" fontId="17" fillId="0" borderId="48" xfId="12" applyNumberFormat="1" applyFont="1" applyFill="1" applyBorder="1" applyAlignment="1" applyProtection="1">
      <alignment horizontal="right" vertical="center"/>
    </xf>
    <xf numFmtId="166" fontId="17" fillId="0" borderId="14" xfId="12" applyNumberFormat="1" applyFont="1" applyFill="1" applyBorder="1" applyAlignment="1" applyProtection="1">
      <alignment horizontal="right" vertical="center"/>
    </xf>
    <xf numFmtId="166" fontId="17" fillId="0" borderId="49" xfId="12" applyNumberFormat="1" applyFont="1" applyFill="1" applyBorder="1" applyAlignment="1" applyProtection="1">
      <alignment horizontal="right" vertical="center"/>
    </xf>
    <xf numFmtId="166" fontId="3" fillId="0" borderId="58" xfId="12" applyNumberFormat="1" applyFont="1" applyFill="1" applyBorder="1" applyAlignment="1" applyProtection="1">
      <alignment horizontal="right" vertical="center"/>
    </xf>
    <xf numFmtId="166" fontId="3" fillId="0" borderId="0" xfId="12" applyNumberFormat="1" applyFont="1" applyFill="1" applyBorder="1" applyAlignment="1" applyProtection="1">
      <alignment horizontal="right" vertical="center"/>
    </xf>
    <xf numFmtId="166" fontId="3" fillId="0" borderId="59" xfId="12" applyNumberFormat="1" applyFont="1" applyFill="1" applyBorder="1" applyAlignment="1" applyProtection="1">
      <alignment horizontal="right" vertical="center"/>
    </xf>
    <xf numFmtId="9" fontId="4" fillId="0" borderId="58" xfId="13" applyFont="1" applyFill="1" applyBorder="1" applyAlignment="1" applyProtection="1">
      <alignment horizontal="center" vertical="center"/>
    </xf>
    <xf numFmtId="0" fontId="4" fillId="0" borderId="59" xfId="0" applyFont="1" applyBorder="1"/>
    <xf numFmtId="0" fontId="38" fillId="0" borderId="58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8" fillId="0" borderId="59" xfId="0" applyFont="1" applyBorder="1" applyAlignment="1">
      <alignment horizontal="center"/>
    </xf>
    <xf numFmtId="0" fontId="4" fillId="0" borderId="58" xfId="0" applyFont="1" applyBorder="1" applyAlignment="1">
      <alignment horizontal="center" vertical="center"/>
    </xf>
    <xf numFmtId="9" fontId="4" fillId="0" borderId="59" xfId="13" applyFont="1" applyFill="1" applyBorder="1" applyAlignment="1" applyProtection="1">
      <alignment horizontal="center" vertical="center"/>
    </xf>
    <xf numFmtId="165" fontId="16" fillId="0" borderId="59" xfId="12" applyFont="1" applyFill="1" applyBorder="1" applyAlignment="1" applyProtection="1">
      <alignment horizontal="center" vertical="center"/>
    </xf>
    <xf numFmtId="165" fontId="4" fillId="0" borderId="59" xfId="0" applyNumberFormat="1" applyFont="1" applyBorder="1" applyAlignment="1">
      <alignment horizontal="center" vertical="center"/>
    </xf>
    <xf numFmtId="167" fontId="4" fillId="0" borderId="59" xfId="0" applyNumberFormat="1" applyFont="1" applyBorder="1" applyAlignment="1">
      <alignment horizontal="center" vertical="center"/>
    </xf>
    <xf numFmtId="167" fontId="3" fillId="0" borderId="59" xfId="0" applyNumberFormat="1" applyFont="1" applyBorder="1" applyAlignment="1">
      <alignment horizontal="center" vertical="center"/>
    </xf>
    <xf numFmtId="0" fontId="4" fillId="0" borderId="58" xfId="0" applyFont="1" applyBorder="1" applyAlignment="1">
      <alignment horizontal="center"/>
    </xf>
    <xf numFmtId="169" fontId="4" fillId="0" borderId="59" xfId="12" applyNumberFormat="1" applyFont="1" applyFill="1" applyBorder="1" applyAlignment="1" applyProtection="1">
      <alignment horizontal="center"/>
    </xf>
    <xf numFmtId="10" fontId="4" fillId="0" borderId="59" xfId="0" applyNumberFormat="1" applyFont="1" applyBorder="1" applyAlignment="1">
      <alignment horizontal="center" vertical="center"/>
    </xf>
    <xf numFmtId="10" fontId="3" fillId="0" borderId="59" xfId="13" applyNumberFormat="1" applyFont="1" applyFill="1" applyBorder="1" applyAlignment="1" applyProtection="1">
      <alignment horizontal="center" vertical="center"/>
    </xf>
    <xf numFmtId="171" fontId="3" fillId="0" borderId="59" xfId="12" applyNumberFormat="1" applyFont="1" applyFill="1" applyBorder="1" applyAlignment="1" applyProtection="1">
      <alignment vertical="center"/>
    </xf>
    <xf numFmtId="169" fontId="33" fillId="0" borderId="59" xfId="12" applyNumberFormat="1" applyFont="1" applyFill="1" applyBorder="1" applyAlignment="1" applyProtection="1">
      <alignment horizontal="center"/>
    </xf>
    <xf numFmtId="172" fontId="4" fillId="0" borderId="59" xfId="12" applyNumberFormat="1" applyFont="1" applyFill="1" applyBorder="1" applyAlignment="1" applyProtection="1">
      <alignment horizontal="center" vertical="center"/>
    </xf>
    <xf numFmtId="172" fontId="3" fillId="0" borderId="59" xfId="12" applyNumberFormat="1" applyFont="1" applyFill="1" applyBorder="1" applyAlignment="1" applyProtection="1">
      <alignment horizontal="center" vertical="center"/>
    </xf>
    <xf numFmtId="173" fontId="3" fillId="0" borderId="59" xfId="12" applyNumberFormat="1" applyFont="1" applyFill="1" applyBorder="1" applyAlignment="1" applyProtection="1">
      <alignment horizontal="center" vertical="center"/>
    </xf>
    <xf numFmtId="0" fontId="4" fillId="0" borderId="59" xfId="0" applyFont="1" applyBorder="1" applyAlignment="1">
      <alignment horizontal="center"/>
    </xf>
    <xf numFmtId="169" fontId="3" fillId="0" borderId="59" xfId="12" applyNumberFormat="1" applyFont="1" applyFill="1" applyBorder="1" applyAlignment="1" applyProtection="1">
      <alignment horizontal="center" vertical="center"/>
    </xf>
    <xf numFmtId="169" fontId="33" fillId="0" borderId="59" xfId="12" applyNumberFormat="1" applyFont="1" applyFill="1" applyBorder="1" applyAlignment="1" applyProtection="1">
      <alignment horizontal="center" vertical="center"/>
    </xf>
    <xf numFmtId="169" fontId="17" fillId="0" borderId="58" xfId="12" applyNumberFormat="1" applyFont="1" applyFill="1" applyBorder="1" applyAlignment="1" applyProtection="1">
      <alignment horizontal="center" vertical="center"/>
    </xf>
    <xf numFmtId="169" fontId="17" fillId="0" borderId="0" xfId="12" applyNumberFormat="1" applyFont="1" applyFill="1" applyBorder="1" applyAlignment="1" applyProtection="1">
      <alignment horizontal="center" vertical="center"/>
    </xf>
    <xf numFmtId="169" fontId="3" fillId="0" borderId="58" xfId="12" applyNumberFormat="1" applyFont="1" applyFill="1" applyBorder="1" applyAlignment="1" applyProtection="1">
      <alignment horizontal="center" vertical="center"/>
    </xf>
    <xf numFmtId="169" fontId="3" fillId="0" borderId="0" xfId="12" applyNumberFormat="1" applyFont="1" applyFill="1" applyBorder="1" applyAlignment="1" applyProtection="1">
      <alignment horizontal="center" vertical="center"/>
    </xf>
    <xf numFmtId="169" fontId="9" fillId="0" borderId="59" xfId="12" applyNumberFormat="1" applyFont="1" applyFill="1" applyBorder="1" applyAlignment="1" applyProtection="1">
      <alignment horizontal="center"/>
    </xf>
    <xf numFmtId="0" fontId="4" fillId="0" borderId="58" xfId="0" applyFont="1" applyBorder="1"/>
    <xf numFmtId="169" fontId="4" fillId="0" borderId="59" xfId="12" applyNumberFormat="1" applyFont="1" applyFill="1" applyBorder="1" applyProtection="1"/>
    <xf numFmtId="169" fontId="5" fillId="0" borderId="59" xfId="12" applyNumberFormat="1" applyFont="1" applyFill="1" applyBorder="1" applyAlignment="1" applyProtection="1">
      <alignment horizontal="center" vertical="center"/>
    </xf>
    <xf numFmtId="165" fontId="3" fillId="0" borderId="59" xfId="12" applyFont="1" applyFill="1" applyBorder="1" applyAlignment="1" applyProtection="1">
      <alignment horizontal="center" vertical="center"/>
    </xf>
    <xf numFmtId="0" fontId="4" fillId="0" borderId="111" xfId="0" applyFont="1" applyBorder="1"/>
    <xf numFmtId="0" fontId="4" fillId="0" borderId="112" xfId="0" applyFont="1" applyBorder="1"/>
    <xf numFmtId="0" fontId="4" fillId="0" borderId="113" xfId="0" applyFont="1" applyBorder="1"/>
    <xf numFmtId="166" fontId="4" fillId="0" borderId="52" xfId="12" applyNumberFormat="1" applyFont="1" applyFill="1" applyBorder="1" applyAlignment="1" applyProtection="1">
      <alignment horizontal="right" vertical="center"/>
    </xf>
    <xf numFmtId="166" fontId="4" fillId="0" borderId="18" xfId="12" applyNumberFormat="1" applyFont="1" applyFill="1" applyBorder="1" applyAlignment="1" applyProtection="1">
      <alignment horizontal="right" vertical="center"/>
    </xf>
    <xf numFmtId="166" fontId="4" fillId="0" borderId="53" xfId="12" applyNumberFormat="1" applyFont="1" applyFill="1" applyBorder="1" applyAlignment="1" applyProtection="1">
      <alignment horizontal="right" vertical="center"/>
    </xf>
    <xf numFmtId="166" fontId="4" fillId="0" borderId="101" xfId="12" applyNumberFormat="1" applyFont="1" applyFill="1" applyBorder="1" applyAlignment="1" applyProtection="1">
      <alignment horizontal="right" vertical="center"/>
    </xf>
    <xf numFmtId="166" fontId="4" fillId="0" borderId="96" xfId="12" applyNumberFormat="1" applyFont="1" applyFill="1" applyBorder="1" applyAlignment="1" applyProtection="1">
      <alignment horizontal="right" vertical="center"/>
    </xf>
    <xf numFmtId="166" fontId="4" fillId="0" borderId="120" xfId="12" applyNumberFormat="1" applyFont="1" applyFill="1" applyBorder="1" applyAlignment="1" applyProtection="1">
      <alignment horizontal="right" vertical="center"/>
    </xf>
    <xf numFmtId="167" fontId="16" fillId="0" borderId="101" xfId="0" applyNumberFormat="1" applyFont="1" applyBorder="1" applyAlignment="1">
      <alignment horizontal="right" vertical="center"/>
    </xf>
    <xf numFmtId="167" fontId="16" fillId="0" borderId="96" xfId="0" applyNumberFormat="1" applyFont="1" applyBorder="1" applyAlignment="1">
      <alignment horizontal="right" vertical="center"/>
    </xf>
    <xf numFmtId="167" fontId="4" fillId="0" borderId="120" xfId="0" applyNumberFormat="1" applyFont="1" applyBorder="1" applyAlignment="1">
      <alignment horizontal="right" vertical="center"/>
    </xf>
    <xf numFmtId="166" fontId="4" fillId="0" borderId="121" xfId="12" applyNumberFormat="1" applyFont="1" applyFill="1" applyBorder="1" applyAlignment="1" applyProtection="1">
      <alignment horizontal="right" vertical="center"/>
    </xf>
    <xf numFmtId="166" fontId="4" fillId="0" borderId="122" xfId="12" applyNumberFormat="1" applyFont="1" applyFill="1" applyBorder="1" applyAlignment="1" applyProtection="1">
      <alignment horizontal="right" vertical="center"/>
    </xf>
    <xf numFmtId="166" fontId="4" fillId="0" borderId="123" xfId="12" applyNumberFormat="1" applyFont="1" applyFill="1" applyBorder="1" applyAlignment="1" applyProtection="1">
      <alignment horizontal="right" vertical="center"/>
    </xf>
    <xf numFmtId="166" fontId="4" fillId="0" borderId="124" xfId="0" applyNumberFormat="1" applyFont="1" applyBorder="1" applyAlignment="1">
      <alignment horizontal="right" vertical="center"/>
    </xf>
    <xf numFmtId="166" fontId="4" fillId="0" borderId="58" xfId="0" applyNumberFormat="1" applyFont="1" applyBorder="1" applyAlignment="1">
      <alignment horizontal="right"/>
    </xf>
    <xf numFmtId="166" fontId="4" fillId="0" borderId="0" xfId="0" applyNumberFormat="1" applyFont="1" applyAlignment="1">
      <alignment horizontal="right"/>
    </xf>
    <xf numFmtId="166" fontId="4" fillId="0" borderId="59" xfId="12" applyNumberFormat="1" applyFont="1" applyFill="1" applyBorder="1" applyAlignment="1" applyProtection="1">
      <alignment horizontal="right"/>
    </xf>
    <xf numFmtId="166" fontId="4" fillId="0" borderId="59" xfId="12" applyNumberFormat="1" applyFont="1" applyFill="1" applyBorder="1" applyAlignment="1" applyProtection="1">
      <alignment horizontal="right" vertical="center"/>
    </xf>
    <xf numFmtId="166" fontId="4" fillId="0" borderId="125" xfId="12" applyNumberFormat="1" applyFont="1" applyFill="1" applyBorder="1" applyAlignment="1" applyProtection="1">
      <alignment horizontal="right" vertical="center"/>
    </xf>
    <xf numFmtId="166" fontId="3" fillId="0" borderId="126" xfId="12" applyNumberFormat="1" applyFont="1" applyFill="1" applyBorder="1" applyAlignment="1" applyProtection="1">
      <alignment horizontal="right" vertical="center"/>
    </xf>
    <xf numFmtId="166" fontId="3" fillId="0" borderId="106" xfId="12" applyNumberFormat="1" applyFont="1" applyFill="1" applyBorder="1" applyAlignment="1" applyProtection="1">
      <alignment horizontal="right" vertical="center"/>
    </xf>
    <xf numFmtId="166" fontId="3" fillId="0" borderId="127" xfId="12" applyNumberFormat="1" applyFont="1" applyFill="1" applyBorder="1" applyAlignment="1" applyProtection="1">
      <alignment horizontal="right" vertical="center"/>
    </xf>
    <xf numFmtId="166" fontId="4" fillId="0" borderId="128" xfId="12" applyNumberFormat="1" applyFont="1" applyFill="1" applyBorder="1" applyAlignment="1" applyProtection="1">
      <alignment horizontal="right" vertical="center"/>
    </xf>
    <xf numFmtId="166" fontId="4" fillId="0" borderId="26" xfId="12" applyNumberFormat="1" applyFont="1" applyFill="1" applyBorder="1" applyAlignment="1" applyProtection="1">
      <alignment horizontal="right" vertical="center"/>
    </xf>
    <xf numFmtId="166" fontId="4" fillId="0" borderId="49" xfId="12" applyNumberFormat="1" applyFont="1" applyFill="1" applyBorder="1" applyAlignment="1" applyProtection="1">
      <alignment horizontal="right" vertical="center"/>
    </xf>
    <xf numFmtId="166" fontId="4" fillId="0" borderId="52" xfId="0" applyNumberFormat="1" applyFont="1" applyBorder="1" applyAlignment="1">
      <alignment horizontal="right" vertical="center"/>
    </xf>
    <xf numFmtId="166" fontId="4" fillId="0" borderId="18" xfId="0" applyNumberFormat="1" applyFont="1" applyBorder="1" applyAlignment="1">
      <alignment horizontal="right"/>
    </xf>
    <xf numFmtId="166" fontId="3" fillId="0" borderId="110" xfId="12" applyNumberFormat="1" applyFont="1" applyFill="1" applyBorder="1" applyAlignment="1" applyProtection="1">
      <alignment horizontal="right" vertical="center"/>
    </xf>
    <xf numFmtId="166" fontId="14" fillId="0" borderId="4" xfId="2" applyNumberFormat="1" applyFont="1" applyFill="1" applyBorder="1" applyAlignment="1">
      <alignment vertical="center"/>
    </xf>
    <xf numFmtId="166" fontId="14" fillId="0" borderId="4" xfId="2" applyNumberFormat="1" applyFont="1" applyFill="1" applyBorder="1" applyAlignment="1">
      <alignment horizontal="right" vertical="center"/>
    </xf>
    <xf numFmtId="0" fontId="14" fillId="0" borderId="0" xfId="1" applyFont="1" applyAlignment="1">
      <alignment horizontal="center" vertical="center"/>
    </xf>
    <xf numFmtId="166" fontId="61" fillId="0" borderId="4" xfId="2" applyNumberFormat="1" applyFont="1" applyFill="1" applyBorder="1" applyAlignment="1">
      <alignment horizontal="right" vertical="center"/>
    </xf>
    <xf numFmtId="0" fontId="61" fillId="0" borderId="0" xfId="1" applyFont="1" applyAlignment="1">
      <alignment horizontal="center" vertical="center"/>
    </xf>
    <xf numFmtId="166" fontId="61" fillId="0" borderId="4" xfId="2" applyNumberFormat="1" applyFont="1" applyFill="1" applyBorder="1" applyAlignment="1">
      <alignment vertical="center"/>
    </xf>
    <xf numFmtId="0" fontId="45" fillId="0" borderId="43" xfId="0" applyFont="1" applyBorder="1"/>
    <xf numFmtId="0" fontId="46" fillId="0" borderId="43" xfId="0" applyFont="1" applyBorder="1"/>
    <xf numFmtId="0" fontId="7" fillId="0" borderId="43" xfId="0" applyFont="1" applyBorder="1"/>
    <xf numFmtId="167" fontId="12" fillId="5" borderId="3" xfId="5" applyNumberFormat="1" applyFont="1" applyFill="1" applyBorder="1"/>
    <xf numFmtId="0" fontId="14" fillId="5" borderId="3" xfId="0" applyFont="1" applyFill="1" applyBorder="1"/>
    <xf numFmtId="167" fontId="16" fillId="5" borderId="3" xfId="7" applyNumberFormat="1" applyFont="1" applyFill="1" applyBorder="1" applyAlignment="1">
      <alignment horizontal="center" vertical="center" wrapText="1"/>
    </xf>
    <xf numFmtId="0" fontId="14" fillId="6" borderId="1" xfId="0" applyFont="1" applyFill="1" applyBorder="1"/>
    <xf numFmtId="0" fontId="4" fillId="6" borderId="1" xfId="0" applyFont="1" applyFill="1" applyBorder="1"/>
    <xf numFmtId="167" fontId="50" fillId="5" borderId="3" xfId="1" applyNumberFormat="1" applyFont="1" applyFill="1" applyBorder="1" applyAlignment="1">
      <alignment vertical="center"/>
    </xf>
    <xf numFmtId="167" fontId="18" fillId="10" borderId="1" xfId="5" applyNumberFormat="1" applyFont="1" applyFill="1" applyBorder="1" applyAlignment="1">
      <alignment horizontal="center"/>
    </xf>
    <xf numFmtId="166" fontId="14" fillId="0" borderId="2" xfId="0" applyNumberFormat="1" applyFont="1" applyBorder="1"/>
    <xf numFmtId="166" fontId="14" fillId="0" borderId="4" xfId="0" applyNumberFormat="1" applyFont="1" applyBorder="1"/>
    <xf numFmtId="166" fontId="4" fillId="6" borderId="1" xfId="0" applyNumberFormat="1" applyFont="1" applyFill="1" applyBorder="1"/>
    <xf numFmtId="166" fontId="14" fillId="6" borderId="1" xfId="0" applyNumberFormat="1" applyFont="1" applyFill="1" applyBorder="1"/>
    <xf numFmtId="166" fontId="14" fillId="11" borderId="1" xfId="0" applyNumberFormat="1" applyFont="1" applyFill="1" applyBorder="1"/>
    <xf numFmtId="167" fontId="27" fillId="6" borderId="1" xfId="5" applyNumberFormat="1" applyFont="1" applyFill="1" applyBorder="1"/>
    <xf numFmtId="0" fontId="17" fillId="8" borderId="44" xfId="7" applyFont="1" applyFill="1" applyBorder="1" applyAlignment="1">
      <alignment horizontal="centerContinuous" vertical="center" wrapText="1"/>
    </xf>
    <xf numFmtId="167" fontId="29" fillId="11" borderId="1" xfId="1" applyNumberFormat="1" applyFont="1" applyFill="1" applyBorder="1" applyAlignment="1">
      <alignment horizontal="centerContinuous"/>
    </xf>
    <xf numFmtId="10" fontId="19" fillId="0" borderId="1" xfId="14" applyNumberFormat="1" applyFont="1" applyBorder="1" applyAlignment="1">
      <alignment horizontal="center" vertical="center"/>
    </xf>
    <xf numFmtId="0" fontId="14" fillId="0" borderId="0" xfId="14" applyFont="1" applyAlignment="1">
      <alignment horizontal="center"/>
    </xf>
    <xf numFmtId="0" fontId="5" fillId="0" borderId="1" xfId="14" applyFont="1" applyBorder="1" applyAlignment="1">
      <alignment horizontal="left"/>
    </xf>
    <xf numFmtId="167" fontId="5" fillId="0" borderId="1" xfId="14" applyNumberFormat="1" applyFont="1" applyBorder="1"/>
    <xf numFmtId="0" fontId="5" fillId="11" borderId="1" xfId="14" applyFont="1" applyFill="1" applyBorder="1" applyAlignment="1">
      <alignment horizontal="left"/>
    </xf>
    <xf numFmtId="167" fontId="4" fillId="11" borderId="1" xfId="14" applyNumberFormat="1" applyFont="1" applyFill="1" applyBorder="1"/>
    <xf numFmtId="0" fontId="5" fillId="6" borderId="41" xfId="14" applyFont="1" applyFill="1" applyBorder="1" applyAlignment="1">
      <alignment horizontal="center" vertical="center"/>
    </xf>
    <xf numFmtId="169" fontId="17" fillId="6" borderId="1" xfId="14" applyNumberFormat="1" applyFont="1" applyFill="1" applyBorder="1" applyAlignment="1">
      <alignment horizontal="center" vertical="center"/>
    </xf>
    <xf numFmtId="169" fontId="16" fillId="6" borderId="1" xfId="16" applyNumberFormat="1" applyFont="1" applyFill="1" applyBorder="1" applyAlignment="1">
      <alignment horizontal="center" vertical="center"/>
    </xf>
    <xf numFmtId="169" fontId="4" fillId="6" borderId="1" xfId="16" applyNumberFormat="1" applyFont="1" applyFill="1" applyBorder="1" applyAlignment="1">
      <alignment horizontal="center" vertical="center"/>
    </xf>
    <xf numFmtId="0" fontId="5" fillId="6" borderId="1" xfId="14" applyFont="1" applyFill="1" applyBorder="1" applyAlignment="1">
      <alignment horizontal="center" vertical="center"/>
    </xf>
    <xf numFmtId="169" fontId="5" fillId="6" borderId="1" xfId="16" applyNumberFormat="1" applyFont="1" applyFill="1" applyBorder="1" applyAlignment="1">
      <alignment horizontal="center" vertical="center"/>
    </xf>
    <xf numFmtId="169" fontId="4" fillId="6" borderId="5" xfId="16" applyNumberFormat="1" applyFont="1" applyFill="1" applyBorder="1" applyAlignment="1">
      <alignment horizontal="center" vertical="center"/>
    </xf>
    <xf numFmtId="10" fontId="62" fillId="6" borderId="3" xfId="13" applyNumberFormat="1" applyFont="1" applyFill="1" applyBorder="1" applyAlignment="1">
      <alignment horizontal="center"/>
    </xf>
    <xf numFmtId="166" fontId="16" fillId="0" borderId="1" xfId="14" applyNumberFormat="1" applyFont="1" applyBorder="1" applyAlignment="1">
      <alignment vertical="center"/>
    </xf>
    <xf numFmtId="166" fontId="5" fillId="0" borderId="1" xfId="14" applyNumberFormat="1" applyFont="1" applyBorder="1"/>
    <xf numFmtId="166" fontId="4" fillId="0" borderId="0" xfId="14" applyNumberFormat="1" applyFont="1"/>
    <xf numFmtId="166" fontId="3" fillId="0" borderId="0" xfId="14" applyNumberFormat="1" applyFont="1" applyAlignment="1">
      <alignment horizontal="center" vertical="center"/>
    </xf>
    <xf numFmtId="166" fontId="5" fillId="5" borderId="1" xfId="0" applyNumberFormat="1" applyFont="1" applyFill="1" applyBorder="1" applyAlignment="1">
      <alignment horizontal="center"/>
    </xf>
    <xf numFmtId="0" fontId="14" fillId="0" borderId="1" xfId="0" applyFont="1" applyBorder="1" applyAlignment="1">
      <alignment horizontal="left"/>
    </xf>
    <xf numFmtId="0" fontId="14" fillId="0" borderId="1" xfId="0" applyFont="1" applyBorder="1" applyAlignment="1">
      <alignment horizontal="left" vertical="center"/>
    </xf>
    <xf numFmtId="0" fontId="49" fillId="2" borderId="1" xfId="0" applyFont="1" applyFill="1" applyBorder="1"/>
    <xf numFmtId="0" fontId="1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7" fillId="7" borderId="1" xfId="0" applyFont="1" applyFill="1" applyBorder="1" applyAlignment="1">
      <alignment horizontal="left" vertical="center"/>
    </xf>
    <xf numFmtId="0" fontId="7" fillId="6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left"/>
    </xf>
    <xf numFmtId="0" fontId="49" fillId="0" borderId="1" xfId="0" applyFont="1" applyBorder="1"/>
    <xf numFmtId="0" fontId="30" fillId="0" borderId="0" xfId="0" applyFont="1"/>
    <xf numFmtId="0" fontId="4" fillId="21" borderId="1" xfId="0" applyFont="1" applyFill="1" applyBorder="1" applyAlignment="1">
      <alignment horizontal="center"/>
    </xf>
    <xf numFmtId="10" fontId="4" fillId="0" borderId="1" xfId="0" applyNumberFormat="1" applyFont="1" applyBorder="1"/>
    <xf numFmtId="0" fontId="14" fillId="0" borderId="8" xfId="0" applyFont="1" applyBorder="1"/>
    <xf numFmtId="170" fontId="4" fillId="0" borderId="1" xfId="0" applyNumberFormat="1" applyFont="1" applyBorder="1" applyAlignment="1">
      <alignment horizontal="center"/>
    </xf>
    <xf numFmtId="170" fontId="14" fillId="0" borderId="2" xfId="0" applyNumberFormat="1" applyFont="1" applyBorder="1" applyAlignment="1">
      <alignment horizontal="center"/>
    </xf>
    <xf numFmtId="170" fontId="14" fillId="0" borderId="4" xfId="0" applyNumberFormat="1" applyFont="1" applyBorder="1" applyAlignment="1">
      <alignment horizontal="center"/>
    </xf>
    <xf numFmtId="170" fontId="4" fillId="5" borderId="1" xfId="0" applyNumberFormat="1" applyFont="1" applyFill="1" applyBorder="1" applyAlignment="1">
      <alignment horizontal="center"/>
    </xf>
    <xf numFmtId="167" fontId="19" fillId="0" borderId="1" xfId="0" applyNumberFormat="1" applyFont="1" applyBorder="1"/>
    <xf numFmtId="0" fontId="13" fillId="0" borderId="1" xfId="1" applyFont="1" applyBorder="1" applyAlignment="1">
      <alignment horizontal="left" vertical="center"/>
    </xf>
    <xf numFmtId="167" fontId="13" fillId="0" borderId="1" xfId="1" applyNumberFormat="1" applyFont="1" applyBorder="1" applyAlignment="1">
      <alignment vertical="center"/>
    </xf>
    <xf numFmtId="167" fontId="13" fillId="0" borderId="1" xfId="0" applyNumberFormat="1" applyFont="1" applyBorder="1" applyAlignment="1">
      <alignment horizontal="right" vertical="center"/>
    </xf>
    <xf numFmtId="0" fontId="14" fillId="11" borderId="129" xfId="0" applyFont="1" applyFill="1" applyBorder="1"/>
    <xf numFmtId="0" fontId="14" fillId="11" borderId="130" xfId="0" applyFont="1" applyFill="1" applyBorder="1"/>
    <xf numFmtId="0" fontId="14" fillId="11" borderId="131" xfId="0" applyFont="1" applyFill="1" applyBorder="1"/>
    <xf numFmtId="167" fontId="4" fillId="0" borderId="0" xfId="0" applyNumberFormat="1" applyFont="1"/>
    <xf numFmtId="167" fontId="14" fillId="11" borderId="129" xfId="0" applyNumberFormat="1" applyFont="1" applyFill="1" applyBorder="1"/>
    <xf numFmtId="167" fontId="14" fillId="11" borderId="2" xfId="0" applyNumberFormat="1" applyFont="1" applyFill="1" applyBorder="1"/>
    <xf numFmtId="167" fontId="14" fillId="11" borderId="130" xfId="0" applyNumberFormat="1" applyFont="1" applyFill="1" applyBorder="1"/>
    <xf numFmtId="167" fontId="14" fillId="11" borderId="3" xfId="0" applyNumberFormat="1" applyFont="1" applyFill="1" applyBorder="1"/>
    <xf numFmtId="167" fontId="14" fillId="11" borderId="131" xfId="0" applyNumberFormat="1" applyFont="1" applyFill="1" applyBorder="1"/>
    <xf numFmtId="167" fontId="14" fillId="11" borderId="4" xfId="0" applyNumberFormat="1" applyFont="1" applyFill="1" applyBorder="1"/>
    <xf numFmtId="167" fontId="7" fillId="0" borderId="0" xfId="0" applyNumberFormat="1" applyFont="1"/>
    <xf numFmtId="0" fontId="5" fillId="11" borderId="1" xfId="0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14" fillId="11" borderId="3" xfId="1" applyFont="1" applyFill="1" applyBorder="1" applyAlignment="1">
      <alignment vertical="center"/>
    </xf>
    <xf numFmtId="0" fontId="14" fillId="11" borderId="4" xfId="1" applyFont="1" applyFill="1" applyBorder="1" applyAlignment="1">
      <alignment vertical="center"/>
    </xf>
    <xf numFmtId="166" fontId="4" fillId="11" borderId="4" xfId="2" applyNumberFormat="1" applyFont="1" applyFill="1" applyBorder="1" applyAlignment="1">
      <alignment vertical="center"/>
    </xf>
    <xf numFmtId="166" fontId="4" fillId="0" borderId="6" xfId="2" applyNumberFormat="1" applyFont="1" applyFill="1" applyBorder="1" applyAlignment="1">
      <alignment horizontal="right" vertical="center"/>
    </xf>
    <xf numFmtId="0" fontId="14" fillId="0" borderId="3" xfId="1" applyFont="1" applyBorder="1" applyAlignment="1">
      <alignment vertical="center"/>
    </xf>
    <xf numFmtId="0" fontId="7" fillId="5" borderId="1" xfId="0" applyFont="1" applyFill="1" applyBorder="1" applyAlignment="1">
      <alignment horizontal="left"/>
    </xf>
    <xf numFmtId="0" fontId="14" fillId="6" borderId="1" xfId="0" applyFont="1" applyFill="1" applyBorder="1" applyAlignment="1">
      <alignment horizontal="center"/>
    </xf>
    <xf numFmtId="10" fontId="17" fillId="20" borderId="1" xfId="17" applyNumberFormat="1" applyFont="1" applyFill="1" applyBorder="1" applyAlignment="1">
      <alignment horizontal="center" vertical="center"/>
    </xf>
    <xf numFmtId="170" fontId="3" fillId="14" borderId="83" xfId="13" applyNumberFormat="1" applyFont="1" applyFill="1" applyBorder="1" applyAlignment="1" applyProtection="1">
      <alignment horizontal="center" vertical="center"/>
    </xf>
    <xf numFmtId="170" fontId="3" fillId="14" borderId="60" xfId="13" applyNumberFormat="1" applyFont="1" applyFill="1" applyBorder="1" applyAlignment="1" applyProtection="1">
      <alignment horizontal="center" vertical="center"/>
    </xf>
    <xf numFmtId="170" fontId="3" fillId="14" borderId="69" xfId="13" applyNumberFormat="1" applyFont="1" applyFill="1" applyBorder="1" applyAlignment="1" applyProtection="1">
      <alignment horizontal="center" vertical="center"/>
    </xf>
    <xf numFmtId="169" fontId="17" fillId="7" borderId="60" xfId="12" applyNumberFormat="1" applyFont="1" applyFill="1" applyBorder="1" applyAlignment="1" applyProtection="1">
      <alignment horizontal="center" vertical="center"/>
    </xf>
    <xf numFmtId="169" fontId="17" fillId="7" borderId="83" xfId="12" applyNumberFormat="1" applyFont="1" applyFill="1" applyBorder="1" applyAlignment="1" applyProtection="1">
      <alignment horizontal="center" vertical="center"/>
    </xf>
    <xf numFmtId="169" fontId="3" fillId="14" borderId="82" xfId="12" applyNumberFormat="1" applyFont="1" applyFill="1" applyBorder="1" applyAlignment="1" applyProtection="1">
      <alignment horizontal="center" vertical="center"/>
    </xf>
    <xf numFmtId="0" fontId="19" fillId="10" borderId="13" xfId="0" applyFont="1" applyFill="1" applyBorder="1" applyAlignment="1">
      <alignment horizontal="center" vertical="center" wrapText="1"/>
    </xf>
    <xf numFmtId="166" fontId="14" fillId="7" borderId="16" xfId="0" applyNumberFormat="1" applyFont="1" applyFill="1" applyBorder="1"/>
    <xf numFmtId="0" fontId="4" fillId="6" borderId="17" xfId="0" applyFont="1" applyFill="1" applyBorder="1"/>
    <xf numFmtId="166" fontId="14" fillId="7" borderId="22" xfId="0" applyNumberFormat="1" applyFont="1" applyFill="1" applyBorder="1"/>
    <xf numFmtId="166" fontId="14" fillId="7" borderId="24" xfId="0" applyNumberFormat="1" applyFont="1" applyFill="1" applyBorder="1"/>
    <xf numFmtId="166" fontId="14" fillId="7" borderId="17" xfId="0" applyNumberFormat="1" applyFont="1" applyFill="1" applyBorder="1"/>
    <xf numFmtId="0" fontId="14" fillId="7" borderId="24" xfId="0" applyFont="1" applyFill="1" applyBorder="1"/>
    <xf numFmtId="0" fontId="4" fillId="6" borderId="16" xfId="0" applyFont="1" applyFill="1" applyBorder="1"/>
    <xf numFmtId="166" fontId="14" fillId="7" borderId="13" xfId="0" applyNumberFormat="1" applyFont="1" applyFill="1" applyBorder="1"/>
    <xf numFmtId="166" fontId="14" fillId="7" borderId="23" xfId="0" applyNumberFormat="1" applyFont="1" applyFill="1" applyBorder="1"/>
    <xf numFmtId="166" fontId="14" fillId="7" borderId="96" xfId="0" applyNumberFormat="1" applyFont="1" applyFill="1" applyBorder="1"/>
    <xf numFmtId="166" fontId="14" fillId="7" borderId="9" xfId="0" applyNumberFormat="1" applyFont="1" applyFill="1" applyBorder="1"/>
    <xf numFmtId="166" fontId="14" fillId="7" borderId="13" xfId="0" applyNumberFormat="1" applyFont="1" applyFill="1" applyBorder="1" applyAlignment="1">
      <alignment vertical="center"/>
    </xf>
    <xf numFmtId="169" fontId="17" fillId="6" borderId="1" xfId="16" applyNumberFormat="1" applyFont="1" applyFill="1" applyBorder="1" applyAlignment="1">
      <alignment horizontal="center" vertical="center"/>
    </xf>
    <xf numFmtId="166" fontId="13" fillId="0" borderId="2" xfId="1" applyNumberFormat="1" applyFont="1" applyBorder="1" applyAlignment="1">
      <alignment vertical="center"/>
    </xf>
    <xf numFmtId="166" fontId="13" fillId="0" borderId="4" xfId="1" applyNumberFormat="1" applyFont="1" applyBorder="1" applyAlignment="1">
      <alignment vertical="center"/>
    </xf>
    <xf numFmtId="166" fontId="4" fillId="0" borderId="0" xfId="1" applyNumberFormat="1" applyFont="1" applyAlignment="1">
      <alignment horizontal="center"/>
    </xf>
    <xf numFmtId="166" fontId="5" fillId="0" borderId="0" xfId="1" applyNumberFormat="1" applyFont="1" applyAlignment="1">
      <alignment horizontal="right"/>
    </xf>
    <xf numFmtId="0" fontId="50" fillId="0" borderId="0" xfId="0" applyFont="1" applyAlignment="1">
      <alignment horizontal="center"/>
    </xf>
    <xf numFmtId="0" fontId="50" fillId="0" borderId="0" xfId="1" applyFont="1"/>
    <xf numFmtId="0" fontId="50" fillId="0" borderId="0" xfId="0" applyFont="1" applyAlignment="1">
      <alignment horizontal="center" vertical="center" wrapText="1"/>
    </xf>
    <xf numFmtId="166" fontId="14" fillId="11" borderId="4" xfId="0" applyNumberFormat="1" applyFont="1" applyFill="1" applyBorder="1" applyAlignment="1">
      <alignment horizontal="right"/>
    </xf>
    <xf numFmtId="0" fontId="19" fillId="20" borderId="13" xfId="0" applyFont="1" applyFill="1" applyBorder="1" applyAlignment="1">
      <alignment horizontal="center" vertical="center" wrapText="1"/>
    </xf>
    <xf numFmtId="166" fontId="3" fillId="5" borderId="27" xfId="12" applyNumberFormat="1" applyFont="1" applyFill="1" applyBorder="1" applyAlignment="1" applyProtection="1">
      <alignment horizontal="right" vertical="center"/>
    </xf>
    <xf numFmtId="166" fontId="17" fillId="20" borderId="27" xfId="12" applyNumberFormat="1" applyFont="1" applyFill="1" applyBorder="1" applyAlignment="1" applyProtection="1">
      <alignment horizontal="right" vertical="center"/>
    </xf>
    <xf numFmtId="10" fontId="50" fillId="0" borderId="92" xfId="13" applyNumberFormat="1" applyFont="1" applyFill="1" applyBorder="1" applyAlignment="1">
      <alignment horizontal="center"/>
    </xf>
    <xf numFmtId="166" fontId="16" fillId="21" borderId="2" xfId="1" applyNumberFormat="1" applyFont="1" applyFill="1" applyBorder="1" applyAlignment="1">
      <alignment vertical="center"/>
    </xf>
    <xf numFmtId="166" fontId="16" fillId="21" borderId="4" xfId="1" applyNumberFormat="1" applyFont="1" applyFill="1" applyBorder="1" applyAlignment="1">
      <alignment vertical="center"/>
    </xf>
    <xf numFmtId="166" fontId="14" fillId="7" borderId="1" xfId="0" applyNumberFormat="1" applyFont="1" applyFill="1" applyBorder="1"/>
    <xf numFmtId="169" fontId="4" fillId="7" borderId="0" xfId="0" applyNumberFormat="1" applyFont="1" applyFill="1"/>
    <xf numFmtId="166" fontId="4" fillId="7" borderId="0" xfId="0" applyNumberFormat="1" applyFont="1" applyFill="1"/>
    <xf numFmtId="167" fontId="19" fillId="20" borderId="1" xfId="0" applyNumberFormat="1" applyFont="1" applyFill="1" applyBorder="1"/>
    <xf numFmtId="0" fontId="5" fillId="20" borderId="1" xfId="0" applyFont="1" applyFill="1" applyBorder="1"/>
    <xf numFmtId="10" fontId="4" fillId="0" borderId="0" xfId="13" applyNumberFormat="1" applyFont="1" applyAlignment="1">
      <alignment horizontal="center"/>
    </xf>
    <xf numFmtId="167" fontId="4" fillId="0" borderId="1" xfId="0" applyNumberFormat="1" applyFont="1" applyBorder="1"/>
    <xf numFmtId="10" fontId="5" fillId="0" borderId="1" xfId="13" applyNumberFormat="1" applyFont="1" applyBorder="1" applyAlignment="1">
      <alignment horizontal="center"/>
    </xf>
    <xf numFmtId="0" fontId="6" fillId="12" borderId="45" xfId="0" applyFont="1" applyFill="1" applyBorder="1" applyAlignment="1">
      <alignment horizontal="center"/>
    </xf>
    <xf numFmtId="0" fontId="6" fillId="12" borderId="46" xfId="0" applyFont="1" applyFill="1" applyBorder="1" applyAlignment="1">
      <alignment horizontal="center"/>
    </xf>
    <xf numFmtId="0" fontId="6" fillId="12" borderId="47" xfId="0" applyFont="1" applyFill="1" applyBorder="1" applyAlignment="1">
      <alignment horizontal="center"/>
    </xf>
    <xf numFmtId="0" fontId="36" fillId="12" borderId="48" xfId="0" applyFont="1" applyFill="1" applyBorder="1" applyAlignment="1">
      <alignment horizontal="center" vertical="center" wrapText="1"/>
    </xf>
    <xf numFmtId="0" fontId="36" fillId="12" borderId="14" xfId="0" applyFont="1" applyFill="1" applyBorder="1" applyAlignment="1">
      <alignment horizontal="center" vertical="center" wrapText="1"/>
    </xf>
    <xf numFmtId="0" fontId="36" fillId="12" borderId="49" xfId="0" applyFont="1" applyFill="1" applyBorder="1" applyAlignment="1">
      <alignment horizontal="center" vertical="center" wrapText="1"/>
    </xf>
    <xf numFmtId="0" fontId="36" fillId="11" borderId="48" xfId="0" applyFont="1" applyFill="1" applyBorder="1" applyAlignment="1">
      <alignment horizontal="center" vertical="center" wrapText="1"/>
    </xf>
    <xf numFmtId="0" fontId="36" fillId="11" borderId="14" xfId="0" applyFont="1" applyFill="1" applyBorder="1" applyAlignment="1">
      <alignment horizontal="center" vertical="center" wrapText="1"/>
    </xf>
    <xf numFmtId="0" fontId="36" fillId="11" borderId="49" xfId="0" applyFont="1" applyFill="1" applyBorder="1" applyAlignment="1">
      <alignment horizontal="center" vertical="center" wrapText="1"/>
    </xf>
    <xf numFmtId="0" fontId="50" fillId="0" borderId="1" xfId="0" applyFont="1" applyBorder="1" applyAlignment="1">
      <alignment horizontal="center" vertical="center" wrapText="1"/>
    </xf>
    <xf numFmtId="0" fontId="50" fillId="0" borderId="1" xfId="0" applyFont="1" applyBorder="1" applyAlignment="1">
      <alignment horizontal="center" vertical="center"/>
    </xf>
    <xf numFmtId="167" fontId="18" fillId="2" borderId="1" xfId="5" applyNumberFormat="1" applyFont="1" applyFill="1" applyBorder="1" applyAlignment="1">
      <alignment horizontal="center"/>
    </xf>
    <xf numFmtId="0" fontId="50" fillId="11" borderId="1" xfId="0" applyFont="1" applyFill="1" applyBorder="1" applyAlignment="1">
      <alignment horizontal="center"/>
    </xf>
    <xf numFmtId="0" fontId="17" fillId="22" borderId="1" xfId="0" applyFont="1" applyFill="1" applyBorder="1" applyAlignment="1">
      <alignment horizontal="center" vertical="center" wrapText="1"/>
    </xf>
    <xf numFmtId="0" fontId="17" fillId="22" borderId="1" xfId="0" applyFont="1" applyFill="1" applyBorder="1" applyAlignment="1">
      <alignment horizontal="center" vertical="center"/>
    </xf>
    <xf numFmtId="0" fontId="17" fillId="20" borderId="1" xfId="0" applyFont="1" applyFill="1" applyBorder="1" applyAlignment="1">
      <alignment horizontal="center" vertical="center" wrapText="1"/>
    </xf>
    <xf numFmtId="0" fontId="17" fillId="20" borderId="1" xfId="0" applyFont="1" applyFill="1" applyBorder="1" applyAlignment="1">
      <alignment horizontal="center" vertical="center"/>
    </xf>
    <xf numFmtId="0" fontId="22" fillId="2" borderId="1" xfId="14" applyFont="1" applyFill="1" applyBorder="1" applyAlignment="1">
      <alignment horizontal="center" vertical="center"/>
    </xf>
    <xf numFmtId="0" fontId="9" fillId="5" borderId="37" xfId="14" applyFont="1" applyFill="1" applyBorder="1" applyAlignment="1">
      <alignment horizontal="center" vertical="center" wrapText="1"/>
    </xf>
    <xf numFmtId="0" fontId="9" fillId="5" borderId="87" xfId="14" applyFont="1" applyFill="1" applyBorder="1" applyAlignment="1">
      <alignment horizontal="center" vertical="center" wrapText="1"/>
    </xf>
    <xf numFmtId="0" fontId="9" fillId="5" borderId="10" xfId="14" applyFont="1" applyFill="1" applyBorder="1" applyAlignment="1">
      <alignment horizontal="center" vertical="center" wrapText="1"/>
    </xf>
    <xf numFmtId="0" fontId="9" fillId="5" borderId="88" xfId="14" applyFont="1" applyFill="1" applyBorder="1" applyAlignment="1">
      <alignment horizontal="center" vertical="center" wrapText="1"/>
    </xf>
    <xf numFmtId="0" fontId="9" fillId="5" borderId="36" xfId="14" applyFont="1" applyFill="1" applyBorder="1" applyAlignment="1">
      <alignment horizontal="center" vertical="center" wrapText="1"/>
    </xf>
    <xf numFmtId="0" fontId="9" fillId="5" borderId="86" xfId="14" applyFont="1" applyFill="1" applyBorder="1" applyAlignment="1">
      <alignment horizontal="center" vertical="center" wrapText="1"/>
    </xf>
    <xf numFmtId="0" fontId="30" fillId="2" borderId="10" xfId="14" applyFont="1" applyFill="1" applyBorder="1" applyAlignment="1">
      <alignment horizontal="center"/>
    </xf>
    <xf numFmtId="0" fontId="30" fillId="2" borderId="0" xfId="14" applyFont="1" applyFill="1" applyAlignment="1">
      <alignment horizontal="center"/>
    </xf>
    <xf numFmtId="0" fontId="30" fillId="2" borderId="1" xfId="14" applyFont="1" applyFill="1" applyBorder="1" applyAlignment="1">
      <alignment horizontal="center" vertical="center" wrapText="1"/>
    </xf>
    <xf numFmtId="0" fontId="22" fillId="21" borderId="1" xfId="14" applyFont="1" applyFill="1" applyBorder="1" applyAlignment="1">
      <alignment horizontal="center" vertical="center"/>
    </xf>
    <xf numFmtId="0" fontId="30" fillId="21" borderId="1" xfId="14" applyFont="1" applyFill="1" applyBorder="1" applyAlignment="1">
      <alignment horizontal="center" vertical="center" wrapText="1"/>
    </xf>
    <xf numFmtId="0" fontId="30" fillId="21" borderId="10" xfId="14" applyFont="1" applyFill="1" applyBorder="1" applyAlignment="1">
      <alignment horizontal="center"/>
    </xf>
    <xf numFmtId="0" fontId="30" fillId="21" borderId="0" xfId="14" applyFont="1" applyFill="1" applyAlignment="1">
      <alignment horizontal="center"/>
    </xf>
    <xf numFmtId="0" fontId="3" fillId="2" borderId="1" xfId="14" applyFont="1" applyFill="1" applyBorder="1" applyAlignment="1">
      <alignment horizontal="center" vertical="center" wrapText="1"/>
    </xf>
    <xf numFmtId="0" fontId="30" fillId="21" borderId="1" xfId="14" applyFont="1" applyFill="1" applyBorder="1" applyAlignment="1">
      <alignment horizontal="center"/>
    </xf>
    <xf numFmtId="0" fontId="3" fillId="21" borderId="1" xfId="14" applyFont="1" applyFill="1" applyBorder="1" applyAlignment="1">
      <alignment horizontal="center" vertical="center" wrapText="1"/>
    </xf>
  </cellXfs>
  <cellStyles count="48">
    <cellStyle name="Euro" xfId="19" xr:uid="{38061C7B-AC65-45AA-86E0-05D3E3EADEEC}"/>
    <cellStyle name="Euro 2" xfId="20" xr:uid="{5C53AB1F-BD14-4F85-B8C4-234AAD9A7122}"/>
    <cellStyle name="Euro 3" xfId="40" xr:uid="{38F6115B-DDAB-41FB-B543-5E66CF0C8DFB}"/>
    <cellStyle name="Migliaia" xfId="12" builtinId="3"/>
    <cellStyle name="Migliaia 2" xfId="2" xr:uid="{54C6BE3F-B06D-47DC-9E78-057BBF9A323D}"/>
    <cellStyle name="Migliaia 2 2" xfId="10" xr:uid="{1DAA054D-FE9B-4308-96A1-169EB9073EBC}"/>
    <cellStyle name="Migliaia 2 2 2" xfId="23" xr:uid="{B60680F9-D77A-4822-8AC2-B89385557AA0}"/>
    <cellStyle name="Migliaia 2 2 3" xfId="45" xr:uid="{EC6D20AD-BC37-481C-BF36-0EE12A24DD7B}"/>
    <cellStyle name="Migliaia 2 3" xfId="22" xr:uid="{0FEB57D3-82AE-40A7-85AE-1AD8157AA103}"/>
    <cellStyle name="Migliaia 2 3 2" xfId="47" xr:uid="{9FE69D59-D97E-41F5-ABE5-2A108D67913D}"/>
    <cellStyle name="Migliaia 3" xfId="8" xr:uid="{6548E5C9-9C1E-4AD1-A5F0-1CA75CFD2147}"/>
    <cellStyle name="Migliaia 3 2" xfId="25" xr:uid="{86CC0CA6-07D8-4C0B-999A-58D4C5D20E68}"/>
    <cellStyle name="Migliaia 3 3" xfId="24" xr:uid="{9AE8750C-F4AF-44B8-A779-7CB6E2076DDE}"/>
    <cellStyle name="Migliaia 3 4" xfId="43" xr:uid="{A17519D5-E2B8-47C7-8764-79E3DF003875}"/>
    <cellStyle name="Migliaia 3 5" xfId="44" xr:uid="{6C2DC18D-C5F3-4984-B516-147111E0B88F}"/>
    <cellStyle name="Migliaia 4" xfId="26" xr:uid="{193BEA11-0A1F-4367-9B73-FF881E8626AB}"/>
    <cellStyle name="Migliaia 4 2" xfId="46" xr:uid="{C62951D9-E711-4B06-8D1C-D5A8078D915B}"/>
    <cellStyle name="Migliaia 5" xfId="27" xr:uid="{4D06AAD5-DE1B-4BBB-A868-B809E68FEF44}"/>
    <cellStyle name="Migliaia 6" xfId="36" xr:uid="{898808F7-606C-4FA6-9C19-72032C5CF2E5}"/>
    <cellStyle name="Migliaia 7" xfId="39" xr:uid="{455663FD-7287-4BAB-B361-2FBCA85BF647}"/>
    <cellStyle name="Migliaia 7 2 2" xfId="16" xr:uid="{7E76E872-58DD-493E-890C-FFADF2FC6BBF}"/>
    <cellStyle name="Migliaia 8" xfId="21" xr:uid="{8E192352-176C-4772-9FD7-04D14C9739C1}"/>
    <cellStyle name="Migliaia 9" xfId="42" xr:uid="{7C63D62F-1DF1-45C6-A8A5-EF782630DD98}"/>
    <cellStyle name="Normale" xfId="0" builtinId="0"/>
    <cellStyle name="Normale 17 2" xfId="9" xr:uid="{C2D501E3-1E80-40F1-A583-0FB82856FAFC}"/>
    <cellStyle name="Normale 2" xfId="4" xr:uid="{46FEF2AB-B5EB-47EE-8FD7-B0BE090871E3}"/>
    <cellStyle name="Normale 2 2" xfId="28" xr:uid="{E85DC38B-23EE-4EF9-AF86-4848731A40F2}"/>
    <cellStyle name="Normale 2 2 2" xfId="5" xr:uid="{A344017E-2925-445C-AAF9-225F391404D9}"/>
    <cellStyle name="Normale 2 3" xfId="15" xr:uid="{D65C2B95-161D-496F-B6FD-7E375DDFE321}"/>
    <cellStyle name="Normale 3" xfId="7" xr:uid="{A67F22E1-8F6E-409B-B288-FB7CA5DDED53}"/>
    <cellStyle name="Normale 3 2" xfId="29" xr:uid="{DDBE3EEC-E822-4002-8608-A4831753DFA9}"/>
    <cellStyle name="Normale 4" xfId="30" xr:uid="{36862921-0627-4232-9C45-BE7C36E0CDA1}"/>
    <cellStyle name="Normale 5" xfId="1" xr:uid="{D25D7D50-D48A-456C-B8FD-646F76F3DE61}"/>
    <cellStyle name="Normale 6" xfId="6" xr:uid="{C72C3039-9B3F-41D1-97C1-AFDB9A49275D}"/>
    <cellStyle name="Normale 6 2 2" xfId="14" xr:uid="{5FB0D6C5-284D-4EAD-8EB0-12493C756419}"/>
    <cellStyle name="Normale 7" xfId="11" xr:uid="{41236F64-E143-490C-9622-B4185E5456DE}"/>
    <cellStyle name="Normale 8" xfId="18" xr:uid="{3ED73065-47E1-4B64-958E-C95F786463FF}"/>
    <cellStyle name="Percentuale" xfId="13" builtinId="5"/>
    <cellStyle name="Percentuale 2" xfId="3" xr:uid="{0F2C4180-9E92-4265-BCA8-ED1FECBBC218}"/>
    <cellStyle name="Percentuale 2 2" xfId="31" xr:uid="{A1FCCE92-EDED-40A7-A1CA-C1628920DCBA}"/>
    <cellStyle name="Percentuale 3" xfId="32" xr:uid="{DC633B55-B373-4AEA-9407-D186183A64CF}"/>
    <cellStyle name="Percentuale 4" xfId="33" xr:uid="{7F654F1A-275F-4A36-89E2-AFFEA62CEBF1}"/>
    <cellStyle name="Percentuale 5" xfId="35" xr:uid="{BF203EB8-B582-4B30-ABB5-BAA4A087CB0D}"/>
    <cellStyle name="Percentuale 6" xfId="37" xr:uid="{C01897DD-1E0A-4442-ADB1-D5D6721AC93F}"/>
    <cellStyle name="Percentuale 7 2 2" xfId="17" xr:uid="{3A4A938D-8FB0-4DC7-AC76-67D3ACA0EABA}"/>
    <cellStyle name="Valuta 2" xfId="34" xr:uid="{16FA91D0-D47A-4D6E-A30D-49B5CD5BACB4}"/>
    <cellStyle name="Valuta 3" xfId="38" xr:uid="{E604D322-71E4-4438-A452-C1ED920871F9}"/>
    <cellStyle name="Valuta 4" xfId="41" xr:uid="{13957E9C-B2FB-40CB-89D3-D09052B7979E}"/>
  </cellStyles>
  <dxfs count="124">
    <dxf>
      <fill>
        <patternFill patternType="lightTrellis"/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FF0000"/>
      </font>
      <fill>
        <patternFill>
          <bgColor theme="6" tint="0.79998168889431442"/>
        </patternFill>
      </fill>
    </dxf>
    <dxf>
      <font>
        <b/>
        <i val="0"/>
        <color rgb="FFFF0000"/>
      </font>
      <fill>
        <patternFill>
          <bgColor theme="6" tint="0.79998168889431442"/>
        </patternFill>
      </fill>
    </dxf>
    <dxf>
      <font>
        <b/>
        <i val="0"/>
        <color rgb="FFFF0000"/>
      </font>
      <fill>
        <patternFill>
          <bgColor theme="6" tint="0.79998168889431442"/>
        </patternFill>
      </fill>
    </dxf>
    <dxf>
      <font>
        <b/>
        <i val="0"/>
        <color rgb="FFFF0000"/>
      </font>
      <fill>
        <patternFill>
          <bgColor theme="6" tint="0.79998168889431442"/>
        </patternFill>
      </fill>
    </dxf>
    <dxf>
      <font>
        <b/>
        <i val="0"/>
        <color rgb="FFFF0000"/>
      </font>
      <fill>
        <patternFill>
          <bgColor theme="6" tint="0.79998168889431442"/>
        </patternFill>
      </fill>
    </dxf>
    <dxf>
      <font>
        <b/>
        <i val="0"/>
        <color rgb="FFFF0000"/>
      </font>
      <fill>
        <patternFill>
          <bgColor theme="6" tint="0.79998168889431442"/>
        </patternFill>
      </fill>
    </dxf>
    <dxf>
      <font>
        <b/>
        <i val="0"/>
        <color rgb="FFFF0000"/>
      </font>
      <fill>
        <patternFill>
          <bgColor theme="6" tint="0.79998168889431442"/>
        </patternFill>
      </fill>
    </dxf>
    <dxf>
      <font>
        <b/>
        <i val="0"/>
        <color rgb="FFFF0000"/>
      </font>
      <fill>
        <patternFill>
          <bgColor theme="6" tint="0.79998168889431442"/>
        </patternFill>
      </fill>
    </dxf>
    <dxf>
      <font>
        <b/>
        <i val="0"/>
        <color rgb="FFFF0000"/>
      </font>
      <fill>
        <patternFill>
          <bgColor theme="6" tint="0.79998168889431442"/>
        </patternFill>
      </fill>
    </dxf>
    <dxf>
      <font>
        <b/>
        <i val="0"/>
        <color rgb="FFFF0000"/>
      </font>
      <fill>
        <patternFill>
          <bgColor theme="6" tint="0.79998168889431442"/>
        </patternFill>
      </fill>
    </dxf>
    <dxf>
      <font>
        <b/>
        <i val="0"/>
        <color rgb="FFFF0000"/>
      </font>
      <fill>
        <patternFill>
          <bgColor theme="6" tint="0.79998168889431442"/>
        </patternFill>
      </fill>
    </dxf>
    <dxf>
      <font>
        <b/>
        <i val="0"/>
        <color rgb="FFFF0000"/>
      </font>
      <fill>
        <patternFill>
          <bgColor theme="6" tint="0.79998168889431442"/>
        </patternFill>
      </fill>
    </dxf>
    <dxf>
      <font>
        <b/>
        <i val="0"/>
        <color rgb="FFFF0000"/>
      </font>
      <fill>
        <patternFill>
          <bgColor theme="6" tint="0.79998168889431442"/>
        </patternFill>
      </fill>
    </dxf>
    <dxf>
      <font>
        <b/>
        <i val="0"/>
        <color rgb="FFFF0000"/>
      </font>
      <fill>
        <patternFill>
          <bgColor theme="6" tint="0.79998168889431442"/>
        </patternFill>
      </fill>
    </dxf>
    <dxf>
      <font>
        <b/>
        <i val="0"/>
        <color rgb="FFFF0000"/>
      </font>
      <fill>
        <patternFill>
          <bgColor theme="6" tint="0.79998168889431442"/>
        </patternFill>
      </fill>
    </dxf>
    <dxf>
      <font>
        <b/>
        <i val="0"/>
        <color rgb="FFFF0000"/>
      </font>
      <fill>
        <patternFill>
          <bgColor theme="6" tint="0.79998168889431442"/>
        </patternFill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mediumGray">
          <bgColor theme="0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mediumGray">
          <bgColor theme="0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mediumGray">
          <bgColor theme="0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mediumGray">
          <bgColor theme="0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00B05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49998474074526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theme="0" tint="-0.49998474074526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lightTrellis">
          <bgColor auto="1"/>
        </patternFill>
      </fill>
    </dxf>
    <dxf>
      <fill>
        <patternFill patternType="lightTrellis"/>
      </fill>
    </dxf>
    <dxf>
      <fill>
        <patternFill patternType="lightTrellis">
          <bgColor auto="1"/>
        </patternFill>
      </fill>
    </dxf>
  </dxfs>
  <tableStyles count="0" defaultTableStyle="TableStyleMedium2" defaultPivotStyle="PivotStyleLight16"/>
  <colors>
    <mruColors>
      <color rgb="FFFFFFCC"/>
      <color rgb="FF0070C0"/>
      <color rgb="FF03DBB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sheetMetadata" Target="metadata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externalLink" Target="externalLinks/externalLink3.xml"/><Relationship Id="rId53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2.xml"/><Relationship Id="rId52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1.xml"/><Relationship Id="rId48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externalLink" Target="externalLinks/externalLink4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tiliteamco.sharepoint.com/sites/SHR/OLOBOX/02-Commesse/04-Aperte/C12748_Agesp_TIUCMTR-3PEFA/Di%20lavoro/Elaborazioni/AGESP_Import%20dati%20Comuni.xlsx" TargetMode="External"/><Relationship Id="rId1" Type="http://schemas.openxmlformats.org/officeDocument/2006/relationships/externalLinkPath" Target="AGESP_Import%20dati%20Comuni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tiliteamco.sharepoint.com/sites/SHR/OLOBOX/02-Commesse/04-Aperte/C12748_Agesp_TIUCMTR-3PEFA/Di%20lavoro/Elaborazioni/AGESP_Dati_MTR-3_2024.xlsx" TargetMode="External"/><Relationship Id="rId1" Type="http://schemas.openxmlformats.org/officeDocument/2006/relationships/externalLinkPath" Target="AGESP_Dati_MTR-3_2024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tiliteamco.sharepoint.com/sites/SHR/OLOBOX/02-Commesse/04-Aperte/C12748_Agesp_TIUCMTR-3PEFA/Di%20lavoro/Elaborazioni/AGESP_Dati_MTR-3_2025.xlsx" TargetMode="External"/><Relationship Id="rId1" Type="http://schemas.openxmlformats.org/officeDocument/2006/relationships/externalLinkPath" Target="AGESP_Dati_MTR-3_2025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tiliteamco.sharepoint.com/sites/SHR/OLOBOX/02-Commesse/04-Aperte/C12748_Agesp_TIUCMTR-3PEFA/Di%20lavoro/Elaborazioni/AGESP_Elaborazione%20CK_%20MTR-3.xlsx" TargetMode="External"/><Relationship Id="rId1" Type="http://schemas.openxmlformats.org/officeDocument/2006/relationships/externalLinkPath" Target="AGESP_Elaborazione%20CK_%20MTR-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mbiti"/>
      <sheetName val="DB_Comuni"/>
    </sheetNames>
    <sheetDataSet>
      <sheetData sheetId="0"/>
      <sheetData sheetId="1">
        <row r="2">
          <cell r="B2">
            <v>0</v>
          </cell>
          <cell r="C2">
            <v>0</v>
          </cell>
          <cell r="D2">
            <v>0</v>
          </cell>
        </row>
        <row r="3">
          <cell r="B3">
            <v>0</v>
          </cell>
          <cell r="C3">
            <v>0</v>
          </cell>
          <cell r="D3">
            <v>0</v>
          </cell>
        </row>
        <row r="4">
          <cell r="B4">
            <v>0</v>
          </cell>
          <cell r="C4">
            <v>0</v>
          </cell>
          <cell r="D4">
            <v>0</v>
          </cell>
        </row>
        <row r="5">
          <cell r="B5">
            <v>0</v>
          </cell>
          <cell r="C5">
            <v>0</v>
          </cell>
          <cell r="D5">
            <v>0</v>
          </cell>
        </row>
        <row r="6">
          <cell r="B6">
            <v>0</v>
          </cell>
          <cell r="C6">
            <v>0</v>
          </cell>
          <cell r="D6">
            <v>0</v>
          </cell>
        </row>
        <row r="7">
          <cell r="B7">
            <v>0</v>
          </cell>
          <cell r="C7">
            <v>0</v>
          </cell>
          <cell r="D7">
            <v>0</v>
          </cell>
        </row>
        <row r="8">
          <cell r="B8">
            <v>0</v>
          </cell>
          <cell r="C8">
            <v>0</v>
          </cell>
          <cell r="D8">
            <v>0</v>
          </cell>
        </row>
        <row r="9">
          <cell r="B9">
            <v>0</v>
          </cell>
          <cell r="C9">
            <v>0</v>
          </cell>
          <cell r="D9">
            <v>0</v>
          </cell>
        </row>
        <row r="10">
          <cell r="B10">
            <v>0</v>
          </cell>
          <cell r="C10">
            <v>0</v>
          </cell>
          <cell r="D10">
            <v>0</v>
          </cell>
        </row>
        <row r="11">
          <cell r="B11">
            <v>0</v>
          </cell>
          <cell r="C11">
            <v>0</v>
          </cell>
          <cell r="D11">
            <v>0</v>
          </cell>
        </row>
        <row r="12">
          <cell r="B12">
            <v>0</v>
          </cell>
          <cell r="C12">
            <v>0</v>
          </cell>
          <cell r="D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</row>
        <row r="23">
          <cell r="B23">
            <v>0</v>
          </cell>
          <cell r="C23">
            <v>0</v>
          </cell>
          <cell r="D23">
            <v>0</v>
          </cell>
        </row>
        <row r="24">
          <cell r="B24">
            <v>0</v>
          </cell>
          <cell r="C24">
            <v>0</v>
          </cell>
          <cell r="D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</row>
        <row r="33">
          <cell r="B33">
            <v>0</v>
          </cell>
          <cell r="C33">
            <v>0</v>
          </cell>
          <cell r="D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</row>
        <row r="36">
          <cell r="B36">
            <v>0</v>
          </cell>
          <cell r="C36">
            <v>0</v>
          </cell>
          <cell r="D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</row>
        <row r="39">
          <cell r="B39">
            <v>0</v>
          </cell>
          <cell r="C39">
            <v>0</v>
          </cell>
          <cell r="D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</row>
        <row r="47">
          <cell r="B47">
            <v>0</v>
          </cell>
          <cell r="C47">
            <v>0</v>
          </cell>
          <cell r="D47">
            <v>0</v>
          </cell>
        </row>
        <row r="48">
          <cell r="B48">
            <v>0</v>
          </cell>
          <cell r="C48">
            <v>0</v>
          </cell>
          <cell r="D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</row>
        <row r="59">
          <cell r="B59">
            <v>0</v>
          </cell>
          <cell r="C59">
            <v>0</v>
          </cell>
          <cell r="D59">
            <v>0</v>
          </cell>
        </row>
        <row r="60">
          <cell r="B60">
            <v>0</v>
          </cell>
          <cell r="C60">
            <v>0</v>
          </cell>
          <cell r="D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</row>
        <row r="71">
          <cell r="B71">
            <v>0</v>
          </cell>
          <cell r="C71">
            <v>0</v>
          </cell>
          <cell r="D71">
            <v>0</v>
          </cell>
        </row>
        <row r="72">
          <cell r="B72">
            <v>0</v>
          </cell>
          <cell r="C72">
            <v>0</v>
          </cell>
          <cell r="D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</row>
        <row r="83">
          <cell r="B83">
            <v>0</v>
          </cell>
          <cell r="C83">
            <v>0</v>
          </cell>
          <cell r="D83">
            <v>0</v>
          </cell>
        </row>
        <row r="84">
          <cell r="B84">
            <v>0</v>
          </cell>
          <cell r="C84">
            <v>0</v>
          </cell>
          <cell r="D84">
            <v>0</v>
          </cell>
        </row>
        <row r="85">
          <cell r="B85">
            <v>0</v>
          </cell>
          <cell r="C85">
            <v>0</v>
          </cell>
          <cell r="D85">
            <v>0</v>
          </cell>
        </row>
        <row r="86">
          <cell r="B86">
            <v>0</v>
          </cell>
          <cell r="C86">
            <v>0</v>
          </cell>
          <cell r="D86">
            <v>0</v>
          </cell>
        </row>
        <row r="87">
          <cell r="B87">
            <v>0</v>
          </cell>
          <cell r="C87">
            <v>0</v>
          </cell>
          <cell r="D87">
            <v>0</v>
          </cell>
        </row>
        <row r="88">
          <cell r="B88">
            <v>0</v>
          </cell>
          <cell r="C88">
            <v>0</v>
          </cell>
          <cell r="D88">
            <v>0</v>
          </cell>
        </row>
        <row r="89">
          <cell r="B89">
            <v>0</v>
          </cell>
          <cell r="C89">
            <v>0</v>
          </cell>
          <cell r="D89">
            <v>0</v>
          </cell>
        </row>
        <row r="90">
          <cell r="B90">
            <v>0</v>
          </cell>
          <cell r="C90">
            <v>0</v>
          </cell>
          <cell r="D90">
            <v>0</v>
          </cell>
        </row>
        <row r="91">
          <cell r="B91">
            <v>0</v>
          </cell>
          <cell r="C91">
            <v>0</v>
          </cell>
          <cell r="D91">
            <v>0</v>
          </cell>
        </row>
        <row r="92">
          <cell r="B92">
            <v>0</v>
          </cell>
          <cell r="C92">
            <v>0</v>
          </cell>
          <cell r="D92">
            <v>0</v>
          </cell>
        </row>
        <row r="93">
          <cell r="B93">
            <v>0</v>
          </cell>
          <cell r="C93">
            <v>0</v>
          </cell>
          <cell r="D93">
            <v>0</v>
          </cell>
        </row>
        <row r="94">
          <cell r="B94">
            <v>0</v>
          </cell>
          <cell r="C94">
            <v>0</v>
          </cell>
          <cell r="D94">
            <v>0</v>
          </cell>
        </row>
        <row r="95">
          <cell r="B95">
            <v>0</v>
          </cell>
          <cell r="C95">
            <v>0</v>
          </cell>
          <cell r="D95">
            <v>0</v>
          </cell>
        </row>
        <row r="96">
          <cell r="B96">
            <v>0</v>
          </cell>
          <cell r="C96">
            <v>0</v>
          </cell>
          <cell r="D96">
            <v>0</v>
          </cell>
        </row>
        <row r="97">
          <cell r="B97">
            <v>0</v>
          </cell>
          <cell r="C97">
            <v>0</v>
          </cell>
          <cell r="D97">
            <v>0</v>
          </cell>
        </row>
        <row r="98">
          <cell r="B98">
            <v>0</v>
          </cell>
          <cell r="C98">
            <v>0</v>
          </cell>
          <cell r="D98">
            <v>0</v>
          </cell>
        </row>
        <row r="99">
          <cell r="B99">
            <v>0</v>
          </cell>
          <cell r="C99">
            <v>0</v>
          </cell>
          <cell r="D99">
            <v>0</v>
          </cell>
        </row>
        <row r="100">
          <cell r="B100">
            <v>0</v>
          </cell>
          <cell r="C100">
            <v>0</v>
          </cell>
          <cell r="D100">
            <v>0</v>
          </cell>
        </row>
        <row r="101">
          <cell r="B101">
            <v>0</v>
          </cell>
          <cell r="C101">
            <v>0</v>
          </cell>
          <cell r="D101">
            <v>0</v>
          </cell>
        </row>
        <row r="102">
          <cell r="B102">
            <v>0</v>
          </cell>
          <cell r="C102">
            <v>0</v>
          </cell>
          <cell r="D102">
            <v>0</v>
          </cell>
        </row>
        <row r="103">
          <cell r="B103">
            <v>0</v>
          </cell>
          <cell r="C103">
            <v>0</v>
          </cell>
          <cell r="D103">
            <v>0</v>
          </cell>
        </row>
        <row r="104">
          <cell r="B104">
            <v>0</v>
          </cell>
          <cell r="C104">
            <v>0</v>
          </cell>
          <cell r="D104">
            <v>0</v>
          </cell>
        </row>
        <row r="105">
          <cell r="B105">
            <v>0</v>
          </cell>
          <cell r="C105">
            <v>0</v>
          </cell>
          <cell r="D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</row>
        <row r="107">
          <cell r="B107">
            <v>0</v>
          </cell>
          <cell r="C107">
            <v>0</v>
          </cell>
          <cell r="D107">
            <v>0</v>
          </cell>
        </row>
        <row r="108">
          <cell r="B108">
            <v>0</v>
          </cell>
          <cell r="C108">
            <v>0</v>
          </cell>
          <cell r="D108">
            <v>0</v>
          </cell>
        </row>
        <row r="109">
          <cell r="B109">
            <v>0</v>
          </cell>
          <cell r="C109">
            <v>0</v>
          </cell>
          <cell r="D109">
            <v>0</v>
          </cell>
        </row>
        <row r="110">
          <cell r="B110">
            <v>0</v>
          </cell>
          <cell r="C110">
            <v>0</v>
          </cell>
          <cell r="D110">
            <v>0</v>
          </cell>
        </row>
        <row r="111">
          <cell r="B111">
            <v>0</v>
          </cell>
          <cell r="C111">
            <v>0</v>
          </cell>
          <cell r="D111">
            <v>0</v>
          </cell>
        </row>
        <row r="112">
          <cell r="B112">
            <v>0</v>
          </cell>
          <cell r="C112">
            <v>0</v>
          </cell>
          <cell r="D112">
            <v>0</v>
          </cell>
        </row>
        <row r="113">
          <cell r="B113">
            <v>0</v>
          </cell>
          <cell r="C113">
            <v>0</v>
          </cell>
          <cell r="D113">
            <v>0</v>
          </cell>
        </row>
        <row r="114">
          <cell r="B114">
            <v>0</v>
          </cell>
          <cell r="C114">
            <v>0</v>
          </cell>
          <cell r="D114">
            <v>0</v>
          </cell>
        </row>
        <row r="115">
          <cell r="B115">
            <v>0</v>
          </cell>
          <cell r="C115">
            <v>0</v>
          </cell>
          <cell r="D115">
            <v>0</v>
          </cell>
        </row>
        <row r="116">
          <cell r="B116">
            <v>0</v>
          </cell>
          <cell r="C116">
            <v>0</v>
          </cell>
          <cell r="D116">
            <v>0</v>
          </cell>
        </row>
        <row r="117">
          <cell r="B117">
            <v>0</v>
          </cell>
          <cell r="C117">
            <v>0</v>
          </cell>
          <cell r="D117">
            <v>0</v>
          </cell>
        </row>
        <row r="118">
          <cell r="B118">
            <v>0</v>
          </cell>
          <cell r="C118">
            <v>0</v>
          </cell>
          <cell r="D118">
            <v>0</v>
          </cell>
        </row>
        <row r="119">
          <cell r="B119">
            <v>0</v>
          </cell>
          <cell r="C119">
            <v>0</v>
          </cell>
          <cell r="D119">
            <v>0</v>
          </cell>
        </row>
        <row r="120">
          <cell r="B120">
            <v>0</v>
          </cell>
          <cell r="C120">
            <v>0</v>
          </cell>
          <cell r="D120">
            <v>0</v>
          </cell>
        </row>
        <row r="121">
          <cell r="B121">
            <v>0</v>
          </cell>
          <cell r="C121">
            <v>0</v>
          </cell>
          <cell r="D121">
            <v>0</v>
          </cell>
        </row>
        <row r="122">
          <cell r="B122">
            <v>0</v>
          </cell>
          <cell r="C122">
            <v>0</v>
          </cell>
          <cell r="D122">
            <v>0</v>
          </cell>
        </row>
        <row r="123">
          <cell r="B123">
            <v>0</v>
          </cell>
          <cell r="C123">
            <v>0</v>
          </cell>
          <cell r="D123">
            <v>0</v>
          </cell>
        </row>
        <row r="124">
          <cell r="B124">
            <v>0</v>
          </cell>
          <cell r="C124">
            <v>0</v>
          </cell>
          <cell r="D124">
            <v>0</v>
          </cell>
        </row>
        <row r="125">
          <cell r="B125">
            <v>0</v>
          </cell>
          <cell r="C125">
            <v>0</v>
          </cell>
          <cell r="D125">
            <v>0</v>
          </cell>
        </row>
        <row r="127">
          <cell r="B127">
            <v>0</v>
          </cell>
          <cell r="C127">
            <v>0</v>
          </cell>
          <cell r="D127">
            <v>0</v>
          </cell>
        </row>
        <row r="128">
          <cell r="B128">
            <v>0</v>
          </cell>
          <cell r="C128">
            <v>0</v>
          </cell>
          <cell r="D128">
            <v>0</v>
          </cell>
        </row>
        <row r="129">
          <cell r="B129">
            <v>0</v>
          </cell>
          <cell r="C129">
            <v>0</v>
          </cell>
          <cell r="D129">
            <v>0</v>
          </cell>
        </row>
        <row r="130">
          <cell r="B130">
            <v>0</v>
          </cell>
          <cell r="C130">
            <v>0</v>
          </cell>
          <cell r="D130">
            <v>0</v>
          </cell>
        </row>
        <row r="131">
          <cell r="B131">
            <v>0</v>
          </cell>
          <cell r="C131">
            <v>0</v>
          </cell>
          <cell r="D131">
            <v>0</v>
          </cell>
        </row>
        <row r="133">
          <cell r="B133">
            <v>0</v>
          </cell>
          <cell r="C133">
            <v>0</v>
          </cell>
          <cell r="D133">
            <v>0</v>
          </cell>
        </row>
        <row r="134">
          <cell r="B134">
            <v>0</v>
          </cell>
          <cell r="C134">
            <v>0</v>
          </cell>
          <cell r="D134">
            <v>0</v>
          </cell>
        </row>
        <row r="135">
          <cell r="B135">
            <v>0</v>
          </cell>
          <cell r="C135">
            <v>0</v>
          </cell>
          <cell r="D135">
            <v>0</v>
          </cell>
        </row>
        <row r="136">
          <cell r="B136">
            <v>0</v>
          </cell>
          <cell r="C136">
            <v>0</v>
          </cell>
          <cell r="D136">
            <v>0</v>
          </cell>
        </row>
        <row r="137">
          <cell r="B137">
            <v>0</v>
          </cell>
          <cell r="C137">
            <v>0</v>
          </cell>
          <cell r="D137">
            <v>0</v>
          </cell>
        </row>
        <row r="138">
          <cell r="B138">
            <v>0</v>
          </cell>
          <cell r="C138">
            <v>0</v>
          </cell>
          <cell r="D138">
            <v>0</v>
          </cell>
        </row>
        <row r="139">
          <cell r="B139">
            <v>0</v>
          </cell>
          <cell r="C139">
            <v>0</v>
          </cell>
          <cell r="D139">
            <v>0</v>
          </cell>
        </row>
        <row r="140">
          <cell r="B140">
            <v>0</v>
          </cell>
          <cell r="C140">
            <v>0</v>
          </cell>
          <cell r="D140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</row>
        <row r="142">
          <cell r="B142">
            <v>0</v>
          </cell>
          <cell r="C142">
            <v>0</v>
          </cell>
          <cell r="D142">
            <v>0</v>
          </cell>
        </row>
        <row r="143">
          <cell r="B143">
            <v>0</v>
          </cell>
          <cell r="C143">
            <v>0</v>
          </cell>
          <cell r="D143">
            <v>0</v>
          </cell>
        </row>
        <row r="144">
          <cell r="B144">
            <v>0</v>
          </cell>
          <cell r="C144">
            <v>0</v>
          </cell>
          <cell r="D144">
            <v>0</v>
          </cell>
        </row>
        <row r="145">
          <cell r="B145">
            <v>0</v>
          </cell>
          <cell r="C145">
            <v>0</v>
          </cell>
          <cell r="D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B150">
            <v>0</v>
          </cell>
          <cell r="C150">
            <v>0</v>
          </cell>
          <cell r="D150">
            <v>0</v>
          </cell>
        </row>
        <row r="151">
          <cell r="B151">
            <v>0</v>
          </cell>
          <cell r="C151">
            <v>0</v>
          </cell>
          <cell r="D151">
            <v>0</v>
          </cell>
        </row>
        <row r="152">
          <cell r="B152">
            <v>0</v>
          </cell>
          <cell r="C152">
            <v>0</v>
          </cell>
          <cell r="D152">
            <v>0</v>
          </cell>
        </row>
        <row r="153">
          <cell r="B153">
            <v>0</v>
          </cell>
          <cell r="C153">
            <v>0</v>
          </cell>
          <cell r="D153">
            <v>0</v>
          </cell>
        </row>
        <row r="154">
          <cell r="B154">
            <v>0</v>
          </cell>
          <cell r="C154">
            <v>0</v>
          </cell>
          <cell r="D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</row>
        <row r="156">
          <cell r="B156">
            <v>0</v>
          </cell>
          <cell r="C156">
            <v>0</v>
          </cell>
          <cell r="D156">
            <v>0</v>
          </cell>
        </row>
        <row r="157">
          <cell r="B157">
            <v>0</v>
          </cell>
          <cell r="C157">
            <v>0</v>
          </cell>
          <cell r="D157">
            <v>0</v>
          </cell>
        </row>
        <row r="158">
          <cell r="B158">
            <v>0</v>
          </cell>
          <cell r="C158">
            <v>0</v>
          </cell>
          <cell r="D158">
            <v>0</v>
          </cell>
        </row>
        <row r="159">
          <cell r="B159">
            <v>0</v>
          </cell>
          <cell r="C159">
            <v>0</v>
          </cell>
          <cell r="D159">
            <v>0</v>
          </cell>
        </row>
        <row r="160">
          <cell r="B160">
            <v>0</v>
          </cell>
          <cell r="C160">
            <v>0</v>
          </cell>
          <cell r="D160">
            <v>0</v>
          </cell>
        </row>
        <row r="161">
          <cell r="B161">
            <v>0</v>
          </cell>
          <cell r="C161">
            <v>0</v>
          </cell>
          <cell r="D161">
            <v>0</v>
          </cell>
        </row>
        <row r="162">
          <cell r="B162">
            <v>0</v>
          </cell>
          <cell r="C162">
            <v>0</v>
          </cell>
          <cell r="D162">
            <v>0</v>
          </cell>
        </row>
        <row r="163">
          <cell r="B163">
            <v>0</v>
          </cell>
          <cell r="C163">
            <v>0</v>
          </cell>
          <cell r="D163">
            <v>0</v>
          </cell>
        </row>
        <row r="164">
          <cell r="B164">
            <v>0</v>
          </cell>
          <cell r="C164">
            <v>0</v>
          </cell>
          <cell r="D164">
            <v>0</v>
          </cell>
        </row>
        <row r="165">
          <cell r="B165">
            <v>0</v>
          </cell>
          <cell r="C165">
            <v>0</v>
          </cell>
          <cell r="D165">
            <v>0</v>
          </cell>
        </row>
        <row r="166">
          <cell r="B166">
            <v>0</v>
          </cell>
          <cell r="C166">
            <v>0</v>
          </cell>
          <cell r="D166">
            <v>0</v>
          </cell>
        </row>
        <row r="167">
          <cell r="B167">
            <v>0</v>
          </cell>
          <cell r="C167">
            <v>0</v>
          </cell>
          <cell r="D167">
            <v>0</v>
          </cell>
        </row>
        <row r="168">
          <cell r="B168">
            <v>0</v>
          </cell>
          <cell r="C168">
            <v>0</v>
          </cell>
          <cell r="D168">
            <v>0</v>
          </cell>
        </row>
        <row r="169">
          <cell r="B169">
            <v>0</v>
          </cell>
          <cell r="C169">
            <v>0</v>
          </cell>
          <cell r="D169">
            <v>0</v>
          </cell>
        </row>
        <row r="170">
          <cell r="B170">
            <v>0</v>
          </cell>
          <cell r="C170">
            <v>0</v>
          </cell>
          <cell r="D170">
            <v>0</v>
          </cell>
        </row>
        <row r="171">
          <cell r="B171">
            <v>0</v>
          </cell>
          <cell r="C171">
            <v>0</v>
          </cell>
          <cell r="D171">
            <v>0</v>
          </cell>
        </row>
        <row r="172">
          <cell r="B172">
            <v>0</v>
          </cell>
          <cell r="C172">
            <v>0</v>
          </cell>
          <cell r="D172">
            <v>0</v>
          </cell>
        </row>
        <row r="173">
          <cell r="B173">
            <v>0</v>
          </cell>
          <cell r="C173">
            <v>0</v>
          </cell>
          <cell r="D173">
            <v>0</v>
          </cell>
        </row>
        <row r="174">
          <cell r="B174">
            <v>0</v>
          </cell>
          <cell r="C174">
            <v>0</v>
          </cell>
          <cell r="D174">
            <v>0</v>
          </cell>
        </row>
        <row r="175">
          <cell r="B175">
            <v>0</v>
          </cell>
          <cell r="C175">
            <v>0</v>
          </cell>
          <cell r="D175">
            <v>0</v>
          </cell>
        </row>
        <row r="176">
          <cell r="B176">
            <v>0</v>
          </cell>
          <cell r="C176">
            <v>0</v>
          </cell>
          <cell r="D176">
            <v>0</v>
          </cell>
        </row>
        <row r="177">
          <cell r="B177">
            <v>0</v>
          </cell>
          <cell r="C177">
            <v>0</v>
          </cell>
          <cell r="D177">
            <v>0</v>
          </cell>
        </row>
        <row r="178">
          <cell r="B178">
            <v>0</v>
          </cell>
          <cell r="C178">
            <v>0</v>
          </cell>
          <cell r="D178">
            <v>0</v>
          </cell>
        </row>
        <row r="179">
          <cell r="B179">
            <v>0</v>
          </cell>
          <cell r="C179">
            <v>0</v>
          </cell>
          <cell r="D179">
            <v>0</v>
          </cell>
        </row>
        <row r="180">
          <cell r="B180">
            <v>0</v>
          </cell>
          <cell r="C180">
            <v>0</v>
          </cell>
          <cell r="D180">
            <v>0</v>
          </cell>
        </row>
        <row r="181">
          <cell r="B181">
            <v>0</v>
          </cell>
          <cell r="C181">
            <v>0</v>
          </cell>
          <cell r="D181">
            <v>0</v>
          </cell>
        </row>
        <row r="182">
          <cell r="B182">
            <v>0</v>
          </cell>
          <cell r="C182">
            <v>0</v>
          </cell>
          <cell r="D182">
            <v>0</v>
          </cell>
        </row>
        <row r="183">
          <cell r="B183">
            <v>0</v>
          </cell>
          <cell r="C183">
            <v>0</v>
          </cell>
          <cell r="D183">
            <v>0</v>
          </cell>
        </row>
        <row r="184">
          <cell r="B184">
            <v>0</v>
          </cell>
          <cell r="C184">
            <v>0</v>
          </cell>
          <cell r="D184">
            <v>0</v>
          </cell>
        </row>
        <row r="185">
          <cell r="B185">
            <v>0</v>
          </cell>
          <cell r="C185">
            <v>0</v>
          </cell>
          <cell r="D185">
            <v>0</v>
          </cell>
        </row>
        <row r="186">
          <cell r="B186">
            <v>0</v>
          </cell>
          <cell r="C186">
            <v>0</v>
          </cell>
          <cell r="D186">
            <v>0</v>
          </cell>
        </row>
        <row r="187">
          <cell r="B187">
            <v>0</v>
          </cell>
          <cell r="C187">
            <v>0</v>
          </cell>
          <cell r="D187">
            <v>0</v>
          </cell>
        </row>
        <row r="188">
          <cell r="B188">
            <v>0</v>
          </cell>
          <cell r="C188">
            <v>0</v>
          </cell>
          <cell r="D188">
            <v>0</v>
          </cell>
        </row>
        <row r="189">
          <cell r="B189">
            <v>0</v>
          </cell>
          <cell r="C189">
            <v>0</v>
          </cell>
          <cell r="D189">
            <v>0</v>
          </cell>
        </row>
        <row r="190">
          <cell r="B190">
            <v>0</v>
          </cell>
          <cell r="C190">
            <v>0</v>
          </cell>
          <cell r="D190">
            <v>0</v>
          </cell>
        </row>
        <row r="191">
          <cell r="B191">
            <v>0</v>
          </cell>
          <cell r="C191">
            <v>0</v>
          </cell>
          <cell r="D191">
            <v>0</v>
          </cell>
        </row>
        <row r="192">
          <cell r="B192">
            <v>0</v>
          </cell>
          <cell r="C192">
            <v>0</v>
          </cell>
          <cell r="D192">
            <v>0</v>
          </cell>
        </row>
        <row r="193">
          <cell r="B193">
            <v>0</v>
          </cell>
          <cell r="C193">
            <v>0</v>
          </cell>
          <cell r="D193">
            <v>0</v>
          </cell>
        </row>
        <row r="194">
          <cell r="B194">
            <v>0</v>
          </cell>
          <cell r="C194">
            <v>0</v>
          </cell>
          <cell r="D194">
            <v>0</v>
          </cell>
        </row>
        <row r="195">
          <cell r="B195">
            <v>0</v>
          </cell>
          <cell r="C195">
            <v>0</v>
          </cell>
          <cell r="D195">
            <v>0</v>
          </cell>
        </row>
        <row r="196">
          <cell r="B196">
            <v>0</v>
          </cell>
          <cell r="C196">
            <v>0</v>
          </cell>
          <cell r="D196">
            <v>0</v>
          </cell>
        </row>
        <row r="197">
          <cell r="B197">
            <v>0</v>
          </cell>
          <cell r="C197">
            <v>0</v>
          </cell>
          <cell r="D197">
            <v>0</v>
          </cell>
        </row>
        <row r="198">
          <cell r="B198">
            <v>0</v>
          </cell>
          <cell r="C198">
            <v>0</v>
          </cell>
          <cell r="D198">
            <v>0</v>
          </cell>
        </row>
        <row r="199">
          <cell r="B199">
            <v>0</v>
          </cell>
          <cell r="C199">
            <v>0</v>
          </cell>
          <cell r="D199">
            <v>0</v>
          </cell>
        </row>
        <row r="200">
          <cell r="B200">
            <v>0</v>
          </cell>
          <cell r="C200">
            <v>0</v>
          </cell>
          <cell r="D200">
            <v>0</v>
          </cell>
        </row>
        <row r="201">
          <cell r="B201">
            <v>0</v>
          </cell>
          <cell r="C201">
            <v>0</v>
          </cell>
          <cell r="D201">
            <v>0</v>
          </cell>
        </row>
        <row r="202">
          <cell r="B202">
            <v>0</v>
          </cell>
          <cell r="C202">
            <v>0</v>
          </cell>
          <cell r="D202">
            <v>0</v>
          </cell>
        </row>
        <row r="203">
          <cell r="B203">
            <v>0</v>
          </cell>
          <cell r="C203">
            <v>0</v>
          </cell>
          <cell r="D203">
            <v>0</v>
          </cell>
        </row>
        <row r="204">
          <cell r="B204">
            <v>0</v>
          </cell>
          <cell r="C204">
            <v>0</v>
          </cell>
          <cell r="D204">
            <v>0</v>
          </cell>
        </row>
        <row r="205">
          <cell r="B205">
            <v>0</v>
          </cell>
          <cell r="C205">
            <v>0</v>
          </cell>
          <cell r="D205">
            <v>0</v>
          </cell>
        </row>
        <row r="206">
          <cell r="B206">
            <v>0</v>
          </cell>
          <cell r="C206">
            <v>0</v>
          </cell>
          <cell r="D206">
            <v>0</v>
          </cell>
        </row>
        <row r="207">
          <cell r="B207">
            <v>0</v>
          </cell>
          <cell r="C207">
            <v>0</v>
          </cell>
          <cell r="D207">
            <v>0</v>
          </cell>
        </row>
        <row r="208">
          <cell r="B208">
            <v>0</v>
          </cell>
          <cell r="C208">
            <v>0</v>
          </cell>
          <cell r="D208">
            <v>0</v>
          </cell>
        </row>
        <row r="209">
          <cell r="B209">
            <v>0</v>
          </cell>
          <cell r="C209">
            <v>0</v>
          </cell>
          <cell r="D209">
            <v>0</v>
          </cell>
        </row>
        <row r="210">
          <cell r="B210">
            <v>0</v>
          </cell>
          <cell r="C210">
            <v>0</v>
          </cell>
          <cell r="D210">
            <v>0</v>
          </cell>
        </row>
        <row r="211">
          <cell r="B211">
            <v>0</v>
          </cell>
          <cell r="C211">
            <v>0</v>
          </cell>
          <cell r="D211">
            <v>0</v>
          </cell>
        </row>
        <row r="212">
          <cell r="B212">
            <v>0</v>
          </cell>
          <cell r="C212">
            <v>0</v>
          </cell>
          <cell r="D212">
            <v>0</v>
          </cell>
        </row>
        <row r="213">
          <cell r="B213">
            <v>0</v>
          </cell>
          <cell r="C213">
            <v>0</v>
          </cell>
          <cell r="D213">
            <v>0</v>
          </cell>
        </row>
        <row r="214">
          <cell r="B214">
            <v>0</v>
          </cell>
          <cell r="C214">
            <v>0</v>
          </cell>
          <cell r="D214">
            <v>0</v>
          </cell>
        </row>
        <row r="215">
          <cell r="B215">
            <v>0</v>
          </cell>
          <cell r="C215">
            <v>0</v>
          </cell>
          <cell r="D215">
            <v>0</v>
          </cell>
        </row>
        <row r="216">
          <cell r="B216">
            <v>0</v>
          </cell>
          <cell r="C216">
            <v>0</v>
          </cell>
          <cell r="D216">
            <v>0</v>
          </cell>
        </row>
        <row r="217">
          <cell r="B217">
            <v>0</v>
          </cell>
          <cell r="C217">
            <v>0</v>
          </cell>
          <cell r="D217">
            <v>0</v>
          </cell>
        </row>
        <row r="218">
          <cell r="B218">
            <v>0</v>
          </cell>
          <cell r="C218">
            <v>0</v>
          </cell>
          <cell r="D218">
            <v>0</v>
          </cell>
        </row>
        <row r="219">
          <cell r="B219">
            <v>0</v>
          </cell>
          <cell r="C219">
            <v>0</v>
          </cell>
          <cell r="D219">
            <v>0</v>
          </cell>
        </row>
        <row r="220">
          <cell r="B220">
            <v>0</v>
          </cell>
          <cell r="C220">
            <v>0</v>
          </cell>
          <cell r="D220">
            <v>0</v>
          </cell>
        </row>
        <row r="221">
          <cell r="B221">
            <v>0</v>
          </cell>
          <cell r="C221">
            <v>0</v>
          </cell>
          <cell r="D221">
            <v>0</v>
          </cell>
        </row>
        <row r="222">
          <cell r="B222">
            <v>0</v>
          </cell>
          <cell r="C222">
            <v>0</v>
          </cell>
          <cell r="D222">
            <v>0</v>
          </cell>
        </row>
        <row r="223">
          <cell r="B223">
            <v>0</v>
          </cell>
          <cell r="C223">
            <v>0</v>
          </cell>
          <cell r="D223">
            <v>0</v>
          </cell>
        </row>
        <row r="224">
          <cell r="B224">
            <v>0</v>
          </cell>
          <cell r="C224">
            <v>0</v>
          </cell>
          <cell r="D224">
            <v>0</v>
          </cell>
        </row>
        <row r="225">
          <cell r="B225">
            <v>0</v>
          </cell>
          <cell r="C225">
            <v>0</v>
          </cell>
          <cell r="D225">
            <v>0</v>
          </cell>
        </row>
        <row r="226">
          <cell r="B226">
            <v>0</v>
          </cell>
          <cell r="C226">
            <v>0</v>
          </cell>
          <cell r="D226">
            <v>0</v>
          </cell>
        </row>
        <row r="227">
          <cell r="B227">
            <v>0</v>
          </cell>
          <cell r="C227">
            <v>0</v>
          </cell>
          <cell r="D227">
            <v>0</v>
          </cell>
        </row>
        <row r="228">
          <cell r="B228">
            <v>0</v>
          </cell>
          <cell r="C228">
            <v>0</v>
          </cell>
          <cell r="D228">
            <v>0</v>
          </cell>
        </row>
        <row r="229">
          <cell r="B229">
            <v>0</v>
          </cell>
          <cell r="C229">
            <v>0</v>
          </cell>
          <cell r="D229">
            <v>0</v>
          </cell>
        </row>
        <row r="230">
          <cell r="B230">
            <v>0</v>
          </cell>
          <cell r="C230">
            <v>0</v>
          </cell>
          <cell r="D230">
            <v>0</v>
          </cell>
        </row>
        <row r="231">
          <cell r="B231">
            <v>0</v>
          </cell>
          <cell r="C231">
            <v>0</v>
          </cell>
          <cell r="D231">
            <v>0</v>
          </cell>
        </row>
        <row r="232">
          <cell r="B232">
            <v>0</v>
          </cell>
          <cell r="C232">
            <v>0</v>
          </cell>
          <cell r="D232">
            <v>0</v>
          </cell>
        </row>
        <row r="233">
          <cell r="B233">
            <v>0</v>
          </cell>
          <cell r="C233">
            <v>0</v>
          </cell>
          <cell r="D233">
            <v>0</v>
          </cell>
        </row>
        <row r="234">
          <cell r="B234">
            <v>0</v>
          </cell>
          <cell r="C234">
            <v>0</v>
          </cell>
          <cell r="D234">
            <v>0</v>
          </cell>
        </row>
        <row r="235">
          <cell r="B235">
            <v>0</v>
          </cell>
          <cell r="C235">
            <v>0</v>
          </cell>
          <cell r="D235">
            <v>0</v>
          </cell>
        </row>
        <row r="236">
          <cell r="B236">
            <v>0</v>
          </cell>
          <cell r="C236">
            <v>0</v>
          </cell>
          <cell r="D236">
            <v>0</v>
          </cell>
        </row>
        <row r="237">
          <cell r="B237">
            <v>0</v>
          </cell>
          <cell r="C237">
            <v>0</v>
          </cell>
          <cell r="D237">
            <v>0</v>
          </cell>
        </row>
        <row r="238">
          <cell r="B238">
            <v>0</v>
          </cell>
          <cell r="C238">
            <v>0</v>
          </cell>
          <cell r="D238">
            <v>0</v>
          </cell>
        </row>
        <row r="239">
          <cell r="B239">
            <v>0</v>
          </cell>
          <cell r="C239">
            <v>0</v>
          </cell>
          <cell r="D239">
            <v>0</v>
          </cell>
        </row>
        <row r="240">
          <cell r="B240">
            <v>0</v>
          </cell>
          <cell r="C240">
            <v>0</v>
          </cell>
          <cell r="D240">
            <v>0</v>
          </cell>
        </row>
        <row r="241">
          <cell r="B241">
            <v>0</v>
          </cell>
          <cell r="C241">
            <v>0</v>
          </cell>
          <cell r="D241">
            <v>0</v>
          </cell>
        </row>
        <row r="242">
          <cell r="B242">
            <v>0</v>
          </cell>
          <cell r="C242">
            <v>0</v>
          </cell>
          <cell r="D242">
            <v>0</v>
          </cell>
        </row>
        <row r="243">
          <cell r="B243">
            <v>0</v>
          </cell>
          <cell r="C243">
            <v>0</v>
          </cell>
          <cell r="D243">
            <v>0</v>
          </cell>
        </row>
        <row r="244">
          <cell r="B244">
            <v>0</v>
          </cell>
          <cell r="C244">
            <v>0</v>
          </cell>
          <cell r="D244">
            <v>0</v>
          </cell>
        </row>
        <row r="245">
          <cell r="B245">
            <v>0</v>
          </cell>
          <cell r="C245">
            <v>0</v>
          </cell>
          <cell r="D245">
            <v>0</v>
          </cell>
        </row>
        <row r="246">
          <cell r="B246">
            <v>0</v>
          </cell>
          <cell r="C246">
            <v>0</v>
          </cell>
          <cell r="D246">
            <v>0</v>
          </cell>
        </row>
        <row r="247">
          <cell r="B247">
            <v>0</v>
          </cell>
          <cell r="C247">
            <v>0</v>
          </cell>
          <cell r="D247">
            <v>0</v>
          </cell>
        </row>
        <row r="248">
          <cell r="B248">
            <v>0</v>
          </cell>
          <cell r="C248">
            <v>0</v>
          </cell>
          <cell r="D248">
            <v>0</v>
          </cell>
        </row>
        <row r="249">
          <cell r="B249">
            <v>0</v>
          </cell>
          <cell r="C249">
            <v>0</v>
          </cell>
          <cell r="D249">
            <v>0</v>
          </cell>
        </row>
        <row r="250">
          <cell r="B250">
            <v>0</v>
          </cell>
          <cell r="C250">
            <v>0</v>
          </cell>
          <cell r="D250">
            <v>0</v>
          </cell>
        </row>
        <row r="251">
          <cell r="B251">
            <v>0</v>
          </cell>
          <cell r="C251">
            <v>0</v>
          </cell>
          <cell r="D251">
            <v>0</v>
          </cell>
        </row>
        <row r="252">
          <cell r="B252">
            <v>0</v>
          </cell>
          <cell r="C252">
            <v>0</v>
          </cell>
          <cell r="D252">
            <v>0</v>
          </cell>
        </row>
        <row r="253">
          <cell r="B253">
            <v>0</v>
          </cell>
          <cell r="C253">
            <v>0</v>
          </cell>
          <cell r="D253">
            <v>0</v>
          </cell>
        </row>
        <row r="254">
          <cell r="B254">
            <v>0</v>
          </cell>
          <cell r="C254">
            <v>0</v>
          </cell>
          <cell r="D254">
            <v>0</v>
          </cell>
        </row>
        <row r="255">
          <cell r="B255">
            <v>0</v>
          </cell>
          <cell r="C255">
            <v>0</v>
          </cell>
          <cell r="D255">
            <v>0</v>
          </cell>
        </row>
        <row r="256">
          <cell r="B256">
            <v>0</v>
          </cell>
          <cell r="C256">
            <v>0</v>
          </cell>
          <cell r="D256">
            <v>0</v>
          </cell>
        </row>
        <row r="257">
          <cell r="B257">
            <v>0</v>
          </cell>
          <cell r="C257">
            <v>0</v>
          </cell>
          <cell r="D257">
            <v>0</v>
          </cell>
        </row>
        <row r="258">
          <cell r="B258">
            <v>0</v>
          </cell>
          <cell r="C258">
            <v>0</v>
          </cell>
          <cell r="D258">
            <v>0</v>
          </cell>
        </row>
        <row r="259">
          <cell r="B259">
            <v>0</v>
          </cell>
          <cell r="C259">
            <v>0</v>
          </cell>
          <cell r="D259">
            <v>0</v>
          </cell>
        </row>
        <row r="260">
          <cell r="B260">
            <v>0</v>
          </cell>
          <cell r="C260">
            <v>0</v>
          </cell>
          <cell r="D260">
            <v>0</v>
          </cell>
        </row>
        <row r="261">
          <cell r="B261">
            <v>0</v>
          </cell>
          <cell r="C261">
            <v>0</v>
          </cell>
          <cell r="D261">
            <v>0</v>
          </cell>
        </row>
        <row r="262">
          <cell r="B262">
            <v>0</v>
          </cell>
          <cell r="C262">
            <v>0</v>
          </cell>
          <cell r="D262">
            <v>0</v>
          </cell>
        </row>
        <row r="263">
          <cell r="B263">
            <v>0</v>
          </cell>
          <cell r="C263">
            <v>0</v>
          </cell>
          <cell r="D263">
            <v>0</v>
          </cell>
        </row>
        <row r="264">
          <cell r="B264">
            <v>0</v>
          </cell>
          <cell r="C264">
            <v>0</v>
          </cell>
          <cell r="D264">
            <v>0</v>
          </cell>
        </row>
        <row r="265">
          <cell r="B265">
            <v>0</v>
          </cell>
          <cell r="C265">
            <v>0</v>
          </cell>
          <cell r="D265">
            <v>0</v>
          </cell>
        </row>
        <row r="266">
          <cell r="B266">
            <v>0</v>
          </cell>
          <cell r="C266">
            <v>0</v>
          </cell>
          <cell r="D266">
            <v>0</v>
          </cell>
        </row>
        <row r="267">
          <cell r="B267">
            <v>0</v>
          </cell>
          <cell r="C267">
            <v>0</v>
          </cell>
          <cell r="D267">
            <v>0</v>
          </cell>
        </row>
        <row r="268">
          <cell r="B268">
            <v>0</v>
          </cell>
          <cell r="C268">
            <v>0</v>
          </cell>
          <cell r="D268">
            <v>0</v>
          </cell>
        </row>
        <row r="269">
          <cell r="B269">
            <v>0</v>
          </cell>
          <cell r="C269">
            <v>0</v>
          </cell>
          <cell r="D269">
            <v>0</v>
          </cell>
        </row>
        <row r="270">
          <cell r="B270">
            <v>0</v>
          </cell>
          <cell r="C270">
            <v>0</v>
          </cell>
          <cell r="D270">
            <v>0</v>
          </cell>
        </row>
        <row r="271">
          <cell r="B271">
            <v>0</v>
          </cell>
          <cell r="C271">
            <v>0</v>
          </cell>
          <cell r="D271">
            <v>0</v>
          </cell>
        </row>
        <row r="272">
          <cell r="B272">
            <v>0</v>
          </cell>
          <cell r="C272">
            <v>0</v>
          </cell>
          <cell r="D272">
            <v>0</v>
          </cell>
        </row>
        <row r="273">
          <cell r="B273">
            <v>0</v>
          </cell>
          <cell r="C273">
            <v>0</v>
          </cell>
          <cell r="D273">
            <v>0</v>
          </cell>
        </row>
        <row r="274">
          <cell r="B274">
            <v>0</v>
          </cell>
          <cell r="C274">
            <v>0</v>
          </cell>
          <cell r="D274">
            <v>0</v>
          </cell>
        </row>
        <row r="275">
          <cell r="B275">
            <v>0</v>
          </cell>
          <cell r="C275">
            <v>0</v>
          </cell>
          <cell r="D275">
            <v>0</v>
          </cell>
        </row>
        <row r="276">
          <cell r="B276">
            <v>0</v>
          </cell>
          <cell r="C276">
            <v>0</v>
          </cell>
          <cell r="D276">
            <v>0</v>
          </cell>
        </row>
        <row r="277">
          <cell r="B277">
            <v>0</v>
          </cell>
          <cell r="C277">
            <v>0</v>
          </cell>
          <cell r="D277">
            <v>0</v>
          </cell>
        </row>
        <row r="278">
          <cell r="B278">
            <v>0</v>
          </cell>
          <cell r="C278">
            <v>0</v>
          </cell>
          <cell r="D278">
            <v>0</v>
          </cell>
        </row>
        <row r="279">
          <cell r="B279">
            <v>0</v>
          </cell>
          <cell r="C279">
            <v>0</v>
          </cell>
          <cell r="D279">
            <v>0</v>
          </cell>
        </row>
        <row r="280">
          <cell r="B280">
            <v>0</v>
          </cell>
          <cell r="C280">
            <v>0</v>
          </cell>
          <cell r="D280">
            <v>0</v>
          </cell>
        </row>
        <row r="281">
          <cell r="B281">
            <v>0</v>
          </cell>
          <cell r="C281">
            <v>0</v>
          </cell>
          <cell r="D281">
            <v>0</v>
          </cell>
        </row>
        <row r="282">
          <cell r="B282">
            <v>0</v>
          </cell>
          <cell r="C282">
            <v>0</v>
          </cell>
          <cell r="D282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nagrafiche"/>
      <sheetName val="AMBITI"/>
      <sheetName val="Driver Componenti MTR"/>
      <sheetName val="Driver Ambiti"/>
      <sheetName val="Driver MultiAmbito"/>
      <sheetName val="BdV"/>
      <sheetName val="CE TIUC"/>
      <sheetName val="CE SCa"/>
      <sheetName val="CE SCb"/>
      <sheetName val="CE SCc"/>
      <sheetName val="CE SCd"/>
      <sheetName val="CE SCe"/>
      <sheetName val="CE SCf"/>
      <sheetName val="CE SCg"/>
      <sheetName val="CE SCh"/>
      <sheetName val="CE SCi"/>
      <sheetName val="CE SCj"/>
      <sheetName val="CE SCk"/>
      <sheetName val="CE FOCa"/>
      <sheetName val="CE FOCb"/>
      <sheetName val="CE FOCc"/>
      <sheetName val="CE FOCd"/>
      <sheetName val="CE FOCe"/>
      <sheetName val="CE FOCf"/>
      <sheetName val="CE FOCg"/>
      <sheetName val="CE FOCh"/>
      <sheetName val="CE FOCi"/>
      <sheetName val="CE FOCj"/>
      <sheetName val="CE FOCk"/>
      <sheetName val="CE FOCl"/>
      <sheetName val="CE FOCm"/>
      <sheetName val="CE FOCn"/>
      <sheetName val="CE FOCo"/>
      <sheetName val="CE MTR"/>
      <sheetName val="DRIVER SC"/>
      <sheetName val="DRIVER FOC"/>
      <sheetName val="RIBA SC"/>
      <sheetName val="RIBA FOC"/>
      <sheetName val="CE CRT"/>
      <sheetName val="CE CTS"/>
      <sheetName val="CE CTR"/>
      <sheetName val="CE CRD"/>
      <sheetName val="CE AR"/>
      <sheetName val="CE AR SC"/>
      <sheetName val="CE CSL"/>
      <sheetName val="CE CARC"/>
      <sheetName val="CE CGG"/>
      <sheetName val="CE CCD"/>
      <sheetName val="CE COal"/>
      <sheetName val="CE ACC"/>
      <sheetName val="Dettaglio PR"/>
      <sheetName val="CE COI_V"/>
      <sheetName val="CE COI_F"/>
      <sheetName val="CE CQ_V"/>
      <sheetName val="CE CQ_F"/>
      <sheetName val="CE CO116_V"/>
      <sheetName val="CE CO116_F"/>
      <sheetName val="CIN"/>
      <sheetName val="Export_CO"/>
      <sheetName val="BdV_Ki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449">
          <cell r="F449">
            <v>615987.22</v>
          </cell>
        </row>
        <row r="450">
          <cell r="F450">
            <v>737378.09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>
        <row r="6">
          <cell r="B6">
            <v>154473.37</v>
          </cell>
          <cell r="C6">
            <v>1403.38</v>
          </cell>
          <cell r="D6">
            <v>0</v>
          </cell>
        </row>
        <row r="7">
          <cell r="B7">
            <v>176518.82</v>
          </cell>
          <cell r="C7">
            <v>25581.41</v>
          </cell>
          <cell r="D7">
            <v>0</v>
          </cell>
        </row>
        <row r="8">
          <cell r="B8">
            <v>64671.29</v>
          </cell>
          <cell r="C8">
            <v>4638.16</v>
          </cell>
          <cell r="D8">
            <v>0</v>
          </cell>
        </row>
        <row r="9">
          <cell r="B9">
            <v>748883.39999999991</v>
          </cell>
          <cell r="C9">
            <v>87164.160000000003</v>
          </cell>
          <cell r="D9">
            <v>0</v>
          </cell>
        </row>
        <row r="10">
          <cell r="B10">
            <v>-5509.53</v>
          </cell>
          <cell r="C10">
            <v>-1022.24</v>
          </cell>
          <cell r="D10">
            <v>0</v>
          </cell>
        </row>
        <row r="11">
          <cell r="B11">
            <v>1885.1</v>
          </cell>
          <cell r="C11">
            <v>0</v>
          </cell>
          <cell r="D11">
            <v>0</v>
          </cell>
        </row>
        <row r="13">
          <cell r="B13">
            <v>0</v>
          </cell>
          <cell r="C13">
            <v>0</v>
          </cell>
          <cell r="D13">
            <v>0</v>
          </cell>
        </row>
        <row r="14">
          <cell r="B14">
            <v>0</v>
          </cell>
          <cell r="C14">
            <v>183.31</v>
          </cell>
          <cell r="D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</row>
        <row r="20">
          <cell r="B20">
            <v>0</v>
          </cell>
          <cell r="C20">
            <v>0</v>
          </cell>
          <cell r="D20">
            <v>0</v>
          </cell>
        </row>
        <row r="21">
          <cell r="B21">
            <v>3115908.44</v>
          </cell>
          <cell r="C21">
            <v>546969.90999999992</v>
          </cell>
          <cell r="D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</row>
        <row r="23">
          <cell r="B23">
            <v>0</v>
          </cell>
          <cell r="C23">
            <v>0</v>
          </cell>
          <cell r="D23">
            <v>0</v>
          </cell>
        </row>
        <row r="24">
          <cell r="B24">
            <v>0</v>
          </cell>
          <cell r="C24">
            <v>0</v>
          </cell>
          <cell r="D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</row>
        <row r="27">
          <cell r="B27">
            <v>575751.38</v>
          </cell>
          <cell r="C27">
            <v>4797.62</v>
          </cell>
          <cell r="D27">
            <v>0</v>
          </cell>
        </row>
        <row r="28">
          <cell r="B28">
            <v>649847</v>
          </cell>
          <cell r="C28">
            <v>90903.73</v>
          </cell>
          <cell r="D28">
            <v>0</v>
          </cell>
        </row>
        <row r="29">
          <cell r="B29">
            <v>241691.91999999998</v>
          </cell>
          <cell r="C29">
            <v>16444.93</v>
          </cell>
          <cell r="D29">
            <v>0</v>
          </cell>
        </row>
        <row r="30">
          <cell r="B30">
            <v>2801247.48</v>
          </cell>
          <cell r="C30">
            <v>312536.65000000002</v>
          </cell>
          <cell r="D30">
            <v>0</v>
          </cell>
        </row>
        <row r="31">
          <cell r="B31">
            <v>-20996.46</v>
          </cell>
          <cell r="C31">
            <v>-3330.53</v>
          </cell>
          <cell r="D31">
            <v>0</v>
          </cell>
        </row>
        <row r="32">
          <cell r="B32">
            <v>10194.1</v>
          </cell>
          <cell r="C32">
            <v>0</v>
          </cell>
          <cell r="D32">
            <v>0</v>
          </cell>
        </row>
        <row r="34">
          <cell r="B34">
            <v>863754.37999999989</v>
          </cell>
          <cell r="C34">
            <v>57778.43</v>
          </cell>
          <cell r="D34">
            <v>0</v>
          </cell>
        </row>
        <row r="35">
          <cell r="B35">
            <v>46199.56</v>
          </cell>
          <cell r="C35">
            <v>3240</v>
          </cell>
          <cell r="D35">
            <v>0</v>
          </cell>
        </row>
        <row r="37">
          <cell r="B37">
            <v>737378.09</v>
          </cell>
          <cell r="C37">
            <v>79332.09</v>
          </cell>
          <cell r="D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</row>
        <row r="40">
          <cell r="B40">
            <v>190999.58</v>
          </cell>
          <cell r="C40">
            <v>0</v>
          </cell>
          <cell r="D40">
            <v>0</v>
          </cell>
        </row>
        <row r="41">
          <cell r="B41">
            <v>274260.5</v>
          </cell>
          <cell r="C41">
            <v>0</v>
          </cell>
          <cell r="D41">
            <v>0</v>
          </cell>
        </row>
        <row r="42">
          <cell r="B42">
            <v>185026.73</v>
          </cell>
          <cell r="C42">
            <v>0</v>
          </cell>
          <cell r="D42">
            <v>0</v>
          </cell>
        </row>
        <row r="43">
          <cell r="B43">
            <v>1725514.37</v>
          </cell>
          <cell r="C43">
            <v>0</v>
          </cell>
          <cell r="D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</row>
        <row r="45">
          <cell r="B45">
            <v>4040.3100000000004</v>
          </cell>
          <cell r="C45">
            <v>0</v>
          </cell>
          <cell r="D45">
            <v>0</v>
          </cell>
        </row>
        <row r="47">
          <cell r="B47">
            <v>0</v>
          </cell>
          <cell r="C47">
            <v>0</v>
          </cell>
          <cell r="D47">
            <v>0</v>
          </cell>
        </row>
        <row r="48">
          <cell r="B48">
            <v>595220</v>
          </cell>
          <cell r="C48">
            <v>0</v>
          </cell>
          <cell r="D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</row>
        <row r="54">
          <cell r="B54">
            <v>0</v>
          </cell>
          <cell r="C54">
            <v>0</v>
          </cell>
          <cell r="D54">
            <v>0</v>
          </cell>
        </row>
        <row r="55">
          <cell r="B55">
            <v>1387780</v>
          </cell>
          <cell r="C55">
            <v>51520.63</v>
          </cell>
          <cell r="D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</row>
        <row r="59">
          <cell r="B59">
            <v>-5242.54</v>
          </cell>
          <cell r="C59">
            <v>-508.98</v>
          </cell>
          <cell r="D59">
            <v>0</v>
          </cell>
        </row>
        <row r="61">
          <cell r="B61">
            <v>0</v>
          </cell>
          <cell r="C61">
            <v>0</v>
          </cell>
          <cell r="D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</row>
        <row r="68">
          <cell r="B68">
            <v>0</v>
          </cell>
          <cell r="C68">
            <v>0</v>
          </cell>
          <cell r="D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</row>
        <row r="71">
          <cell r="B71">
            <v>0</v>
          </cell>
          <cell r="C71">
            <v>0</v>
          </cell>
          <cell r="D71">
            <v>0</v>
          </cell>
        </row>
        <row r="72">
          <cell r="B72">
            <v>0</v>
          </cell>
          <cell r="C72">
            <v>0</v>
          </cell>
          <cell r="D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</row>
        <row r="75">
          <cell r="B75">
            <v>0</v>
          </cell>
          <cell r="C75">
            <v>0</v>
          </cell>
          <cell r="D75">
            <v>0</v>
          </cell>
        </row>
        <row r="76">
          <cell r="B76">
            <v>899319</v>
          </cell>
          <cell r="C76">
            <v>0</v>
          </cell>
          <cell r="D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</row>
        <row r="83">
          <cell r="B83">
            <v>0</v>
          </cell>
          <cell r="C83">
            <v>0</v>
          </cell>
          <cell r="D83">
            <v>0</v>
          </cell>
        </row>
        <row r="84">
          <cell r="B84">
            <v>0</v>
          </cell>
          <cell r="C84">
            <v>0</v>
          </cell>
          <cell r="D84">
            <v>0</v>
          </cell>
        </row>
        <row r="85">
          <cell r="B85">
            <v>0</v>
          </cell>
          <cell r="C85">
            <v>0</v>
          </cell>
          <cell r="D85">
            <v>0</v>
          </cell>
        </row>
        <row r="86">
          <cell r="B86">
            <v>0</v>
          </cell>
          <cell r="C86">
            <v>0</v>
          </cell>
          <cell r="D86">
            <v>0</v>
          </cell>
        </row>
        <row r="87">
          <cell r="B87">
            <v>0</v>
          </cell>
          <cell r="C87">
            <v>0</v>
          </cell>
          <cell r="D87">
            <v>0</v>
          </cell>
        </row>
        <row r="88">
          <cell r="B88">
            <v>899319</v>
          </cell>
          <cell r="C88">
            <v>0</v>
          </cell>
          <cell r="D88">
            <v>0</v>
          </cell>
        </row>
        <row r="89">
          <cell r="B89">
            <v>0</v>
          </cell>
          <cell r="C89">
            <v>0</v>
          </cell>
          <cell r="D89">
            <v>0</v>
          </cell>
        </row>
        <row r="90">
          <cell r="B90">
            <v>0</v>
          </cell>
          <cell r="C90">
            <v>0</v>
          </cell>
          <cell r="D90">
            <v>0</v>
          </cell>
        </row>
        <row r="93">
          <cell r="B93">
            <v>15418816.289999999</v>
          </cell>
          <cell r="C93">
            <v>1277632.6599999997</v>
          </cell>
          <cell r="D93">
            <v>0</v>
          </cell>
        </row>
        <row r="95">
          <cell r="B95">
            <v>0</v>
          </cell>
          <cell r="C95">
            <v>0</v>
          </cell>
          <cell r="D95">
            <v>0</v>
          </cell>
        </row>
        <row r="98">
          <cell r="B98">
            <v>0</v>
          </cell>
          <cell r="C98">
            <v>0</v>
          </cell>
          <cell r="D98">
            <v>0</v>
          </cell>
        </row>
        <row r="99">
          <cell r="B99">
            <v>0</v>
          </cell>
          <cell r="C99">
            <v>0</v>
          </cell>
          <cell r="D99">
            <v>0</v>
          </cell>
        </row>
        <row r="100">
          <cell r="B100">
            <v>0</v>
          </cell>
          <cell r="C100">
            <v>0</v>
          </cell>
          <cell r="D100">
            <v>0</v>
          </cell>
        </row>
        <row r="101">
          <cell r="B101">
            <v>0</v>
          </cell>
          <cell r="C101">
            <v>0</v>
          </cell>
          <cell r="D101">
            <v>0</v>
          </cell>
        </row>
        <row r="102">
          <cell r="B102">
            <v>0</v>
          </cell>
          <cell r="C102">
            <v>0</v>
          </cell>
          <cell r="D102">
            <v>0</v>
          </cell>
        </row>
        <row r="103">
          <cell r="B103">
            <v>0</v>
          </cell>
          <cell r="C103">
            <v>0</v>
          </cell>
          <cell r="D103">
            <v>0</v>
          </cell>
        </row>
        <row r="104">
          <cell r="B104">
            <v>0</v>
          </cell>
          <cell r="C104">
            <v>0</v>
          </cell>
          <cell r="D104">
            <v>0</v>
          </cell>
        </row>
        <row r="105">
          <cell r="B105">
            <v>0</v>
          </cell>
          <cell r="C105">
            <v>0</v>
          </cell>
          <cell r="D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</row>
        <row r="107">
          <cell r="B107">
            <v>0</v>
          </cell>
          <cell r="C107">
            <v>0</v>
          </cell>
          <cell r="D107">
            <v>0</v>
          </cell>
        </row>
        <row r="108">
          <cell r="B108">
            <v>0</v>
          </cell>
          <cell r="C108">
            <v>0</v>
          </cell>
          <cell r="D108">
            <v>0</v>
          </cell>
        </row>
        <row r="109">
          <cell r="B109">
            <v>0</v>
          </cell>
          <cell r="C109">
            <v>0</v>
          </cell>
          <cell r="D109">
            <v>0</v>
          </cell>
        </row>
        <row r="110">
          <cell r="B110">
            <v>0</v>
          </cell>
          <cell r="C110">
            <v>0</v>
          </cell>
          <cell r="D110">
            <v>0</v>
          </cell>
        </row>
        <row r="111">
          <cell r="B111">
            <v>0</v>
          </cell>
          <cell r="C111">
            <v>0</v>
          </cell>
          <cell r="D111">
            <v>0</v>
          </cell>
        </row>
        <row r="112">
          <cell r="B112">
            <v>0</v>
          </cell>
          <cell r="C112">
            <v>0</v>
          </cell>
          <cell r="D112">
            <v>0</v>
          </cell>
        </row>
        <row r="120">
          <cell r="B120">
            <v>15631576.09</v>
          </cell>
          <cell r="C120">
            <v>1129334.76</v>
          </cell>
          <cell r="D120">
            <v>0</v>
          </cell>
        </row>
        <row r="122">
          <cell r="B122">
            <v>2578084.6487835948</v>
          </cell>
          <cell r="C122">
            <v>423369.3112164053</v>
          </cell>
          <cell r="D122">
            <v>0</v>
          </cell>
        </row>
        <row r="123">
          <cell r="B123">
            <v>544206.23382549558</v>
          </cell>
          <cell r="C123">
            <v>89368.756174504466</v>
          </cell>
          <cell r="D123">
            <v>0</v>
          </cell>
        </row>
        <row r="124">
          <cell r="B124">
            <v>2033878.4149580994</v>
          </cell>
          <cell r="C124">
            <v>334000.55504190084</v>
          </cell>
          <cell r="D124">
            <v>0</v>
          </cell>
        </row>
        <row r="125">
          <cell r="B125">
            <v>0</v>
          </cell>
          <cell r="C125">
            <v>0</v>
          </cell>
          <cell r="D125">
            <v>0</v>
          </cell>
        </row>
        <row r="127">
          <cell r="B127">
            <v>0</v>
          </cell>
          <cell r="C127">
            <v>0</v>
          </cell>
          <cell r="D127">
            <v>0</v>
          </cell>
        </row>
        <row r="128">
          <cell r="B128">
            <v>0</v>
          </cell>
          <cell r="C128">
            <v>0</v>
          </cell>
          <cell r="D128">
            <v>0</v>
          </cell>
        </row>
        <row r="130">
          <cell r="B130">
            <v>0</v>
          </cell>
          <cell r="C130">
            <v>0</v>
          </cell>
          <cell r="D130">
            <v>0</v>
          </cell>
        </row>
        <row r="131">
          <cell r="B131">
            <v>50000</v>
          </cell>
          <cell r="C131">
            <v>0</v>
          </cell>
          <cell r="D131">
            <v>0</v>
          </cell>
        </row>
        <row r="133">
          <cell r="B133">
            <v>0</v>
          </cell>
          <cell r="C133">
            <v>0</v>
          </cell>
          <cell r="D133">
            <v>0</v>
          </cell>
        </row>
        <row r="134">
          <cell r="B134">
            <v>0</v>
          </cell>
          <cell r="C134">
            <v>0</v>
          </cell>
          <cell r="D134">
            <v>0</v>
          </cell>
        </row>
        <row r="136">
          <cell r="B136">
            <v>802277.03999999992</v>
          </cell>
          <cell r="C136">
            <v>57148.47</v>
          </cell>
          <cell r="D136">
            <v>0</v>
          </cell>
        </row>
        <row r="137">
          <cell r="B137">
            <v>0</v>
          </cell>
          <cell r="C137">
            <v>0</v>
          </cell>
          <cell r="D137">
            <v>0</v>
          </cell>
        </row>
        <row r="138">
          <cell r="B138">
            <v>61477.34</v>
          </cell>
          <cell r="C138">
            <v>629.96</v>
          </cell>
          <cell r="D138">
            <v>0</v>
          </cell>
        </row>
        <row r="139">
          <cell r="B139">
            <v>46199.56</v>
          </cell>
          <cell r="C139">
            <v>3240</v>
          </cell>
          <cell r="D139">
            <v>0</v>
          </cell>
        </row>
        <row r="140">
          <cell r="B140">
            <v>0</v>
          </cell>
          <cell r="C140">
            <v>0</v>
          </cell>
          <cell r="D140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</row>
      </sheetData>
      <sheetData sheetId="5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nagrafiche"/>
      <sheetName val="AMBITI"/>
      <sheetName val="Driver Componenti MTR"/>
      <sheetName val="Driver Ambiti"/>
      <sheetName val="Driver MultiAmbito"/>
      <sheetName val="Criteri Componenti"/>
      <sheetName val="BdV"/>
      <sheetName val="CE TIUC"/>
      <sheetName val="CE SCa"/>
      <sheetName val="CE SCb"/>
      <sheetName val="CE SCc"/>
      <sheetName val="CE SCd"/>
      <sheetName val="CE SCe"/>
      <sheetName val="CE SCf"/>
      <sheetName val="CE SCg"/>
      <sheetName val="CE SCh"/>
      <sheetName val="CE SCi"/>
      <sheetName val="CE SCj"/>
      <sheetName val="CE SCk"/>
      <sheetName val="CE FOCa"/>
      <sheetName val="CE FOCb"/>
      <sheetName val="CE FOCc"/>
      <sheetName val="CE FOCd"/>
      <sheetName val="CE FOCe"/>
      <sheetName val="CE FOCf"/>
      <sheetName val="CE FOCg"/>
      <sheetName val="CE FOCh"/>
      <sheetName val="CE FOCi"/>
      <sheetName val="CE FOCj"/>
      <sheetName val="CE FOCk"/>
      <sheetName val="CE FOCl"/>
      <sheetName val="CE FOCm"/>
      <sheetName val="CE FOCn"/>
      <sheetName val="CE FOCo"/>
      <sheetName val="CE MTR"/>
      <sheetName val="DRIVER SC"/>
      <sheetName val="DRIVER FOC"/>
      <sheetName val="RIBA SC"/>
      <sheetName val="RIBA FOC"/>
      <sheetName val="CE CRT"/>
      <sheetName val="CE CTS"/>
      <sheetName val="CE CTR"/>
      <sheetName val="CE CRD"/>
      <sheetName val="CE AR"/>
      <sheetName val="CE AR SC"/>
      <sheetName val="CE CSL"/>
      <sheetName val="CE CARC"/>
      <sheetName val="CE CGG"/>
      <sheetName val="CE CCD"/>
      <sheetName val="CE COal"/>
      <sheetName val="CE ACC"/>
      <sheetName val="Dettaglio PR"/>
      <sheetName val="CE COI_V"/>
      <sheetName val="CE COI_F"/>
      <sheetName val="CE CQ_V"/>
      <sheetName val="CE CQ_F"/>
      <sheetName val="CE CO116_V"/>
      <sheetName val="CE CO116_F"/>
      <sheetName val="CIN"/>
      <sheetName val="Export_CO"/>
      <sheetName val="BdV_Ki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>
        <row r="6">
          <cell r="B6">
            <v>125057.40000000001</v>
          </cell>
          <cell r="D6">
            <v>13965.22</v>
          </cell>
        </row>
        <row r="7">
          <cell r="B7">
            <v>270009.28999999998</v>
          </cell>
          <cell r="D7">
            <v>37164.800000000003</v>
          </cell>
        </row>
        <row r="8">
          <cell r="B8">
            <v>57538.400000000001</v>
          </cell>
          <cell r="D8">
            <v>643.57000000000005</v>
          </cell>
        </row>
        <row r="9">
          <cell r="B9">
            <v>681254</v>
          </cell>
          <cell r="D9">
            <v>51937.85</v>
          </cell>
        </row>
        <row r="10">
          <cell r="B10">
            <v>-62.16</v>
          </cell>
          <cell r="D10">
            <v>0</v>
          </cell>
        </row>
        <row r="11">
          <cell r="B11">
            <v>9984.1</v>
          </cell>
          <cell r="D11">
            <v>902.31</v>
          </cell>
        </row>
        <row r="13">
          <cell r="B13">
            <v>0</v>
          </cell>
          <cell r="D13">
            <v>0</v>
          </cell>
        </row>
        <row r="14">
          <cell r="B14">
            <v>0</v>
          </cell>
          <cell r="D14">
            <v>188532.03</v>
          </cell>
        </row>
        <row r="15">
          <cell r="B15">
            <v>0</v>
          </cell>
          <cell r="D15">
            <v>0</v>
          </cell>
        </row>
        <row r="16">
          <cell r="B16">
            <v>0</v>
          </cell>
          <cell r="D16">
            <v>0</v>
          </cell>
        </row>
        <row r="17">
          <cell r="B17">
            <v>0</v>
          </cell>
          <cell r="D17">
            <v>0</v>
          </cell>
        </row>
        <row r="18">
          <cell r="B18">
            <v>0</v>
          </cell>
          <cell r="D18">
            <v>0</v>
          </cell>
        </row>
        <row r="20">
          <cell r="B20">
            <v>0</v>
          </cell>
          <cell r="D20">
            <v>0</v>
          </cell>
        </row>
        <row r="21">
          <cell r="B21">
            <v>2652068.9500000002</v>
          </cell>
          <cell r="D21">
            <v>0</v>
          </cell>
        </row>
        <row r="22">
          <cell r="B22">
            <v>0</v>
          </cell>
          <cell r="D22">
            <v>0</v>
          </cell>
        </row>
        <row r="23">
          <cell r="B23">
            <v>0</v>
          </cell>
          <cell r="D23">
            <v>0</v>
          </cell>
        </row>
        <row r="24">
          <cell r="B24">
            <v>0</v>
          </cell>
          <cell r="D24">
            <v>0</v>
          </cell>
        </row>
        <row r="25">
          <cell r="B25">
            <v>0</v>
          </cell>
          <cell r="D25">
            <v>0</v>
          </cell>
        </row>
        <row r="27">
          <cell r="B27">
            <v>558289.04999999993</v>
          </cell>
          <cell r="D27">
            <v>58270.740000000005</v>
          </cell>
        </row>
        <row r="28">
          <cell r="B28">
            <v>1162435.02</v>
          </cell>
          <cell r="D28">
            <v>147809.79</v>
          </cell>
        </row>
        <row r="29">
          <cell r="B29">
            <v>242789.82</v>
          </cell>
          <cell r="D29">
            <v>2885.32</v>
          </cell>
        </row>
        <row r="30">
          <cell r="B30">
            <v>3020274.86</v>
          </cell>
          <cell r="D30">
            <v>205957.72</v>
          </cell>
        </row>
        <row r="31">
          <cell r="B31">
            <v>-270.62</v>
          </cell>
          <cell r="D31">
            <v>0</v>
          </cell>
        </row>
        <row r="32">
          <cell r="B32">
            <v>44614.009999999995</v>
          </cell>
          <cell r="D32">
            <v>3801.81</v>
          </cell>
        </row>
        <row r="34">
          <cell r="B34">
            <v>735237.04</v>
          </cell>
          <cell r="D34">
            <v>47492.01</v>
          </cell>
        </row>
        <row r="35">
          <cell r="B35">
            <v>26617.1</v>
          </cell>
          <cell r="D35">
            <v>0</v>
          </cell>
        </row>
        <row r="37">
          <cell r="B37">
            <v>671335.83</v>
          </cell>
          <cell r="D37">
            <v>40885.03</v>
          </cell>
        </row>
        <row r="38">
          <cell r="B38">
            <v>0</v>
          </cell>
          <cell r="D38">
            <v>0</v>
          </cell>
        </row>
        <row r="40">
          <cell r="B40">
            <v>173307</v>
          </cell>
          <cell r="D40">
            <v>0</v>
          </cell>
        </row>
        <row r="41">
          <cell r="B41">
            <v>286705.51</v>
          </cell>
          <cell r="D41">
            <v>52166.45</v>
          </cell>
        </row>
        <row r="42">
          <cell r="B42">
            <v>176510.35</v>
          </cell>
          <cell r="D42">
            <v>0</v>
          </cell>
        </row>
        <row r="43">
          <cell r="B43">
            <v>1716357.73</v>
          </cell>
          <cell r="D43">
            <v>0</v>
          </cell>
        </row>
        <row r="44">
          <cell r="B44">
            <v>0</v>
          </cell>
          <cell r="D44">
            <v>0</v>
          </cell>
        </row>
        <row r="45">
          <cell r="B45">
            <v>-122.97000000000025</v>
          </cell>
          <cell r="D45">
            <v>0</v>
          </cell>
        </row>
        <row r="47">
          <cell r="B47">
            <v>77.209999999999994</v>
          </cell>
          <cell r="D47">
            <v>0</v>
          </cell>
        </row>
        <row r="48">
          <cell r="B48">
            <v>264631.40999999997</v>
          </cell>
          <cell r="D48">
            <v>0</v>
          </cell>
        </row>
        <row r="49">
          <cell r="B49">
            <v>26109.25</v>
          </cell>
          <cell r="D49">
            <v>0</v>
          </cell>
        </row>
        <row r="50">
          <cell r="B50">
            <v>355961.21</v>
          </cell>
          <cell r="D50">
            <v>0</v>
          </cell>
        </row>
        <row r="51">
          <cell r="B51">
            <v>0</v>
          </cell>
          <cell r="D51">
            <v>0</v>
          </cell>
        </row>
        <row r="52">
          <cell r="B52">
            <v>0</v>
          </cell>
          <cell r="D52">
            <v>0</v>
          </cell>
        </row>
        <row r="54">
          <cell r="B54">
            <v>0</v>
          </cell>
          <cell r="D54">
            <v>0</v>
          </cell>
        </row>
        <row r="55">
          <cell r="B55">
            <v>1745407.8599999999</v>
          </cell>
          <cell r="D55">
            <v>48000</v>
          </cell>
        </row>
        <row r="56">
          <cell r="B56">
            <v>0</v>
          </cell>
          <cell r="D56">
            <v>0</v>
          </cell>
        </row>
        <row r="57">
          <cell r="B57">
            <v>0</v>
          </cell>
          <cell r="D57">
            <v>0</v>
          </cell>
        </row>
        <row r="58">
          <cell r="B58">
            <v>0</v>
          </cell>
          <cell r="D58">
            <v>0</v>
          </cell>
        </row>
        <row r="59">
          <cell r="B59">
            <v>-15450</v>
          </cell>
          <cell r="D59">
            <v>0</v>
          </cell>
        </row>
        <row r="61">
          <cell r="B61">
            <v>0</v>
          </cell>
          <cell r="D61">
            <v>0</v>
          </cell>
        </row>
        <row r="62">
          <cell r="B62">
            <v>0</v>
          </cell>
          <cell r="D62">
            <v>0</v>
          </cell>
        </row>
        <row r="63">
          <cell r="B63">
            <v>0</v>
          </cell>
          <cell r="D63">
            <v>0</v>
          </cell>
        </row>
        <row r="64">
          <cell r="B64">
            <v>0</v>
          </cell>
          <cell r="D64">
            <v>0</v>
          </cell>
        </row>
        <row r="65">
          <cell r="B65">
            <v>0</v>
          </cell>
          <cell r="D65">
            <v>0</v>
          </cell>
        </row>
        <row r="66">
          <cell r="B66">
            <v>0</v>
          </cell>
          <cell r="D66">
            <v>0</v>
          </cell>
        </row>
        <row r="68">
          <cell r="B68">
            <v>0</v>
          </cell>
          <cell r="D68">
            <v>0</v>
          </cell>
        </row>
        <row r="69">
          <cell r="B69">
            <v>0</v>
          </cell>
          <cell r="D69">
            <v>0</v>
          </cell>
        </row>
        <row r="70">
          <cell r="B70">
            <v>0</v>
          </cell>
          <cell r="D70">
            <v>0</v>
          </cell>
        </row>
        <row r="71">
          <cell r="B71">
            <v>0</v>
          </cell>
          <cell r="D71">
            <v>0</v>
          </cell>
        </row>
        <row r="72">
          <cell r="B72">
            <v>0</v>
          </cell>
          <cell r="D72">
            <v>0</v>
          </cell>
        </row>
        <row r="73">
          <cell r="B73">
            <v>0</v>
          </cell>
          <cell r="D73">
            <v>0</v>
          </cell>
        </row>
        <row r="75">
          <cell r="B75">
            <v>0</v>
          </cell>
          <cell r="D75">
            <v>0</v>
          </cell>
        </row>
        <row r="76">
          <cell r="B76">
            <v>899319</v>
          </cell>
          <cell r="D76">
            <v>0</v>
          </cell>
        </row>
        <row r="77">
          <cell r="B77">
            <v>0</v>
          </cell>
          <cell r="D77">
            <v>0</v>
          </cell>
        </row>
        <row r="78">
          <cell r="B78">
            <v>0</v>
          </cell>
          <cell r="D78">
            <v>0</v>
          </cell>
        </row>
        <row r="79">
          <cell r="B79">
            <v>0</v>
          </cell>
          <cell r="D79">
            <v>0</v>
          </cell>
        </row>
        <row r="80">
          <cell r="B80">
            <v>0</v>
          </cell>
          <cell r="D80">
            <v>0</v>
          </cell>
        </row>
        <row r="81">
          <cell r="B81">
            <v>0</v>
          </cell>
          <cell r="D81">
            <v>0</v>
          </cell>
        </row>
        <row r="82">
          <cell r="B82">
            <v>0</v>
          </cell>
          <cell r="D82">
            <v>0</v>
          </cell>
        </row>
        <row r="83">
          <cell r="B83">
            <v>0</v>
          </cell>
          <cell r="D83">
            <v>0</v>
          </cell>
        </row>
        <row r="84">
          <cell r="B84">
            <v>0</v>
          </cell>
          <cell r="D84">
            <v>0</v>
          </cell>
        </row>
        <row r="85">
          <cell r="B85">
            <v>0</v>
          </cell>
          <cell r="D85">
            <v>0</v>
          </cell>
        </row>
        <row r="86">
          <cell r="B86">
            <v>0</v>
          </cell>
          <cell r="D86">
            <v>0</v>
          </cell>
        </row>
        <row r="87">
          <cell r="B87">
            <v>0</v>
          </cell>
          <cell r="D87">
            <v>0</v>
          </cell>
        </row>
        <row r="88">
          <cell r="B88">
            <v>899319</v>
          </cell>
          <cell r="D88">
            <v>0</v>
          </cell>
        </row>
        <row r="89">
          <cell r="B89">
            <v>0</v>
          </cell>
          <cell r="D89">
            <v>0</v>
          </cell>
        </row>
        <row r="90">
          <cell r="B90">
            <v>0</v>
          </cell>
          <cell r="D90">
            <v>0</v>
          </cell>
        </row>
        <row r="95">
          <cell r="B95">
            <v>0</v>
          </cell>
          <cell r="C95">
            <v>0</v>
          </cell>
          <cell r="D95">
            <v>0</v>
          </cell>
        </row>
        <row r="98">
          <cell r="B98">
            <v>0</v>
          </cell>
          <cell r="D98">
            <v>0</v>
          </cell>
        </row>
        <row r="99">
          <cell r="B99">
            <v>0</v>
          </cell>
          <cell r="D99">
            <v>0</v>
          </cell>
        </row>
        <row r="100">
          <cell r="B100">
            <v>0</v>
          </cell>
          <cell r="D100">
            <v>0</v>
          </cell>
        </row>
        <row r="101">
          <cell r="B101">
            <v>0</v>
          </cell>
          <cell r="D101">
            <v>0</v>
          </cell>
        </row>
        <row r="102">
          <cell r="B102">
            <v>0</v>
          </cell>
          <cell r="D102">
            <v>0</v>
          </cell>
        </row>
        <row r="103">
          <cell r="B103">
            <v>0</v>
          </cell>
          <cell r="D103">
            <v>0</v>
          </cell>
        </row>
        <row r="104">
          <cell r="B104">
            <v>0</v>
          </cell>
          <cell r="D104">
            <v>0</v>
          </cell>
        </row>
        <row r="105">
          <cell r="B105">
            <v>0</v>
          </cell>
          <cell r="D105">
            <v>0</v>
          </cell>
        </row>
        <row r="106">
          <cell r="B106">
            <v>0</v>
          </cell>
          <cell r="D106">
            <v>0</v>
          </cell>
        </row>
        <row r="107">
          <cell r="B107">
            <v>0</v>
          </cell>
          <cell r="D107">
            <v>0</v>
          </cell>
        </row>
        <row r="108">
          <cell r="B108">
            <v>0</v>
          </cell>
          <cell r="D108">
            <v>0</v>
          </cell>
        </row>
        <row r="109">
          <cell r="B109">
            <v>0</v>
          </cell>
          <cell r="D109">
            <v>0</v>
          </cell>
        </row>
        <row r="110">
          <cell r="B110">
            <v>0</v>
          </cell>
          <cell r="D110">
            <v>0</v>
          </cell>
        </row>
        <row r="111">
          <cell r="B111">
            <v>0</v>
          </cell>
          <cell r="D111">
            <v>0</v>
          </cell>
        </row>
        <row r="112">
          <cell r="B112">
            <v>0</v>
          </cell>
          <cell r="D112">
            <v>0</v>
          </cell>
        </row>
        <row r="120">
          <cell r="B120">
            <v>14504625.279999999</v>
          </cell>
          <cell r="D120">
            <v>1935401.68</v>
          </cell>
        </row>
        <row r="122">
          <cell r="B122">
            <v>988341.67339806445</v>
          </cell>
          <cell r="D122">
            <v>100251.46125347161</v>
          </cell>
        </row>
        <row r="123">
          <cell r="B123">
            <v>333869.89483903546</v>
          </cell>
          <cell r="D123">
            <v>33865.762951265795</v>
          </cell>
        </row>
        <row r="124">
          <cell r="B124">
            <v>654471.77855902899</v>
          </cell>
          <cell r="D124">
            <v>66385.698302205827</v>
          </cell>
        </row>
        <row r="125">
          <cell r="B125">
            <v>0</v>
          </cell>
          <cell r="D125">
            <v>0</v>
          </cell>
        </row>
        <row r="127">
          <cell r="B127">
            <v>0</v>
          </cell>
          <cell r="D127">
            <v>0</v>
          </cell>
        </row>
        <row r="128">
          <cell r="B128">
            <v>0</v>
          </cell>
          <cell r="D128">
            <v>0</v>
          </cell>
        </row>
        <row r="130">
          <cell r="B130">
            <v>0</v>
          </cell>
          <cell r="D130">
            <v>0</v>
          </cell>
        </row>
        <row r="131">
          <cell r="B131">
            <v>0</v>
          </cell>
          <cell r="D131">
            <v>0</v>
          </cell>
        </row>
        <row r="133">
          <cell r="B133">
            <v>0</v>
          </cell>
          <cell r="D133">
            <v>0</v>
          </cell>
        </row>
        <row r="134">
          <cell r="B134">
            <v>0</v>
          </cell>
          <cell r="D134">
            <v>0</v>
          </cell>
        </row>
        <row r="136">
          <cell r="B136">
            <v>691188.35</v>
          </cell>
          <cell r="D136">
            <v>47492.01</v>
          </cell>
        </row>
        <row r="137">
          <cell r="B137">
            <v>0</v>
          </cell>
          <cell r="D137">
            <v>0</v>
          </cell>
        </row>
        <row r="138">
          <cell r="B138">
            <v>44048.69</v>
          </cell>
          <cell r="D138">
            <v>0</v>
          </cell>
        </row>
        <row r="139">
          <cell r="B139">
            <v>26617.1</v>
          </cell>
          <cell r="D139">
            <v>0</v>
          </cell>
        </row>
        <row r="140">
          <cell r="B140">
            <v>0</v>
          </cell>
          <cell r="D140">
            <v>0</v>
          </cell>
        </row>
        <row r="141">
          <cell r="B141">
            <v>0</v>
          </cell>
          <cell r="D141">
            <v>0</v>
          </cell>
        </row>
      </sheetData>
      <sheetData sheetId="6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heck"/>
      <sheetName val="Istruzioni"/>
      <sheetName val="Azienda_Imp"/>
      <sheetName val="IN_Cespiti_Imp"/>
      <sheetName val="IN_Cespiti_Diretti_Imp"/>
      <sheetName val="IN_Cespiti_MultiA_Imp"/>
      <sheetName val="IN_LIC_Imp"/>
      <sheetName val="Parametri"/>
      <sheetName val="Anagrafica"/>
      <sheetName val="Driver Perimetro"/>
      <sheetName val="Driver Ambiti"/>
      <sheetName val="INPUT_GEST"/>
      <sheetName val="INPUT_COM"/>
      <sheetName val="IN_LIC"/>
      <sheetName val="DB_IN_Cespiti"/>
      <sheetName val="IN_Cespiti"/>
      <sheetName val="IN_Cespiti_Diretti_AMM_26"/>
      <sheetName val="IN_Cespiti_Diretti_AMM_27"/>
      <sheetName val="IN_Cespiti_Diretti_AMM_28"/>
      <sheetName val="IN_Cespiti_Diretti_AMM_29"/>
      <sheetName val="IN_Cespiti_Diretti_IMN_26"/>
      <sheetName val="IN_Cespiti_Diretti_IMN_27"/>
      <sheetName val="IN_Cespiti_Diretti_IMN_28"/>
      <sheetName val="IN_Cespiti_Diretti_IMN_29"/>
      <sheetName val="IN_Cespiti_MultiA_AMM_26"/>
      <sheetName val="IN_Cespiti_MultiA_AMM_27"/>
      <sheetName val="IN_Cespiti_MultiA_AMM_28"/>
      <sheetName val="IN_Cespiti_MultiA_AMM_29"/>
      <sheetName val="IN_Cespiti_MultiA_IMN_26"/>
      <sheetName val="IN_Cespiti_MultiA_IMN_27"/>
      <sheetName val="IN_Cespiti_MultiA_IMN_28"/>
      <sheetName val="IN_Cespiti_MultiA_IMN_29"/>
      <sheetName val="CK_26_GEST"/>
      <sheetName val="CK_27_GEST"/>
      <sheetName val="CK_28_GEST"/>
      <sheetName val="CK_29_GEST"/>
      <sheetName val="CK_26_COM"/>
      <sheetName val="CK_27_COM"/>
      <sheetName val="CK_28_COM"/>
      <sheetName val="CK_29_COM"/>
      <sheetName val="CK_26_RD_GEST"/>
      <sheetName val="CK_26_RD_COM"/>
      <sheetName val="IN_Cespiti_Export_CI"/>
      <sheetName val="IN_Cespiti_Export_FACI"/>
      <sheetName val="IN_Cespiti_Export_CFP"/>
      <sheetName val="IN_Cespiti_Export_FACFP"/>
      <sheetName val="IN_LIC_Ex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8">
          <cell r="B8" t="str">
            <v>Costi d'uso del capitale</v>
          </cell>
          <cell r="C8"/>
          <cell r="D8" t="str">
            <v>Check</v>
          </cell>
          <cell r="E8" t="str">
            <v>AGESP</v>
          </cell>
          <cell r="F8" t="str">
            <v>BUSTO ARSIZIO</v>
          </cell>
          <cell r="G8" t="str">
            <v>FAGNANO OLONA</v>
          </cell>
          <cell r="H8" t="str">
            <v>VENEGONO SUPERIORE</v>
          </cell>
        </row>
        <row r="9">
          <cell r="A9" t="str">
            <v>AMM</v>
          </cell>
          <cell r="B9" t="str">
            <v>Ammortamento</v>
          </cell>
          <cell r="C9" t="str">
            <v>AMMa</v>
          </cell>
          <cell r="D9">
            <v>0</v>
          </cell>
          <cell r="E9">
            <v>823551.54593182087</v>
          </cell>
          <cell r="F9">
            <v>776842.25678022834</v>
          </cell>
          <cell r="G9">
            <v>46709.289151592602</v>
          </cell>
          <cell r="H9">
            <v>0</v>
          </cell>
        </row>
        <row r="10">
          <cell r="B10" t="str">
            <v>Accantonamenti</v>
          </cell>
          <cell r="C10" t="str">
            <v>Acca</v>
          </cell>
          <cell r="D10">
            <v>0</v>
          </cell>
          <cell r="E10">
            <v>928313.04456000007</v>
          </cell>
          <cell r="F10">
            <v>928313.04456000007</v>
          </cell>
          <cell r="G10">
            <v>0</v>
          </cell>
          <cell r="H10">
            <v>0</v>
          </cell>
        </row>
        <row r="11">
          <cell r="A11"/>
          <cell r="B11" t="str">
            <v xml:space="preserve"> - di cui costi di gestione post-operativa delle discariche</v>
          </cell>
          <cell r="C11"/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/>
          <cell r="B12" t="str">
            <v xml:space="preserve"> - di cui per crediti</v>
          </cell>
          <cell r="C12"/>
          <cell r="D12">
            <v>0</v>
          </cell>
          <cell r="E12">
            <v>928313.04456000007</v>
          </cell>
          <cell r="F12">
            <v>928313.04456000007</v>
          </cell>
          <cell r="G12">
            <v>0</v>
          </cell>
          <cell r="H12">
            <v>0</v>
          </cell>
        </row>
        <row r="13">
          <cell r="A13"/>
          <cell r="B13" t="str">
            <v>- di cui per rischi e oneri previsti da normativa di settore e/o dal contratto di affidamento</v>
          </cell>
          <cell r="C13"/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</row>
        <row r="14">
          <cell r="A14"/>
          <cell r="B14" t="str">
            <v xml:space="preserve"> - di cui per altri non in eccesso rispetto a norme tributarie</v>
          </cell>
          <cell r="C14"/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</row>
        <row r="15">
          <cell r="B15" t="str">
            <v>Remunerazione</v>
          </cell>
          <cell r="C15" t="str">
            <v>Ra</v>
          </cell>
          <cell r="D15">
            <v>0</v>
          </cell>
          <cell r="E15">
            <v>619602.37138210738</v>
          </cell>
          <cell r="F15">
            <v>564685.85927193251</v>
          </cell>
          <cell r="G15">
            <v>35793.728642320741</v>
          </cell>
          <cell r="H15">
            <v>19122.783467853966</v>
          </cell>
        </row>
        <row r="16">
          <cell r="A16" t="str">
            <v>R_LIC</v>
          </cell>
          <cell r="B16" t="str">
            <v>Remunerazione immobilizzazioni in corso</v>
          </cell>
          <cell r="C16" t="str">
            <v>RLIC,a</v>
          </cell>
          <cell r="D16">
            <v>0</v>
          </cell>
          <cell r="E16">
            <v>4787.5776740000001</v>
          </cell>
          <cell r="F16">
            <v>4787.5776740000001</v>
          </cell>
          <cell r="G16">
            <v>0</v>
          </cell>
          <cell r="H16">
            <v>0</v>
          </cell>
        </row>
        <row r="17">
          <cell r="A17" t="str">
            <v>CK_PROPR</v>
          </cell>
          <cell r="B17" t="str">
            <v>Costi d'uso del capitale proprietari diversi dal gestore (art.13.11 MTR3)</v>
          </cell>
          <cell r="C17" t="str">
            <v>CKLprop,a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</row>
        <row r="18">
          <cell r="B18" t="str">
            <v>Costi d'uso del capitale</v>
          </cell>
          <cell r="C18" t="str">
            <v>CKa</v>
          </cell>
          <cell r="D18">
            <v>0</v>
          </cell>
          <cell r="E18">
            <v>2376254.5395479286</v>
          </cell>
          <cell r="F18">
            <v>2274628.7382861609</v>
          </cell>
          <cell r="G18">
            <v>82503.017793913343</v>
          </cell>
          <cell r="H18">
            <v>19122.783467853966</v>
          </cell>
        </row>
        <row r="21">
          <cell r="A21"/>
          <cell r="B21" t="str">
            <v>Calcolo componenti CK Cespiti del gestore</v>
          </cell>
        </row>
        <row r="23">
          <cell r="B23" t="str">
            <v>Cespiti gestore</v>
          </cell>
        </row>
        <row r="24">
          <cell r="E24">
            <v>2026</v>
          </cell>
          <cell r="F24"/>
          <cell r="G24"/>
          <cell r="H24"/>
        </row>
        <row r="25">
          <cell r="D25" t="str">
            <v>Check</v>
          </cell>
          <cell r="E25" t="str">
            <v>AGESP</v>
          </cell>
          <cell r="F25" t="str">
            <v>BUSTO ARSIZIO</v>
          </cell>
          <cell r="G25" t="str">
            <v>FAGNANO OLONA</v>
          </cell>
          <cell r="H25" t="str">
            <v>VENEGONO SUPERIORE</v>
          </cell>
        </row>
        <row r="26">
          <cell r="B26" t="str">
            <v>Immobilizzazioni nette</v>
          </cell>
          <cell r="C26" t="str">
            <v>IMNa</v>
          </cell>
          <cell r="D26">
            <v>0</v>
          </cell>
          <cell r="E26">
            <v>9384223.1673373859</v>
          </cell>
          <cell r="F26">
            <v>8575294.9675056878</v>
          </cell>
          <cell r="G26">
            <v>808928.1998316946</v>
          </cell>
          <cell r="H26">
            <v>0</v>
          </cell>
        </row>
        <row r="27">
          <cell r="A27" t="str">
            <v>IMN_PRE_18</v>
          </cell>
          <cell r="B27"/>
          <cell r="C27" t="str">
            <v>IMNante2018</v>
          </cell>
          <cell r="D27">
            <v>0</v>
          </cell>
          <cell r="E27">
            <v>6276170.1230943035</v>
          </cell>
          <cell r="F27">
            <v>5617530.7163216472</v>
          </cell>
          <cell r="G27">
            <v>658639.40677265439</v>
          </cell>
          <cell r="H27">
            <v>0</v>
          </cell>
        </row>
        <row r="28">
          <cell r="A28" t="str">
            <v>IMN_POST_18</v>
          </cell>
          <cell r="B28"/>
          <cell r="C28" t="str">
            <v>IMNdal2018</v>
          </cell>
          <cell r="D28">
            <v>0</v>
          </cell>
          <cell r="E28">
            <v>3108053.0442430829</v>
          </cell>
          <cell r="F28">
            <v>2957764.2511840402</v>
          </cell>
          <cell r="G28">
            <v>150288.79305904027</v>
          </cell>
          <cell r="H28">
            <v>0</v>
          </cell>
        </row>
        <row r="29">
          <cell r="B29" t="str">
            <v>Capitale circolante netto</v>
          </cell>
          <cell r="C29" t="str">
            <v>CCNa</v>
          </cell>
          <cell r="D29">
            <v>0</v>
          </cell>
          <cell r="E29">
            <v>3690462.9955942361</v>
          </cell>
          <cell r="F29">
            <v>3072420.4738218407</v>
          </cell>
          <cell r="G29">
            <v>195641.8014140384</v>
          </cell>
          <cell r="H29">
            <v>422400.72035835613</v>
          </cell>
        </row>
        <row r="30">
          <cell r="A30" t="str">
            <v>PRK_26_GEST</v>
          </cell>
          <cell r="B30" t="str">
            <v>Poste rettificative</v>
          </cell>
          <cell r="C30" t="str">
            <v>PRa</v>
          </cell>
          <cell r="D30">
            <v>0</v>
          </cell>
          <cell r="E30">
            <v>3099739.7063269331</v>
          </cell>
          <cell r="F30">
            <v>2578084.6487835948</v>
          </cell>
          <cell r="G30">
            <v>423369.3112164053</v>
          </cell>
          <cell r="H30">
            <v>98285.74632693296</v>
          </cell>
        </row>
        <row r="31">
          <cell r="B31" t="str">
            <v>CAPITALE INVESTITO NETTO</v>
          </cell>
          <cell r="C31" t="str">
            <v>CINa</v>
          </cell>
          <cell r="D31">
            <v>0</v>
          </cell>
          <cell r="E31">
            <v>9974946.4566046875</v>
          </cell>
          <cell r="F31">
            <v>9069630.7925439347</v>
          </cell>
          <cell r="G31">
            <v>581200.69002932776</v>
          </cell>
          <cell r="H31">
            <v>324114.97403142316</v>
          </cell>
        </row>
        <row r="32">
          <cell r="C32" t="str">
            <v>CIN negativo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</row>
        <row r="33">
          <cell r="B33"/>
        </row>
        <row r="34">
          <cell r="E34">
            <v>2026</v>
          </cell>
          <cell r="F34"/>
          <cell r="G34"/>
          <cell r="H34"/>
        </row>
        <row r="35">
          <cell r="D35" t="str">
            <v>Check</v>
          </cell>
          <cell r="E35" t="str">
            <v>AGESP</v>
          </cell>
          <cell r="F35" t="str">
            <v>BUSTO ARSIZIO</v>
          </cell>
          <cell r="G35" t="str">
            <v>FAGNANO OLONA</v>
          </cell>
          <cell r="H35" t="str">
            <v>VENEGONO SUPERIORE</v>
          </cell>
        </row>
        <row r="36">
          <cell r="A36" t="str">
            <v>A.1_26_GEST</v>
          </cell>
          <cell r="C36" t="str">
            <v>RicaviA1, a-2</v>
          </cell>
          <cell r="D36">
            <v>0</v>
          </cell>
          <cell r="E36">
            <v>18658363.477450982</v>
          </cell>
          <cell r="F36">
            <v>15631576.09</v>
          </cell>
          <cell r="G36">
            <v>1129334.76</v>
          </cell>
          <cell r="H36">
            <v>1897452.6274509802</v>
          </cell>
        </row>
        <row r="37">
          <cell r="A37" t="str">
            <v>B.6_26_GEST</v>
          </cell>
          <cell r="C37" t="str">
            <v>CostiB6,B7</v>
          </cell>
          <cell r="D37">
            <v>0</v>
          </cell>
          <cell r="E37">
            <v>8317893.923137255</v>
          </cell>
          <cell r="F37">
            <v>7120759.0899999999</v>
          </cell>
          <cell r="G37">
            <v>721359.98999999987</v>
          </cell>
          <cell r="H37">
            <v>475774.84313725488</v>
          </cell>
        </row>
        <row r="38">
          <cell r="A38" t="str">
            <v>B.7_26_GEST</v>
          </cell>
          <cell r="C38" t="str">
            <v>CCN</v>
          </cell>
          <cell r="D38">
            <v>0</v>
          </cell>
          <cell r="E38">
            <v>3690462.9955942361</v>
          </cell>
          <cell r="F38">
            <v>3072420.4738218407</v>
          </cell>
          <cell r="G38">
            <v>195641.8014140384</v>
          </cell>
          <cell r="H38">
            <v>422400.72035835613</v>
          </cell>
        </row>
        <row r="40">
          <cell r="B40" t="str">
            <v>Wacc</v>
          </cell>
          <cell r="C40"/>
          <cell r="D40">
            <v>5.8999999999999997E-2</v>
          </cell>
        </row>
        <row r="41">
          <cell r="B41" t="str">
            <v>time lag investimenti realizzati post 2017</v>
          </cell>
          <cell r="C41"/>
          <cell r="D41">
            <v>0.01</v>
          </cell>
        </row>
        <row r="43">
          <cell r="B43" t="str">
            <v>Inflazione 2025</v>
          </cell>
          <cell r="C43"/>
          <cell r="D43">
            <v>0.02</v>
          </cell>
        </row>
        <row r="44">
          <cell r="B44" t="str">
            <v>Inflazione 2026</v>
          </cell>
          <cell r="C44"/>
          <cell r="D44">
            <v>1.2E-2</v>
          </cell>
        </row>
        <row r="45">
          <cell r="A45"/>
        </row>
        <row r="46">
          <cell r="A46"/>
          <cell r="B46" t="str">
            <v>Calcolo CK proprietari diversi dal gestore</v>
          </cell>
        </row>
        <row r="47">
          <cell r="B47"/>
        </row>
        <row r="48">
          <cell r="E48">
            <v>2026</v>
          </cell>
          <cell r="F48"/>
          <cell r="G48"/>
          <cell r="H48"/>
        </row>
        <row r="49">
          <cell r="A49"/>
          <cell r="B49" t="str">
            <v>Cespiti proprietari diversi - Leasing</v>
          </cell>
          <cell r="C49"/>
          <cell r="D49" t="str">
            <v>Check</v>
          </cell>
          <cell r="E49" t="str">
            <v>AGESP</v>
          </cell>
          <cell r="F49" t="str">
            <v>BUSTO ARSIZIO</v>
          </cell>
          <cell r="G49" t="str">
            <v>FAGNANO OLONA</v>
          </cell>
          <cell r="H49" t="str">
            <v>VENEGONO SUPERIORE</v>
          </cell>
        </row>
        <row r="50">
          <cell r="A50"/>
          <cell r="B50" t="str">
            <v>Cespiti proprietari diversi dal gestore - Proprietario1</v>
          </cell>
          <cell r="C50"/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</row>
        <row r="51">
          <cell r="A51"/>
          <cell r="B51" t="str">
            <v>Cespiti proprietari diversi dal gestore - Proprietario2</v>
          </cell>
          <cell r="C51"/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</row>
        <row r="52">
          <cell r="A52"/>
          <cell r="B52" t="str">
            <v>Cespiti proprietari diversi dal gestore - Proprietario3</v>
          </cell>
          <cell r="C52"/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</row>
        <row r="53">
          <cell r="B53" t="str">
            <v>Leasing</v>
          </cell>
          <cell r="C53"/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</row>
        <row r="54">
          <cell r="B54" t="str">
            <v>Cka proprietari diversi dal gestore/leasing da inserire in PEF</v>
          </cell>
          <cell r="C54"/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</row>
        <row r="55">
          <cell r="A55"/>
          <cell r="B55"/>
          <cell r="C55"/>
          <cell r="D55"/>
          <cell r="E55"/>
          <cell r="F55"/>
          <cell r="G55"/>
          <cell r="H55"/>
        </row>
        <row r="56">
          <cell r="E56">
            <v>2026</v>
          </cell>
          <cell r="F56"/>
          <cell r="G56"/>
          <cell r="H56"/>
        </row>
        <row r="57">
          <cell r="B57" t="str">
            <v>Canone/Mutuo/Leasing</v>
          </cell>
          <cell r="C57"/>
          <cell r="D57" t="str">
            <v>Check</v>
          </cell>
          <cell r="E57" t="str">
            <v>AGESP</v>
          </cell>
          <cell r="F57" t="str">
            <v>BUSTO ARSIZIO</v>
          </cell>
          <cell r="G57" t="str">
            <v>FAGNANO OLONA</v>
          </cell>
          <cell r="H57" t="str">
            <v>VENEGONO SUPERIORE</v>
          </cell>
        </row>
        <row r="58">
          <cell r="A58" t="str">
            <v>PR.j_26_GEST</v>
          </cell>
          <cell r="B58" t="str">
            <v>Cespiti proprietari diversi dal gestore - Proprietario1</v>
          </cell>
          <cell r="C58"/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</row>
        <row r="59">
          <cell r="A59" t="str">
            <v>PR.k_26_GEST</v>
          </cell>
          <cell r="B59" t="str">
            <v>Cespiti proprietari diversi dal gestore - Proprietario2</v>
          </cell>
          <cell r="C59"/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</row>
        <row r="60">
          <cell r="A60" t="str">
            <v>PR.l_26_GEST</v>
          </cell>
          <cell r="B60" t="str">
            <v>Cespiti proprietari diversi dal gestore - Proprietario3</v>
          </cell>
          <cell r="C60"/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</row>
        <row r="61">
          <cell r="A61" t="str">
            <v>PR.m_26_GEST</v>
          </cell>
          <cell r="B61" t="str">
            <v>Leasing</v>
          </cell>
          <cell r="C61"/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</row>
        <row r="64">
          <cell r="E64">
            <v>2026</v>
          </cell>
          <cell r="F64"/>
          <cell r="G64"/>
          <cell r="H64"/>
        </row>
        <row r="65">
          <cell r="B65" t="str">
            <v>CKa</v>
          </cell>
          <cell r="C65"/>
          <cell r="D65" t="str">
            <v>Check</v>
          </cell>
          <cell r="E65" t="str">
            <v>AGESP</v>
          </cell>
          <cell r="F65" t="str">
            <v>BUSTO ARSIZIO</v>
          </cell>
          <cell r="G65" t="str">
            <v>FAGNANO OLONA</v>
          </cell>
          <cell r="H65" t="str">
            <v>VENEGONO SUPERIORE</v>
          </cell>
        </row>
        <row r="66">
          <cell r="B66" t="str">
            <v>Cespiti proprietari diversi dal gestore - Proprietario1</v>
          </cell>
          <cell r="C66"/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</row>
        <row r="67">
          <cell r="B67" t="str">
            <v>Cespiti proprietari diversi dal gestore - Proprietario2</v>
          </cell>
          <cell r="C67"/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</row>
        <row r="68">
          <cell r="B68" t="str">
            <v>Cespiti proprietari diversi dal gestore - Proprietario3</v>
          </cell>
          <cell r="C68"/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</row>
        <row r="69">
          <cell r="B69" t="str">
            <v>Leasing</v>
          </cell>
          <cell r="C69"/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</row>
        <row r="72">
          <cell r="E72">
            <v>2026</v>
          </cell>
          <cell r="F72"/>
          <cell r="G72"/>
          <cell r="H72"/>
        </row>
        <row r="73">
          <cell r="B73" t="str">
            <v>AMMa</v>
          </cell>
          <cell r="C73"/>
          <cell r="D73" t="str">
            <v>Check</v>
          </cell>
          <cell r="E73" t="str">
            <v>AGESP</v>
          </cell>
          <cell r="F73" t="str">
            <v>BUSTO ARSIZIO</v>
          </cell>
          <cell r="G73" t="str">
            <v>FAGNANO OLONA</v>
          </cell>
          <cell r="H73" t="str">
            <v>VENEGONO SUPERIORE</v>
          </cell>
        </row>
        <row r="74">
          <cell r="B74" t="str">
            <v>Cespiti proprietari diversi dal gestore - Proprietario1</v>
          </cell>
          <cell r="C74"/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</row>
        <row r="75">
          <cell r="B75" t="str">
            <v>Cespiti proprietari diversi dal gestore - Proprietario2</v>
          </cell>
          <cell r="C75"/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</row>
        <row r="76">
          <cell r="B76" t="str">
            <v>Cespiti proprietari diversi dal gestore - Proprietario3</v>
          </cell>
          <cell r="C76"/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</row>
        <row r="77">
          <cell r="B77" t="str">
            <v>Leasing</v>
          </cell>
          <cell r="C77"/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</row>
        <row r="79">
          <cell r="E79">
            <v>2026</v>
          </cell>
          <cell r="F79"/>
          <cell r="G79"/>
          <cell r="H79"/>
        </row>
        <row r="80">
          <cell r="B80" t="str">
            <v>Ra</v>
          </cell>
          <cell r="C80"/>
          <cell r="D80" t="str">
            <v>Check</v>
          </cell>
          <cell r="E80" t="str">
            <v>AGESP</v>
          </cell>
          <cell r="F80" t="str">
            <v>BUSTO ARSIZIO</v>
          </cell>
          <cell r="G80" t="str">
            <v>FAGNANO OLONA</v>
          </cell>
          <cell r="H80" t="str">
            <v>VENEGONO SUPERIORE</v>
          </cell>
        </row>
        <row r="81">
          <cell r="B81" t="str">
            <v>Cespiti proprietari diversi dal gestore - Proprietario1</v>
          </cell>
          <cell r="C81"/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</row>
        <row r="82">
          <cell r="B82" t="str">
            <v>Cespiti proprietari diversi dal gestore - Proprietario2</v>
          </cell>
          <cell r="C82"/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</row>
        <row r="83">
          <cell r="B83" t="str">
            <v>Cespiti proprietari diversi dal gestore - Proprietario3</v>
          </cell>
          <cell r="C83"/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</row>
        <row r="84">
          <cell r="B84" t="str">
            <v>Leasing</v>
          </cell>
          <cell r="C84"/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</row>
        <row r="86">
          <cell r="E86">
            <v>2026</v>
          </cell>
          <cell r="F86"/>
          <cell r="G86"/>
          <cell r="H86"/>
        </row>
        <row r="87">
          <cell r="B87" t="str">
            <v>IMNante2018</v>
          </cell>
          <cell r="C87"/>
          <cell r="D87" t="str">
            <v>Check</v>
          </cell>
          <cell r="E87" t="str">
            <v>AGESP</v>
          </cell>
          <cell r="F87" t="str">
            <v>BUSTO ARSIZIO</v>
          </cell>
          <cell r="G87" t="str">
            <v>FAGNANO OLONA</v>
          </cell>
          <cell r="H87" t="str">
            <v>VENEGONO SUPERIORE</v>
          </cell>
        </row>
        <row r="88">
          <cell r="B88" t="str">
            <v>Cespiti proprietari diversi dal gestore - Proprietario1</v>
          </cell>
          <cell r="C88"/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</row>
        <row r="89">
          <cell r="B89" t="str">
            <v>Cespiti proprietari diversi dal gestore - Proprietario2</v>
          </cell>
          <cell r="C89"/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</row>
        <row r="90">
          <cell r="B90" t="str">
            <v>Cespiti proprietari diversi dal gestore - Proprietario3</v>
          </cell>
          <cell r="C90"/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</row>
        <row r="91">
          <cell r="B91" t="str">
            <v>Leasing</v>
          </cell>
          <cell r="C91"/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</row>
        <row r="93">
          <cell r="E93">
            <v>2026</v>
          </cell>
          <cell r="F93"/>
          <cell r="G93"/>
          <cell r="H93"/>
        </row>
        <row r="94">
          <cell r="B94" t="str">
            <v>IMNdal2018</v>
          </cell>
          <cell r="C94"/>
          <cell r="D94" t="str">
            <v>Check</v>
          </cell>
          <cell r="E94" t="str">
            <v>AGESP</v>
          </cell>
          <cell r="F94" t="str">
            <v>BUSTO ARSIZIO</v>
          </cell>
          <cell r="G94" t="str">
            <v>FAGNANO OLONA</v>
          </cell>
          <cell r="H94" t="str">
            <v>VENEGONO SUPERIORE</v>
          </cell>
        </row>
        <row r="95">
          <cell r="B95" t="str">
            <v>Cespiti proprietari diversi dal gestore - Proprietario1</v>
          </cell>
          <cell r="C95"/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B96" t="str">
            <v>Cespiti proprietari diversi dal gestore - Proprietario2</v>
          </cell>
          <cell r="C96"/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</row>
        <row r="97">
          <cell r="B97" t="str">
            <v>Cespiti proprietari diversi dal gestore - Proprietario3</v>
          </cell>
          <cell r="C97"/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</row>
        <row r="98">
          <cell r="B98" t="str">
            <v>Leasing</v>
          </cell>
          <cell r="C98"/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</row>
      </sheetData>
      <sheetData sheetId="33">
        <row r="8">
          <cell r="B8" t="str">
            <v>Costi d'uso del capitale</v>
          </cell>
          <cell r="C8"/>
          <cell r="D8" t="str">
            <v>Check</v>
          </cell>
          <cell r="E8" t="str">
            <v>AGESP</v>
          </cell>
          <cell r="F8" t="str">
            <v>BUSTO ARSIZIO</v>
          </cell>
          <cell r="G8" t="str">
            <v>FAGNANO OLONA</v>
          </cell>
          <cell r="H8" t="str">
            <v>VENEGONO SUPERIORE</v>
          </cell>
        </row>
        <row r="9">
          <cell r="A9" t="str">
            <v>AMM</v>
          </cell>
          <cell r="B9" t="str">
            <v>Ammortamento</v>
          </cell>
          <cell r="C9" t="str">
            <v>AMMa</v>
          </cell>
          <cell r="D9">
            <v>0</v>
          </cell>
          <cell r="E9">
            <v>814002.57131153962</v>
          </cell>
          <cell r="F9">
            <v>769215.86820567632</v>
          </cell>
          <cell r="G9">
            <v>44786.703105863213</v>
          </cell>
          <cell r="H9">
            <v>0</v>
          </cell>
        </row>
        <row r="10">
          <cell r="B10" t="str">
            <v>Accantonamenti</v>
          </cell>
          <cell r="C10" t="str">
            <v>Acca</v>
          </cell>
          <cell r="D10">
            <v>0</v>
          </cell>
          <cell r="E10">
            <v>910110.82799999998</v>
          </cell>
          <cell r="F10">
            <v>910110.82799999998</v>
          </cell>
          <cell r="G10">
            <v>0</v>
          </cell>
          <cell r="H10">
            <v>0</v>
          </cell>
        </row>
        <row r="11">
          <cell r="A11"/>
          <cell r="B11" t="str">
            <v xml:space="preserve"> - di cui costi di gestione post-operativa delle discariche</v>
          </cell>
          <cell r="C11"/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/>
          <cell r="B12" t="str">
            <v xml:space="preserve"> - di cui per crediti</v>
          </cell>
          <cell r="C12"/>
          <cell r="D12">
            <v>0</v>
          </cell>
          <cell r="E12">
            <v>910110.82799999998</v>
          </cell>
          <cell r="F12">
            <v>910110.82799999998</v>
          </cell>
          <cell r="G12">
            <v>0</v>
          </cell>
          <cell r="H12">
            <v>0</v>
          </cell>
        </row>
        <row r="13">
          <cell r="A13"/>
          <cell r="B13" t="str">
            <v>- di cui per rischi e oneri previsti da normativa di settore e/o dal contratto di affidamento</v>
          </cell>
          <cell r="C13"/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</row>
        <row r="14">
          <cell r="A14"/>
          <cell r="B14" t="str">
            <v xml:space="preserve"> - di cui per altri non in eccesso rispetto a norme tributarie</v>
          </cell>
          <cell r="C14"/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</row>
        <row r="15">
          <cell r="B15" t="str">
            <v>Remunerazione</v>
          </cell>
          <cell r="C15" t="str">
            <v>Ra</v>
          </cell>
          <cell r="D15">
            <v>0</v>
          </cell>
          <cell r="E15">
            <v>634808.21377013449</v>
          </cell>
          <cell r="F15">
            <v>585677.75297643547</v>
          </cell>
          <cell r="G15">
            <v>32263.733564466522</v>
          </cell>
          <cell r="H15">
            <v>16866.727229232569</v>
          </cell>
        </row>
        <row r="16">
          <cell r="A16" t="str">
            <v>R_LIC</v>
          </cell>
          <cell r="B16" t="str">
            <v>Remunerazione immobilizzazioni in corso</v>
          </cell>
          <cell r="C16" t="str">
            <v>RLIC,a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</row>
        <row r="17">
          <cell r="A17" t="str">
            <v>CK_PROPR</v>
          </cell>
          <cell r="B17" t="str">
            <v>Costi d'uso del capitale proprietari diversi dal gestore (art.13.11 MTR3)</v>
          </cell>
          <cell r="C17" t="str">
            <v>CKLprop,a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</row>
        <row r="18">
          <cell r="B18" t="str">
            <v>Costi d'uso del capitale</v>
          </cell>
          <cell r="C18" t="str">
            <v>CKa</v>
          </cell>
          <cell r="D18">
            <v>0</v>
          </cell>
          <cell r="E18">
            <v>2358921.6130816741</v>
          </cell>
          <cell r="F18">
            <v>2265004.4491821118</v>
          </cell>
          <cell r="G18">
            <v>77050.436670329742</v>
          </cell>
          <cell r="H18">
            <v>16866.727229232569</v>
          </cell>
        </row>
        <row r="21">
          <cell r="A21"/>
          <cell r="B21" t="str">
            <v>Calcolo componenti CK Cespiti del gestore</v>
          </cell>
        </row>
        <row r="23">
          <cell r="B23" t="str">
            <v>Cespiti gestore</v>
          </cell>
        </row>
        <row r="24">
          <cell r="E24">
            <v>2027</v>
          </cell>
          <cell r="F24"/>
          <cell r="G24"/>
          <cell r="H24"/>
        </row>
        <row r="25">
          <cell r="D25" t="str">
            <v>Check</v>
          </cell>
          <cell r="E25" t="str">
            <v>AGESP</v>
          </cell>
          <cell r="F25" t="str">
            <v>BUSTO ARSIZIO</v>
          </cell>
          <cell r="G25" t="str">
            <v>FAGNANO OLONA</v>
          </cell>
          <cell r="H25" t="str">
            <v>VENEGONO SUPERIORE</v>
          </cell>
        </row>
        <row r="26">
          <cell r="B26" t="str">
            <v>Immobilizzazioni nette</v>
          </cell>
          <cell r="C26" t="str">
            <v>IMNa</v>
          </cell>
          <cell r="D26">
            <v>0</v>
          </cell>
          <cell r="E26">
            <v>8560671.6214055624</v>
          </cell>
          <cell r="F26">
            <v>7798452.7107254593</v>
          </cell>
          <cell r="G26">
            <v>762218.91068010195</v>
          </cell>
          <cell r="H26">
            <v>0</v>
          </cell>
        </row>
        <row r="27">
          <cell r="A27" t="str">
            <v>IMN_PRE_18</v>
          </cell>
          <cell r="B27"/>
          <cell r="C27" t="str">
            <v>IMNante2018</v>
          </cell>
          <cell r="D27">
            <v>0</v>
          </cell>
          <cell r="E27">
            <v>6076112.2784293778</v>
          </cell>
          <cell r="F27">
            <v>5436725.0377408247</v>
          </cell>
          <cell r="G27">
            <v>639387.24068855064</v>
          </cell>
          <cell r="H27">
            <v>0</v>
          </cell>
        </row>
        <row r="28">
          <cell r="A28" t="str">
            <v>IMN_POST_18</v>
          </cell>
          <cell r="B28"/>
          <cell r="C28" t="str">
            <v>IMNdal2018</v>
          </cell>
          <cell r="D28">
            <v>0</v>
          </cell>
          <cell r="E28">
            <v>2484559.342976185</v>
          </cell>
          <cell r="F28">
            <v>2361727.6729846345</v>
          </cell>
          <cell r="G28">
            <v>122831.66999155136</v>
          </cell>
          <cell r="H28">
            <v>0</v>
          </cell>
        </row>
        <row r="29">
          <cell r="B29" t="str">
            <v>Capitale circolante netto</v>
          </cell>
          <cell r="C29" t="str">
            <v>CCNa</v>
          </cell>
          <cell r="D29">
            <v>0</v>
          </cell>
          <cell r="E29">
            <v>3298107.7079811608</v>
          </cell>
          <cell r="F29">
            <v>2716337.7126147952</v>
          </cell>
          <cell r="G29">
            <v>195641.80141403837</v>
          </cell>
          <cell r="H29">
            <v>386128.19395232876</v>
          </cell>
        </row>
        <row r="30">
          <cell r="A30" t="str">
            <v>PRK_27_GEST</v>
          </cell>
          <cell r="B30" t="str">
            <v>Poste rettificative</v>
          </cell>
          <cell r="C30" t="str">
            <v>PRa</v>
          </cell>
          <cell r="D30">
            <v>0</v>
          </cell>
          <cell r="E30">
            <v>1520429.8320922696</v>
          </cell>
          <cell r="F30">
            <v>988341.67339806445</v>
          </cell>
          <cell r="G30">
            <v>431836.69744073343</v>
          </cell>
          <cell r="H30">
            <v>100251.46125347161</v>
          </cell>
        </row>
        <row r="31">
          <cell r="B31" t="str">
            <v>CAPITALE INVESTITO NETTO</v>
          </cell>
          <cell r="C31" t="str">
            <v>CINa</v>
          </cell>
          <cell r="D31">
            <v>0</v>
          </cell>
          <cell r="E31">
            <v>10338349.497294452</v>
          </cell>
          <cell r="F31">
            <v>9526448.7499421891</v>
          </cell>
          <cell r="G31">
            <v>526024.01465340692</v>
          </cell>
          <cell r="H31">
            <v>285876.73269885714</v>
          </cell>
        </row>
        <row r="32">
          <cell r="C32" t="str">
            <v>CIN negativo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</row>
        <row r="33">
          <cell r="B33"/>
        </row>
        <row r="34">
          <cell r="E34">
            <v>2027</v>
          </cell>
          <cell r="F34"/>
          <cell r="G34"/>
          <cell r="H34"/>
        </row>
        <row r="35">
          <cell r="D35" t="str">
            <v>Check</v>
          </cell>
          <cell r="E35" t="str">
            <v>AGESP</v>
          </cell>
          <cell r="F35" t="str">
            <v>BUSTO ARSIZIO</v>
          </cell>
          <cell r="G35" t="str">
            <v>FAGNANO OLONA</v>
          </cell>
          <cell r="H35" t="str">
            <v>VENEGONO SUPERIORE</v>
          </cell>
        </row>
        <row r="36">
          <cell r="A36" t="str">
            <v>A.1_27_GEST</v>
          </cell>
          <cell r="C36" t="str">
            <v>RicaviA1, a-2</v>
          </cell>
          <cell r="D36">
            <v>0</v>
          </cell>
          <cell r="E36">
            <v>17591948.415199999</v>
          </cell>
          <cell r="F36">
            <v>14504625.279999999</v>
          </cell>
          <cell r="G36">
            <v>1151921.4552</v>
          </cell>
          <cell r="H36">
            <v>1935401.68</v>
          </cell>
        </row>
        <row r="37">
          <cell r="A37" t="str">
            <v>B.6_27_GEST</v>
          </cell>
          <cell r="C37" t="str">
            <v>CostiB6,B7</v>
          </cell>
          <cell r="D37">
            <v>0</v>
          </cell>
          <cell r="E37">
            <v>8749788.059799999</v>
          </cell>
          <cell r="F37">
            <v>7237988.6999999993</v>
          </cell>
          <cell r="G37">
            <v>735787.18980000005</v>
          </cell>
          <cell r="H37">
            <v>776012.16999999981</v>
          </cell>
        </row>
        <row r="38">
          <cell r="A38" t="str">
            <v>B.7_27_GEST</v>
          </cell>
          <cell r="C38" t="str">
            <v>CCN</v>
          </cell>
          <cell r="D38">
            <v>0</v>
          </cell>
          <cell r="E38">
            <v>3298107.7079811608</v>
          </cell>
          <cell r="F38">
            <v>2716337.7126147952</v>
          </cell>
          <cell r="G38">
            <v>195641.80141403837</v>
          </cell>
          <cell r="H38">
            <v>386128.19395232876</v>
          </cell>
        </row>
        <row r="40">
          <cell r="B40" t="str">
            <v>Wacc</v>
          </cell>
          <cell r="C40"/>
          <cell r="D40">
            <v>5.8999999999999997E-2</v>
          </cell>
        </row>
        <row r="41">
          <cell r="B41" t="str">
            <v>time lag investimenti realizzati post 2017</v>
          </cell>
          <cell r="C41"/>
          <cell r="D41">
            <v>0.01</v>
          </cell>
        </row>
        <row r="43">
          <cell r="B43" t="str">
            <v>Inflazione 2026</v>
          </cell>
          <cell r="C43"/>
          <cell r="D43">
            <v>1.2E-2</v>
          </cell>
        </row>
        <row r="44">
          <cell r="B44" t="str">
            <v>Inflazione 2027</v>
          </cell>
          <cell r="C44"/>
          <cell r="D44">
            <v>0</v>
          </cell>
        </row>
        <row r="45">
          <cell r="A45"/>
        </row>
        <row r="46">
          <cell r="A46"/>
          <cell r="B46" t="str">
            <v>Calcolo CK proprietari diversi dal gestore</v>
          </cell>
        </row>
        <row r="47">
          <cell r="B47"/>
        </row>
        <row r="48">
          <cell r="E48">
            <v>2027</v>
          </cell>
          <cell r="F48"/>
          <cell r="G48"/>
          <cell r="H48"/>
        </row>
        <row r="49">
          <cell r="A49"/>
          <cell r="B49" t="str">
            <v>Cespiti proprietari diversi - Leasing</v>
          </cell>
          <cell r="C49"/>
          <cell r="D49" t="str">
            <v>Check</v>
          </cell>
          <cell r="E49" t="str">
            <v>AGESP</v>
          </cell>
          <cell r="F49" t="str">
            <v>BUSTO ARSIZIO</v>
          </cell>
          <cell r="G49" t="str">
            <v>FAGNANO OLONA</v>
          </cell>
          <cell r="H49" t="str">
            <v>VENEGONO SUPERIORE</v>
          </cell>
        </row>
        <row r="50">
          <cell r="A50"/>
          <cell r="B50" t="str">
            <v>Cespiti proprietari diversi dal gestore - Proprietario1</v>
          </cell>
          <cell r="C50"/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</row>
        <row r="51">
          <cell r="A51"/>
          <cell r="B51" t="str">
            <v>Cespiti proprietari diversi dal gestore - Proprietario2</v>
          </cell>
          <cell r="C51"/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</row>
        <row r="52">
          <cell r="A52"/>
          <cell r="B52" t="str">
            <v>Cespiti proprietari diversi dal gestore - Proprietario3</v>
          </cell>
          <cell r="C52"/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</row>
        <row r="53">
          <cell r="B53" t="str">
            <v>Leasing</v>
          </cell>
          <cell r="C53"/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</row>
        <row r="54">
          <cell r="B54" t="str">
            <v>Cka proprietari diversi dal gestore/leasing da inserire in PEF</v>
          </cell>
          <cell r="C54"/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</row>
        <row r="55">
          <cell r="A55"/>
          <cell r="B55"/>
          <cell r="C55"/>
          <cell r="D55"/>
          <cell r="E55"/>
          <cell r="F55"/>
          <cell r="G55"/>
          <cell r="H55"/>
        </row>
        <row r="56">
          <cell r="E56">
            <v>2027</v>
          </cell>
          <cell r="F56"/>
          <cell r="G56"/>
          <cell r="H56"/>
        </row>
        <row r="57">
          <cell r="B57" t="str">
            <v>Canone/Mutuo/Leasing</v>
          </cell>
          <cell r="C57"/>
          <cell r="D57" t="str">
            <v>Check</v>
          </cell>
          <cell r="E57" t="str">
            <v>AGESP</v>
          </cell>
          <cell r="F57" t="str">
            <v>BUSTO ARSIZIO</v>
          </cell>
          <cell r="G57" t="str">
            <v>FAGNANO OLONA</v>
          </cell>
          <cell r="H57" t="str">
            <v>VENEGONO SUPERIORE</v>
          </cell>
        </row>
        <row r="58">
          <cell r="A58" t="str">
            <v>PR.j_27_GEST</v>
          </cell>
          <cell r="B58" t="str">
            <v>Cespiti proprietari diversi dal gestore - Proprietario1</v>
          </cell>
          <cell r="C58"/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</row>
        <row r="59">
          <cell r="A59" t="str">
            <v>PR.k_27_GEST</v>
          </cell>
          <cell r="B59" t="str">
            <v>Cespiti proprietari diversi dal gestore - Proprietario2</v>
          </cell>
          <cell r="C59"/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</row>
        <row r="60">
          <cell r="A60" t="str">
            <v>PR.l_27_GEST</v>
          </cell>
          <cell r="B60" t="str">
            <v>Cespiti proprietari diversi dal gestore - Proprietario3</v>
          </cell>
          <cell r="C60"/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</row>
        <row r="61">
          <cell r="A61" t="str">
            <v>PR.m_27_GEST</v>
          </cell>
          <cell r="B61" t="str">
            <v>Leasing</v>
          </cell>
          <cell r="C61"/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</row>
        <row r="64">
          <cell r="E64">
            <v>2027</v>
          </cell>
          <cell r="F64"/>
          <cell r="G64"/>
          <cell r="H64"/>
        </row>
        <row r="65">
          <cell r="B65" t="str">
            <v>CKa</v>
          </cell>
          <cell r="C65"/>
          <cell r="D65" t="str">
            <v>Check</v>
          </cell>
          <cell r="E65" t="str">
            <v>AGESP</v>
          </cell>
          <cell r="F65" t="str">
            <v>BUSTO ARSIZIO</v>
          </cell>
          <cell r="G65" t="str">
            <v>FAGNANO OLONA</v>
          </cell>
          <cell r="H65" t="str">
            <v>VENEGONO SUPERIORE</v>
          </cell>
        </row>
        <row r="66">
          <cell r="B66" t="str">
            <v>Cespiti proprietari diversi dal gestore - Proprietario1</v>
          </cell>
          <cell r="C66"/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</row>
        <row r="67">
          <cell r="B67" t="str">
            <v>Cespiti proprietari diversi dal gestore - Proprietario2</v>
          </cell>
          <cell r="C67"/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</row>
        <row r="68">
          <cell r="B68" t="str">
            <v>Cespiti proprietari diversi dal gestore - Proprietario3</v>
          </cell>
          <cell r="C68"/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</row>
        <row r="69">
          <cell r="B69" t="str">
            <v>Leasing</v>
          </cell>
          <cell r="C69"/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</row>
        <row r="72">
          <cell r="E72">
            <v>2027</v>
          </cell>
          <cell r="F72"/>
          <cell r="G72"/>
          <cell r="H72"/>
        </row>
        <row r="73">
          <cell r="B73" t="str">
            <v>AMMa</v>
          </cell>
          <cell r="C73"/>
          <cell r="D73" t="str">
            <v>Check</v>
          </cell>
          <cell r="E73" t="str">
            <v>AGESP</v>
          </cell>
          <cell r="F73" t="str">
            <v>BUSTO ARSIZIO</v>
          </cell>
          <cell r="G73" t="str">
            <v>FAGNANO OLONA</v>
          </cell>
          <cell r="H73" t="str">
            <v>VENEGONO SUPERIORE</v>
          </cell>
        </row>
        <row r="74">
          <cell r="B74" t="str">
            <v>Cespiti proprietari diversi dal gestore - Proprietario1</v>
          </cell>
          <cell r="C74"/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</row>
        <row r="75">
          <cell r="B75" t="str">
            <v>Cespiti proprietari diversi dal gestore - Proprietario2</v>
          </cell>
          <cell r="C75"/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</row>
        <row r="76">
          <cell r="B76" t="str">
            <v>Cespiti proprietari diversi dal gestore - Proprietario3</v>
          </cell>
          <cell r="C76"/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</row>
        <row r="77">
          <cell r="B77" t="str">
            <v>Leasing</v>
          </cell>
          <cell r="C77"/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</row>
        <row r="79">
          <cell r="E79">
            <v>2027</v>
          </cell>
          <cell r="F79"/>
          <cell r="G79"/>
          <cell r="H79"/>
        </row>
        <row r="80">
          <cell r="B80" t="str">
            <v>Ra</v>
          </cell>
          <cell r="C80"/>
          <cell r="D80" t="str">
            <v>Check</v>
          </cell>
          <cell r="E80" t="str">
            <v>AGESP</v>
          </cell>
          <cell r="F80" t="str">
            <v>BUSTO ARSIZIO</v>
          </cell>
          <cell r="G80" t="str">
            <v>FAGNANO OLONA</v>
          </cell>
          <cell r="H80" t="str">
            <v>VENEGONO SUPERIORE</v>
          </cell>
        </row>
        <row r="81">
          <cell r="B81" t="str">
            <v>Cespiti proprietari diversi dal gestore - Proprietario1</v>
          </cell>
          <cell r="C81"/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</row>
        <row r="82">
          <cell r="B82" t="str">
            <v>Cespiti proprietari diversi dal gestore - Proprietario2</v>
          </cell>
          <cell r="C82"/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</row>
        <row r="83">
          <cell r="B83" t="str">
            <v>Cespiti proprietari diversi dal gestore - Proprietario3</v>
          </cell>
          <cell r="C83"/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</row>
        <row r="84">
          <cell r="B84" t="str">
            <v>Leasing</v>
          </cell>
          <cell r="C84"/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</row>
        <row r="86">
          <cell r="E86">
            <v>2027</v>
          </cell>
          <cell r="F86"/>
          <cell r="G86"/>
          <cell r="H86"/>
        </row>
        <row r="87">
          <cell r="B87" t="str">
            <v>IMNante2018</v>
          </cell>
          <cell r="C87"/>
          <cell r="D87" t="str">
            <v>Check</v>
          </cell>
          <cell r="E87" t="str">
            <v>AGESP</v>
          </cell>
          <cell r="F87" t="str">
            <v>BUSTO ARSIZIO</v>
          </cell>
          <cell r="G87" t="str">
            <v>FAGNANO OLONA</v>
          </cell>
          <cell r="H87" t="str">
            <v>VENEGONO SUPERIORE</v>
          </cell>
        </row>
        <row r="88">
          <cell r="B88" t="str">
            <v>Cespiti proprietari diversi dal gestore - Proprietario1</v>
          </cell>
          <cell r="C88"/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</row>
        <row r="89">
          <cell r="B89" t="str">
            <v>Cespiti proprietari diversi dal gestore - Proprietario2</v>
          </cell>
          <cell r="C89"/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</row>
        <row r="90">
          <cell r="B90" t="str">
            <v>Cespiti proprietari diversi dal gestore - Proprietario3</v>
          </cell>
          <cell r="C90"/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</row>
        <row r="91">
          <cell r="B91" t="str">
            <v>Leasing</v>
          </cell>
          <cell r="C91"/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</row>
        <row r="93">
          <cell r="E93">
            <v>2027</v>
          </cell>
          <cell r="F93"/>
          <cell r="G93"/>
          <cell r="H93"/>
        </row>
        <row r="94">
          <cell r="B94" t="str">
            <v>IMNdal2018</v>
          </cell>
          <cell r="C94"/>
          <cell r="D94" t="str">
            <v>Check</v>
          </cell>
          <cell r="E94" t="str">
            <v>AGESP</v>
          </cell>
          <cell r="F94" t="str">
            <v>BUSTO ARSIZIO</v>
          </cell>
          <cell r="G94" t="str">
            <v>FAGNANO OLONA</v>
          </cell>
          <cell r="H94" t="str">
            <v>VENEGONO SUPERIORE</v>
          </cell>
        </row>
        <row r="95">
          <cell r="B95" t="str">
            <v>Cespiti proprietari diversi dal gestore - Proprietario1</v>
          </cell>
          <cell r="C95"/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B96" t="str">
            <v>Cespiti proprietari diversi dal gestore - Proprietario2</v>
          </cell>
          <cell r="C96"/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</row>
        <row r="97">
          <cell r="B97" t="str">
            <v>Cespiti proprietari diversi dal gestore - Proprietario3</v>
          </cell>
          <cell r="C97"/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</row>
        <row r="98">
          <cell r="B98" t="str">
            <v>Leasing</v>
          </cell>
          <cell r="C98"/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</row>
      </sheetData>
      <sheetData sheetId="34">
        <row r="8">
          <cell r="B8" t="str">
            <v>Costi d'uso del capitale</v>
          </cell>
          <cell r="C8"/>
          <cell r="D8" t="str">
            <v>Check</v>
          </cell>
          <cell r="E8" t="str">
            <v>AGESP</v>
          </cell>
          <cell r="F8" t="str">
            <v>BUSTO ARSIZIO</v>
          </cell>
          <cell r="G8" t="str">
            <v>FAGNANO OLONA</v>
          </cell>
          <cell r="H8" t="str">
            <v>VENEGONO SUPERIORE</v>
          </cell>
        </row>
        <row r="9">
          <cell r="A9" t="str">
            <v>AMM</v>
          </cell>
          <cell r="B9" t="str">
            <v>Ammortamento</v>
          </cell>
          <cell r="C9" t="str">
            <v>AMMa</v>
          </cell>
          <cell r="D9">
            <v>0</v>
          </cell>
          <cell r="E9">
            <v>680849.52973762166</v>
          </cell>
          <cell r="F9">
            <v>639718.63503260689</v>
          </cell>
          <cell r="G9">
            <v>41130.894705014922</v>
          </cell>
          <cell r="H9">
            <v>0</v>
          </cell>
        </row>
        <row r="10">
          <cell r="B10" t="str">
            <v>Accantonamenti</v>
          </cell>
          <cell r="C10" t="str">
            <v>Acca</v>
          </cell>
          <cell r="D10">
            <v>0</v>
          </cell>
          <cell r="E10">
            <v>910110.82799999998</v>
          </cell>
          <cell r="F10">
            <v>910110.82799999998</v>
          </cell>
          <cell r="G10">
            <v>0</v>
          </cell>
          <cell r="H10">
            <v>0</v>
          </cell>
        </row>
        <row r="11">
          <cell r="A11"/>
          <cell r="B11" t="str">
            <v xml:space="preserve"> - di cui costi di gestione post-operativa delle discariche</v>
          </cell>
          <cell r="C11"/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/>
          <cell r="B12" t="str">
            <v xml:space="preserve"> - di cui per crediti</v>
          </cell>
          <cell r="C12"/>
          <cell r="D12">
            <v>0</v>
          </cell>
          <cell r="E12">
            <v>910110.82799999998</v>
          </cell>
          <cell r="F12">
            <v>910110.82799999998</v>
          </cell>
          <cell r="G12">
            <v>0</v>
          </cell>
          <cell r="H12">
            <v>0</v>
          </cell>
        </row>
        <row r="13">
          <cell r="A13"/>
          <cell r="B13" t="str">
            <v>- di cui per rischi e oneri previsti da normativa di settore e/o dal contratto di affidamento</v>
          </cell>
          <cell r="C13"/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</row>
        <row r="14">
          <cell r="A14"/>
          <cell r="B14" t="str">
            <v xml:space="preserve"> - di cui per altri non in eccesso rispetto a norme tributarie</v>
          </cell>
          <cell r="C14"/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</row>
        <row r="15">
          <cell r="B15" t="str">
            <v>Remunerazione</v>
          </cell>
          <cell r="C15" t="str">
            <v>Ra</v>
          </cell>
          <cell r="D15">
            <v>0</v>
          </cell>
          <cell r="E15">
            <v>580642.61479628761</v>
          </cell>
          <cell r="F15">
            <v>534409.91485605214</v>
          </cell>
          <cell r="G15">
            <v>29365.972711002996</v>
          </cell>
          <cell r="H15">
            <v>16866.727229232569</v>
          </cell>
        </row>
        <row r="16">
          <cell r="A16" t="str">
            <v>R_LIC</v>
          </cell>
          <cell r="B16" t="str">
            <v>Remunerazione immobilizzazioni in corso</v>
          </cell>
          <cell r="C16" t="str">
            <v>RLIC,a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</row>
        <row r="17">
          <cell r="A17" t="str">
            <v>CK_PROPR</v>
          </cell>
          <cell r="B17" t="str">
            <v>Costi d'uso del capitale proprietari diversi dal gestore (art.13.11 MTR3)</v>
          </cell>
          <cell r="C17" t="str">
            <v>CKLprop,a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</row>
        <row r="18">
          <cell r="B18" t="str">
            <v>Costi d'uso del capitale</v>
          </cell>
          <cell r="C18" t="str">
            <v>CKa</v>
          </cell>
          <cell r="D18">
            <v>0</v>
          </cell>
          <cell r="E18">
            <v>2171602.9725339096</v>
          </cell>
          <cell r="F18">
            <v>2084239.377888659</v>
          </cell>
          <cell r="G18">
            <v>70496.867416017922</v>
          </cell>
          <cell r="H18">
            <v>16866.727229232569</v>
          </cell>
        </row>
        <row r="21">
          <cell r="A21"/>
          <cell r="B21" t="str">
            <v>Calcolo componenti CK Cespiti del gestore</v>
          </cell>
        </row>
        <row r="23">
          <cell r="B23" t="str">
            <v>Cespiti gestore</v>
          </cell>
        </row>
        <row r="24">
          <cell r="E24">
            <v>2028</v>
          </cell>
          <cell r="F24"/>
          <cell r="G24"/>
          <cell r="H24"/>
        </row>
        <row r="25">
          <cell r="D25" t="str">
            <v>Check</v>
          </cell>
          <cell r="E25" t="str">
            <v>AGESP</v>
          </cell>
          <cell r="F25" t="str">
            <v>BUSTO ARSIZIO</v>
          </cell>
          <cell r="G25" t="str">
            <v>FAGNANO OLONA</v>
          </cell>
          <cell r="H25" t="str">
            <v>VENEGONO SUPERIORE</v>
          </cell>
        </row>
        <row r="26">
          <cell r="B26" t="str">
            <v>Immobilizzazioni nette</v>
          </cell>
          <cell r="C26" t="str">
            <v>IMNa</v>
          </cell>
          <cell r="D26">
            <v>0</v>
          </cell>
          <cell r="E26">
            <v>7746669.0500940243</v>
          </cell>
          <cell r="F26">
            <v>7029236.8425197843</v>
          </cell>
          <cell r="G26">
            <v>717432.20757423877</v>
          </cell>
          <cell r="H26">
            <v>0</v>
          </cell>
        </row>
        <row r="27">
          <cell r="A27" t="str">
            <v>IMN_PRE_18</v>
          </cell>
          <cell r="B27"/>
          <cell r="C27" t="str">
            <v>IMNante2018</v>
          </cell>
          <cell r="D27">
            <v>0</v>
          </cell>
          <cell r="E27">
            <v>5876054.4337644521</v>
          </cell>
          <cell r="F27">
            <v>5255919.3591600042</v>
          </cell>
          <cell r="G27">
            <v>620135.074604447</v>
          </cell>
          <cell r="H27">
            <v>0</v>
          </cell>
        </row>
        <row r="28">
          <cell r="A28" t="str">
            <v>IMN_POST_18</v>
          </cell>
          <cell r="B28"/>
          <cell r="C28" t="str">
            <v>IMNdal2018</v>
          </cell>
          <cell r="D28">
            <v>0</v>
          </cell>
          <cell r="E28">
            <v>1870614.6163295719</v>
          </cell>
          <cell r="F28">
            <v>1773317.4833597804</v>
          </cell>
          <cell r="G28">
            <v>97297.132969791768</v>
          </cell>
          <cell r="H28">
            <v>0</v>
          </cell>
        </row>
        <row r="29">
          <cell r="B29" t="str">
            <v>Capitale circolante netto</v>
          </cell>
          <cell r="C29" t="str">
            <v>CCNa</v>
          </cell>
          <cell r="D29">
            <v>0</v>
          </cell>
          <cell r="E29">
            <v>3298107.7079811608</v>
          </cell>
          <cell r="F29">
            <v>2716337.7126147952</v>
          </cell>
          <cell r="G29">
            <v>195641.80141403837</v>
          </cell>
          <cell r="H29">
            <v>386128.19395232876</v>
          </cell>
        </row>
        <row r="30">
          <cell r="A30" t="str">
            <v>PRK_28_GEST</v>
          </cell>
          <cell r="B30" t="str">
            <v>Poste rettificative</v>
          </cell>
          <cell r="C30" t="str">
            <v>PRa</v>
          </cell>
          <cell r="D30">
            <v>0</v>
          </cell>
          <cell r="E30">
            <v>1520429.8320922696</v>
          </cell>
          <cell r="F30">
            <v>988341.67339806445</v>
          </cell>
          <cell r="G30">
            <v>431836.69744073343</v>
          </cell>
          <cell r="H30">
            <v>100251.46125347161</v>
          </cell>
        </row>
        <row r="31">
          <cell r="B31" t="str">
            <v>CAPITALE INVESTITO NETTO</v>
          </cell>
          <cell r="C31" t="str">
            <v>CINa</v>
          </cell>
          <cell r="D31">
            <v>0</v>
          </cell>
          <cell r="E31">
            <v>9524346.9259829149</v>
          </cell>
          <cell r="F31">
            <v>8757232.8817365151</v>
          </cell>
          <cell r="G31">
            <v>481237.31154754374</v>
          </cell>
          <cell r="H31">
            <v>285876.73269885714</v>
          </cell>
        </row>
        <row r="32">
          <cell r="C32" t="str">
            <v>CIN negativo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</row>
        <row r="33">
          <cell r="B33"/>
        </row>
        <row r="34">
          <cell r="E34">
            <v>2028</v>
          </cell>
          <cell r="F34"/>
          <cell r="G34"/>
          <cell r="H34"/>
        </row>
        <row r="35">
          <cell r="D35" t="str">
            <v>Check</v>
          </cell>
          <cell r="E35" t="str">
            <v>AGESP</v>
          </cell>
          <cell r="F35" t="str">
            <v>BUSTO ARSIZIO</v>
          </cell>
          <cell r="G35" t="str">
            <v>FAGNANO OLONA</v>
          </cell>
          <cell r="H35" t="str">
            <v>VENEGONO SUPERIORE</v>
          </cell>
        </row>
        <row r="36">
          <cell r="A36" t="str">
            <v>A.1_28_GEST</v>
          </cell>
          <cell r="C36" t="str">
            <v>RicaviA1, a-2</v>
          </cell>
          <cell r="D36">
            <v>0</v>
          </cell>
          <cell r="E36">
            <v>17591948.415199999</v>
          </cell>
          <cell r="F36">
            <v>14504625.279999999</v>
          </cell>
          <cell r="G36">
            <v>1151921.4552</v>
          </cell>
          <cell r="H36">
            <v>1935401.68</v>
          </cell>
        </row>
        <row r="37">
          <cell r="A37" t="str">
            <v>B.6_28_GEST</v>
          </cell>
          <cell r="C37" t="str">
            <v>CostiB6,B7</v>
          </cell>
          <cell r="D37">
            <v>0</v>
          </cell>
          <cell r="E37">
            <v>8749788.059799999</v>
          </cell>
          <cell r="F37">
            <v>7237988.6999999993</v>
          </cell>
          <cell r="G37">
            <v>735787.18980000005</v>
          </cell>
          <cell r="H37">
            <v>776012.16999999981</v>
          </cell>
        </row>
        <row r="38">
          <cell r="A38" t="str">
            <v>B.7_28_GEST</v>
          </cell>
          <cell r="C38" t="str">
            <v>CCN</v>
          </cell>
          <cell r="D38">
            <v>0</v>
          </cell>
          <cell r="E38">
            <v>3298107.7079811608</v>
          </cell>
          <cell r="F38">
            <v>2716337.7126147952</v>
          </cell>
          <cell r="G38">
            <v>195641.80141403837</v>
          </cell>
          <cell r="H38">
            <v>386128.19395232876</v>
          </cell>
        </row>
        <row r="40">
          <cell r="B40" t="str">
            <v>Wacc</v>
          </cell>
          <cell r="C40"/>
          <cell r="D40">
            <v>5.8999999999999997E-2</v>
          </cell>
        </row>
        <row r="41">
          <cell r="B41" t="str">
            <v>time lag investimenti realizzati post 2017</v>
          </cell>
          <cell r="C41"/>
          <cell r="D41">
            <v>0.01</v>
          </cell>
        </row>
        <row r="43">
          <cell r="B43" t="str">
            <v>Inflazione 2027</v>
          </cell>
          <cell r="C43"/>
          <cell r="D43">
            <v>1.2E-2</v>
          </cell>
        </row>
        <row r="44">
          <cell r="B44" t="str">
            <v>Inflazione 2028</v>
          </cell>
          <cell r="C44"/>
          <cell r="D44">
            <v>0</v>
          </cell>
        </row>
        <row r="45">
          <cell r="A45"/>
        </row>
        <row r="46">
          <cell r="A46"/>
          <cell r="B46" t="str">
            <v>Calcolo CK proprietari diversi dal gestore</v>
          </cell>
        </row>
        <row r="47">
          <cell r="B47"/>
        </row>
        <row r="48">
          <cell r="E48">
            <v>2028</v>
          </cell>
          <cell r="F48"/>
          <cell r="G48"/>
          <cell r="H48"/>
        </row>
        <row r="49">
          <cell r="A49"/>
          <cell r="B49" t="str">
            <v>Cespiti proprietari diversi - Leasing</v>
          </cell>
          <cell r="C49"/>
          <cell r="D49" t="str">
            <v>Check</v>
          </cell>
          <cell r="E49" t="str">
            <v>AGESP</v>
          </cell>
          <cell r="F49" t="str">
            <v>BUSTO ARSIZIO</v>
          </cell>
          <cell r="G49" t="str">
            <v>FAGNANO OLONA</v>
          </cell>
          <cell r="H49" t="str">
            <v>VENEGONO SUPERIORE</v>
          </cell>
        </row>
        <row r="50">
          <cell r="A50"/>
          <cell r="B50" t="str">
            <v>Cespiti proprietari diversi dal gestore - Proprietario1</v>
          </cell>
          <cell r="C50"/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</row>
        <row r="51">
          <cell r="A51"/>
          <cell r="B51" t="str">
            <v>Cespiti proprietari diversi dal gestore - Proprietario2</v>
          </cell>
          <cell r="C51"/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</row>
        <row r="52">
          <cell r="A52"/>
          <cell r="B52" t="str">
            <v>Cespiti proprietari diversi dal gestore - Proprietario3</v>
          </cell>
          <cell r="C52"/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</row>
        <row r="53">
          <cell r="B53" t="str">
            <v>Leasing</v>
          </cell>
          <cell r="C53"/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</row>
        <row r="54">
          <cell r="B54" t="str">
            <v>Cka proprietari diversi dal gestore/leasing da inserire in PEF</v>
          </cell>
          <cell r="C54"/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</row>
        <row r="55">
          <cell r="A55"/>
          <cell r="B55"/>
          <cell r="C55"/>
          <cell r="D55"/>
          <cell r="E55"/>
          <cell r="F55"/>
          <cell r="G55"/>
          <cell r="H55"/>
        </row>
        <row r="56">
          <cell r="E56">
            <v>2028</v>
          </cell>
          <cell r="F56"/>
          <cell r="G56"/>
          <cell r="H56"/>
        </row>
        <row r="57">
          <cell r="B57" t="str">
            <v>Canone/Mutuo/Leasing</v>
          </cell>
          <cell r="C57"/>
          <cell r="D57" t="str">
            <v>Check</v>
          </cell>
          <cell r="E57" t="str">
            <v>AGESP</v>
          </cell>
          <cell r="F57" t="str">
            <v>BUSTO ARSIZIO</v>
          </cell>
          <cell r="G57" t="str">
            <v>FAGNANO OLONA</v>
          </cell>
          <cell r="H57" t="str">
            <v>VENEGONO SUPERIORE</v>
          </cell>
        </row>
        <row r="58">
          <cell r="A58" t="str">
            <v>PR.j_28_GEST</v>
          </cell>
          <cell r="B58" t="str">
            <v>Cespiti proprietari diversi dal gestore - Proprietario1</v>
          </cell>
          <cell r="C58"/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</row>
        <row r="59">
          <cell r="A59" t="str">
            <v>PR.k_28_GEST</v>
          </cell>
          <cell r="B59" t="str">
            <v>Cespiti proprietari diversi dal gestore - Proprietario2</v>
          </cell>
          <cell r="C59"/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</row>
        <row r="60">
          <cell r="A60" t="str">
            <v>PR.l_28_GEST</v>
          </cell>
          <cell r="B60" t="str">
            <v>Cespiti proprietari diversi dal gestore - Proprietario3</v>
          </cell>
          <cell r="C60"/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</row>
        <row r="61">
          <cell r="A61" t="str">
            <v>PR.m_28_GEST</v>
          </cell>
          <cell r="B61" t="str">
            <v>Leasing</v>
          </cell>
          <cell r="C61"/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</row>
        <row r="64">
          <cell r="E64">
            <v>2028</v>
          </cell>
          <cell r="F64"/>
          <cell r="G64"/>
          <cell r="H64"/>
        </row>
        <row r="65">
          <cell r="B65" t="str">
            <v>CKa</v>
          </cell>
          <cell r="C65"/>
          <cell r="D65" t="str">
            <v>Check</v>
          </cell>
          <cell r="E65" t="str">
            <v>AGESP</v>
          </cell>
          <cell r="F65" t="str">
            <v>BUSTO ARSIZIO</v>
          </cell>
          <cell r="G65" t="str">
            <v>FAGNANO OLONA</v>
          </cell>
          <cell r="H65" t="str">
            <v>VENEGONO SUPERIORE</v>
          </cell>
        </row>
        <row r="66">
          <cell r="B66" t="str">
            <v>Cespiti proprietari diversi dal gestore - Proprietario1</v>
          </cell>
          <cell r="C66"/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</row>
        <row r="67">
          <cell r="B67" t="str">
            <v>Cespiti proprietari diversi dal gestore - Proprietario2</v>
          </cell>
          <cell r="C67"/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</row>
        <row r="68">
          <cell r="B68" t="str">
            <v>Cespiti proprietari diversi dal gestore - Proprietario3</v>
          </cell>
          <cell r="C68"/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</row>
        <row r="69">
          <cell r="B69" t="str">
            <v>Leasing</v>
          </cell>
          <cell r="C69"/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</row>
        <row r="72">
          <cell r="E72">
            <v>2028</v>
          </cell>
          <cell r="F72"/>
          <cell r="G72"/>
          <cell r="H72"/>
        </row>
        <row r="73">
          <cell r="B73" t="str">
            <v>AMMa</v>
          </cell>
          <cell r="C73"/>
          <cell r="D73" t="str">
            <v>Check</v>
          </cell>
          <cell r="E73" t="str">
            <v>AGESP</v>
          </cell>
          <cell r="F73" t="str">
            <v>BUSTO ARSIZIO</v>
          </cell>
          <cell r="G73" t="str">
            <v>FAGNANO OLONA</v>
          </cell>
          <cell r="H73" t="str">
            <v>VENEGONO SUPERIORE</v>
          </cell>
        </row>
        <row r="74">
          <cell r="B74" t="str">
            <v>Cespiti proprietari diversi dal gestore - Proprietario1</v>
          </cell>
          <cell r="C74"/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</row>
        <row r="75">
          <cell r="B75" t="str">
            <v>Cespiti proprietari diversi dal gestore - Proprietario2</v>
          </cell>
          <cell r="C75"/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</row>
        <row r="76">
          <cell r="B76" t="str">
            <v>Cespiti proprietari diversi dal gestore - Proprietario3</v>
          </cell>
          <cell r="C76"/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</row>
        <row r="77">
          <cell r="B77" t="str">
            <v>Leasing</v>
          </cell>
          <cell r="C77"/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</row>
        <row r="79">
          <cell r="E79">
            <v>2028</v>
          </cell>
          <cell r="F79"/>
          <cell r="G79"/>
          <cell r="H79"/>
        </row>
        <row r="80">
          <cell r="B80" t="str">
            <v>Ra</v>
          </cell>
          <cell r="C80"/>
          <cell r="D80" t="str">
            <v>Check</v>
          </cell>
          <cell r="E80" t="str">
            <v>AGESP</v>
          </cell>
          <cell r="F80" t="str">
            <v>BUSTO ARSIZIO</v>
          </cell>
          <cell r="G80" t="str">
            <v>FAGNANO OLONA</v>
          </cell>
          <cell r="H80" t="str">
            <v>VENEGONO SUPERIORE</v>
          </cell>
        </row>
        <row r="81">
          <cell r="B81" t="str">
            <v>Cespiti proprietari diversi dal gestore - Proprietario1</v>
          </cell>
          <cell r="C81"/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</row>
        <row r="82">
          <cell r="B82" t="str">
            <v>Cespiti proprietari diversi dal gestore - Proprietario2</v>
          </cell>
          <cell r="C82"/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</row>
        <row r="83">
          <cell r="B83" t="str">
            <v>Cespiti proprietari diversi dal gestore - Proprietario3</v>
          </cell>
          <cell r="C83"/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</row>
        <row r="84">
          <cell r="B84" t="str">
            <v>Leasing</v>
          </cell>
          <cell r="C84"/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</row>
        <row r="86">
          <cell r="E86">
            <v>2028</v>
          </cell>
          <cell r="F86"/>
          <cell r="G86"/>
          <cell r="H86"/>
        </row>
        <row r="87">
          <cell r="B87" t="str">
            <v>IMNante2018</v>
          </cell>
          <cell r="C87"/>
          <cell r="D87" t="str">
            <v>Check</v>
          </cell>
          <cell r="E87" t="str">
            <v>AGESP</v>
          </cell>
          <cell r="F87" t="str">
            <v>BUSTO ARSIZIO</v>
          </cell>
          <cell r="G87" t="str">
            <v>FAGNANO OLONA</v>
          </cell>
          <cell r="H87" t="str">
            <v>VENEGONO SUPERIORE</v>
          </cell>
        </row>
        <row r="88">
          <cell r="B88" t="str">
            <v>Cespiti proprietari diversi dal gestore - Proprietario1</v>
          </cell>
          <cell r="C88"/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</row>
        <row r="89">
          <cell r="B89" t="str">
            <v>Cespiti proprietari diversi dal gestore - Proprietario2</v>
          </cell>
          <cell r="C89"/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</row>
        <row r="90">
          <cell r="B90" t="str">
            <v>Cespiti proprietari diversi dal gestore - Proprietario3</v>
          </cell>
          <cell r="C90"/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</row>
        <row r="91">
          <cell r="B91" t="str">
            <v>Leasing</v>
          </cell>
          <cell r="C91"/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</row>
        <row r="93">
          <cell r="E93">
            <v>2028</v>
          </cell>
          <cell r="F93"/>
          <cell r="G93"/>
          <cell r="H93"/>
        </row>
        <row r="94">
          <cell r="B94" t="str">
            <v>IMNdal2018</v>
          </cell>
          <cell r="C94"/>
          <cell r="D94" t="str">
            <v>Check</v>
          </cell>
          <cell r="E94" t="str">
            <v>AGESP</v>
          </cell>
          <cell r="F94" t="str">
            <v>BUSTO ARSIZIO</v>
          </cell>
          <cell r="G94" t="str">
            <v>FAGNANO OLONA</v>
          </cell>
          <cell r="H94" t="str">
            <v>VENEGONO SUPERIORE</v>
          </cell>
        </row>
        <row r="95">
          <cell r="B95" t="str">
            <v>Cespiti proprietari diversi dal gestore - Proprietario1</v>
          </cell>
          <cell r="C95"/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B96" t="str">
            <v>Cespiti proprietari diversi dal gestore - Proprietario2</v>
          </cell>
          <cell r="C96"/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</row>
        <row r="97">
          <cell r="B97" t="str">
            <v>Cespiti proprietari diversi dal gestore - Proprietario3</v>
          </cell>
          <cell r="C97"/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</row>
        <row r="98">
          <cell r="B98" t="str">
            <v>Leasing</v>
          </cell>
          <cell r="C98"/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</row>
      </sheetData>
      <sheetData sheetId="35">
        <row r="8">
          <cell r="B8" t="str">
            <v>Costi d'uso del capitale</v>
          </cell>
          <cell r="C8"/>
          <cell r="D8" t="str">
            <v>Check</v>
          </cell>
          <cell r="E8" t="str">
            <v>AGESP</v>
          </cell>
          <cell r="F8" t="str">
            <v>BUSTO ARSIZIO</v>
          </cell>
          <cell r="G8" t="str">
            <v>FAGNANO OLONA</v>
          </cell>
          <cell r="H8" t="str">
            <v>VENEGONO SUPERIORE</v>
          </cell>
        </row>
        <row r="9">
          <cell r="A9" t="str">
            <v>AMM</v>
          </cell>
          <cell r="B9" t="str">
            <v>Ammortamento</v>
          </cell>
          <cell r="C9" t="str">
            <v>AMMa</v>
          </cell>
          <cell r="D9">
            <v>0</v>
          </cell>
          <cell r="E9">
            <v>544021.66856343171</v>
          </cell>
          <cell r="F9">
            <v>510556.06046451128</v>
          </cell>
          <cell r="G9">
            <v>33465.608098920478</v>
          </cell>
          <cell r="H9">
            <v>0</v>
          </cell>
        </row>
        <row r="10">
          <cell r="B10" t="str">
            <v>Accantonamenti</v>
          </cell>
          <cell r="C10" t="str">
            <v>Acca</v>
          </cell>
          <cell r="D10">
            <v>0</v>
          </cell>
          <cell r="E10">
            <v>910110.82799999998</v>
          </cell>
          <cell r="F10">
            <v>910110.82799999998</v>
          </cell>
          <cell r="G10">
            <v>0</v>
          </cell>
          <cell r="H10">
            <v>0</v>
          </cell>
        </row>
        <row r="11">
          <cell r="A11"/>
          <cell r="B11" t="str">
            <v xml:space="preserve"> - di cui costi di gestione post-operativa delle discariche</v>
          </cell>
          <cell r="C11"/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/>
          <cell r="B12" t="str">
            <v xml:space="preserve"> - di cui per crediti</v>
          </cell>
          <cell r="C12"/>
          <cell r="D12">
            <v>0</v>
          </cell>
          <cell r="E12">
            <v>910110.82799999998</v>
          </cell>
          <cell r="F12">
            <v>910110.82799999998</v>
          </cell>
          <cell r="G12">
            <v>0</v>
          </cell>
          <cell r="H12">
            <v>0</v>
          </cell>
        </row>
        <row r="13">
          <cell r="A13"/>
          <cell r="B13" t="str">
            <v>- di cui per rischi e oneri previsti da normativa di settore e/o dal contratto di affidamento</v>
          </cell>
          <cell r="C13"/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</row>
        <row r="14">
          <cell r="A14"/>
          <cell r="B14" t="str">
            <v xml:space="preserve"> - di cui per altri non in eccesso rispetto a norme tributarie</v>
          </cell>
          <cell r="C14"/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</row>
        <row r="15">
          <cell r="B15" t="str">
            <v>Remunerazione</v>
          </cell>
          <cell r="C15" t="str">
            <v>Ra</v>
          </cell>
          <cell r="D15">
            <v>0</v>
          </cell>
          <cell r="E15">
            <v>535619.48284114548</v>
          </cell>
          <cell r="F15">
            <v>492038.45135886746</v>
          </cell>
          <cell r="G15">
            <v>26714.304253045611</v>
          </cell>
          <cell r="H15">
            <v>16866.727229232569</v>
          </cell>
        </row>
        <row r="16">
          <cell r="A16" t="str">
            <v>R_LIC</v>
          </cell>
          <cell r="B16" t="str">
            <v>Remunerazione immobilizzazioni in corso</v>
          </cell>
          <cell r="C16" t="str">
            <v>RLIC,a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</row>
        <row r="17">
          <cell r="A17" t="str">
            <v>CK_PROPR</v>
          </cell>
          <cell r="B17" t="str">
            <v>Costi d'uso del capitale proprietari diversi dal gestore (art.13.11 MTR3)</v>
          </cell>
          <cell r="C17" t="str">
            <v>CKLprop,a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</row>
        <row r="18">
          <cell r="B18" t="str">
            <v>Costi d'uso del capitale</v>
          </cell>
          <cell r="C18" t="str">
            <v>CKa</v>
          </cell>
          <cell r="D18">
            <v>0</v>
          </cell>
          <cell r="E18">
            <v>1989751.9794045773</v>
          </cell>
          <cell r="F18">
            <v>1912705.3398233787</v>
          </cell>
          <cell r="G18">
            <v>60179.912351966093</v>
          </cell>
          <cell r="H18">
            <v>16866.727229232569</v>
          </cell>
        </row>
        <row r="21">
          <cell r="A21"/>
          <cell r="B21" t="str">
            <v>Calcolo componenti CK Cespiti del gestore</v>
          </cell>
        </row>
        <row r="23">
          <cell r="B23" t="str">
            <v>Cespiti gestore</v>
          </cell>
        </row>
        <row r="24">
          <cell r="E24">
            <v>2029</v>
          </cell>
          <cell r="F24"/>
          <cell r="G24"/>
          <cell r="H24"/>
        </row>
        <row r="25">
          <cell r="D25" t="str">
            <v>Check</v>
          </cell>
          <cell r="E25" t="str">
            <v>AGESP</v>
          </cell>
          <cell r="F25" t="str">
            <v>BUSTO ARSIZIO</v>
          </cell>
          <cell r="G25" t="str">
            <v>FAGNANO OLONA</v>
          </cell>
          <cell r="H25" t="str">
            <v>VENEGONO SUPERIORE</v>
          </cell>
        </row>
        <row r="26">
          <cell r="B26" t="str">
            <v>Immobilizzazioni nette</v>
          </cell>
          <cell r="C26" t="str">
            <v>IMNa</v>
          </cell>
          <cell r="D26">
            <v>0</v>
          </cell>
          <cell r="E26">
            <v>7065819.5203564009</v>
          </cell>
          <cell r="F26">
            <v>6389518.2074871771</v>
          </cell>
          <cell r="G26">
            <v>676301.31286922388</v>
          </cell>
          <cell r="H26">
            <v>0</v>
          </cell>
        </row>
        <row r="27">
          <cell r="A27" t="str">
            <v>IMN_PRE_18</v>
          </cell>
          <cell r="B27"/>
          <cell r="C27" t="str">
            <v>IMNante2018</v>
          </cell>
          <cell r="D27">
            <v>0</v>
          </cell>
          <cell r="E27">
            <v>5680505.8740890687</v>
          </cell>
          <cell r="F27">
            <v>5079007.127153486</v>
          </cell>
          <cell r="G27">
            <v>601498.74693558307</v>
          </cell>
          <cell r="H27">
            <v>0</v>
          </cell>
        </row>
        <row r="28">
          <cell r="A28" t="str">
            <v>IMN_POST_18</v>
          </cell>
          <cell r="B28"/>
          <cell r="C28" t="str">
            <v>IMNdal2018</v>
          </cell>
          <cell r="D28">
            <v>0</v>
          </cell>
          <cell r="E28">
            <v>1385313.6462673324</v>
          </cell>
          <cell r="F28">
            <v>1310511.0803336913</v>
          </cell>
          <cell r="G28">
            <v>74802.565933640843</v>
          </cell>
          <cell r="H28">
            <v>0</v>
          </cell>
        </row>
        <row r="29">
          <cell r="B29" t="str">
            <v>Capitale circolante netto</v>
          </cell>
          <cell r="C29" t="str">
            <v>CCNa</v>
          </cell>
          <cell r="D29">
            <v>0</v>
          </cell>
          <cell r="E29">
            <v>3298107.7079811608</v>
          </cell>
          <cell r="F29">
            <v>2716337.7126147952</v>
          </cell>
          <cell r="G29">
            <v>195641.80141403837</v>
          </cell>
          <cell r="H29">
            <v>386128.19395232876</v>
          </cell>
        </row>
        <row r="30">
          <cell r="A30" t="str">
            <v>PRK_29_GEST</v>
          </cell>
          <cell r="B30" t="str">
            <v>Poste rettificative</v>
          </cell>
          <cell r="C30" t="str">
            <v>PRa</v>
          </cell>
          <cell r="D30">
            <v>0</v>
          </cell>
          <cell r="E30">
            <v>1520429.8320922696</v>
          </cell>
          <cell r="F30">
            <v>988341.67339806445</v>
          </cell>
          <cell r="G30">
            <v>431836.69744073343</v>
          </cell>
          <cell r="H30">
            <v>100251.46125347161</v>
          </cell>
        </row>
        <row r="31">
          <cell r="B31" t="str">
            <v>CAPITALE INVESTITO NETTO</v>
          </cell>
          <cell r="C31" t="str">
            <v>CINa</v>
          </cell>
          <cell r="D31">
            <v>0</v>
          </cell>
          <cell r="E31">
            <v>8843497.3962452915</v>
          </cell>
          <cell r="F31">
            <v>8117514.2467039078</v>
          </cell>
          <cell r="G31">
            <v>440106.41684252885</v>
          </cell>
          <cell r="H31">
            <v>285876.73269885714</v>
          </cell>
        </row>
        <row r="32">
          <cell r="C32" t="str">
            <v>CIN negativo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</row>
        <row r="33">
          <cell r="B33"/>
        </row>
        <row r="34">
          <cell r="E34">
            <v>2029</v>
          </cell>
          <cell r="F34"/>
          <cell r="G34"/>
          <cell r="H34"/>
        </row>
        <row r="35">
          <cell r="D35" t="str">
            <v>Check</v>
          </cell>
          <cell r="E35" t="str">
            <v>AGESP</v>
          </cell>
          <cell r="F35" t="str">
            <v>BUSTO ARSIZIO</v>
          </cell>
          <cell r="G35" t="str">
            <v>FAGNANO OLONA</v>
          </cell>
          <cell r="H35" t="str">
            <v>VENEGONO SUPERIORE</v>
          </cell>
        </row>
        <row r="36">
          <cell r="A36" t="str">
            <v>A.1_29_GEST</v>
          </cell>
          <cell r="C36" t="str">
            <v>RicaviA1, a-2</v>
          </cell>
          <cell r="D36">
            <v>0</v>
          </cell>
          <cell r="E36">
            <v>17591948.415199999</v>
          </cell>
          <cell r="F36">
            <v>14504625.279999999</v>
          </cell>
          <cell r="G36">
            <v>1151921.4552</v>
          </cell>
          <cell r="H36">
            <v>1935401.68</v>
          </cell>
        </row>
        <row r="37">
          <cell r="A37" t="str">
            <v>B.6_29_GEST</v>
          </cell>
          <cell r="C37" t="str">
            <v>CostiB6,B7</v>
          </cell>
          <cell r="D37">
            <v>0</v>
          </cell>
          <cell r="E37">
            <v>8749788.059799999</v>
          </cell>
          <cell r="F37">
            <v>7237988.6999999993</v>
          </cell>
          <cell r="G37">
            <v>735787.18980000005</v>
          </cell>
          <cell r="H37">
            <v>776012.16999999981</v>
          </cell>
        </row>
        <row r="38">
          <cell r="A38" t="str">
            <v>B.7_29_GEST</v>
          </cell>
          <cell r="C38" t="str">
            <v>CCN</v>
          </cell>
          <cell r="D38">
            <v>0</v>
          </cell>
          <cell r="E38">
            <v>3298107.7079811608</v>
          </cell>
          <cell r="F38">
            <v>2716337.7126147952</v>
          </cell>
          <cell r="G38">
            <v>195641.80141403837</v>
          </cell>
          <cell r="H38">
            <v>386128.19395232876</v>
          </cell>
        </row>
        <row r="40">
          <cell r="B40" t="str">
            <v>Wacc</v>
          </cell>
          <cell r="C40"/>
          <cell r="D40">
            <v>5.8999999999999997E-2</v>
          </cell>
        </row>
        <row r="41">
          <cell r="B41" t="str">
            <v>time lag investimenti realizzati post 2017</v>
          </cell>
          <cell r="C41"/>
          <cell r="D41">
            <v>0.01</v>
          </cell>
        </row>
        <row r="43">
          <cell r="B43" t="str">
            <v>Inflazione 2028</v>
          </cell>
          <cell r="C43"/>
          <cell r="D43">
            <v>1.2E-2</v>
          </cell>
        </row>
        <row r="44">
          <cell r="B44" t="str">
            <v>Inflazione 2029</v>
          </cell>
          <cell r="C44"/>
          <cell r="D44">
            <v>0</v>
          </cell>
        </row>
        <row r="45">
          <cell r="A45"/>
        </row>
        <row r="46">
          <cell r="A46"/>
          <cell r="B46" t="str">
            <v>Calcolo CK proprietari diversi dal gestore</v>
          </cell>
        </row>
        <row r="47">
          <cell r="B47"/>
        </row>
        <row r="48">
          <cell r="E48">
            <v>2029</v>
          </cell>
          <cell r="F48"/>
          <cell r="G48"/>
          <cell r="H48"/>
        </row>
        <row r="49">
          <cell r="A49"/>
          <cell r="B49" t="str">
            <v>Cespiti proprietari diversi - Leasing</v>
          </cell>
          <cell r="C49"/>
          <cell r="D49" t="str">
            <v>Check</v>
          </cell>
          <cell r="E49" t="str">
            <v>AGESP</v>
          </cell>
          <cell r="F49" t="str">
            <v>BUSTO ARSIZIO</v>
          </cell>
          <cell r="G49" t="str">
            <v>FAGNANO OLONA</v>
          </cell>
          <cell r="H49" t="str">
            <v>VENEGONO SUPERIORE</v>
          </cell>
        </row>
        <row r="50">
          <cell r="A50"/>
          <cell r="B50" t="str">
            <v>Cespiti proprietari diversi dal gestore - Proprietario1</v>
          </cell>
          <cell r="C50"/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</row>
        <row r="51">
          <cell r="A51"/>
          <cell r="B51" t="str">
            <v>Cespiti proprietari diversi dal gestore - Proprietario2</v>
          </cell>
          <cell r="C51"/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</row>
        <row r="52">
          <cell r="A52"/>
          <cell r="B52" t="str">
            <v>Cespiti proprietari diversi dal gestore - Proprietario3</v>
          </cell>
          <cell r="C52"/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</row>
        <row r="53">
          <cell r="B53" t="str">
            <v>Leasing</v>
          </cell>
          <cell r="C53"/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</row>
        <row r="54">
          <cell r="B54" t="str">
            <v>Cka proprietari diversi dal gestore/leasing da inserire in PEF</v>
          </cell>
          <cell r="C54"/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</row>
        <row r="55">
          <cell r="A55"/>
          <cell r="B55"/>
          <cell r="C55"/>
          <cell r="D55"/>
          <cell r="E55"/>
          <cell r="F55"/>
          <cell r="G55"/>
          <cell r="H55"/>
        </row>
        <row r="56">
          <cell r="E56">
            <v>2029</v>
          </cell>
          <cell r="F56"/>
          <cell r="G56"/>
          <cell r="H56"/>
        </row>
        <row r="57">
          <cell r="B57" t="str">
            <v>Canone/Mutuo/Leasing</v>
          </cell>
          <cell r="C57"/>
          <cell r="D57" t="str">
            <v>Check</v>
          </cell>
          <cell r="E57" t="str">
            <v>AGESP</v>
          </cell>
          <cell r="F57" t="str">
            <v>BUSTO ARSIZIO</v>
          </cell>
          <cell r="G57" t="str">
            <v>FAGNANO OLONA</v>
          </cell>
          <cell r="H57" t="str">
            <v>VENEGONO SUPERIORE</v>
          </cell>
        </row>
        <row r="58">
          <cell r="A58" t="str">
            <v>PR.j_29_GEST</v>
          </cell>
          <cell r="B58" t="str">
            <v>Cespiti proprietari diversi dal gestore - Proprietario1</v>
          </cell>
          <cell r="C58"/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</row>
        <row r="59">
          <cell r="A59" t="str">
            <v>PR.k_29_GEST</v>
          </cell>
          <cell r="B59" t="str">
            <v>Cespiti proprietari diversi dal gestore - Proprietario2</v>
          </cell>
          <cell r="C59"/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</row>
        <row r="60">
          <cell r="A60" t="str">
            <v>PR.l_29_GEST</v>
          </cell>
          <cell r="B60" t="str">
            <v>Cespiti proprietari diversi dal gestore - Proprietario3</v>
          </cell>
          <cell r="C60"/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</row>
        <row r="61">
          <cell r="A61" t="str">
            <v>PR.m_29_GEST</v>
          </cell>
          <cell r="B61" t="str">
            <v>Leasing</v>
          </cell>
          <cell r="C61"/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</row>
        <row r="64">
          <cell r="E64">
            <v>2029</v>
          </cell>
          <cell r="F64"/>
          <cell r="G64"/>
          <cell r="H64"/>
        </row>
        <row r="65">
          <cell r="B65" t="str">
            <v>CKa</v>
          </cell>
          <cell r="C65"/>
          <cell r="D65" t="str">
            <v>Check</v>
          </cell>
          <cell r="E65" t="str">
            <v>AGESP</v>
          </cell>
          <cell r="F65" t="str">
            <v>BUSTO ARSIZIO</v>
          </cell>
          <cell r="G65" t="str">
            <v>FAGNANO OLONA</v>
          </cell>
          <cell r="H65" t="str">
            <v>VENEGONO SUPERIORE</v>
          </cell>
        </row>
        <row r="66">
          <cell r="B66" t="str">
            <v>Cespiti proprietari diversi dal gestore - Proprietario1</v>
          </cell>
          <cell r="C66"/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</row>
        <row r="67">
          <cell r="B67" t="str">
            <v>Cespiti proprietari diversi dal gestore - Proprietario2</v>
          </cell>
          <cell r="C67"/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</row>
        <row r="68">
          <cell r="B68" t="str">
            <v>Cespiti proprietari diversi dal gestore - Proprietario3</v>
          </cell>
          <cell r="C68"/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</row>
        <row r="69">
          <cell r="B69" t="str">
            <v>Leasing</v>
          </cell>
          <cell r="C69"/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</row>
        <row r="72">
          <cell r="E72">
            <v>2029</v>
          </cell>
          <cell r="F72"/>
          <cell r="G72"/>
          <cell r="H72"/>
        </row>
        <row r="73">
          <cell r="B73" t="str">
            <v>AMMa</v>
          </cell>
          <cell r="C73"/>
          <cell r="D73" t="str">
            <v>Check</v>
          </cell>
          <cell r="E73" t="str">
            <v>AGESP</v>
          </cell>
          <cell r="F73" t="str">
            <v>BUSTO ARSIZIO</v>
          </cell>
          <cell r="G73" t="str">
            <v>FAGNANO OLONA</v>
          </cell>
          <cell r="H73" t="str">
            <v>VENEGONO SUPERIORE</v>
          </cell>
        </row>
        <row r="74">
          <cell r="B74" t="str">
            <v>Cespiti proprietari diversi dal gestore - Proprietario1</v>
          </cell>
          <cell r="C74"/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</row>
        <row r="75">
          <cell r="B75" t="str">
            <v>Cespiti proprietari diversi dal gestore - Proprietario2</v>
          </cell>
          <cell r="C75"/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</row>
        <row r="76">
          <cell r="B76" t="str">
            <v>Cespiti proprietari diversi dal gestore - Proprietario3</v>
          </cell>
          <cell r="C76"/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</row>
        <row r="77">
          <cell r="B77" t="str">
            <v>Leasing</v>
          </cell>
          <cell r="C77"/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</row>
        <row r="79">
          <cell r="E79">
            <v>2029</v>
          </cell>
          <cell r="F79"/>
          <cell r="G79"/>
          <cell r="H79"/>
        </row>
        <row r="80">
          <cell r="B80" t="str">
            <v>Ra</v>
          </cell>
          <cell r="C80"/>
          <cell r="D80" t="str">
            <v>Check</v>
          </cell>
          <cell r="E80" t="str">
            <v>AGESP</v>
          </cell>
          <cell r="F80" t="str">
            <v>BUSTO ARSIZIO</v>
          </cell>
          <cell r="G80" t="str">
            <v>FAGNANO OLONA</v>
          </cell>
          <cell r="H80" t="str">
            <v>VENEGONO SUPERIORE</v>
          </cell>
        </row>
        <row r="81">
          <cell r="B81" t="str">
            <v>Cespiti proprietari diversi dal gestore - Proprietario1</v>
          </cell>
          <cell r="C81"/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</row>
        <row r="82">
          <cell r="B82" t="str">
            <v>Cespiti proprietari diversi dal gestore - Proprietario2</v>
          </cell>
          <cell r="C82"/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</row>
        <row r="83">
          <cell r="B83" t="str">
            <v>Cespiti proprietari diversi dal gestore - Proprietario3</v>
          </cell>
          <cell r="C83"/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</row>
        <row r="84">
          <cell r="B84" t="str">
            <v>Leasing</v>
          </cell>
          <cell r="C84"/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</row>
        <row r="86">
          <cell r="E86">
            <v>2029</v>
          </cell>
          <cell r="F86"/>
          <cell r="G86"/>
          <cell r="H86"/>
        </row>
        <row r="87">
          <cell r="B87" t="str">
            <v>IMNante2018</v>
          </cell>
          <cell r="C87"/>
          <cell r="D87" t="str">
            <v>Check</v>
          </cell>
          <cell r="E87" t="str">
            <v>AGESP</v>
          </cell>
          <cell r="F87" t="str">
            <v>BUSTO ARSIZIO</v>
          </cell>
          <cell r="G87" t="str">
            <v>FAGNANO OLONA</v>
          </cell>
          <cell r="H87" t="str">
            <v>VENEGONO SUPERIORE</v>
          </cell>
        </row>
        <row r="88">
          <cell r="B88" t="str">
            <v>Cespiti proprietari diversi dal gestore - Proprietario1</v>
          </cell>
          <cell r="C88"/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</row>
        <row r="89">
          <cell r="B89" t="str">
            <v>Cespiti proprietari diversi dal gestore - Proprietario2</v>
          </cell>
          <cell r="C89"/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</row>
        <row r="90">
          <cell r="B90" t="str">
            <v>Cespiti proprietari diversi dal gestore - Proprietario3</v>
          </cell>
          <cell r="C90"/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</row>
        <row r="91">
          <cell r="B91" t="str">
            <v>Leasing</v>
          </cell>
          <cell r="C91"/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</row>
        <row r="93">
          <cell r="E93">
            <v>2029</v>
          </cell>
          <cell r="F93"/>
          <cell r="G93"/>
          <cell r="H93"/>
        </row>
        <row r="94">
          <cell r="B94" t="str">
            <v>IMNdal2018</v>
          </cell>
          <cell r="C94"/>
          <cell r="D94" t="str">
            <v>Check</v>
          </cell>
          <cell r="E94" t="str">
            <v>AGESP</v>
          </cell>
          <cell r="F94" t="str">
            <v>BUSTO ARSIZIO</v>
          </cell>
          <cell r="G94" t="str">
            <v>FAGNANO OLONA</v>
          </cell>
          <cell r="H94" t="str">
            <v>VENEGONO SUPERIORE</v>
          </cell>
        </row>
        <row r="95">
          <cell r="B95" t="str">
            <v>Cespiti proprietari diversi dal gestore - Proprietario1</v>
          </cell>
          <cell r="C95"/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B96" t="str">
            <v>Cespiti proprietari diversi dal gestore - Proprietario2</v>
          </cell>
          <cell r="C96"/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</row>
        <row r="97">
          <cell r="B97" t="str">
            <v>Cespiti proprietari diversi dal gestore - Proprietario3</v>
          </cell>
          <cell r="C97"/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</row>
        <row r="98">
          <cell r="B98" t="str">
            <v>Leasing</v>
          </cell>
          <cell r="C98"/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</row>
      </sheetData>
      <sheetData sheetId="36">
        <row r="8">
          <cell r="B8" t="str">
            <v>Costi d'uso del capitale</v>
          </cell>
          <cell r="C8"/>
          <cell r="D8" t="str">
            <v>Check</v>
          </cell>
          <cell r="E8" t="str">
            <v>COMUNE</v>
          </cell>
          <cell r="F8" t="str">
            <v>BUSTO ARSIZIO</v>
          </cell>
          <cell r="G8" t="str">
            <v>FAGNANO OLONA</v>
          </cell>
          <cell r="H8" t="str">
            <v>VENEGONO SUPERIORE</v>
          </cell>
        </row>
        <row r="9">
          <cell r="A9" t="str">
            <v>AMM</v>
          </cell>
          <cell r="B9" t="str">
            <v>Ammortamento</v>
          </cell>
          <cell r="C9" t="str">
            <v>AMMa</v>
          </cell>
          <cell r="D9">
            <v>0</v>
          </cell>
          <cell r="E9">
            <v>23913.992320676058</v>
          </cell>
          <cell r="F9">
            <v>0</v>
          </cell>
          <cell r="G9">
            <v>0</v>
          </cell>
          <cell r="H9">
            <v>23913.992320676058</v>
          </cell>
        </row>
        <row r="10">
          <cell r="B10" t="str">
            <v>Accantonamenti</v>
          </cell>
          <cell r="C10" t="str">
            <v>Acca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A11"/>
          <cell r="B11" t="str">
            <v xml:space="preserve"> - di cui costi di gestione post-operativa delle discariche</v>
          </cell>
          <cell r="C11"/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/>
          <cell r="B12" t="str">
            <v xml:space="preserve"> - di cui per crediti</v>
          </cell>
          <cell r="C12"/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</row>
        <row r="13">
          <cell r="A13"/>
          <cell r="B13" t="str">
            <v>- di cui per rischi e oneri previsti da normativa di settore e/o dal contratto di affidamento</v>
          </cell>
          <cell r="C13"/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</row>
        <row r="14">
          <cell r="A14"/>
          <cell r="B14" t="str">
            <v xml:space="preserve"> - di cui per altri non in eccesso rispetto a norme tributarie</v>
          </cell>
          <cell r="C14"/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</row>
        <row r="15">
          <cell r="B15" t="str">
            <v>Remunerazione</v>
          </cell>
          <cell r="C15" t="str">
            <v>Ra</v>
          </cell>
          <cell r="D15">
            <v>0</v>
          </cell>
          <cell r="E15">
            <v>43699.925777064222</v>
          </cell>
          <cell r="F15">
            <v>0</v>
          </cell>
          <cell r="G15">
            <v>0</v>
          </cell>
          <cell r="H15">
            <v>43699.925777064222</v>
          </cell>
        </row>
        <row r="16">
          <cell r="A16" t="str">
            <v>R_LIC</v>
          </cell>
          <cell r="B16" t="str">
            <v>Remunerazione immobilizzazioni in corso</v>
          </cell>
          <cell r="C16" t="str">
            <v>RLIC,a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</row>
        <row r="17">
          <cell r="A17" t="str">
            <v>CK_PROPR</v>
          </cell>
          <cell r="B17" t="str">
            <v>Costi d'uso del capitale proprietari diversi dal gestore (art.13.11 MTR3)</v>
          </cell>
          <cell r="C17" t="str">
            <v>CKLprop,a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</row>
        <row r="18">
          <cell r="B18" t="str">
            <v>Costi d'uso del capitale</v>
          </cell>
          <cell r="C18" t="str">
            <v>CKa</v>
          </cell>
          <cell r="D18">
            <v>0</v>
          </cell>
          <cell r="E18">
            <v>67613.918097740272</v>
          </cell>
          <cell r="F18">
            <v>0</v>
          </cell>
          <cell r="G18">
            <v>0</v>
          </cell>
          <cell r="H18">
            <v>67613.918097740272</v>
          </cell>
        </row>
        <row r="21">
          <cell r="A21"/>
          <cell r="B21" t="str">
            <v>Calcolo componenti CK Cespiti del gestore</v>
          </cell>
        </row>
        <row r="23">
          <cell r="B23" t="str">
            <v>Cespiti gestore</v>
          </cell>
        </row>
        <row r="24">
          <cell r="E24">
            <v>2026</v>
          </cell>
          <cell r="F24"/>
          <cell r="G24"/>
          <cell r="H24"/>
        </row>
        <row r="25">
          <cell r="D25" t="str">
            <v>Check</v>
          </cell>
          <cell r="E25" t="str">
            <v>COMUNE</v>
          </cell>
          <cell r="F25" t="str">
            <v>BUSTO ARSIZIO</v>
          </cell>
          <cell r="G25" t="str">
            <v>FAGNANO OLONA</v>
          </cell>
          <cell r="H25" t="str">
            <v>VENEGONO SUPERIORE</v>
          </cell>
        </row>
        <row r="26">
          <cell r="B26" t="str">
            <v>Immobilizzazioni nette</v>
          </cell>
          <cell r="C26" t="str">
            <v>IMNa</v>
          </cell>
          <cell r="D26">
            <v>0</v>
          </cell>
          <cell r="E26">
            <v>438191.34264306125</v>
          </cell>
          <cell r="F26">
            <v>0</v>
          </cell>
          <cell r="G26">
            <v>0</v>
          </cell>
          <cell r="H26">
            <v>438191.34264306125</v>
          </cell>
        </row>
        <row r="27">
          <cell r="A27" t="str">
            <v>IMN_PRE_18</v>
          </cell>
          <cell r="B27"/>
          <cell r="C27" t="str">
            <v>IMNante2018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</row>
        <row r="28">
          <cell r="A28" t="str">
            <v>IMN_POST_18</v>
          </cell>
          <cell r="B28"/>
          <cell r="C28" t="str">
            <v>IMNdal2018</v>
          </cell>
          <cell r="D28">
            <v>0</v>
          </cell>
          <cell r="E28">
            <v>438191.34264306125</v>
          </cell>
          <cell r="F28">
            <v>0</v>
          </cell>
          <cell r="G28">
            <v>0</v>
          </cell>
          <cell r="H28">
            <v>438191.34264306125</v>
          </cell>
        </row>
        <row r="29">
          <cell r="B29" t="str">
            <v>Capitale circolante netto</v>
          </cell>
          <cell r="C29" t="str">
            <v>CCNa</v>
          </cell>
          <cell r="D29">
            <v>0</v>
          </cell>
          <cell r="E29">
            <v>228215.64635072878</v>
          </cell>
          <cell r="F29">
            <v>0</v>
          </cell>
          <cell r="G29">
            <v>0</v>
          </cell>
          <cell r="H29">
            <v>228215.64635072878</v>
          </cell>
        </row>
        <row r="30">
          <cell r="A30" t="str">
            <v>PRK_26_COM</v>
          </cell>
          <cell r="B30" t="str">
            <v>Poste rettificative</v>
          </cell>
          <cell r="C30" t="str">
            <v>PRa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</row>
        <row r="31">
          <cell r="B31" t="str">
            <v>CAPITALE INVESTITO NETTO</v>
          </cell>
          <cell r="C31" t="str">
            <v>CINa</v>
          </cell>
          <cell r="D31">
            <v>0</v>
          </cell>
          <cell r="E31">
            <v>666406.98899379</v>
          </cell>
          <cell r="F31">
            <v>0</v>
          </cell>
          <cell r="G31">
            <v>0</v>
          </cell>
          <cell r="H31">
            <v>666406.98899379</v>
          </cell>
        </row>
        <row r="32">
          <cell r="C32" t="str">
            <v>CIN negativo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</row>
        <row r="33">
          <cell r="B33"/>
        </row>
        <row r="34">
          <cell r="E34">
            <v>2026</v>
          </cell>
          <cell r="F34"/>
          <cell r="G34"/>
          <cell r="H34"/>
        </row>
        <row r="35">
          <cell r="D35" t="str">
            <v>Check</v>
          </cell>
          <cell r="E35" t="str">
            <v>COMUNE</v>
          </cell>
          <cell r="F35" t="str">
            <v>BUSTO ARSIZIO</v>
          </cell>
          <cell r="G35" t="str">
            <v>FAGNANO OLONA</v>
          </cell>
          <cell r="H35" t="str">
            <v>VENEGONO SUPERIORE</v>
          </cell>
        </row>
        <row r="36">
          <cell r="A36" t="str">
            <v>A.1_26_COM</v>
          </cell>
          <cell r="C36" t="str">
            <v>RicaviA1, a-2</v>
          </cell>
          <cell r="D36">
            <v>0</v>
          </cell>
          <cell r="E36">
            <v>934100</v>
          </cell>
          <cell r="F36">
            <v>0</v>
          </cell>
          <cell r="G36">
            <v>0</v>
          </cell>
          <cell r="H36">
            <v>934100</v>
          </cell>
        </row>
        <row r="37">
          <cell r="A37" t="str">
            <v>B.6_26_COM</v>
          </cell>
          <cell r="C37" t="str">
            <v>CostiB6,B7</v>
          </cell>
          <cell r="D37">
            <v>0</v>
          </cell>
          <cell r="E37">
            <v>74932.48000000001</v>
          </cell>
          <cell r="F37">
            <v>0</v>
          </cell>
          <cell r="G37">
            <v>0</v>
          </cell>
          <cell r="H37">
            <v>74932.48000000001</v>
          </cell>
        </row>
        <row r="38">
          <cell r="A38" t="str">
            <v>B.7_26_COM</v>
          </cell>
          <cell r="C38" t="str">
            <v>CCN</v>
          </cell>
          <cell r="D38">
            <v>0</v>
          </cell>
          <cell r="E38">
            <v>228215.64635072878</v>
          </cell>
          <cell r="F38">
            <v>0</v>
          </cell>
          <cell r="G38">
            <v>0</v>
          </cell>
          <cell r="H38">
            <v>228215.64635072878</v>
          </cell>
        </row>
        <row r="40">
          <cell r="B40" t="str">
            <v>Wacc</v>
          </cell>
          <cell r="C40"/>
          <cell r="D40">
            <v>5.8999999999999997E-2</v>
          </cell>
        </row>
        <row r="41">
          <cell r="B41" t="str">
            <v>time lag investimenti realizzati post 2017</v>
          </cell>
          <cell r="C41"/>
          <cell r="D41">
            <v>0.01</v>
          </cell>
        </row>
        <row r="43">
          <cell r="B43" t="str">
            <v>Inflazione 2025</v>
          </cell>
          <cell r="C43"/>
          <cell r="D43">
            <v>0.02</v>
          </cell>
        </row>
        <row r="44">
          <cell r="B44" t="str">
            <v>Inflazione 2026</v>
          </cell>
          <cell r="C44"/>
          <cell r="D44">
            <v>1.2E-2</v>
          </cell>
        </row>
        <row r="45">
          <cell r="A45"/>
        </row>
        <row r="46">
          <cell r="A46"/>
          <cell r="B46" t="str">
            <v>Calcolo CK proprietari diversi dal gestore</v>
          </cell>
        </row>
        <row r="47">
          <cell r="B47"/>
        </row>
        <row r="48">
          <cell r="E48">
            <v>2026</v>
          </cell>
          <cell r="F48"/>
          <cell r="G48"/>
          <cell r="H48"/>
        </row>
        <row r="49">
          <cell r="A49"/>
          <cell r="B49" t="str">
            <v>Cespiti proprietari diversi - Leasing</v>
          </cell>
          <cell r="C49"/>
          <cell r="D49" t="str">
            <v>Check</v>
          </cell>
          <cell r="E49" t="str">
            <v>COMUNE</v>
          </cell>
          <cell r="F49" t="str">
            <v>BUSTO ARSIZIO</v>
          </cell>
          <cell r="G49" t="str">
            <v>FAGNANO OLONA</v>
          </cell>
          <cell r="H49" t="str">
            <v>VENEGONO SUPERIORE</v>
          </cell>
        </row>
        <row r="50">
          <cell r="A50"/>
          <cell r="B50" t="str">
            <v>Cespiti proprietari diversi dal gestore - Proprietario1</v>
          </cell>
          <cell r="C50"/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</row>
        <row r="51">
          <cell r="A51"/>
          <cell r="B51" t="str">
            <v>Cespiti proprietari diversi dal gestore - Proprietario2</v>
          </cell>
          <cell r="C51"/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</row>
        <row r="52">
          <cell r="A52"/>
          <cell r="B52" t="str">
            <v>Cespiti proprietari diversi dal gestore - Proprietario3</v>
          </cell>
          <cell r="C52"/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</row>
        <row r="53">
          <cell r="B53" t="str">
            <v>Leasing</v>
          </cell>
          <cell r="C53"/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</row>
        <row r="54">
          <cell r="B54" t="str">
            <v>Cka proprietari diversi dal gestore/leasing da inserire in PEF</v>
          </cell>
          <cell r="C54"/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</row>
        <row r="55">
          <cell r="A55"/>
          <cell r="B55"/>
          <cell r="C55"/>
          <cell r="D55"/>
          <cell r="E55"/>
          <cell r="F55"/>
          <cell r="G55"/>
          <cell r="H55"/>
        </row>
        <row r="56">
          <cell r="E56">
            <v>2026</v>
          </cell>
          <cell r="F56"/>
          <cell r="G56"/>
          <cell r="H56"/>
        </row>
        <row r="57">
          <cell r="B57" t="str">
            <v>Canone/Mutuo/Leasing</v>
          </cell>
          <cell r="C57"/>
          <cell r="D57" t="str">
            <v>Check</v>
          </cell>
          <cell r="E57" t="str">
            <v>COMUNE</v>
          </cell>
          <cell r="F57" t="str">
            <v>BUSTO ARSIZIO</v>
          </cell>
          <cell r="G57" t="str">
            <v>FAGNANO OLONA</v>
          </cell>
          <cell r="H57" t="str">
            <v>VENEGONO SUPERIORE</v>
          </cell>
        </row>
        <row r="58">
          <cell r="A58" t="str">
            <v>PR.j_26_COM</v>
          </cell>
          <cell r="B58" t="str">
            <v>Cespiti proprietari diversi dal gestore - Proprietario1</v>
          </cell>
          <cell r="C58"/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</row>
        <row r="59">
          <cell r="A59" t="str">
            <v>PR.k_26_COM</v>
          </cell>
          <cell r="B59" t="str">
            <v>Cespiti proprietari diversi dal gestore - Proprietario2</v>
          </cell>
          <cell r="C59"/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</row>
        <row r="60">
          <cell r="A60" t="str">
            <v>PR.l_26_COM</v>
          </cell>
          <cell r="B60" t="str">
            <v>Cespiti proprietari diversi dal gestore - Proprietario3</v>
          </cell>
          <cell r="C60"/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</row>
        <row r="61">
          <cell r="A61" t="str">
            <v>PR.m_26_COM</v>
          </cell>
          <cell r="B61" t="str">
            <v>Leasing</v>
          </cell>
          <cell r="C61"/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</row>
        <row r="64">
          <cell r="E64">
            <v>2026</v>
          </cell>
          <cell r="F64"/>
          <cell r="G64"/>
          <cell r="H64"/>
        </row>
        <row r="65">
          <cell r="B65" t="str">
            <v>CKa</v>
          </cell>
          <cell r="C65"/>
          <cell r="D65" t="str">
            <v>Check</v>
          </cell>
          <cell r="E65" t="str">
            <v>COMUNE</v>
          </cell>
          <cell r="F65" t="str">
            <v>BUSTO ARSIZIO</v>
          </cell>
          <cell r="G65" t="str">
            <v>FAGNANO OLONA</v>
          </cell>
          <cell r="H65" t="str">
            <v>VENEGONO SUPERIORE</v>
          </cell>
        </row>
        <row r="66">
          <cell r="B66" t="str">
            <v>Cespiti proprietari diversi dal gestore - Proprietario1</v>
          </cell>
          <cell r="C66"/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</row>
        <row r="67">
          <cell r="B67" t="str">
            <v>Cespiti proprietari diversi dal gestore - Proprietario2</v>
          </cell>
          <cell r="C67"/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</row>
        <row r="68">
          <cell r="B68" t="str">
            <v>Cespiti proprietari diversi dal gestore - Proprietario3</v>
          </cell>
          <cell r="C68"/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</row>
        <row r="69">
          <cell r="B69" t="str">
            <v>Leasing</v>
          </cell>
          <cell r="C69"/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</row>
        <row r="72">
          <cell r="E72">
            <v>2026</v>
          </cell>
          <cell r="F72"/>
          <cell r="G72"/>
          <cell r="H72"/>
        </row>
        <row r="73">
          <cell r="B73" t="str">
            <v>AMMa</v>
          </cell>
          <cell r="C73"/>
          <cell r="D73" t="str">
            <v>Check</v>
          </cell>
          <cell r="E73" t="str">
            <v>COMUNE</v>
          </cell>
          <cell r="F73" t="str">
            <v>BUSTO ARSIZIO</v>
          </cell>
          <cell r="G73" t="str">
            <v>FAGNANO OLONA</v>
          </cell>
          <cell r="H73" t="str">
            <v>VENEGONO SUPERIORE</v>
          </cell>
        </row>
        <row r="74">
          <cell r="B74" t="str">
            <v>Cespiti proprietari diversi dal gestore - Proprietario1</v>
          </cell>
          <cell r="C74"/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</row>
        <row r="75">
          <cell r="B75" t="str">
            <v>Cespiti proprietari diversi dal gestore - Proprietario2</v>
          </cell>
          <cell r="C75"/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</row>
        <row r="76">
          <cell r="B76" t="str">
            <v>Cespiti proprietari diversi dal gestore - Proprietario3</v>
          </cell>
          <cell r="C76"/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</row>
        <row r="77">
          <cell r="B77" t="str">
            <v>Leasing</v>
          </cell>
          <cell r="C77"/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</row>
        <row r="79">
          <cell r="E79">
            <v>2026</v>
          </cell>
          <cell r="F79"/>
          <cell r="G79"/>
          <cell r="H79"/>
        </row>
        <row r="80">
          <cell r="B80" t="str">
            <v>Ra</v>
          </cell>
          <cell r="C80"/>
          <cell r="D80" t="str">
            <v>Check</v>
          </cell>
          <cell r="E80" t="str">
            <v>COMUNE</v>
          </cell>
          <cell r="F80" t="str">
            <v>BUSTO ARSIZIO</v>
          </cell>
          <cell r="G80" t="str">
            <v>FAGNANO OLONA</v>
          </cell>
          <cell r="H80" t="str">
            <v>VENEGONO SUPERIORE</v>
          </cell>
        </row>
        <row r="81">
          <cell r="B81" t="str">
            <v>Cespiti proprietari diversi dal gestore - Proprietario1</v>
          </cell>
          <cell r="C81"/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</row>
        <row r="82">
          <cell r="B82" t="str">
            <v>Cespiti proprietari diversi dal gestore - Proprietario2</v>
          </cell>
          <cell r="C82"/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</row>
        <row r="83">
          <cell r="B83" t="str">
            <v>Cespiti proprietari diversi dal gestore - Proprietario3</v>
          </cell>
          <cell r="C83"/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</row>
        <row r="84">
          <cell r="B84" t="str">
            <v>Leasing</v>
          </cell>
          <cell r="C84"/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</row>
        <row r="86">
          <cell r="E86">
            <v>2026</v>
          </cell>
          <cell r="F86"/>
          <cell r="G86"/>
          <cell r="H86"/>
        </row>
        <row r="87">
          <cell r="B87" t="str">
            <v>IMNante2018</v>
          </cell>
          <cell r="C87"/>
          <cell r="D87" t="str">
            <v>Check</v>
          </cell>
          <cell r="E87" t="str">
            <v>COMUNE</v>
          </cell>
          <cell r="F87" t="str">
            <v>BUSTO ARSIZIO</v>
          </cell>
          <cell r="G87" t="str">
            <v>FAGNANO OLONA</v>
          </cell>
          <cell r="H87" t="str">
            <v>VENEGONO SUPERIORE</v>
          </cell>
        </row>
        <row r="88">
          <cell r="B88" t="str">
            <v>Cespiti proprietari diversi dal gestore - Proprietario1</v>
          </cell>
          <cell r="C88"/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</row>
        <row r="89">
          <cell r="B89" t="str">
            <v>Cespiti proprietari diversi dal gestore - Proprietario2</v>
          </cell>
          <cell r="C89"/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</row>
        <row r="90">
          <cell r="B90" t="str">
            <v>Cespiti proprietari diversi dal gestore - Proprietario3</v>
          </cell>
          <cell r="C90"/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</row>
        <row r="91">
          <cell r="B91" t="str">
            <v>Leasing</v>
          </cell>
          <cell r="C91"/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</row>
        <row r="93">
          <cell r="E93">
            <v>2026</v>
          </cell>
          <cell r="F93"/>
          <cell r="G93"/>
          <cell r="H93"/>
        </row>
        <row r="94">
          <cell r="B94" t="str">
            <v>IMNdal2018</v>
          </cell>
          <cell r="C94"/>
          <cell r="D94" t="str">
            <v>Check</v>
          </cell>
          <cell r="E94" t="str">
            <v>COMUNE</v>
          </cell>
          <cell r="F94" t="str">
            <v>BUSTO ARSIZIO</v>
          </cell>
          <cell r="G94" t="str">
            <v>FAGNANO OLONA</v>
          </cell>
          <cell r="H94" t="str">
            <v>VENEGONO SUPERIORE</v>
          </cell>
        </row>
        <row r="95">
          <cell r="B95" t="str">
            <v>Cespiti proprietari diversi dal gestore - Proprietario1</v>
          </cell>
          <cell r="C95"/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B96" t="str">
            <v>Cespiti proprietari diversi dal gestore - Proprietario2</v>
          </cell>
          <cell r="C96"/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</row>
        <row r="97">
          <cell r="B97" t="str">
            <v>Cespiti proprietari diversi dal gestore - Proprietario3</v>
          </cell>
          <cell r="C97"/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</row>
        <row r="98">
          <cell r="B98" t="str">
            <v>Leasing</v>
          </cell>
          <cell r="C98"/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</row>
      </sheetData>
      <sheetData sheetId="37">
        <row r="8">
          <cell r="B8" t="str">
            <v>Costi d'uso del capitale</v>
          </cell>
          <cell r="C8"/>
          <cell r="D8" t="str">
            <v>Check</v>
          </cell>
          <cell r="E8" t="str">
            <v>COMUNE</v>
          </cell>
          <cell r="F8" t="str">
            <v>BUSTO ARSIZIO</v>
          </cell>
          <cell r="G8" t="str">
            <v>FAGNANO OLONA</v>
          </cell>
          <cell r="H8" t="str">
            <v>VENEGONO SUPERIORE</v>
          </cell>
        </row>
        <row r="9">
          <cell r="A9" t="str">
            <v>AMM</v>
          </cell>
          <cell r="B9" t="str">
            <v>Ammortamento</v>
          </cell>
          <cell r="C9" t="str">
            <v>AMMa</v>
          </cell>
          <cell r="D9">
            <v>0</v>
          </cell>
          <cell r="E9">
            <v>24185.690890676058</v>
          </cell>
          <cell r="F9">
            <v>0</v>
          </cell>
          <cell r="G9">
            <v>0</v>
          </cell>
          <cell r="H9">
            <v>24185.690890676058</v>
          </cell>
        </row>
        <row r="10">
          <cell r="B10" t="str">
            <v>Accantonamenti</v>
          </cell>
          <cell r="C10" t="str">
            <v>Acca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A11"/>
          <cell r="B11" t="str">
            <v xml:space="preserve"> - di cui costi di gestione post-operativa delle discariche</v>
          </cell>
          <cell r="C11"/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/>
          <cell r="B12" t="str">
            <v xml:space="preserve"> - di cui per crediti</v>
          </cell>
          <cell r="C12"/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</row>
        <row r="13">
          <cell r="A13"/>
          <cell r="B13" t="str">
            <v>- di cui per rischi e oneri previsti da normativa di settore e/o dal contratto di affidamento</v>
          </cell>
          <cell r="C13"/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</row>
        <row r="14">
          <cell r="A14"/>
          <cell r="B14" t="str">
            <v xml:space="preserve"> - di cui per altri non in eccesso rispetto a norme tributarie</v>
          </cell>
          <cell r="C14"/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</row>
        <row r="15">
          <cell r="B15" t="str">
            <v>Remunerazione</v>
          </cell>
          <cell r="C15" t="str">
            <v>Ra</v>
          </cell>
          <cell r="D15">
            <v>0</v>
          </cell>
          <cell r="E15">
            <v>43361.924975533759</v>
          </cell>
          <cell r="F15">
            <v>0</v>
          </cell>
          <cell r="G15">
            <v>0</v>
          </cell>
          <cell r="H15">
            <v>43361.924975533759</v>
          </cell>
        </row>
        <row r="16">
          <cell r="A16" t="str">
            <v>R_LIC</v>
          </cell>
          <cell r="B16" t="str">
            <v>Remunerazione immobilizzazioni in corso</v>
          </cell>
          <cell r="C16" t="str">
            <v>RLIC,a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</row>
        <row r="17">
          <cell r="A17" t="str">
            <v>CK_PROPR</v>
          </cell>
          <cell r="B17" t="str">
            <v>Costi d'uso del capitale proprietari diversi dal gestore (art.13.11 MTR3)</v>
          </cell>
          <cell r="C17" t="str">
            <v>CKLprop,a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</row>
        <row r="18">
          <cell r="B18" t="str">
            <v>Costi d'uso del capitale</v>
          </cell>
          <cell r="C18" t="str">
            <v>CKa</v>
          </cell>
          <cell r="D18">
            <v>0</v>
          </cell>
          <cell r="E18">
            <v>67547.615866209817</v>
          </cell>
          <cell r="F18">
            <v>0</v>
          </cell>
          <cell r="G18">
            <v>0</v>
          </cell>
          <cell r="H18">
            <v>67547.615866209817</v>
          </cell>
        </row>
        <row r="21">
          <cell r="A21"/>
          <cell r="B21" t="str">
            <v>Calcolo componenti CK Cespiti del gestore</v>
          </cell>
        </row>
        <row r="23">
          <cell r="B23" t="str">
            <v>Cespiti gestore</v>
          </cell>
        </row>
        <row r="24">
          <cell r="E24">
            <v>2027</v>
          </cell>
          <cell r="F24"/>
          <cell r="G24"/>
          <cell r="H24"/>
        </row>
        <row r="25">
          <cell r="D25" t="str">
            <v>Check</v>
          </cell>
          <cell r="E25" t="str">
            <v>COMUNE</v>
          </cell>
          <cell r="F25" t="str">
            <v>BUSTO ARSIZIO</v>
          </cell>
          <cell r="G25" t="str">
            <v>FAGNANO OLONA</v>
          </cell>
          <cell r="H25" t="str">
            <v>VENEGONO SUPERIORE</v>
          </cell>
        </row>
        <row r="26">
          <cell r="B26" t="str">
            <v>Immobilizzazioni nette</v>
          </cell>
          <cell r="C26" t="str">
            <v>IMNa</v>
          </cell>
          <cell r="D26">
            <v>0</v>
          </cell>
          <cell r="E26">
            <v>416179.24031238526</v>
          </cell>
          <cell r="F26">
            <v>0</v>
          </cell>
          <cell r="G26">
            <v>0</v>
          </cell>
          <cell r="H26">
            <v>416179.24031238526</v>
          </cell>
        </row>
        <row r="27">
          <cell r="A27" t="str">
            <v>IMN_PRE_18</v>
          </cell>
          <cell r="B27"/>
          <cell r="C27" t="str">
            <v>IMNante2018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</row>
        <row r="28">
          <cell r="A28" t="str">
            <v>IMN_POST_18</v>
          </cell>
          <cell r="B28"/>
          <cell r="C28" t="str">
            <v>IMNdal2018</v>
          </cell>
          <cell r="D28">
            <v>0</v>
          </cell>
          <cell r="E28">
            <v>416179.24031238526</v>
          </cell>
          <cell r="F28">
            <v>0</v>
          </cell>
          <cell r="G28">
            <v>0</v>
          </cell>
          <cell r="H28">
            <v>416179.24031238526</v>
          </cell>
        </row>
        <row r="29">
          <cell r="B29" t="str">
            <v>Capitale circolante netto</v>
          </cell>
          <cell r="C29" t="str">
            <v>CCNa</v>
          </cell>
          <cell r="D29">
            <v>0</v>
          </cell>
          <cell r="E29">
            <v>248229.78633863013</v>
          </cell>
          <cell r="F29">
            <v>0</v>
          </cell>
          <cell r="G29">
            <v>0</v>
          </cell>
          <cell r="H29">
            <v>248229.78633863013</v>
          </cell>
        </row>
        <row r="30">
          <cell r="A30" t="str">
            <v>PRK_26_COM</v>
          </cell>
          <cell r="B30" t="str">
            <v>Poste rettificative</v>
          </cell>
          <cell r="C30" t="str">
            <v>PRa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</row>
        <row r="31">
          <cell r="B31" t="str">
            <v>CAPITALE INVESTITO NETTO</v>
          </cell>
          <cell r="C31" t="str">
            <v>CINa</v>
          </cell>
          <cell r="D31">
            <v>0</v>
          </cell>
          <cell r="E31">
            <v>664409.02665101539</v>
          </cell>
          <cell r="F31">
            <v>0</v>
          </cell>
          <cell r="G31">
            <v>0</v>
          </cell>
          <cell r="H31">
            <v>664409.02665101539</v>
          </cell>
        </row>
        <row r="32">
          <cell r="C32" t="str">
            <v>CIN negativo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</row>
        <row r="33">
          <cell r="B33"/>
        </row>
        <row r="34">
          <cell r="E34">
            <v>2027</v>
          </cell>
          <cell r="F34"/>
          <cell r="G34"/>
          <cell r="H34"/>
        </row>
        <row r="35">
          <cell r="D35" t="str">
            <v>Check</v>
          </cell>
          <cell r="E35" t="str">
            <v>COMUNE</v>
          </cell>
          <cell r="F35" t="str">
            <v>BUSTO ARSIZIO</v>
          </cell>
          <cell r="G35" t="str">
            <v>FAGNANO OLONA</v>
          </cell>
          <cell r="H35" t="str">
            <v>VENEGONO SUPERIORE</v>
          </cell>
        </row>
        <row r="36">
          <cell r="A36" t="str">
            <v>A.1_27_COM</v>
          </cell>
          <cell r="C36" t="str">
            <v>RicaviA1, a-2</v>
          </cell>
          <cell r="D36">
            <v>0</v>
          </cell>
          <cell r="E36">
            <v>1030640</v>
          </cell>
          <cell r="F36">
            <v>0</v>
          </cell>
          <cell r="G36">
            <v>0</v>
          </cell>
          <cell r="H36">
            <v>1030640</v>
          </cell>
        </row>
        <row r="37">
          <cell r="A37" t="str">
            <v>B.6_27_COM</v>
          </cell>
          <cell r="C37" t="str">
            <v>CostiB6,B7</v>
          </cell>
          <cell r="D37">
            <v>0</v>
          </cell>
          <cell r="E37">
            <v>71735.160000000018</v>
          </cell>
          <cell r="F37">
            <v>0</v>
          </cell>
          <cell r="G37">
            <v>0</v>
          </cell>
          <cell r="H37">
            <v>71735.160000000018</v>
          </cell>
        </row>
        <row r="38">
          <cell r="A38" t="str">
            <v>B.7_27_COM</v>
          </cell>
          <cell r="C38" t="str">
            <v>CCN</v>
          </cell>
          <cell r="D38">
            <v>0</v>
          </cell>
          <cell r="E38">
            <v>248229.78633863013</v>
          </cell>
          <cell r="F38">
            <v>0</v>
          </cell>
          <cell r="G38">
            <v>0</v>
          </cell>
          <cell r="H38">
            <v>248229.78633863013</v>
          </cell>
        </row>
        <row r="40">
          <cell r="B40" t="str">
            <v>Wacc</v>
          </cell>
          <cell r="C40"/>
          <cell r="D40">
            <v>5.8999999999999997E-2</v>
          </cell>
        </row>
        <row r="41">
          <cell r="B41" t="str">
            <v>time lag investimenti realizzati post 2017</v>
          </cell>
          <cell r="C41"/>
          <cell r="D41">
            <v>0.01</v>
          </cell>
        </row>
        <row r="43">
          <cell r="B43" t="str">
            <v>Inflazione 2026</v>
          </cell>
          <cell r="C43"/>
          <cell r="D43">
            <v>1.2E-2</v>
          </cell>
        </row>
        <row r="44">
          <cell r="B44" t="str">
            <v>Inflazione 2027</v>
          </cell>
          <cell r="C44"/>
          <cell r="D44">
            <v>0</v>
          </cell>
        </row>
        <row r="45">
          <cell r="A45"/>
        </row>
        <row r="46">
          <cell r="A46"/>
          <cell r="B46" t="str">
            <v>Calcolo CK proprietari diversi dal gestore</v>
          </cell>
        </row>
        <row r="47">
          <cell r="B47"/>
        </row>
        <row r="48">
          <cell r="E48">
            <v>2027</v>
          </cell>
          <cell r="F48"/>
          <cell r="G48"/>
          <cell r="H48"/>
        </row>
        <row r="49">
          <cell r="A49"/>
          <cell r="B49" t="str">
            <v>Cespiti proprietari diversi - Leasing</v>
          </cell>
          <cell r="C49"/>
          <cell r="D49" t="str">
            <v>Check</v>
          </cell>
          <cell r="E49" t="str">
            <v>COMUNE</v>
          </cell>
          <cell r="F49" t="str">
            <v>BUSTO ARSIZIO</v>
          </cell>
          <cell r="G49" t="str">
            <v>FAGNANO OLONA</v>
          </cell>
          <cell r="H49" t="str">
            <v>VENEGONO SUPERIORE</v>
          </cell>
        </row>
        <row r="50">
          <cell r="A50"/>
          <cell r="B50" t="str">
            <v>Cespiti proprietari diversi dal gestore - Proprietario1</v>
          </cell>
          <cell r="C50"/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</row>
        <row r="51">
          <cell r="A51"/>
          <cell r="B51" t="str">
            <v>Cespiti proprietari diversi dal gestore - Proprietario2</v>
          </cell>
          <cell r="C51"/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</row>
        <row r="52">
          <cell r="A52"/>
          <cell r="B52" t="str">
            <v>Cespiti proprietari diversi dal gestore - Proprietario3</v>
          </cell>
          <cell r="C52"/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</row>
        <row r="53">
          <cell r="B53" t="str">
            <v>Leasing</v>
          </cell>
          <cell r="C53"/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</row>
        <row r="54">
          <cell r="B54" t="str">
            <v>Cka proprietari diversi dal gestore/leasing da inserire in PEF</v>
          </cell>
          <cell r="C54"/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</row>
        <row r="55">
          <cell r="A55"/>
          <cell r="B55"/>
          <cell r="C55"/>
          <cell r="D55"/>
          <cell r="E55"/>
          <cell r="F55"/>
          <cell r="G55"/>
          <cell r="H55"/>
        </row>
        <row r="56">
          <cell r="E56">
            <v>2027</v>
          </cell>
          <cell r="F56"/>
          <cell r="G56"/>
          <cell r="H56"/>
        </row>
        <row r="57">
          <cell r="B57" t="str">
            <v>Canone/Mutuo/Leasing</v>
          </cell>
          <cell r="C57"/>
          <cell r="D57" t="str">
            <v>Check</v>
          </cell>
          <cell r="E57" t="str">
            <v>COMUNE</v>
          </cell>
          <cell r="F57" t="str">
            <v>BUSTO ARSIZIO</v>
          </cell>
          <cell r="G57" t="str">
            <v>FAGNANO OLONA</v>
          </cell>
          <cell r="H57" t="str">
            <v>VENEGONO SUPERIORE</v>
          </cell>
        </row>
        <row r="58">
          <cell r="A58" t="str">
            <v>PR.j_27_COM</v>
          </cell>
          <cell r="B58" t="str">
            <v>Cespiti proprietari diversi dal gestore - Proprietario1</v>
          </cell>
          <cell r="C58"/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</row>
        <row r="59">
          <cell r="A59" t="str">
            <v>PR.k_27_COM</v>
          </cell>
          <cell r="B59" t="str">
            <v>Cespiti proprietari diversi dal gestore - Proprietario2</v>
          </cell>
          <cell r="C59"/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</row>
        <row r="60">
          <cell r="A60" t="str">
            <v>PR.l_27_COM</v>
          </cell>
          <cell r="B60" t="str">
            <v>Cespiti proprietari diversi dal gestore - Proprietario3</v>
          </cell>
          <cell r="C60"/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</row>
        <row r="61">
          <cell r="A61" t="str">
            <v>PR.m_27_COM</v>
          </cell>
          <cell r="B61" t="str">
            <v>Leasing</v>
          </cell>
          <cell r="C61"/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</row>
        <row r="64">
          <cell r="E64">
            <v>2027</v>
          </cell>
          <cell r="F64"/>
          <cell r="G64"/>
          <cell r="H64"/>
        </row>
        <row r="65">
          <cell r="B65" t="str">
            <v>CKa</v>
          </cell>
          <cell r="C65"/>
          <cell r="D65" t="str">
            <v>Check</v>
          </cell>
          <cell r="E65" t="str">
            <v>COMUNE</v>
          </cell>
          <cell r="F65" t="str">
            <v>BUSTO ARSIZIO</v>
          </cell>
          <cell r="G65" t="str">
            <v>FAGNANO OLONA</v>
          </cell>
          <cell r="H65" t="str">
            <v>VENEGONO SUPERIORE</v>
          </cell>
        </row>
        <row r="66">
          <cell r="B66" t="str">
            <v>Cespiti proprietari diversi dal gestore - Proprietario1</v>
          </cell>
          <cell r="C66"/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</row>
        <row r="67">
          <cell r="B67" t="str">
            <v>Cespiti proprietari diversi dal gestore - Proprietario2</v>
          </cell>
          <cell r="C67"/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</row>
        <row r="68">
          <cell r="B68" t="str">
            <v>Cespiti proprietari diversi dal gestore - Proprietario3</v>
          </cell>
          <cell r="C68"/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</row>
        <row r="69">
          <cell r="B69" t="str">
            <v>Leasing</v>
          </cell>
          <cell r="C69"/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</row>
        <row r="72">
          <cell r="E72">
            <v>2027</v>
          </cell>
          <cell r="F72"/>
          <cell r="G72"/>
          <cell r="H72"/>
        </row>
        <row r="73">
          <cell r="B73" t="str">
            <v>AMMa</v>
          </cell>
          <cell r="C73"/>
          <cell r="D73" t="str">
            <v>Check</v>
          </cell>
          <cell r="E73" t="str">
            <v>COMUNE</v>
          </cell>
          <cell r="F73" t="str">
            <v>BUSTO ARSIZIO</v>
          </cell>
          <cell r="G73" t="str">
            <v>FAGNANO OLONA</v>
          </cell>
          <cell r="H73" t="str">
            <v>VENEGONO SUPERIORE</v>
          </cell>
        </row>
        <row r="74">
          <cell r="B74" t="str">
            <v>Cespiti proprietari diversi dal gestore - Proprietario1</v>
          </cell>
          <cell r="C74"/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</row>
        <row r="75">
          <cell r="B75" t="str">
            <v>Cespiti proprietari diversi dal gestore - Proprietario2</v>
          </cell>
          <cell r="C75"/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</row>
        <row r="76">
          <cell r="B76" t="str">
            <v>Cespiti proprietari diversi dal gestore - Proprietario3</v>
          </cell>
          <cell r="C76"/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</row>
        <row r="77">
          <cell r="B77" t="str">
            <v>Leasing</v>
          </cell>
          <cell r="C77"/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</row>
        <row r="79">
          <cell r="E79">
            <v>2027</v>
          </cell>
          <cell r="F79"/>
          <cell r="G79"/>
          <cell r="H79"/>
        </row>
        <row r="80">
          <cell r="B80" t="str">
            <v>Ra</v>
          </cell>
          <cell r="C80"/>
          <cell r="D80" t="str">
            <v>Check</v>
          </cell>
          <cell r="E80" t="str">
            <v>COMUNE</v>
          </cell>
          <cell r="F80" t="str">
            <v>BUSTO ARSIZIO</v>
          </cell>
          <cell r="G80" t="str">
            <v>FAGNANO OLONA</v>
          </cell>
          <cell r="H80" t="str">
            <v>VENEGONO SUPERIORE</v>
          </cell>
        </row>
        <row r="81">
          <cell r="B81" t="str">
            <v>Cespiti proprietari diversi dal gestore - Proprietario1</v>
          </cell>
          <cell r="C81"/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</row>
        <row r="82">
          <cell r="B82" t="str">
            <v>Cespiti proprietari diversi dal gestore - Proprietario2</v>
          </cell>
          <cell r="C82"/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</row>
        <row r="83">
          <cell r="B83" t="str">
            <v>Cespiti proprietari diversi dal gestore - Proprietario3</v>
          </cell>
          <cell r="C83"/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</row>
        <row r="84">
          <cell r="B84" t="str">
            <v>Leasing</v>
          </cell>
          <cell r="C84"/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</row>
        <row r="86">
          <cell r="E86">
            <v>2027</v>
          </cell>
          <cell r="F86"/>
          <cell r="G86"/>
          <cell r="H86"/>
        </row>
        <row r="87">
          <cell r="B87" t="str">
            <v>IMNante2018</v>
          </cell>
          <cell r="C87"/>
          <cell r="D87" t="str">
            <v>Check</v>
          </cell>
          <cell r="E87" t="str">
            <v>COMUNE</v>
          </cell>
          <cell r="F87" t="str">
            <v>BUSTO ARSIZIO</v>
          </cell>
          <cell r="G87" t="str">
            <v>FAGNANO OLONA</v>
          </cell>
          <cell r="H87" t="str">
            <v>VENEGONO SUPERIORE</v>
          </cell>
        </row>
        <row r="88">
          <cell r="B88" t="str">
            <v>Cespiti proprietari diversi dal gestore - Proprietario1</v>
          </cell>
          <cell r="C88"/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</row>
        <row r="89">
          <cell r="B89" t="str">
            <v>Cespiti proprietari diversi dal gestore - Proprietario2</v>
          </cell>
          <cell r="C89"/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</row>
        <row r="90">
          <cell r="B90" t="str">
            <v>Cespiti proprietari diversi dal gestore - Proprietario3</v>
          </cell>
          <cell r="C90"/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</row>
        <row r="91">
          <cell r="B91" t="str">
            <v>Leasing</v>
          </cell>
          <cell r="C91"/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</row>
        <row r="93">
          <cell r="E93">
            <v>2027</v>
          </cell>
          <cell r="F93"/>
          <cell r="G93"/>
          <cell r="H93"/>
        </row>
        <row r="94">
          <cell r="B94" t="str">
            <v>IMNdal2018</v>
          </cell>
          <cell r="C94"/>
          <cell r="D94" t="str">
            <v>Check</v>
          </cell>
          <cell r="E94" t="str">
            <v>COMUNE</v>
          </cell>
          <cell r="F94" t="str">
            <v>BUSTO ARSIZIO</v>
          </cell>
          <cell r="G94" t="str">
            <v>FAGNANO OLONA</v>
          </cell>
          <cell r="H94" t="str">
            <v>VENEGONO SUPERIORE</v>
          </cell>
        </row>
        <row r="95">
          <cell r="B95" t="str">
            <v>Cespiti proprietari diversi dal gestore - Proprietario1</v>
          </cell>
          <cell r="C95"/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B96" t="str">
            <v>Cespiti proprietari diversi dal gestore - Proprietario2</v>
          </cell>
          <cell r="C96"/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</row>
        <row r="97">
          <cell r="B97" t="str">
            <v>Cespiti proprietari diversi dal gestore - Proprietario3</v>
          </cell>
          <cell r="C97"/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</row>
        <row r="98">
          <cell r="B98" t="str">
            <v>Leasing</v>
          </cell>
          <cell r="C98"/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</row>
      </sheetData>
      <sheetData sheetId="38">
        <row r="8">
          <cell r="B8" t="str">
            <v>Costi d'uso del capitale</v>
          </cell>
          <cell r="C8"/>
          <cell r="D8" t="str">
            <v>Check</v>
          </cell>
          <cell r="E8" t="str">
            <v>COMUNE</v>
          </cell>
          <cell r="F8" t="str">
            <v>BUSTO ARSIZIO</v>
          </cell>
          <cell r="G8" t="str">
            <v>FAGNANO OLONA</v>
          </cell>
          <cell r="H8" t="str">
            <v>VENEGONO SUPERIORE</v>
          </cell>
        </row>
        <row r="9">
          <cell r="A9" t="str">
            <v>AMM</v>
          </cell>
          <cell r="B9" t="str">
            <v>Ammortamento</v>
          </cell>
          <cell r="C9" t="str">
            <v>AMMa</v>
          </cell>
          <cell r="D9">
            <v>0</v>
          </cell>
          <cell r="E9">
            <v>21576.013896481796</v>
          </cell>
          <cell r="F9">
            <v>0</v>
          </cell>
          <cell r="G9">
            <v>0</v>
          </cell>
          <cell r="H9">
            <v>21576.013896481796</v>
          </cell>
        </row>
        <row r="10">
          <cell r="B10" t="str">
            <v>Accantonamenti</v>
          </cell>
          <cell r="C10" t="str">
            <v>Acca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A11"/>
          <cell r="B11" t="str">
            <v xml:space="preserve"> - di cui costi di gestione post-operativa delle discariche</v>
          </cell>
          <cell r="C11"/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/>
          <cell r="B12" t="str">
            <v xml:space="preserve"> - di cui per crediti</v>
          </cell>
          <cell r="C12"/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</row>
        <row r="13">
          <cell r="A13"/>
          <cell r="B13" t="str">
            <v>- di cui per rischi e oneri previsti da normativa di settore e/o dal contratto di affidamento</v>
          </cell>
          <cell r="C13"/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</row>
        <row r="14">
          <cell r="A14"/>
          <cell r="B14" t="str">
            <v xml:space="preserve"> - di cui per altri non in eccesso rispetto a norme tributarie</v>
          </cell>
          <cell r="C14"/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</row>
        <row r="15">
          <cell r="B15" t="str">
            <v>Remunerazione</v>
          </cell>
          <cell r="C15" t="str">
            <v>Ra</v>
          </cell>
          <cell r="D15">
            <v>0</v>
          </cell>
          <cell r="E15">
            <v>41693.112304077105</v>
          </cell>
          <cell r="F15">
            <v>0</v>
          </cell>
          <cell r="G15">
            <v>0</v>
          </cell>
          <cell r="H15">
            <v>41693.112304077105</v>
          </cell>
        </row>
        <row r="16">
          <cell r="A16" t="str">
            <v>R_LIC</v>
          </cell>
          <cell r="B16" t="str">
            <v>Remunerazione immobilizzazioni in corso</v>
          </cell>
          <cell r="C16" t="str">
            <v>RLIC,a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</row>
        <row r="17">
          <cell r="A17" t="str">
            <v>CK_PROPR</v>
          </cell>
          <cell r="B17" t="str">
            <v>Costi d'uso del capitale proprietari diversi dal gestore (art.13.11 MTR3)</v>
          </cell>
          <cell r="C17" t="str">
            <v>CKLprop,a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</row>
        <row r="18">
          <cell r="B18" t="str">
            <v>Costi d'uso del capitale</v>
          </cell>
          <cell r="C18" t="str">
            <v>CKa</v>
          </cell>
          <cell r="D18">
            <v>0</v>
          </cell>
          <cell r="E18">
            <v>63269.126200558901</v>
          </cell>
          <cell r="F18">
            <v>0</v>
          </cell>
          <cell r="G18">
            <v>0</v>
          </cell>
          <cell r="H18">
            <v>63269.126200558901</v>
          </cell>
        </row>
        <row r="21">
          <cell r="A21"/>
          <cell r="B21" t="str">
            <v>Calcolo componenti CK Cespiti del gestore</v>
          </cell>
        </row>
        <row r="23">
          <cell r="B23" t="str">
            <v>Cespiti gestore</v>
          </cell>
        </row>
        <row r="24">
          <cell r="E24">
            <v>2028</v>
          </cell>
          <cell r="F24"/>
          <cell r="G24"/>
          <cell r="H24"/>
        </row>
        <row r="25">
          <cell r="D25" t="str">
            <v>Check</v>
          </cell>
          <cell r="E25" t="str">
            <v>COMUNE</v>
          </cell>
          <cell r="F25" t="str">
            <v>BUSTO ARSIZIO</v>
          </cell>
          <cell r="G25" t="str">
            <v>FAGNANO OLONA</v>
          </cell>
          <cell r="H25" t="str">
            <v>VENEGONO SUPERIORE</v>
          </cell>
        </row>
        <row r="26">
          <cell r="B26" t="str">
            <v>Immobilizzazioni nette</v>
          </cell>
          <cell r="C26" t="str">
            <v>IMNa</v>
          </cell>
          <cell r="D26">
            <v>0</v>
          </cell>
          <cell r="E26">
            <v>391993.54942170915</v>
          </cell>
          <cell r="F26">
            <v>0</v>
          </cell>
          <cell r="G26">
            <v>0</v>
          </cell>
          <cell r="H26">
            <v>391993.54942170915</v>
          </cell>
        </row>
        <row r="27">
          <cell r="A27" t="str">
            <v>IMN_PRE_18</v>
          </cell>
          <cell r="B27"/>
          <cell r="C27" t="str">
            <v>IMNante2018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</row>
        <row r="28">
          <cell r="A28" t="str">
            <v>IMN_POST_18</v>
          </cell>
          <cell r="B28"/>
          <cell r="C28" t="str">
            <v>IMNdal2018</v>
          </cell>
          <cell r="D28">
            <v>0</v>
          </cell>
          <cell r="E28">
            <v>391993.54942170915</v>
          </cell>
          <cell r="F28">
            <v>0</v>
          </cell>
          <cell r="G28">
            <v>0</v>
          </cell>
          <cell r="H28">
            <v>391993.54942170915</v>
          </cell>
        </row>
        <row r="29">
          <cell r="B29" t="str">
            <v>Capitale circolante netto</v>
          </cell>
          <cell r="C29" t="str">
            <v>CCNa</v>
          </cell>
          <cell r="D29">
            <v>0</v>
          </cell>
          <cell r="E29">
            <v>248229.78633863013</v>
          </cell>
          <cell r="F29">
            <v>0</v>
          </cell>
          <cell r="G29">
            <v>0</v>
          </cell>
          <cell r="H29">
            <v>248229.78633863013</v>
          </cell>
        </row>
        <row r="30">
          <cell r="A30" t="str">
            <v>PRK_26_COM</v>
          </cell>
          <cell r="B30" t="str">
            <v>Poste rettificative</v>
          </cell>
          <cell r="C30" t="str">
            <v>PRa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</row>
        <row r="31">
          <cell r="B31" t="str">
            <v>CAPITALE INVESTITO NETTO</v>
          </cell>
          <cell r="C31" t="str">
            <v>CINa</v>
          </cell>
          <cell r="D31">
            <v>0</v>
          </cell>
          <cell r="E31">
            <v>640223.33576033928</v>
          </cell>
          <cell r="F31">
            <v>0</v>
          </cell>
          <cell r="G31">
            <v>0</v>
          </cell>
          <cell r="H31">
            <v>640223.33576033928</v>
          </cell>
        </row>
        <row r="32">
          <cell r="C32" t="str">
            <v>CIN negativo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</row>
        <row r="33">
          <cell r="B33"/>
        </row>
        <row r="34">
          <cell r="E34">
            <v>2028</v>
          </cell>
          <cell r="F34"/>
          <cell r="G34"/>
          <cell r="H34"/>
        </row>
        <row r="35">
          <cell r="D35" t="str">
            <v>Check</v>
          </cell>
          <cell r="E35" t="str">
            <v>COMUNE</v>
          </cell>
          <cell r="F35" t="str">
            <v>BUSTO ARSIZIO</v>
          </cell>
          <cell r="G35" t="str">
            <v>FAGNANO OLONA</v>
          </cell>
          <cell r="H35" t="str">
            <v>VENEGONO SUPERIORE</v>
          </cell>
        </row>
        <row r="36">
          <cell r="A36" t="str">
            <v>A.1_28_COM</v>
          </cell>
          <cell r="C36" t="str">
            <v>RicaviA1, a-2</v>
          </cell>
          <cell r="D36">
            <v>0</v>
          </cell>
          <cell r="E36">
            <v>1030640</v>
          </cell>
          <cell r="F36">
            <v>0</v>
          </cell>
          <cell r="G36">
            <v>0</v>
          </cell>
          <cell r="H36">
            <v>1030640</v>
          </cell>
        </row>
        <row r="37">
          <cell r="A37" t="str">
            <v>B.6_28_COM</v>
          </cell>
          <cell r="C37" t="str">
            <v>CostiB6,B7</v>
          </cell>
          <cell r="D37">
            <v>0</v>
          </cell>
          <cell r="E37">
            <v>71735.160000000018</v>
          </cell>
          <cell r="F37">
            <v>0</v>
          </cell>
          <cell r="G37">
            <v>0</v>
          </cell>
          <cell r="H37">
            <v>71735.160000000018</v>
          </cell>
        </row>
        <row r="38">
          <cell r="A38" t="str">
            <v>B.7_28_COM</v>
          </cell>
          <cell r="C38" t="str">
            <v>CCN</v>
          </cell>
          <cell r="D38">
            <v>0</v>
          </cell>
          <cell r="E38">
            <v>248229.78633863013</v>
          </cell>
          <cell r="F38">
            <v>0</v>
          </cell>
          <cell r="G38">
            <v>0</v>
          </cell>
          <cell r="H38">
            <v>248229.78633863013</v>
          </cell>
        </row>
        <row r="40">
          <cell r="B40" t="str">
            <v>Wacc</v>
          </cell>
          <cell r="C40"/>
          <cell r="D40">
            <v>5.8999999999999997E-2</v>
          </cell>
        </row>
        <row r="41">
          <cell r="B41" t="str">
            <v>time lag investimenti realizzati post 2017</v>
          </cell>
          <cell r="C41"/>
          <cell r="D41">
            <v>0.01</v>
          </cell>
        </row>
        <row r="43">
          <cell r="B43" t="str">
            <v>Inflazione 2027</v>
          </cell>
          <cell r="C43"/>
          <cell r="D43">
            <v>1.2E-2</v>
          </cell>
        </row>
        <row r="44">
          <cell r="B44" t="str">
            <v>Inflazione 2028</v>
          </cell>
          <cell r="C44"/>
          <cell r="D44">
            <v>0</v>
          </cell>
        </row>
        <row r="45">
          <cell r="A45"/>
        </row>
        <row r="46">
          <cell r="A46"/>
          <cell r="B46" t="str">
            <v>Calcolo CK proprietari diversi dal gestore</v>
          </cell>
        </row>
        <row r="47">
          <cell r="B47"/>
        </row>
        <row r="48">
          <cell r="E48">
            <v>2028</v>
          </cell>
          <cell r="F48"/>
          <cell r="G48"/>
          <cell r="H48"/>
        </row>
        <row r="49">
          <cell r="A49"/>
          <cell r="B49" t="str">
            <v>Cespiti proprietari diversi - Leasing</v>
          </cell>
          <cell r="C49"/>
          <cell r="D49" t="str">
            <v>Check</v>
          </cell>
          <cell r="E49" t="str">
            <v>COMUNE</v>
          </cell>
          <cell r="F49" t="str">
            <v>BUSTO ARSIZIO</v>
          </cell>
          <cell r="G49" t="str">
            <v>FAGNANO OLONA</v>
          </cell>
          <cell r="H49" t="str">
            <v>VENEGONO SUPERIORE</v>
          </cell>
        </row>
        <row r="50">
          <cell r="A50"/>
          <cell r="B50" t="str">
            <v>Cespiti proprietari diversi dal gestore - Proprietario1</v>
          </cell>
          <cell r="C50"/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</row>
        <row r="51">
          <cell r="A51"/>
          <cell r="B51" t="str">
            <v>Cespiti proprietari diversi dal gestore - Proprietario2</v>
          </cell>
          <cell r="C51"/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</row>
        <row r="52">
          <cell r="A52"/>
          <cell r="B52" t="str">
            <v>Cespiti proprietari diversi dal gestore - Proprietario3</v>
          </cell>
          <cell r="C52"/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</row>
        <row r="53">
          <cell r="B53" t="str">
            <v>Leasing</v>
          </cell>
          <cell r="C53"/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</row>
        <row r="54">
          <cell r="B54" t="str">
            <v>Cka proprietari diversi dal gestore/leasing da inserire in PEF</v>
          </cell>
          <cell r="C54"/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</row>
        <row r="55">
          <cell r="A55"/>
          <cell r="B55"/>
          <cell r="C55"/>
          <cell r="D55"/>
          <cell r="E55"/>
          <cell r="F55"/>
          <cell r="G55"/>
          <cell r="H55"/>
        </row>
        <row r="56">
          <cell r="E56">
            <v>2028</v>
          </cell>
          <cell r="F56"/>
          <cell r="G56"/>
          <cell r="H56"/>
        </row>
        <row r="57">
          <cell r="B57" t="str">
            <v>Canone/Mutuo/Leasing</v>
          </cell>
          <cell r="C57"/>
          <cell r="D57" t="str">
            <v>Check</v>
          </cell>
          <cell r="E57" t="str">
            <v>COMUNE</v>
          </cell>
          <cell r="F57" t="str">
            <v>BUSTO ARSIZIO</v>
          </cell>
          <cell r="G57" t="str">
            <v>FAGNANO OLONA</v>
          </cell>
          <cell r="H57" t="str">
            <v>VENEGONO SUPERIORE</v>
          </cell>
        </row>
        <row r="58">
          <cell r="A58" t="str">
            <v>PR.j_28_COM</v>
          </cell>
          <cell r="B58" t="str">
            <v>Cespiti proprietari diversi dal gestore - Proprietario1</v>
          </cell>
          <cell r="C58"/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</row>
        <row r="59">
          <cell r="A59" t="str">
            <v>PR.k_28_COM</v>
          </cell>
          <cell r="B59" t="str">
            <v>Cespiti proprietari diversi dal gestore - Proprietario2</v>
          </cell>
          <cell r="C59"/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</row>
        <row r="60">
          <cell r="A60" t="str">
            <v>PR.l_28_COM</v>
          </cell>
          <cell r="B60" t="str">
            <v>Cespiti proprietari diversi dal gestore - Proprietario3</v>
          </cell>
          <cell r="C60"/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</row>
        <row r="61">
          <cell r="A61" t="str">
            <v>PR.m_28_COM</v>
          </cell>
          <cell r="B61" t="str">
            <v>Leasing</v>
          </cell>
          <cell r="C61"/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</row>
        <row r="64">
          <cell r="E64">
            <v>2028</v>
          </cell>
          <cell r="F64"/>
          <cell r="G64"/>
          <cell r="H64"/>
        </row>
        <row r="65">
          <cell r="B65" t="str">
            <v>CKa</v>
          </cell>
          <cell r="C65"/>
          <cell r="D65" t="str">
            <v>Check</v>
          </cell>
          <cell r="E65" t="str">
            <v>COMUNE</v>
          </cell>
          <cell r="F65" t="str">
            <v>BUSTO ARSIZIO</v>
          </cell>
          <cell r="G65" t="str">
            <v>FAGNANO OLONA</v>
          </cell>
          <cell r="H65" t="str">
            <v>VENEGONO SUPERIORE</v>
          </cell>
        </row>
        <row r="66">
          <cell r="B66" t="str">
            <v>Cespiti proprietari diversi dal gestore - Proprietario1</v>
          </cell>
          <cell r="C66"/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</row>
        <row r="67">
          <cell r="B67" t="str">
            <v>Cespiti proprietari diversi dal gestore - Proprietario2</v>
          </cell>
          <cell r="C67"/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</row>
        <row r="68">
          <cell r="B68" t="str">
            <v>Cespiti proprietari diversi dal gestore - Proprietario3</v>
          </cell>
          <cell r="C68"/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</row>
        <row r="69">
          <cell r="B69" t="str">
            <v>Leasing</v>
          </cell>
          <cell r="C69"/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</row>
        <row r="72">
          <cell r="E72">
            <v>2028</v>
          </cell>
          <cell r="F72"/>
          <cell r="G72"/>
          <cell r="H72"/>
        </row>
        <row r="73">
          <cell r="B73" t="str">
            <v>AMMa</v>
          </cell>
          <cell r="C73"/>
          <cell r="D73" t="str">
            <v>Check</v>
          </cell>
          <cell r="E73" t="str">
            <v>COMUNE</v>
          </cell>
          <cell r="F73" t="str">
            <v>BUSTO ARSIZIO</v>
          </cell>
          <cell r="G73" t="str">
            <v>FAGNANO OLONA</v>
          </cell>
          <cell r="H73" t="str">
            <v>VENEGONO SUPERIORE</v>
          </cell>
        </row>
        <row r="74">
          <cell r="B74" t="str">
            <v>Cespiti proprietari diversi dal gestore - Proprietario1</v>
          </cell>
          <cell r="C74"/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</row>
        <row r="75">
          <cell r="B75" t="str">
            <v>Cespiti proprietari diversi dal gestore - Proprietario2</v>
          </cell>
          <cell r="C75"/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</row>
        <row r="76">
          <cell r="B76" t="str">
            <v>Cespiti proprietari diversi dal gestore - Proprietario3</v>
          </cell>
          <cell r="C76"/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</row>
        <row r="77">
          <cell r="B77" t="str">
            <v>Leasing</v>
          </cell>
          <cell r="C77"/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</row>
        <row r="79">
          <cell r="E79">
            <v>2028</v>
          </cell>
          <cell r="F79"/>
          <cell r="G79"/>
          <cell r="H79"/>
        </row>
        <row r="80">
          <cell r="B80" t="str">
            <v>Ra</v>
          </cell>
          <cell r="C80"/>
          <cell r="D80" t="str">
            <v>Check</v>
          </cell>
          <cell r="E80" t="str">
            <v>COMUNE</v>
          </cell>
          <cell r="F80" t="str">
            <v>BUSTO ARSIZIO</v>
          </cell>
          <cell r="G80" t="str">
            <v>FAGNANO OLONA</v>
          </cell>
          <cell r="H80" t="str">
            <v>VENEGONO SUPERIORE</v>
          </cell>
        </row>
        <row r="81">
          <cell r="B81" t="str">
            <v>Cespiti proprietari diversi dal gestore - Proprietario1</v>
          </cell>
          <cell r="C81"/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</row>
        <row r="82">
          <cell r="B82" t="str">
            <v>Cespiti proprietari diversi dal gestore - Proprietario2</v>
          </cell>
          <cell r="C82"/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</row>
        <row r="83">
          <cell r="B83" t="str">
            <v>Cespiti proprietari diversi dal gestore - Proprietario3</v>
          </cell>
          <cell r="C83"/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</row>
        <row r="84">
          <cell r="B84" t="str">
            <v>Leasing</v>
          </cell>
          <cell r="C84"/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</row>
        <row r="86">
          <cell r="E86">
            <v>2028</v>
          </cell>
          <cell r="F86"/>
          <cell r="G86"/>
          <cell r="H86"/>
        </row>
        <row r="87">
          <cell r="B87" t="str">
            <v>IMNante2018</v>
          </cell>
          <cell r="C87"/>
          <cell r="D87" t="str">
            <v>Check</v>
          </cell>
          <cell r="E87" t="str">
            <v>COMUNE</v>
          </cell>
          <cell r="F87" t="str">
            <v>BUSTO ARSIZIO</v>
          </cell>
          <cell r="G87" t="str">
            <v>FAGNANO OLONA</v>
          </cell>
          <cell r="H87" t="str">
            <v>VENEGONO SUPERIORE</v>
          </cell>
        </row>
        <row r="88">
          <cell r="B88" t="str">
            <v>Cespiti proprietari diversi dal gestore - Proprietario1</v>
          </cell>
          <cell r="C88"/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</row>
        <row r="89">
          <cell r="B89" t="str">
            <v>Cespiti proprietari diversi dal gestore - Proprietario2</v>
          </cell>
          <cell r="C89"/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</row>
        <row r="90">
          <cell r="B90" t="str">
            <v>Cespiti proprietari diversi dal gestore - Proprietario3</v>
          </cell>
          <cell r="C90"/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</row>
        <row r="91">
          <cell r="B91" t="str">
            <v>Leasing</v>
          </cell>
          <cell r="C91"/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</row>
        <row r="93">
          <cell r="E93">
            <v>2028</v>
          </cell>
          <cell r="F93"/>
          <cell r="G93"/>
          <cell r="H93"/>
        </row>
        <row r="94">
          <cell r="B94" t="str">
            <v>IMNdal2018</v>
          </cell>
          <cell r="C94"/>
          <cell r="D94" t="str">
            <v>Check</v>
          </cell>
          <cell r="E94" t="str">
            <v>COMUNE</v>
          </cell>
          <cell r="F94" t="str">
            <v>BUSTO ARSIZIO</v>
          </cell>
          <cell r="G94" t="str">
            <v>FAGNANO OLONA</v>
          </cell>
          <cell r="H94" t="str">
            <v>VENEGONO SUPERIORE</v>
          </cell>
        </row>
        <row r="95">
          <cell r="B95" t="str">
            <v>Cespiti proprietari diversi dal gestore - Proprietario1</v>
          </cell>
          <cell r="C95"/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B96" t="str">
            <v>Cespiti proprietari diversi dal gestore - Proprietario2</v>
          </cell>
          <cell r="C96"/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</row>
        <row r="97">
          <cell r="B97" t="str">
            <v>Cespiti proprietari diversi dal gestore - Proprietario3</v>
          </cell>
          <cell r="C97"/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</row>
        <row r="98">
          <cell r="B98" t="str">
            <v>Leasing</v>
          </cell>
          <cell r="C98"/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</row>
      </sheetData>
      <sheetData sheetId="39">
        <row r="8">
          <cell r="B8" t="str">
            <v>Costi d'uso del capitale</v>
          </cell>
          <cell r="C8"/>
          <cell r="D8" t="str">
            <v>Check</v>
          </cell>
          <cell r="E8" t="str">
            <v>COMUNE</v>
          </cell>
          <cell r="F8" t="str">
            <v>BUSTO ARSIZIO</v>
          </cell>
          <cell r="G8" t="str">
            <v>FAGNANO OLONA</v>
          </cell>
          <cell r="H8" t="str">
            <v>VENEGONO SUPERIORE</v>
          </cell>
        </row>
        <row r="9">
          <cell r="A9" t="str">
            <v>AMM</v>
          </cell>
          <cell r="B9" t="str">
            <v>Ammortamento</v>
          </cell>
          <cell r="C9" t="str">
            <v>AMMa</v>
          </cell>
          <cell r="D9">
            <v>0</v>
          </cell>
          <cell r="E9">
            <v>20354.085815461956</v>
          </cell>
          <cell r="F9">
            <v>0</v>
          </cell>
          <cell r="G9">
            <v>0</v>
          </cell>
          <cell r="H9">
            <v>20354.085815461956</v>
          </cell>
        </row>
        <row r="10">
          <cell r="B10" t="str">
            <v>Accantonamenti</v>
          </cell>
          <cell r="C10" t="str">
            <v>Acca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A11"/>
          <cell r="B11" t="str">
            <v xml:space="preserve"> - di cui costi di gestione post-operativa delle discariche</v>
          </cell>
          <cell r="C11"/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/>
          <cell r="B12" t="str">
            <v xml:space="preserve"> - di cui per crediti</v>
          </cell>
          <cell r="C12"/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</row>
        <row r="13">
          <cell r="A13"/>
          <cell r="B13" t="str">
            <v>- di cui per rischi e oneri previsti da normativa di settore e/o dal contratto di affidamento</v>
          </cell>
          <cell r="C13"/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</row>
        <row r="14">
          <cell r="A14"/>
          <cell r="B14" t="str">
            <v xml:space="preserve"> - di cui per altri non in eccesso rispetto a norme tributarie</v>
          </cell>
          <cell r="C14"/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</row>
        <row r="15">
          <cell r="B15" t="str">
            <v>Remunerazione</v>
          </cell>
          <cell r="C15" t="str">
            <v>Ra</v>
          </cell>
          <cell r="D15">
            <v>0</v>
          </cell>
          <cell r="E15">
            <v>40204.367345219856</v>
          </cell>
          <cell r="F15">
            <v>0</v>
          </cell>
          <cell r="G15">
            <v>0</v>
          </cell>
          <cell r="H15">
            <v>40204.367345219856</v>
          </cell>
        </row>
        <row r="16">
          <cell r="A16" t="str">
            <v>R_LIC</v>
          </cell>
          <cell r="B16" t="str">
            <v>Remunerazione immobilizzazioni in corso</v>
          </cell>
          <cell r="C16" t="str">
            <v>RLIC,a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</row>
        <row r="17">
          <cell r="A17" t="str">
            <v>CK_PROPR</v>
          </cell>
          <cell r="B17" t="str">
            <v>Costi d'uso del capitale proprietari diversi dal gestore (art.13.11 MTR3)</v>
          </cell>
          <cell r="C17" t="str">
            <v>CKLprop,a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</row>
        <row r="18">
          <cell r="B18" t="str">
            <v>Costi d'uso del capitale</v>
          </cell>
          <cell r="C18" t="str">
            <v>CKa</v>
          </cell>
          <cell r="D18">
            <v>0</v>
          </cell>
          <cell r="E18">
            <v>60558.453160681813</v>
          </cell>
          <cell r="F18">
            <v>0</v>
          </cell>
          <cell r="G18">
            <v>0</v>
          </cell>
          <cell r="H18">
            <v>60558.453160681813</v>
          </cell>
        </row>
        <row r="21">
          <cell r="A21"/>
          <cell r="B21" t="str">
            <v>Calcolo componenti CK Cespiti del gestore</v>
          </cell>
        </row>
        <row r="23">
          <cell r="B23" t="str">
            <v>Cespiti gestore</v>
          </cell>
        </row>
        <row r="24">
          <cell r="E24">
            <v>2029</v>
          </cell>
          <cell r="F24"/>
          <cell r="G24"/>
          <cell r="H24"/>
        </row>
        <row r="25">
          <cell r="D25" t="str">
            <v>Check</v>
          </cell>
          <cell r="E25" t="str">
            <v>COMUNE</v>
          </cell>
          <cell r="F25" t="str">
            <v>BUSTO ARSIZIO</v>
          </cell>
          <cell r="G25" t="str">
            <v>FAGNANO OLONA</v>
          </cell>
          <cell r="H25" t="str">
            <v>VENEGONO SUPERIORE</v>
          </cell>
        </row>
        <row r="26">
          <cell r="B26" t="str">
            <v>Immobilizzazioni nette</v>
          </cell>
          <cell r="C26" t="str">
            <v>IMNa</v>
          </cell>
          <cell r="D26">
            <v>0</v>
          </cell>
          <cell r="E26">
            <v>370417.53552522731</v>
          </cell>
          <cell r="F26">
            <v>0</v>
          </cell>
          <cell r="G26">
            <v>0</v>
          </cell>
          <cell r="H26">
            <v>370417.53552522731</v>
          </cell>
        </row>
        <row r="27">
          <cell r="A27" t="str">
            <v>IMN_PRE_18</v>
          </cell>
          <cell r="B27"/>
          <cell r="C27" t="str">
            <v>IMNante2018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</row>
        <row r="28">
          <cell r="A28" t="str">
            <v>IMN_POST_18</v>
          </cell>
          <cell r="B28"/>
          <cell r="C28" t="str">
            <v>IMNdal2018</v>
          </cell>
          <cell r="D28">
            <v>0</v>
          </cell>
          <cell r="E28">
            <v>370417.53552522731</v>
          </cell>
          <cell r="F28">
            <v>0</v>
          </cell>
          <cell r="G28">
            <v>0</v>
          </cell>
          <cell r="H28">
            <v>370417.53552522731</v>
          </cell>
        </row>
        <row r="29">
          <cell r="B29" t="str">
            <v>Capitale circolante netto</v>
          </cell>
          <cell r="C29" t="str">
            <v>CCNa</v>
          </cell>
          <cell r="D29">
            <v>0</v>
          </cell>
          <cell r="E29">
            <v>248229.78633863013</v>
          </cell>
          <cell r="F29">
            <v>0</v>
          </cell>
          <cell r="G29">
            <v>0</v>
          </cell>
          <cell r="H29">
            <v>248229.78633863013</v>
          </cell>
        </row>
        <row r="30">
          <cell r="A30" t="str">
            <v>PRK_26_COM</v>
          </cell>
          <cell r="B30" t="str">
            <v>Poste rettificative</v>
          </cell>
          <cell r="C30" t="str">
            <v>PRa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</row>
        <row r="31">
          <cell r="B31" t="str">
            <v>CAPITALE INVESTITO NETTO</v>
          </cell>
          <cell r="C31" t="str">
            <v>CINa</v>
          </cell>
          <cell r="D31">
            <v>0</v>
          </cell>
          <cell r="E31">
            <v>618647.32186385745</v>
          </cell>
          <cell r="F31">
            <v>0</v>
          </cell>
          <cell r="G31">
            <v>0</v>
          </cell>
          <cell r="H31">
            <v>618647.32186385745</v>
          </cell>
        </row>
        <row r="32">
          <cell r="C32" t="str">
            <v>CIN negativo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</row>
        <row r="33">
          <cell r="B33"/>
        </row>
        <row r="34">
          <cell r="E34">
            <v>2029</v>
          </cell>
          <cell r="F34"/>
          <cell r="G34"/>
          <cell r="H34"/>
        </row>
        <row r="35">
          <cell r="D35" t="str">
            <v>Check</v>
          </cell>
          <cell r="E35" t="str">
            <v>COMUNE</v>
          </cell>
          <cell r="F35" t="str">
            <v>BUSTO ARSIZIO</v>
          </cell>
          <cell r="G35" t="str">
            <v>FAGNANO OLONA</v>
          </cell>
          <cell r="H35" t="str">
            <v>VENEGONO SUPERIORE</v>
          </cell>
        </row>
        <row r="36">
          <cell r="A36" t="str">
            <v>A.1_29_COM</v>
          </cell>
          <cell r="C36" t="str">
            <v>RicaviA1, a-2</v>
          </cell>
          <cell r="D36">
            <v>0</v>
          </cell>
          <cell r="E36">
            <v>1030640</v>
          </cell>
          <cell r="F36">
            <v>0</v>
          </cell>
          <cell r="G36">
            <v>0</v>
          </cell>
          <cell r="H36">
            <v>1030640</v>
          </cell>
        </row>
        <row r="37">
          <cell r="A37" t="str">
            <v>B.6_29_COM</v>
          </cell>
          <cell r="C37" t="str">
            <v>CostiB6,B7</v>
          </cell>
          <cell r="D37">
            <v>0</v>
          </cell>
          <cell r="E37">
            <v>71735.160000000018</v>
          </cell>
          <cell r="F37">
            <v>0</v>
          </cell>
          <cell r="G37">
            <v>0</v>
          </cell>
          <cell r="H37">
            <v>71735.160000000018</v>
          </cell>
        </row>
        <row r="38">
          <cell r="A38" t="str">
            <v>B.7_29_COM</v>
          </cell>
          <cell r="C38" t="str">
            <v>CCN</v>
          </cell>
          <cell r="D38">
            <v>0</v>
          </cell>
          <cell r="E38">
            <v>248229.78633863013</v>
          </cell>
          <cell r="F38">
            <v>0</v>
          </cell>
          <cell r="G38">
            <v>0</v>
          </cell>
          <cell r="H38">
            <v>248229.78633863013</v>
          </cell>
        </row>
        <row r="40">
          <cell r="B40" t="str">
            <v>Wacc</v>
          </cell>
          <cell r="C40"/>
          <cell r="D40">
            <v>5.8999999999999997E-2</v>
          </cell>
        </row>
        <row r="41">
          <cell r="B41" t="str">
            <v>time lag investimenti realizzati post 2017</v>
          </cell>
          <cell r="C41"/>
          <cell r="D41">
            <v>0.01</v>
          </cell>
        </row>
        <row r="43">
          <cell r="B43" t="str">
            <v>Inflazione 2028</v>
          </cell>
          <cell r="C43"/>
          <cell r="D43">
            <v>1.2E-2</v>
          </cell>
        </row>
        <row r="44">
          <cell r="B44" t="str">
            <v>Inflazione 2029</v>
          </cell>
          <cell r="C44"/>
          <cell r="D44">
            <v>0</v>
          </cell>
        </row>
        <row r="45">
          <cell r="A45"/>
        </row>
        <row r="46">
          <cell r="A46"/>
          <cell r="B46" t="str">
            <v>Calcolo CK proprietari diversi dal gestore</v>
          </cell>
        </row>
        <row r="47">
          <cell r="B47"/>
        </row>
        <row r="48">
          <cell r="E48">
            <v>2029</v>
          </cell>
          <cell r="F48"/>
          <cell r="G48"/>
          <cell r="H48"/>
        </row>
        <row r="49">
          <cell r="A49"/>
          <cell r="B49" t="str">
            <v>Cespiti proprietari diversi - Leasing</v>
          </cell>
          <cell r="C49"/>
          <cell r="D49" t="str">
            <v>Check</v>
          </cell>
          <cell r="E49" t="str">
            <v>COMUNE</v>
          </cell>
          <cell r="F49" t="str">
            <v>BUSTO ARSIZIO</v>
          </cell>
          <cell r="G49" t="str">
            <v>FAGNANO OLONA</v>
          </cell>
          <cell r="H49" t="str">
            <v>VENEGONO SUPERIORE</v>
          </cell>
        </row>
        <row r="50">
          <cell r="A50"/>
          <cell r="B50" t="str">
            <v>Cespiti proprietari diversi dal gestore - Proprietario1</v>
          </cell>
          <cell r="C50"/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</row>
        <row r="51">
          <cell r="A51"/>
          <cell r="B51" t="str">
            <v>Cespiti proprietari diversi dal gestore - Proprietario2</v>
          </cell>
          <cell r="C51"/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</row>
        <row r="52">
          <cell r="A52"/>
          <cell r="B52" t="str">
            <v>Cespiti proprietari diversi dal gestore - Proprietario3</v>
          </cell>
          <cell r="C52"/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</row>
        <row r="53">
          <cell r="B53" t="str">
            <v>Leasing</v>
          </cell>
          <cell r="C53"/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</row>
        <row r="54">
          <cell r="B54" t="str">
            <v>Cka proprietari diversi dal gestore/leasing da inserire in PEF</v>
          </cell>
          <cell r="C54"/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</row>
        <row r="55">
          <cell r="A55"/>
          <cell r="B55"/>
          <cell r="C55"/>
          <cell r="D55"/>
          <cell r="E55"/>
          <cell r="F55"/>
          <cell r="G55"/>
          <cell r="H55"/>
        </row>
        <row r="56">
          <cell r="E56">
            <v>2029</v>
          </cell>
          <cell r="F56"/>
          <cell r="G56"/>
          <cell r="H56"/>
        </row>
        <row r="57">
          <cell r="B57" t="str">
            <v>Canone/Mutuo/Leasing</v>
          </cell>
          <cell r="C57"/>
          <cell r="D57" t="str">
            <v>Check</v>
          </cell>
          <cell r="E57" t="str">
            <v>COMUNE</v>
          </cell>
          <cell r="F57" t="str">
            <v>BUSTO ARSIZIO</v>
          </cell>
          <cell r="G57" t="str">
            <v>FAGNANO OLONA</v>
          </cell>
          <cell r="H57" t="str">
            <v>VENEGONO SUPERIORE</v>
          </cell>
        </row>
        <row r="58">
          <cell r="A58" t="str">
            <v>PR.j_29_COM</v>
          </cell>
          <cell r="B58" t="str">
            <v>Cespiti proprietari diversi dal gestore - Proprietario1</v>
          </cell>
          <cell r="C58"/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</row>
        <row r="59">
          <cell r="A59" t="str">
            <v>PR.k_29_COM</v>
          </cell>
          <cell r="B59" t="str">
            <v>Cespiti proprietari diversi dal gestore - Proprietario2</v>
          </cell>
          <cell r="C59"/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</row>
        <row r="60">
          <cell r="A60" t="str">
            <v>PR.l_29_COM</v>
          </cell>
          <cell r="B60" t="str">
            <v>Cespiti proprietari diversi dal gestore - Proprietario3</v>
          </cell>
          <cell r="C60"/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</row>
        <row r="61">
          <cell r="A61" t="str">
            <v>PR.m_29_COM</v>
          </cell>
          <cell r="B61" t="str">
            <v>Leasing</v>
          </cell>
          <cell r="C61"/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</row>
        <row r="64">
          <cell r="E64">
            <v>2029</v>
          </cell>
          <cell r="F64"/>
          <cell r="G64"/>
          <cell r="H64"/>
        </row>
        <row r="65">
          <cell r="B65" t="str">
            <v>CKa</v>
          </cell>
          <cell r="C65"/>
          <cell r="D65" t="str">
            <v>Check</v>
          </cell>
          <cell r="E65" t="str">
            <v>COMUNE</v>
          </cell>
          <cell r="F65" t="str">
            <v>BUSTO ARSIZIO</v>
          </cell>
          <cell r="G65" t="str">
            <v>FAGNANO OLONA</v>
          </cell>
          <cell r="H65" t="str">
            <v>VENEGONO SUPERIORE</v>
          </cell>
        </row>
        <row r="66">
          <cell r="B66" t="str">
            <v>Cespiti proprietari diversi dal gestore - Proprietario1</v>
          </cell>
          <cell r="C66"/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</row>
        <row r="67">
          <cell r="B67" t="str">
            <v>Cespiti proprietari diversi dal gestore - Proprietario2</v>
          </cell>
          <cell r="C67"/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</row>
        <row r="68">
          <cell r="B68" t="str">
            <v>Cespiti proprietari diversi dal gestore - Proprietario3</v>
          </cell>
          <cell r="C68"/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</row>
        <row r="69">
          <cell r="B69" t="str">
            <v>Leasing</v>
          </cell>
          <cell r="C69"/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</row>
        <row r="72">
          <cell r="E72">
            <v>2029</v>
          </cell>
          <cell r="F72"/>
          <cell r="G72"/>
          <cell r="H72"/>
        </row>
        <row r="73">
          <cell r="B73" t="str">
            <v>AMMa</v>
          </cell>
          <cell r="C73"/>
          <cell r="D73" t="str">
            <v>Check</v>
          </cell>
          <cell r="E73" t="str">
            <v>COMUNE</v>
          </cell>
          <cell r="F73" t="str">
            <v>BUSTO ARSIZIO</v>
          </cell>
          <cell r="G73" t="str">
            <v>FAGNANO OLONA</v>
          </cell>
          <cell r="H73" t="str">
            <v>VENEGONO SUPERIORE</v>
          </cell>
        </row>
        <row r="74">
          <cell r="B74" t="str">
            <v>Cespiti proprietari diversi dal gestore - Proprietario1</v>
          </cell>
          <cell r="C74"/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</row>
        <row r="75">
          <cell r="B75" t="str">
            <v>Cespiti proprietari diversi dal gestore - Proprietario2</v>
          </cell>
          <cell r="C75"/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</row>
        <row r="76">
          <cell r="B76" t="str">
            <v>Cespiti proprietari diversi dal gestore - Proprietario3</v>
          </cell>
          <cell r="C76"/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</row>
        <row r="77">
          <cell r="B77" t="str">
            <v>Leasing</v>
          </cell>
          <cell r="C77"/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</row>
        <row r="79">
          <cell r="E79">
            <v>2029</v>
          </cell>
          <cell r="F79"/>
          <cell r="G79"/>
          <cell r="H79"/>
        </row>
        <row r="80">
          <cell r="B80" t="str">
            <v>Ra</v>
          </cell>
          <cell r="C80"/>
          <cell r="D80" t="str">
            <v>Check</v>
          </cell>
          <cell r="E80" t="str">
            <v>COMUNE</v>
          </cell>
          <cell r="F80" t="str">
            <v>BUSTO ARSIZIO</v>
          </cell>
          <cell r="G80" t="str">
            <v>FAGNANO OLONA</v>
          </cell>
          <cell r="H80" t="str">
            <v>VENEGONO SUPERIORE</v>
          </cell>
        </row>
        <row r="81">
          <cell r="B81" t="str">
            <v>Cespiti proprietari diversi dal gestore - Proprietario1</v>
          </cell>
          <cell r="C81"/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</row>
        <row r="82">
          <cell r="B82" t="str">
            <v>Cespiti proprietari diversi dal gestore - Proprietario2</v>
          </cell>
          <cell r="C82"/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</row>
        <row r="83">
          <cell r="B83" t="str">
            <v>Cespiti proprietari diversi dal gestore - Proprietario3</v>
          </cell>
          <cell r="C83"/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</row>
        <row r="84">
          <cell r="B84" t="str">
            <v>Leasing</v>
          </cell>
          <cell r="C84"/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</row>
        <row r="86">
          <cell r="E86">
            <v>2029</v>
          </cell>
          <cell r="F86"/>
          <cell r="G86"/>
          <cell r="H86"/>
        </row>
        <row r="87">
          <cell r="B87" t="str">
            <v>IMNante2018</v>
          </cell>
          <cell r="C87"/>
          <cell r="D87" t="str">
            <v>Check</v>
          </cell>
          <cell r="E87" t="str">
            <v>COMUNE</v>
          </cell>
          <cell r="F87" t="str">
            <v>BUSTO ARSIZIO</v>
          </cell>
          <cell r="G87" t="str">
            <v>FAGNANO OLONA</v>
          </cell>
          <cell r="H87" t="str">
            <v>VENEGONO SUPERIORE</v>
          </cell>
        </row>
        <row r="88">
          <cell r="B88" t="str">
            <v>Cespiti proprietari diversi dal gestore - Proprietario1</v>
          </cell>
          <cell r="C88"/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</row>
        <row r="89">
          <cell r="B89" t="str">
            <v>Cespiti proprietari diversi dal gestore - Proprietario2</v>
          </cell>
          <cell r="C89"/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</row>
        <row r="90">
          <cell r="B90" t="str">
            <v>Cespiti proprietari diversi dal gestore - Proprietario3</v>
          </cell>
          <cell r="C90"/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</row>
        <row r="91">
          <cell r="B91" t="str">
            <v>Leasing</v>
          </cell>
          <cell r="C91"/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</row>
        <row r="93">
          <cell r="E93">
            <v>2029</v>
          </cell>
          <cell r="F93"/>
          <cell r="G93"/>
          <cell r="H93"/>
        </row>
        <row r="94">
          <cell r="B94" t="str">
            <v>IMNdal2018</v>
          </cell>
          <cell r="C94"/>
          <cell r="D94" t="str">
            <v>Check</v>
          </cell>
          <cell r="E94" t="str">
            <v>COMUNE</v>
          </cell>
          <cell r="F94" t="str">
            <v>BUSTO ARSIZIO</v>
          </cell>
          <cell r="G94" t="str">
            <v>FAGNANO OLONA</v>
          </cell>
          <cell r="H94" t="str">
            <v>VENEGONO SUPERIORE</v>
          </cell>
        </row>
        <row r="95">
          <cell r="B95" t="str">
            <v>Cespiti proprietari diversi dal gestore - Proprietario1</v>
          </cell>
          <cell r="C95"/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B96" t="str">
            <v>Cespiti proprietari diversi dal gestore - Proprietario2</v>
          </cell>
          <cell r="C96"/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</row>
        <row r="97">
          <cell r="B97" t="str">
            <v>Cespiti proprietari diversi dal gestore - Proprietario3</v>
          </cell>
          <cell r="C97"/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</row>
        <row r="98">
          <cell r="B98" t="str">
            <v>Leasing</v>
          </cell>
          <cell r="C98"/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</row>
      </sheetData>
      <sheetData sheetId="40">
        <row r="8">
          <cell r="B8" t="str">
            <v>Costi d'uso del capitale</v>
          </cell>
          <cell r="C8"/>
          <cell r="D8" t="str">
            <v>Check</v>
          </cell>
          <cell r="E8" t="str">
            <v>AGESP</v>
          </cell>
          <cell r="F8" t="str">
            <v>BUSTO ARSIZIO</v>
          </cell>
          <cell r="G8" t="str">
            <v>FAGNANO OLONA</v>
          </cell>
          <cell r="H8" t="str">
            <v>VENEGONO SUPERIORE</v>
          </cell>
        </row>
        <row r="9">
          <cell r="A9" t="str">
            <v>AMM_RD_26</v>
          </cell>
          <cell r="B9" t="str">
            <v>Ammortamento RD</v>
          </cell>
          <cell r="C9" t="str">
            <v>AMMRD,a</v>
          </cell>
          <cell r="D9">
            <v>0</v>
          </cell>
          <cell r="E9">
            <v>337000.92818594631</v>
          </cell>
          <cell r="F9">
            <v>319271.90858040837</v>
          </cell>
          <cell r="G9">
            <v>17729.019605537935</v>
          </cell>
          <cell r="H9">
            <v>0</v>
          </cell>
        </row>
        <row r="10">
          <cell r="A10" t="str">
            <v>ACC_RD_26</v>
          </cell>
          <cell r="B10" t="str">
            <v>Accantonamenti RD</v>
          </cell>
          <cell r="C10" t="str">
            <v>AccRD,a</v>
          </cell>
          <cell r="D10">
            <v>0</v>
          </cell>
          <cell r="E10">
            <v>320264.59024354455</v>
          </cell>
          <cell r="F10">
            <v>320264.59024354455</v>
          </cell>
          <cell r="G10">
            <v>0</v>
          </cell>
          <cell r="H10">
            <v>0</v>
          </cell>
        </row>
        <row r="11">
          <cell r="A11" t="str">
            <v>R_RD_26</v>
          </cell>
          <cell r="B11" t="str">
            <v>Remunerazione RD</v>
          </cell>
          <cell r="C11" t="str">
            <v>RRD,a</v>
          </cell>
          <cell r="D11">
            <v>0</v>
          </cell>
          <cell r="E11">
            <v>210278.7248570857</v>
          </cell>
          <cell r="F11">
            <v>197278.34480201761</v>
          </cell>
          <cell r="G11">
            <v>13000.380055068088</v>
          </cell>
          <cell r="H11">
            <v>0</v>
          </cell>
        </row>
        <row r="12">
          <cell r="A12" t="str">
            <v>RLIC_RD_26</v>
          </cell>
          <cell r="B12" t="str">
            <v>Remunerazione immobilizzazioni in corso RD</v>
          </cell>
          <cell r="C12" t="str">
            <v>RLIC RD,a</v>
          </cell>
          <cell r="D12">
            <v>0</v>
          </cell>
          <cell r="E12">
            <v>1651.6967105094366</v>
          </cell>
          <cell r="F12">
            <v>1651.6967105094366</v>
          </cell>
          <cell r="G12">
            <v>0</v>
          </cell>
          <cell r="H12">
            <v>0</v>
          </cell>
        </row>
        <row r="13">
          <cell r="A13" t="str">
            <v>CKPROP_RD_26</v>
          </cell>
          <cell r="B13" t="str">
            <v>Costi d'uso del capitale proprietari diversi dal gestore (c. 13.11 MTR2) RD</v>
          </cell>
          <cell r="C13" t="str">
            <v>CKLprop RD,a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</row>
        <row r="14">
          <cell r="B14" t="str">
            <v>Costi d'uso del capitale RD</v>
          </cell>
          <cell r="C14" t="str">
            <v>CKRD,a</v>
          </cell>
          <cell r="D14">
            <v>0</v>
          </cell>
          <cell r="E14">
            <v>869195.93999708595</v>
          </cell>
          <cell r="F14">
            <v>838466.5403364799</v>
          </cell>
          <cell r="G14">
            <v>30729.399660606025</v>
          </cell>
          <cell r="H14">
            <v>0</v>
          </cell>
        </row>
      </sheetData>
      <sheetData sheetId="41">
        <row r="8">
          <cell r="B8" t="str">
            <v>Costi d'uso del capitale</v>
          </cell>
          <cell r="C8"/>
          <cell r="D8" t="str">
            <v>Check</v>
          </cell>
          <cell r="E8" t="str">
            <v>COMUNE</v>
          </cell>
          <cell r="F8" t="str">
            <v>BUSTO ARSIZIO</v>
          </cell>
          <cell r="G8" t="str">
            <v>FAGNANO OLONA</v>
          </cell>
          <cell r="H8" t="str">
            <v>VENEGONO SUPERIORE</v>
          </cell>
        </row>
        <row r="9">
          <cell r="A9" t="str">
            <v>AMM_RD_26</v>
          </cell>
          <cell r="B9" t="str">
            <v>Ammortamento RD</v>
          </cell>
          <cell r="C9" t="str">
            <v>AMMRD,a</v>
          </cell>
          <cell r="D9">
            <v>0</v>
          </cell>
          <cell r="E9">
            <v>2417.7561109055255</v>
          </cell>
          <cell r="F9">
            <v>0</v>
          </cell>
          <cell r="G9">
            <v>0</v>
          </cell>
          <cell r="H9">
            <v>2417.7561109055255</v>
          </cell>
        </row>
        <row r="10">
          <cell r="A10" t="str">
            <v>ACC_RD_26</v>
          </cell>
          <cell r="B10" t="str">
            <v>Accantonamenti RD</v>
          </cell>
          <cell r="C10" t="str">
            <v>AccRD,a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A11" t="str">
            <v>R_RD_26</v>
          </cell>
          <cell r="B11" t="str">
            <v>Remunerazione RD</v>
          </cell>
          <cell r="C11" t="str">
            <v>RRD,a</v>
          </cell>
          <cell r="D11">
            <v>0</v>
          </cell>
          <cell r="E11">
            <v>549.32222752528457</v>
          </cell>
          <cell r="F11">
            <v>0</v>
          </cell>
          <cell r="G11">
            <v>0</v>
          </cell>
          <cell r="H11">
            <v>549.32222752528457</v>
          </cell>
        </row>
        <row r="12">
          <cell r="A12" t="str">
            <v>RLIC_RD_26</v>
          </cell>
          <cell r="B12" t="str">
            <v>Remunerazione immobilizzazioni in corso RD</v>
          </cell>
          <cell r="C12" t="str">
            <v>RLIC RD,a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</row>
        <row r="13">
          <cell r="A13" t="str">
            <v>CKPROP_RD_26</v>
          </cell>
          <cell r="B13" t="str">
            <v>Costi d'uso del capitale proprietari diversi dal gestore (c. 13.11 MTR2) RD</v>
          </cell>
          <cell r="C13" t="str">
            <v>CKLprop RD,a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</row>
        <row r="14">
          <cell r="B14" t="str">
            <v>Costi d'uso del capitale RD</v>
          </cell>
          <cell r="C14" t="str">
            <v>CKRD,a</v>
          </cell>
          <cell r="D14">
            <v>0</v>
          </cell>
          <cell r="E14">
            <v>2967.0783384308102</v>
          </cell>
          <cell r="F14">
            <v>0</v>
          </cell>
          <cell r="G14">
            <v>0</v>
          </cell>
          <cell r="H14">
            <v>2967.0783384308102</v>
          </cell>
        </row>
      </sheetData>
      <sheetData sheetId="42"/>
      <sheetData sheetId="43"/>
      <sheetData sheetId="44"/>
      <sheetData sheetId="45"/>
      <sheetData sheetId="46">
        <row r="5">
          <cell r="I5">
            <v>0</v>
          </cell>
          <cell r="J5">
            <v>0</v>
          </cell>
          <cell r="K5">
            <v>0</v>
          </cell>
        </row>
        <row r="6">
          <cell r="I6">
            <v>56545.7</v>
          </cell>
          <cell r="J6">
            <v>0</v>
          </cell>
          <cell r="K6">
            <v>0</v>
          </cell>
        </row>
        <row r="7">
          <cell r="I7">
            <v>116588.39</v>
          </cell>
          <cell r="J7">
            <v>0</v>
          </cell>
          <cell r="K7">
            <v>0</v>
          </cell>
        </row>
        <row r="8">
          <cell r="I8">
            <v>0</v>
          </cell>
          <cell r="J8">
            <v>0</v>
          </cell>
          <cell r="K8">
            <v>0</v>
          </cell>
        </row>
        <row r="10">
          <cell r="I10">
            <v>0</v>
          </cell>
          <cell r="J10">
            <v>0</v>
          </cell>
          <cell r="K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</row>
        <row r="15">
          <cell r="I15">
            <v>0</v>
          </cell>
          <cell r="J15">
            <v>0</v>
          </cell>
          <cell r="K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</row>
        <row r="27">
          <cell r="I27">
            <v>0</v>
          </cell>
          <cell r="J27">
            <v>0</v>
          </cell>
          <cell r="K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</row>
        <row r="30">
          <cell r="I30">
            <v>0</v>
          </cell>
          <cell r="J30">
            <v>0</v>
          </cell>
          <cell r="K30">
            <v>0</v>
          </cell>
        </row>
        <row r="32">
          <cell r="I32">
            <v>0</v>
          </cell>
          <cell r="J32">
            <v>0</v>
          </cell>
          <cell r="K32">
            <v>0</v>
          </cell>
        </row>
        <row r="33">
          <cell r="I33">
            <v>0</v>
          </cell>
          <cell r="J33">
            <v>0</v>
          </cell>
          <cell r="K33">
            <v>0</v>
          </cell>
        </row>
        <row r="34">
          <cell r="I34">
            <v>0</v>
          </cell>
          <cell r="J34">
            <v>0</v>
          </cell>
          <cell r="K34">
            <v>0</v>
          </cell>
        </row>
        <row r="35">
          <cell r="I35">
            <v>0</v>
          </cell>
          <cell r="J35">
            <v>0</v>
          </cell>
          <cell r="K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</row>
        <row r="39">
          <cell r="I39">
            <v>0</v>
          </cell>
          <cell r="J39">
            <v>0</v>
          </cell>
          <cell r="K39">
            <v>0</v>
          </cell>
        </row>
        <row r="40">
          <cell r="I40">
            <v>0</v>
          </cell>
          <cell r="J40">
            <v>0</v>
          </cell>
          <cell r="K40">
            <v>0</v>
          </cell>
        </row>
        <row r="42">
          <cell r="I42">
            <v>0</v>
          </cell>
          <cell r="J42">
            <v>0</v>
          </cell>
          <cell r="K42">
            <v>0</v>
          </cell>
        </row>
        <row r="43">
          <cell r="I43">
            <v>0</v>
          </cell>
          <cell r="J43">
            <v>0</v>
          </cell>
          <cell r="K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F77E4-1F40-42BE-977D-9A31222CAAAE}">
  <sheetPr codeName="Foglio1">
    <tabColor theme="0" tint="-0.499984740745262"/>
  </sheetPr>
  <dimension ref="A1:J1153"/>
  <sheetViews>
    <sheetView showGridLines="0" zoomScaleNormal="100" workbookViewId="0">
      <pane xSplit="7" ySplit="1" topLeftCell="H2" activePane="bottomRight" state="frozen"/>
      <selection sqref="A1:ZZ1"/>
      <selection pane="topRight" sqref="A1:ZZ1"/>
      <selection pane="bottomLeft" sqref="A1:ZZ1"/>
      <selection pane="bottomRight" sqref="A1:ZZ1"/>
    </sheetView>
  </sheetViews>
  <sheetFormatPr defaultColWidth="9.109375" defaultRowHeight="10.199999999999999" x14ac:dyDescent="0.2"/>
  <cols>
    <col min="1" max="1" width="35.6640625" style="51" bestFit="1" customWidth="1"/>
    <col min="2" max="2" width="15.109375" style="51" bestFit="1" customWidth="1"/>
    <col min="3" max="3" width="10.109375" style="61" bestFit="1" customWidth="1"/>
    <col min="4" max="4" width="14" style="51" bestFit="1" customWidth="1"/>
    <col min="5" max="5" width="13.5546875" style="51" bestFit="1" customWidth="1"/>
    <col min="6" max="6" width="15.6640625" style="51" bestFit="1" customWidth="1"/>
    <col min="7" max="7" width="57.88671875" style="51" bestFit="1" customWidth="1"/>
    <col min="8" max="8" width="29.5546875" style="51" bestFit="1" customWidth="1"/>
    <col min="9" max="9" width="15" style="51" bestFit="1" customWidth="1"/>
    <col min="10" max="10" width="18.5546875" style="51" bestFit="1" customWidth="1"/>
    <col min="11" max="16384" width="9.109375" style="51"/>
  </cols>
  <sheetData>
    <row r="1" spans="1:10" x14ac:dyDescent="0.2">
      <c r="A1" s="571" t="s">
        <v>283</v>
      </c>
      <c r="B1" s="456" t="s">
        <v>8534</v>
      </c>
      <c r="C1" s="456" t="s">
        <v>8533</v>
      </c>
      <c r="D1" s="571" t="s">
        <v>281</v>
      </c>
      <c r="E1" s="571" t="s">
        <v>282</v>
      </c>
      <c r="F1" s="1029" t="s">
        <v>290</v>
      </c>
      <c r="G1" s="1029" t="s">
        <v>291</v>
      </c>
      <c r="H1" s="335" t="str">
        <f>Ambiti!B4</f>
        <v>BUSTO ARSIZIO</v>
      </c>
      <c r="I1" s="335" t="str">
        <f>Ambiti!C4</f>
        <v>FAGNANO OLONA</v>
      </c>
      <c r="J1" s="335" t="str">
        <f>Ambiti!D4</f>
        <v>VENEGONO SUPERIORE</v>
      </c>
    </row>
    <row r="2" spans="1:10" x14ac:dyDescent="0.2">
      <c r="A2" s="86" t="s">
        <v>279</v>
      </c>
      <c r="B2" s="1067" t="s">
        <v>105</v>
      </c>
      <c r="C2" s="1037" t="s">
        <v>219</v>
      </c>
      <c r="D2" s="1028" t="s">
        <v>656</v>
      </c>
      <c r="E2" s="1030" t="s">
        <v>284</v>
      </c>
      <c r="F2" s="1031" t="s">
        <v>8519</v>
      </c>
      <c r="G2" s="1031" t="s">
        <v>1186</v>
      </c>
      <c r="H2" s="88" t="str">
        <f>INDEX(Ambiti!$A$4:$AAA$155,MATCH($G2,Ambiti!$A$4:$A$155,0),MATCH(H$1,Ambiti!$A$4:$AAA$4,0))</f>
        <v>BUSTO ARSIZIO</v>
      </c>
      <c r="I2" s="88" t="str">
        <f>INDEX(Ambiti!$A$4:$AAA$155,MATCH($G2,Ambiti!$A$4:$A$155,0),MATCH(I$1,Ambiti!$A$4:$AAA$4,0))</f>
        <v>FAGNANO OLONA</v>
      </c>
      <c r="J2" s="88" t="str">
        <f>INDEX(Ambiti!$A$4:$AAA$155,MATCH($G2,Ambiti!$A$4:$A$155,0),MATCH(J$1,Ambiti!$A$4:$AAA$4,0))</f>
        <v>VENEGONO SUPERIORE</v>
      </c>
    </row>
    <row r="3" spans="1:10" x14ac:dyDescent="0.2">
      <c r="A3" s="86" t="s">
        <v>7041</v>
      </c>
      <c r="B3" s="1067" t="s">
        <v>105</v>
      </c>
      <c r="C3" s="1037" t="s">
        <v>219</v>
      </c>
      <c r="D3" s="1028" t="s">
        <v>656</v>
      </c>
      <c r="E3" s="1030" t="s">
        <v>8104</v>
      </c>
      <c r="F3" s="1031" t="s">
        <v>8519</v>
      </c>
      <c r="G3" s="1031" t="s">
        <v>1188</v>
      </c>
      <c r="H3" s="88" t="str">
        <f>INDEX(Ambiti!$A$4:$AAA$155,MATCH($G3,Ambiti!$A$4:$A$155,0),MATCH(H$1,Ambiti!$A$4:$AAA$4,0))</f>
        <v>Tariffa corrispettiva</v>
      </c>
      <c r="I3" s="88" t="str">
        <f>INDEX(Ambiti!$A$4:$AAA$155,MATCH($G3,Ambiti!$A$4:$A$155,0),MATCH(I$1,Ambiti!$A$4:$AAA$4,0))</f>
        <v>TARI</v>
      </c>
      <c r="J3" s="88" t="str">
        <f>INDEX(Ambiti!$A$4:$AAA$155,MATCH($G3,Ambiti!$A$4:$A$155,0),MATCH(J$1,Ambiti!$A$4:$AAA$4,0))</f>
        <v>TARI</v>
      </c>
    </row>
    <row r="4" spans="1:10" x14ac:dyDescent="0.2">
      <c r="A4" s="86" t="s">
        <v>7042</v>
      </c>
      <c r="B4" s="1067" t="s">
        <v>105</v>
      </c>
      <c r="C4" s="1037" t="s">
        <v>219</v>
      </c>
      <c r="D4" s="1028" t="s">
        <v>656</v>
      </c>
      <c r="E4" s="1030" t="s">
        <v>8105</v>
      </c>
      <c r="F4" s="1031" t="s">
        <v>8519</v>
      </c>
      <c r="G4" s="1031" t="s">
        <v>1187</v>
      </c>
      <c r="H4" s="88" t="str">
        <f>INDEX(Ambiti!$A$4:$AAA$155,MATCH($G4,Ambiti!$A$4:$A$155,0),MATCH(H$1,Ambiti!$A$4:$AAA$4,0))</f>
        <v>NO</v>
      </c>
      <c r="I4" s="88" t="str">
        <f>INDEX(Ambiti!$A$4:$AAA$155,MATCH($G4,Ambiti!$A$4:$A$155,0),MATCH(I$1,Ambiti!$A$4:$AAA$4,0))</f>
        <v>NO</v>
      </c>
      <c r="J4" s="88" t="str">
        <f>INDEX(Ambiti!$A$4:$AAA$155,MATCH($G4,Ambiti!$A$4:$A$155,0),MATCH(J$1,Ambiti!$A$4:$AAA$4,0))</f>
        <v>NO</v>
      </c>
    </row>
    <row r="5" spans="1:10" x14ac:dyDescent="0.2">
      <c r="A5" s="86" t="s">
        <v>285</v>
      </c>
      <c r="B5" s="1067" t="s">
        <v>105</v>
      </c>
      <c r="C5" s="1037" t="s">
        <v>219</v>
      </c>
      <c r="D5" s="1028" t="s">
        <v>656</v>
      </c>
      <c r="E5" s="1030" t="s">
        <v>286</v>
      </c>
      <c r="F5" s="1031" t="s">
        <v>656</v>
      </c>
      <c r="G5" s="1031" t="s">
        <v>280</v>
      </c>
      <c r="H5" s="88" t="str">
        <f>+IN_Anagrafica!$B$1</f>
        <v>AGESP</v>
      </c>
      <c r="I5" s="88" t="str">
        <f>+IN_Anagrafica!$B$1</f>
        <v>AGESP</v>
      </c>
      <c r="J5" s="88" t="str">
        <f>+IN_Anagrafica!$B$1</f>
        <v>AGESP</v>
      </c>
    </row>
    <row r="6" spans="1:10" x14ac:dyDescent="0.2">
      <c r="A6" s="86" t="s">
        <v>7043</v>
      </c>
      <c r="B6" s="1067" t="s">
        <v>105</v>
      </c>
      <c r="C6" s="1037" t="s">
        <v>219</v>
      </c>
      <c r="D6" s="1028" t="s">
        <v>656</v>
      </c>
      <c r="E6" s="1030" t="s">
        <v>363</v>
      </c>
      <c r="F6" s="1031" t="s">
        <v>656</v>
      </c>
      <c r="G6" s="1031" t="s">
        <v>533</v>
      </c>
      <c r="H6" s="88" t="str">
        <f>+IN_Anagrafica!$B$5</f>
        <v>02212870121</v>
      </c>
      <c r="I6" s="88" t="str">
        <f>+IN_Anagrafica!$B$5</f>
        <v>02212870121</v>
      </c>
      <c r="J6" s="88" t="str">
        <f>+IN_Anagrafica!$B$5</f>
        <v>02212870121</v>
      </c>
    </row>
    <row r="7" spans="1:10" x14ac:dyDescent="0.2">
      <c r="A7" s="86" t="s">
        <v>634</v>
      </c>
      <c r="B7" s="1067" t="s">
        <v>105</v>
      </c>
      <c r="C7" s="1037" t="s">
        <v>219</v>
      </c>
      <c r="D7" s="1028" t="s">
        <v>656</v>
      </c>
      <c r="E7" s="1030" t="s">
        <v>373</v>
      </c>
      <c r="F7" s="1031" t="s">
        <v>656</v>
      </c>
      <c r="G7" s="1031" t="s">
        <v>534</v>
      </c>
      <c r="H7" s="88" t="str">
        <f>+IN_Anagrafica!$B$6</f>
        <v>13913</v>
      </c>
      <c r="I7" s="88" t="str">
        <f>+IN_Anagrafica!$B$6</f>
        <v>13913</v>
      </c>
      <c r="J7" s="88" t="str">
        <f>+IN_Anagrafica!$B$6</f>
        <v>13913</v>
      </c>
    </row>
    <row r="8" spans="1:10" x14ac:dyDescent="0.2">
      <c r="A8" s="86" t="s">
        <v>7044</v>
      </c>
      <c r="B8" s="1067" t="s">
        <v>105</v>
      </c>
      <c r="C8" s="1037" t="s">
        <v>219</v>
      </c>
      <c r="D8" s="1028" t="s">
        <v>656</v>
      </c>
      <c r="E8" s="1030" t="s">
        <v>693</v>
      </c>
      <c r="F8" s="1031" t="s">
        <v>8519</v>
      </c>
      <c r="G8" s="1031" t="s">
        <v>1192</v>
      </c>
      <c r="H8" s="88" t="str">
        <f>INDEX(Ambiti!$A$4:$AAA$155,MATCH($G8,Ambiti!$A$4:$A$155,0),MATCH(H$1,Ambiti!$A$4:$AAA$4,0))</f>
        <v>in house</v>
      </c>
      <c r="I8" s="88" t="str">
        <f>INDEX(Ambiti!$A$4:$AAA$155,MATCH($G8,Ambiti!$A$4:$A$155,0),MATCH(I$1,Ambiti!$A$4:$AAA$4,0))</f>
        <v>affidamento con gara</v>
      </c>
      <c r="J8" s="88" t="str">
        <f>INDEX(Ambiti!$A$4:$AAA$155,MATCH($G8,Ambiti!$A$4:$A$155,0),MATCH(J$1,Ambiti!$A$4:$AAA$4,0))</f>
        <v>in house</v>
      </c>
    </row>
    <row r="9" spans="1:10" x14ac:dyDescent="0.2">
      <c r="A9" s="86" t="s">
        <v>7045</v>
      </c>
      <c r="B9" s="1067" t="s">
        <v>105</v>
      </c>
      <c r="C9" s="1037" t="s">
        <v>219</v>
      </c>
      <c r="D9" s="1028" t="s">
        <v>656</v>
      </c>
      <c r="E9" s="1030" t="s">
        <v>665</v>
      </c>
      <c r="F9" s="1031" t="s">
        <v>8519</v>
      </c>
      <c r="G9" s="1031" t="s">
        <v>1197</v>
      </c>
      <c r="H9" s="88" t="str">
        <f>INDEX(Ambiti!$A$4:$AAA$155,MATCH($G9,Ambiti!$A$4:$A$155,0),MATCH(H$1,Ambiti!$A$4:$AAA$4,0))</f>
        <v>NO</v>
      </c>
      <c r="I9" s="88" t="str">
        <f>INDEX(Ambiti!$A$4:$AAA$155,MATCH($G9,Ambiti!$A$4:$A$155,0),MATCH(I$1,Ambiti!$A$4:$AAA$4,0))</f>
        <v>NO</v>
      </c>
      <c r="J9" s="88" t="str">
        <f>INDEX(Ambiti!$A$4:$AAA$155,MATCH($G9,Ambiti!$A$4:$A$155,0),MATCH(J$1,Ambiti!$A$4:$AAA$4,0))</f>
        <v>NO</v>
      </c>
    </row>
    <row r="10" spans="1:10" x14ac:dyDescent="0.2">
      <c r="A10" s="86" t="s">
        <v>7046</v>
      </c>
      <c r="B10" s="1067" t="s">
        <v>105</v>
      </c>
      <c r="C10" s="1037" t="s">
        <v>219</v>
      </c>
      <c r="D10" s="1028" t="s">
        <v>656</v>
      </c>
      <c r="E10" s="1030" t="s">
        <v>8106</v>
      </c>
      <c r="F10" s="1031" t="s">
        <v>8519</v>
      </c>
      <c r="G10" s="1031" t="s">
        <v>6742</v>
      </c>
      <c r="H10" s="88">
        <f>INDEX(Ambiti!$A$4:$AAA$155,MATCH($G10,Ambiti!$A$4:$A$155,0),MATCH(H$1,Ambiti!$A$4:$AAA$4,0))</f>
        <v>0</v>
      </c>
      <c r="I10" s="88">
        <f>INDEX(Ambiti!$A$4:$AAA$155,MATCH($G10,Ambiti!$A$4:$A$155,0),MATCH(I$1,Ambiti!$A$4:$AAA$4,0))</f>
        <v>0</v>
      </c>
      <c r="J10" s="88">
        <f>INDEX(Ambiti!$A$4:$AAA$155,MATCH($G10,Ambiti!$A$4:$A$155,0),MATCH(J$1,Ambiti!$A$4:$AAA$4,0))</f>
        <v>0</v>
      </c>
    </row>
    <row r="11" spans="1:10" x14ac:dyDescent="0.2">
      <c r="A11" s="86" t="s">
        <v>7047</v>
      </c>
      <c r="B11" s="1067" t="s">
        <v>105</v>
      </c>
      <c r="C11" s="1037" t="s">
        <v>219</v>
      </c>
      <c r="D11" s="1028" t="s">
        <v>656</v>
      </c>
      <c r="E11" s="1030" t="s">
        <v>8107</v>
      </c>
      <c r="F11" s="1031" t="s">
        <v>8519</v>
      </c>
      <c r="G11" s="1031" t="s">
        <v>6746</v>
      </c>
      <c r="H11" s="88">
        <f>INDEX(Ambiti!$A$4:$AAA$155,MATCH($G11,Ambiti!$A$4:$A$155,0),MATCH(H$1,Ambiti!$A$4:$AAA$4,0))</f>
        <v>45539</v>
      </c>
      <c r="I11" s="88">
        <f>INDEX(Ambiti!$A$4:$AAA$155,MATCH($G11,Ambiti!$A$4:$A$155,0),MATCH(I$1,Ambiti!$A$4:$AAA$4,0))</f>
        <v>43556</v>
      </c>
      <c r="J11" s="88">
        <f>INDEX(Ambiti!$A$4:$AAA$155,MATCH($G11,Ambiti!$A$4:$A$155,0),MATCH(J$1,Ambiti!$A$4:$AAA$4,0))</f>
        <v>45658</v>
      </c>
    </row>
    <row r="12" spans="1:10" x14ac:dyDescent="0.2">
      <c r="A12" s="86" t="s">
        <v>7048</v>
      </c>
      <c r="B12" s="1067" t="s">
        <v>105</v>
      </c>
      <c r="C12" s="1037" t="s">
        <v>219</v>
      </c>
      <c r="D12" s="1028" t="s">
        <v>656</v>
      </c>
      <c r="E12" s="1030" t="s">
        <v>376</v>
      </c>
      <c r="F12" s="1031" t="s">
        <v>8519</v>
      </c>
      <c r="G12" s="1031" t="s">
        <v>1199</v>
      </c>
      <c r="H12" s="88">
        <f>INDEX(Ambiti!$A$4:$AAA$155,MATCH($G12,Ambiti!$A$4:$A$155,0),MATCH(H$1,Ambiti!$A$4:$AAA$4,0))</f>
        <v>49674</v>
      </c>
      <c r="I12" s="88">
        <f>INDEX(Ambiti!$A$4:$AAA$155,MATCH($G12,Ambiti!$A$4:$A$155,0),MATCH(I$1,Ambiti!$A$4:$AAA$4,0))</f>
        <v>46387</v>
      </c>
      <c r="J12" s="88">
        <f>INDEX(Ambiti!$A$4:$AAA$155,MATCH($G12,Ambiti!$A$4:$A$155,0),MATCH(J$1,Ambiti!$A$4:$AAA$4,0))</f>
        <v>49674</v>
      </c>
    </row>
    <row r="13" spans="1:10" x14ac:dyDescent="0.2">
      <c r="A13" s="86" t="s">
        <v>7049</v>
      </c>
      <c r="B13" s="1067" t="s">
        <v>105</v>
      </c>
      <c r="C13" s="1037" t="s">
        <v>219</v>
      </c>
      <c r="D13" s="1028" t="s">
        <v>656</v>
      </c>
      <c r="E13" s="1030" t="s">
        <v>695</v>
      </c>
      <c r="F13" s="1031" t="s">
        <v>8519</v>
      </c>
      <c r="G13" s="1031" t="s">
        <v>1201</v>
      </c>
      <c r="H13" s="88" t="str">
        <f>INDEX(Ambiti!$A$4:$AAA$155,MATCH($G13,Ambiti!$A$4:$A$155,0),MATCH(H$1,Ambiti!$A$4:$AAA$4,0))</f>
        <v>SI</v>
      </c>
      <c r="I13" s="88" t="str">
        <f>INDEX(Ambiti!$A$4:$AAA$155,MATCH($G13,Ambiti!$A$4:$A$155,0),MATCH(I$1,Ambiti!$A$4:$AAA$4,0))</f>
        <v>SI</v>
      </c>
      <c r="J13" s="88" t="str">
        <f>INDEX(Ambiti!$A$4:$AAA$155,MATCH($G13,Ambiti!$A$4:$A$155,0),MATCH(J$1,Ambiti!$A$4:$AAA$4,0))</f>
        <v>SI</v>
      </c>
    </row>
    <row r="14" spans="1:10" x14ac:dyDescent="0.2">
      <c r="A14" s="86" t="s">
        <v>7050</v>
      </c>
      <c r="B14" s="1067" t="s">
        <v>105</v>
      </c>
      <c r="C14" s="1037" t="s">
        <v>219</v>
      </c>
      <c r="D14" s="1028" t="s">
        <v>656</v>
      </c>
      <c r="E14" s="1030" t="s">
        <v>8108</v>
      </c>
      <c r="F14" s="1031" t="s">
        <v>8519</v>
      </c>
      <c r="G14" s="1031" t="s">
        <v>1202</v>
      </c>
      <c r="H14" s="88" t="str">
        <f>INDEX(Ambiti!$A$4:$AAA$155,MATCH($G14,Ambiti!$A$4:$A$155,0),MATCH(H$1,Ambiti!$A$4:$AAA$4,0))</f>
        <v>SI</v>
      </c>
      <c r="I14" s="88" t="str">
        <f>INDEX(Ambiti!$A$4:$AAA$155,MATCH($G14,Ambiti!$A$4:$A$155,0),MATCH(I$1,Ambiti!$A$4:$AAA$4,0))</f>
        <v>SI</v>
      </c>
      <c r="J14" s="88" t="str">
        <f>INDEX(Ambiti!$A$4:$AAA$155,MATCH($G14,Ambiti!$A$4:$A$155,0),MATCH(J$1,Ambiti!$A$4:$AAA$4,0))</f>
        <v>SI</v>
      </c>
    </row>
    <row r="15" spans="1:10" x14ac:dyDescent="0.2">
      <c r="A15" s="86" t="s">
        <v>7051</v>
      </c>
      <c r="B15" s="1067" t="s">
        <v>105</v>
      </c>
      <c r="C15" s="1037" t="s">
        <v>219</v>
      </c>
      <c r="D15" s="1028" t="s">
        <v>656</v>
      </c>
      <c r="E15" s="1030" t="s">
        <v>8109</v>
      </c>
      <c r="F15" s="1031" t="s">
        <v>8519</v>
      </c>
      <c r="G15" s="1031" t="s">
        <v>1203</v>
      </c>
      <c r="H15" s="88" t="str">
        <f>INDEX(Ambiti!$A$4:$AAA$155,MATCH($G15,Ambiti!$A$4:$A$155,0),MATCH(H$1,Ambiti!$A$4:$AAA$4,0))</f>
        <v>SI</v>
      </c>
      <c r="I15" s="88" t="str">
        <f>INDEX(Ambiti!$A$4:$AAA$155,MATCH($G15,Ambiti!$A$4:$A$155,0),MATCH(I$1,Ambiti!$A$4:$AAA$4,0))</f>
        <v>SI</v>
      </c>
      <c r="J15" s="88" t="str">
        <f>INDEX(Ambiti!$A$4:$AAA$155,MATCH($G15,Ambiti!$A$4:$A$155,0),MATCH(J$1,Ambiti!$A$4:$AAA$4,0))</f>
        <v>SI</v>
      </c>
    </row>
    <row r="16" spans="1:10" x14ac:dyDescent="0.2">
      <c r="A16" s="86" t="s">
        <v>7052</v>
      </c>
      <c r="B16" s="1067" t="s">
        <v>105</v>
      </c>
      <c r="C16" s="1037" t="s">
        <v>219</v>
      </c>
      <c r="D16" s="1028" t="s">
        <v>656</v>
      </c>
      <c r="E16" s="1030" t="s">
        <v>379</v>
      </c>
      <c r="F16" s="1031" t="s">
        <v>8519</v>
      </c>
      <c r="G16" s="1031" t="s">
        <v>1204</v>
      </c>
      <c r="H16" s="88" t="str">
        <f>INDEX(Ambiti!$A$4:$AAA$155,MATCH($G16,Ambiti!$A$4:$A$155,0),MATCH(H$1,Ambiti!$A$4:$AAA$4,0))</f>
        <v>SI</v>
      </c>
      <c r="I16" s="88" t="str">
        <f>INDEX(Ambiti!$A$4:$AAA$155,MATCH($G16,Ambiti!$A$4:$A$155,0),MATCH(I$1,Ambiti!$A$4:$AAA$4,0))</f>
        <v>SI</v>
      </c>
      <c r="J16" s="88" t="str">
        <f>INDEX(Ambiti!$A$4:$AAA$155,MATCH($G16,Ambiti!$A$4:$A$155,0),MATCH(J$1,Ambiti!$A$4:$AAA$4,0))</f>
        <v>SI</v>
      </c>
    </row>
    <row r="17" spans="1:10" x14ac:dyDescent="0.2">
      <c r="A17" s="86" t="s">
        <v>7053</v>
      </c>
      <c r="B17" s="1067" t="s">
        <v>105</v>
      </c>
      <c r="C17" s="1037" t="s">
        <v>219</v>
      </c>
      <c r="D17" s="1028" t="s">
        <v>656</v>
      </c>
      <c r="E17" s="1030" t="s">
        <v>390</v>
      </c>
      <c r="F17" s="1031" t="s">
        <v>8519</v>
      </c>
      <c r="G17" s="1031" t="s">
        <v>1205</v>
      </c>
      <c r="H17" s="88" t="str">
        <f>INDEX(Ambiti!$A$4:$AAA$155,MATCH($G17,Ambiti!$A$4:$A$155,0),MATCH(H$1,Ambiti!$A$4:$AAA$4,0))</f>
        <v>SI</v>
      </c>
      <c r="I17" s="88" t="str">
        <f>INDEX(Ambiti!$A$4:$AAA$155,MATCH($G17,Ambiti!$A$4:$A$155,0),MATCH(I$1,Ambiti!$A$4:$AAA$4,0))</f>
        <v>SI</v>
      </c>
      <c r="J17" s="88" t="str">
        <f>INDEX(Ambiti!$A$4:$AAA$155,MATCH($G17,Ambiti!$A$4:$A$155,0),MATCH(J$1,Ambiti!$A$4:$AAA$4,0))</f>
        <v>SI</v>
      </c>
    </row>
    <row r="18" spans="1:10" x14ac:dyDescent="0.2">
      <c r="A18" s="86" t="s">
        <v>104</v>
      </c>
      <c r="B18" s="1067" t="s">
        <v>105</v>
      </c>
      <c r="C18" s="1037" t="s">
        <v>219</v>
      </c>
      <c r="D18" s="1028" t="s">
        <v>656</v>
      </c>
      <c r="E18" s="1030" t="s">
        <v>288</v>
      </c>
      <c r="F18" s="1031" t="s">
        <v>8519</v>
      </c>
      <c r="G18" s="1031" t="s">
        <v>1186</v>
      </c>
      <c r="H18" s="88" t="str">
        <f>INDEX(Ambiti!$A$4:$AAA$155,MATCH($G18,Ambiti!$A$4:$A$155,0),MATCH(H$1,Ambiti!$A$4:$AAA$4,0))</f>
        <v>BUSTO ARSIZIO</v>
      </c>
      <c r="I18" s="88" t="str">
        <f>INDEX(Ambiti!$A$4:$AAA$155,MATCH($G18,Ambiti!$A$4:$A$155,0),MATCH(I$1,Ambiti!$A$4:$AAA$4,0))</f>
        <v>FAGNANO OLONA</v>
      </c>
      <c r="J18" s="88" t="str">
        <f>INDEX(Ambiti!$A$4:$AAA$155,MATCH($G18,Ambiti!$A$4:$A$155,0),MATCH(J$1,Ambiti!$A$4:$AAA$4,0))</f>
        <v>VENEGONO SUPERIORE</v>
      </c>
    </row>
    <row r="19" spans="1:10" x14ac:dyDescent="0.2">
      <c r="A19" s="86" t="s">
        <v>7054</v>
      </c>
      <c r="B19" s="447" t="str">
        <f>IN_Anagrafica!$B$9</f>
        <v>NO</v>
      </c>
      <c r="C19" s="369" t="str">
        <f>IF(B19="SI","SI","NO")</f>
        <v>NO</v>
      </c>
      <c r="D19" s="1028" t="s">
        <v>656</v>
      </c>
      <c r="E19" s="1030" t="s">
        <v>658</v>
      </c>
      <c r="F19" s="1031" t="s">
        <v>8519</v>
      </c>
      <c r="G19" s="1031" t="s">
        <v>614</v>
      </c>
      <c r="H19" s="88" t="str">
        <f>INDEX(Ambiti!$A$4:$AAA$155,MATCH($G19,Ambiti!$A$4:$A$155,0),MATCH(H$1,Ambiti!$A$4:$AAA$4,0))</f>
        <v>012026</v>
      </c>
      <c r="I19" s="88" t="str">
        <f>INDEX(Ambiti!$A$4:$AAA$155,MATCH($G19,Ambiti!$A$4:$A$155,0),MATCH(I$1,Ambiti!$A$4:$AAA$4,0))</f>
        <v>012067</v>
      </c>
      <c r="J19" s="88" t="str">
        <f>INDEX(Ambiti!$A$4:$AAA$155,MATCH($G19,Ambiti!$A$4:$A$155,0),MATCH(J$1,Ambiti!$A$4:$AAA$4,0))</f>
        <v>012137</v>
      </c>
    </row>
    <row r="20" spans="1:10" x14ac:dyDescent="0.2">
      <c r="A20" s="86" t="s">
        <v>7055</v>
      </c>
      <c r="B20" s="447" t="str">
        <f>IN_Anagrafica!$B$9</f>
        <v>NO</v>
      </c>
      <c r="C20" s="369" t="str">
        <f t="shared" ref="C20:C25" si="0">IF(B20="SI","SI","NO")</f>
        <v>NO</v>
      </c>
      <c r="D20" s="1028" t="s">
        <v>656</v>
      </c>
      <c r="E20" s="1030" t="s">
        <v>660</v>
      </c>
      <c r="F20" s="1031" t="s">
        <v>8519</v>
      </c>
      <c r="G20" s="1031" t="s">
        <v>615</v>
      </c>
      <c r="H20" s="88" t="str">
        <f>INDEX(Ambiti!$A$4:$AAA$155,MATCH($G20,Ambiti!$A$4:$A$155,0),MATCH(H$1,Ambiti!$A$4:$AAA$4,0))</f>
        <v>22817</v>
      </c>
      <c r="I20" s="88" t="str">
        <f>INDEX(Ambiti!$A$4:$AAA$155,MATCH($G20,Ambiti!$A$4:$A$155,0),MATCH(I$1,Ambiti!$A$4:$AAA$4,0))</f>
        <v>22797</v>
      </c>
      <c r="J20" s="88">
        <f>INDEX(Ambiti!$A$4:$AAA$155,MATCH($G20,Ambiti!$A$4:$A$155,0),MATCH(J$1,Ambiti!$A$4:$AAA$4,0))</f>
        <v>14427</v>
      </c>
    </row>
    <row r="21" spans="1:10" x14ac:dyDescent="0.2">
      <c r="A21" s="86" t="s">
        <v>7056</v>
      </c>
      <c r="B21" s="447" t="str">
        <f>IN_Anagrafica!$B$9</f>
        <v>NO</v>
      </c>
      <c r="C21" s="369" t="str">
        <f t="shared" si="0"/>
        <v>NO</v>
      </c>
      <c r="D21" s="1028" t="s">
        <v>656</v>
      </c>
      <c r="E21" s="1030" t="s">
        <v>8110</v>
      </c>
      <c r="F21" s="1031" t="s">
        <v>8520</v>
      </c>
      <c r="G21" s="1031" t="s">
        <v>1201</v>
      </c>
      <c r="H21" s="88">
        <f>INDEX(Import_CO_Comuni!$A$4:$AAA$155,MATCH($G21,Import_CO_Comuni!$A$4:$A$155,0),MATCH(H$1,Import_CO_Comuni!$A$4:$AAA$4,0))</f>
        <v>0</v>
      </c>
      <c r="I21" s="88">
        <f>INDEX(Import_CO_Comuni!$A$4:$AAA$155,MATCH($G21,Import_CO_Comuni!$A$4:$A$155,0),MATCH(I$1,Import_CO_Comuni!$A$4:$AAA$4,0))</f>
        <v>0</v>
      </c>
      <c r="J21" s="88">
        <f>INDEX(Import_CO_Comuni!$A$4:$AAA$155,MATCH($G21,Import_CO_Comuni!$A$4:$A$155,0),MATCH(J$1,Import_CO_Comuni!$A$4:$AAA$4,0))</f>
        <v>0</v>
      </c>
    </row>
    <row r="22" spans="1:10" x14ac:dyDescent="0.2">
      <c r="A22" s="86" t="s">
        <v>7057</v>
      </c>
      <c r="B22" s="447" t="str">
        <f>IN_Anagrafica!$B$9</f>
        <v>NO</v>
      </c>
      <c r="C22" s="369" t="str">
        <f t="shared" si="0"/>
        <v>NO</v>
      </c>
      <c r="D22" s="1028" t="s">
        <v>656</v>
      </c>
      <c r="E22" s="1030" t="s">
        <v>8111</v>
      </c>
      <c r="F22" s="1031" t="s">
        <v>8520</v>
      </c>
      <c r="G22" s="1031" t="s">
        <v>1202</v>
      </c>
      <c r="H22" s="88">
        <f>INDEX(Import_CO_Comuni!$A$4:$AAA$155,MATCH($G22,Import_CO_Comuni!$A$4:$A$155,0),MATCH(H$1,Import_CO_Comuni!$A$4:$AAA$4,0))</f>
        <v>0</v>
      </c>
      <c r="I22" s="88">
        <f>INDEX(Import_CO_Comuni!$A$4:$AAA$155,MATCH($G22,Import_CO_Comuni!$A$4:$A$155,0),MATCH(I$1,Import_CO_Comuni!$A$4:$AAA$4,0))</f>
        <v>0</v>
      </c>
      <c r="J22" s="88">
        <f>INDEX(Import_CO_Comuni!$A$4:$AAA$155,MATCH($G22,Import_CO_Comuni!$A$4:$A$155,0),MATCH(J$1,Import_CO_Comuni!$A$4:$AAA$4,0))</f>
        <v>0</v>
      </c>
    </row>
    <row r="23" spans="1:10" x14ac:dyDescent="0.2">
      <c r="A23" s="86" t="s">
        <v>7058</v>
      </c>
      <c r="B23" s="447" t="str">
        <f>IN_Anagrafica!$B$9</f>
        <v>NO</v>
      </c>
      <c r="C23" s="369" t="str">
        <f t="shared" si="0"/>
        <v>NO</v>
      </c>
      <c r="D23" s="1028" t="s">
        <v>656</v>
      </c>
      <c r="E23" s="1030" t="s">
        <v>8112</v>
      </c>
      <c r="F23" s="1031" t="s">
        <v>8520</v>
      </c>
      <c r="G23" s="1031" t="s">
        <v>1203</v>
      </c>
      <c r="H23" s="88">
        <f>INDEX(Import_CO_Comuni!$A$4:$AAA$155,MATCH($G23,Import_CO_Comuni!$A$4:$A$155,0),MATCH(H$1,Import_CO_Comuni!$A$4:$AAA$4,0))</f>
        <v>0</v>
      </c>
      <c r="I23" s="88">
        <f>INDEX(Import_CO_Comuni!$A$4:$AAA$155,MATCH($G23,Import_CO_Comuni!$A$4:$A$155,0),MATCH(I$1,Import_CO_Comuni!$A$4:$AAA$4,0))</f>
        <v>0</v>
      </c>
      <c r="J23" s="88">
        <f>INDEX(Import_CO_Comuni!$A$4:$AAA$155,MATCH($G23,Import_CO_Comuni!$A$4:$A$155,0),MATCH(J$1,Import_CO_Comuni!$A$4:$AAA$4,0))</f>
        <v>0</v>
      </c>
    </row>
    <row r="24" spans="1:10" x14ac:dyDescent="0.2">
      <c r="A24" s="86" t="s">
        <v>7059</v>
      </c>
      <c r="B24" s="447" t="str">
        <f>IN_Anagrafica!$B$9</f>
        <v>NO</v>
      </c>
      <c r="C24" s="369" t="str">
        <f t="shared" si="0"/>
        <v>NO</v>
      </c>
      <c r="D24" s="1028" t="s">
        <v>656</v>
      </c>
      <c r="E24" s="1030" t="s">
        <v>8113</v>
      </c>
      <c r="F24" s="1031" t="s">
        <v>8520</v>
      </c>
      <c r="G24" s="1031" t="s">
        <v>1204</v>
      </c>
      <c r="H24" s="88">
        <f>INDEX(Import_CO_Comuni!$A$4:$AAA$155,MATCH($G24,Import_CO_Comuni!$A$4:$A$155,0),MATCH(H$1,Import_CO_Comuni!$A$4:$AAA$4,0))</f>
        <v>0</v>
      </c>
      <c r="I24" s="88">
        <f>INDEX(Import_CO_Comuni!$A$4:$AAA$155,MATCH($G24,Import_CO_Comuni!$A$4:$A$155,0),MATCH(I$1,Import_CO_Comuni!$A$4:$AAA$4,0))</f>
        <v>0</v>
      </c>
      <c r="J24" s="88">
        <f>INDEX(Import_CO_Comuni!$A$4:$AAA$155,MATCH($G24,Import_CO_Comuni!$A$4:$A$155,0),MATCH(J$1,Import_CO_Comuni!$A$4:$AAA$4,0))</f>
        <v>0</v>
      </c>
    </row>
    <row r="25" spans="1:10" x14ac:dyDescent="0.2">
      <c r="A25" s="86" t="s">
        <v>7060</v>
      </c>
      <c r="B25" s="447" t="str">
        <f>IN_Anagrafica!$B$9</f>
        <v>NO</v>
      </c>
      <c r="C25" s="369" t="str">
        <f t="shared" si="0"/>
        <v>NO</v>
      </c>
      <c r="D25" s="1028" t="s">
        <v>656</v>
      </c>
      <c r="E25" s="1030" t="s">
        <v>8114</v>
      </c>
      <c r="F25" s="1031" t="s">
        <v>8520</v>
      </c>
      <c r="G25" s="1031" t="s">
        <v>1205</v>
      </c>
      <c r="H25" s="88">
        <f>INDEX(Import_CO_Comuni!$A$4:$AAA$155,MATCH($G25,Import_CO_Comuni!$A$4:$A$155,0),MATCH(H$1,Import_CO_Comuni!$A$4:$AAA$4,0))</f>
        <v>0</v>
      </c>
      <c r="I25" s="88">
        <f>INDEX(Import_CO_Comuni!$A$4:$AAA$155,MATCH($G25,Import_CO_Comuni!$A$4:$A$155,0),MATCH(I$1,Import_CO_Comuni!$A$4:$AAA$4,0))</f>
        <v>0</v>
      </c>
      <c r="J25" s="88">
        <f>INDEX(Import_CO_Comuni!$A$4:$AAA$155,MATCH($G25,Import_CO_Comuni!$A$4:$A$155,0),MATCH(J$1,Import_CO_Comuni!$A$4:$AAA$4,0))</f>
        <v>0</v>
      </c>
    </row>
    <row r="26" spans="1:10" x14ac:dyDescent="0.2">
      <c r="A26" s="86" t="s">
        <v>635</v>
      </c>
      <c r="B26" s="1067" t="s">
        <v>105</v>
      </c>
      <c r="C26" s="1037" t="s">
        <v>219</v>
      </c>
      <c r="D26" s="1028" t="s">
        <v>1369</v>
      </c>
      <c r="E26" s="1030" t="s">
        <v>8115</v>
      </c>
      <c r="F26" s="1032" t="s">
        <v>1369</v>
      </c>
      <c r="G26" s="1032" t="s">
        <v>245</v>
      </c>
      <c r="H26" s="88">
        <f>INDEX(IN_PAR!$A$3:$AAA$413,MATCH($G26,IN_PAR!$A$3:$A$413,0),MATCH(H$1,IN_PAR!$A$3:$AAA$3,0))</f>
        <v>0.79210000000000003</v>
      </c>
      <c r="I26" s="88">
        <f>INDEX(IN_PAR!$A$3:$AAA$413,MATCH($G26,IN_PAR!$A$3:$A$413,0),MATCH(I$1,IN_PAR!$A$3:$AAA$3,0))</f>
        <v>0.76519999999999999</v>
      </c>
      <c r="J26" s="88">
        <f>INDEX(IN_PAR!$A$3:$AAA$413,MATCH($G26,IN_PAR!$A$3:$A$413,0),MATCH(J$1,IN_PAR!$A$3:$AAA$3,0))</f>
        <v>0.76219999999999999</v>
      </c>
    </row>
    <row r="27" spans="1:10" x14ac:dyDescent="0.2">
      <c r="A27" s="86" t="s">
        <v>637</v>
      </c>
      <c r="B27" s="1067" t="s">
        <v>105</v>
      </c>
      <c r="C27" s="1037" t="s">
        <v>219</v>
      </c>
      <c r="D27" s="1028" t="s">
        <v>1369</v>
      </c>
      <c r="E27" s="1030" t="s">
        <v>8116</v>
      </c>
      <c r="F27" s="1032" t="s">
        <v>1369</v>
      </c>
      <c r="G27" s="1032" t="s">
        <v>246</v>
      </c>
      <c r="H27" s="88">
        <f>INDEX(IN_PAR!$A$3:$AAA$413,MATCH($G27,IN_PAR!$A$3:$A$413,0),MATCH(H$1,IN_PAR!$A$3:$AAA$3,0))</f>
        <v>0.81310000000000004</v>
      </c>
      <c r="I27" s="88">
        <f>INDEX(IN_PAR!$A$3:$AAA$413,MATCH($G27,IN_PAR!$A$3:$A$413,0),MATCH(I$1,IN_PAR!$A$3:$AAA$3,0))</f>
        <v>0.77190000000000003</v>
      </c>
      <c r="J27" s="88">
        <f>INDEX(IN_PAR!$A$3:$AAA$413,MATCH($G27,IN_PAR!$A$3:$A$413,0),MATCH(J$1,IN_PAR!$A$3:$AAA$3,0))</f>
        <v>0.79579999999999995</v>
      </c>
    </row>
    <row r="28" spans="1:10" x14ac:dyDescent="0.2">
      <c r="A28" s="86" t="s">
        <v>956</v>
      </c>
      <c r="B28" s="447" t="s">
        <v>219</v>
      </c>
      <c r="C28" s="369"/>
      <c r="D28" s="1028" t="s">
        <v>1369</v>
      </c>
      <c r="E28" s="1030" t="s">
        <v>8117</v>
      </c>
      <c r="F28" s="1032" t="s">
        <v>1369</v>
      </c>
      <c r="G28" s="1032" t="s">
        <v>956</v>
      </c>
      <c r="H28" s="88" t="str">
        <f>INDEX(IN_PAR!$A$3:$AAA$413,MATCH($G28,IN_PAR!$A$3:$A$413,0),MATCH(H$1,IN_PAR!$A$3:$AAA$3,0))</f>
        <v>SODDISFACENTE</v>
      </c>
      <c r="I28" s="88" t="str">
        <f>INDEX(IN_PAR!$A$3:$AAA$413,MATCH($G28,IN_PAR!$A$3:$A$413,0),MATCH(I$1,IN_PAR!$A$3:$AAA$3,0))</f>
        <v>NON SODDISFACENTE</v>
      </c>
      <c r="J28" s="88" t="str">
        <f>INDEX(IN_PAR!$A$3:$AAA$413,MATCH($G28,IN_PAR!$A$3:$A$413,0),MATCH(J$1,IN_PAR!$A$3:$AAA$3,0))</f>
        <v>NON SODDISFACENTE</v>
      </c>
    </row>
    <row r="29" spans="1:10" x14ac:dyDescent="0.2">
      <c r="A29" s="86" t="s">
        <v>979</v>
      </c>
      <c r="B29" s="447" t="s">
        <v>219</v>
      </c>
      <c r="C29" s="369"/>
      <c r="D29" s="1028" t="s">
        <v>1369</v>
      </c>
      <c r="E29" s="1030" t="s">
        <v>8118</v>
      </c>
      <c r="F29" s="1032" t="s">
        <v>1369</v>
      </c>
      <c r="G29" s="1032" t="s">
        <v>979</v>
      </c>
      <c r="H29" s="88" t="str">
        <f>INDEX(IN_PAR!$A$3:$AAA$413,MATCH($G29,IN_PAR!$A$3:$A$413,0),MATCH(H$1,IN_PAR!$A$3:$AAA$3,0))</f>
        <v>SODDISFACENTE</v>
      </c>
      <c r="I29" s="88" t="str">
        <f>INDEX(IN_PAR!$A$3:$AAA$413,MATCH($G29,IN_PAR!$A$3:$A$413,0),MATCH(I$1,IN_PAR!$A$3:$AAA$3,0))</f>
        <v>NON SODDISFACENTE</v>
      </c>
      <c r="J29" s="88" t="str">
        <f>INDEX(IN_PAR!$A$3:$AAA$413,MATCH($G29,IN_PAR!$A$3:$A$413,0),MATCH(J$1,IN_PAR!$A$3:$AAA$3,0))</f>
        <v>NON SODDISFACENTE</v>
      </c>
    </row>
    <row r="30" spans="1:10" x14ac:dyDescent="0.2">
      <c r="A30" s="86" t="s">
        <v>636</v>
      </c>
      <c r="B30" s="1067" t="s">
        <v>105</v>
      </c>
      <c r="C30" s="1037" t="s">
        <v>219</v>
      </c>
      <c r="D30" s="1028" t="s">
        <v>1369</v>
      </c>
      <c r="E30" s="1030" t="s">
        <v>8119</v>
      </c>
      <c r="F30" s="1032" t="s">
        <v>1369</v>
      </c>
      <c r="G30" s="1032" t="s">
        <v>560</v>
      </c>
      <c r="H30" s="88">
        <f>INDEX(IN_PAR!$A$3:$AAA$413,MATCH($G30,IN_PAR!$A$3:$A$413,0),MATCH(H$1,IN_PAR!$A$3:$AAA$3,0))</f>
        <v>0.68</v>
      </c>
      <c r="I30" s="88">
        <f>INDEX(IN_PAR!$A$3:$AAA$413,MATCH($G30,IN_PAR!$A$3:$A$413,0),MATCH(I$1,IN_PAR!$A$3:$AAA$3,0))</f>
        <v>0.45</v>
      </c>
      <c r="J30" s="88">
        <f>INDEX(IN_PAR!$A$3:$AAA$413,MATCH($G30,IN_PAR!$A$3:$A$413,0),MATCH(J$1,IN_PAR!$A$3:$AAA$3,0))</f>
        <v>0</v>
      </c>
    </row>
    <row r="31" spans="1:10" x14ac:dyDescent="0.2">
      <c r="A31" s="86" t="s">
        <v>7061</v>
      </c>
      <c r="B31" s="1067" t="s">
        <v>105</v>
      </c>
      <c r="C31" s="1037" t="s">
        <v>219</v>
      </c>
      <c r="D31" s="1028" t="s">
        <v>1369</v>
      </c>
      <c r="E31" s="1030" t="s">
        <v>317</v>
      </c>
      <c r="F31" s="1032" t="s">
        <v>1369</v>
      </c>
      <c r="G31" s="1031" t="s">
        <v>948</v>
      </c>
      <c r="H31" s="88">
        <f>INDEX(IN_PAR!$A$3:$AAA$413,MATCH($G31,IN_PAR!$A$3:$A$413,0),MATCH(H$1,IN_PAR!$A$3:$AAA$3,0))</f>
        <v>0.67830737475829184</v>
      </c>
      <c r="I31" s="88">
        <f>INDEX(IN_PAR!$A$3:$AAA$413,MATCH($G31,IN_PAR!$A$3:$A$413,0),MATCH(I$1,IN_PAR!$A$3:$AAA$3,0))</f>
        <v>0.44675035191520296</v>
      </c>
      <c r="J31" s="88">
        <f>INDEX(IN_PAR!$A$3:$AAA$413,MATCH($G31,IN_PAR!$A$3:$A$413,0),MATCH(J$1,IN_PAR!$A$3:$AAA$3,0))</f>
        <v>0</v>
      </c>
    </row>
    <row r="32" spans="1:10" x14ac:dyDescent="0.2">
      <c r="A32" s="86" t="s">
        <v>7062</v>
      </c>
      <c r="B32" s="447" t="str">
        <f>IN_Anagrafica!$B$9</f>
        <v>NO</v>
      </c>
      <c r="C32" s="369" t="str">
        <f t="shared" ref="C32:C39" si="1">IF(B32="SI","SI","NO")</f>
        <v>NO</v>
      </c>
      <c r="D32" s="1028" t="s">
        <v>1369</v>
      </c>
      <c r="E32" s="1030" t="s">
        <v>8120</v>
      </c>
      <c r="F32" s="1032" t="s">
        <v>1369</v>
      </c>
      <c r="G32" s="1032" t="s">
        <v>966</v>
      </c>
      <c r="H32" s="88">
        <f>INDEX(IN_PAR!$A$3:$AAA$413,MATCH($G32,IN_PAR!$A$3:$A$413,0),MATCH(H$1,IN_PAR!$A$3:$AAA$3,0))</f>
        <v>0</v>
      </c>
      <c r="I32" s="88">
        <f>INDEX(IN_PAR!$A$3:$AAA$413,MATCH($G32,IN_PAR!$A$3:$A$413,0),MATCH(I$1,IN_PAR!$A$3:$AAA$3,0))</f>
        <v>0</v>
      </c>
      <c r="J32" s="88">
        <f>INDEX(IN_PAR!$A$3:$AAA$413,MATCH($G32,IN_PAR!$A$3:$A$413,0),MATCH(J$1,IN_PAR!$A$3:$AAA$3,0))</f>
        <v>0</v>
      </c>
    </row>
    <row r="33" spans="1:10" x14ac:dyDescent="0.2">
      <c r="A33" s="86" t="s">
        <v>7063</v>
      </c>
      <c r="B33" s="447" t="str">
        <f>IN_Anagrafica!$B$9</f>
        <v>NO</v>
      </c>
      <c r="C33" s="369" t="str">
        <f t="shared" si="1"/>
        <v>NO</v>
      </c>
      <c r="D33" s="1028" t="s">
        <v>1369</v>
      </c>
      <c r="E33" s="1030" t="s">
        <v>8121</v>
      </c>
      <c r="F33" s="1032" t="s">
        <v>1369</v>
      </c>
      <c r="G33" s="1032" t="s">
        <v>981</v>
      </c>
      <c r="H33" s="88">
        <f>INDEX(IN_PAR!$A$3:$AAA$413,MATCH($G33,IN_PAR!$A$3:$A$413,0),MATCH(H$1,IN_PAR!$A$3:$AAA$3,0))</f>
        <v>0</v>
      </c>
      <c r="I33" s="88">
        <f>INDEX(IN_PAR!$A$3:$AAA$413,MATCH($G33,IN_PAR!$A$3:$A$413,0),MATCH(I$1,IN_PAR!$A$3:$AAA$3,0))</f>
        <v>0</v>
      </c>
      <c r="J33" s="88">
        <f>INDEX(IN_PAR!$A$3:$AAA$413,MATCH($G33,IN_PAR!$A$3:$A$413,0),MATCH(J$1,IN_PAR!$A$3:$AAA$3,0))</f>
        <v>0</v>
      </c>
    </row>
    <row r="34" spans="1:10" x14ac:dyDescent="0.2">
      <c r="A34" s="86" t="s">
        <v>7064</v>
      </c>
      <c r="B34" s="447" t="str">
        <f>IN_Anagrafica!$B$9</f>
        <v>NO</v>
      </c>
      <c r="C34" s="369" t="str">
        <f t="shared" si="1"/>
        <v>NO</v>
      </c>
      <c r="D34" s="1028" t="s">
        <v>1369</v>
      </c>
      <c r="E34" s="1030" t="s">
        <v>8122</v>
      </c>
      <c r="F34" s="1032" t="s">
        <v>1369</v>
      </c>
      <c r="G34" s="1032" t="s">
        <v>1290</v>
      </c>
      <c r="H34" s="88">
        <f>INDEX(IN_PAR!$A$3:$AAA$413,MATCH($G34,IN_PAR!$A$3:$A$413,0),MATCH(H$1,IN_PAR!$A$3:$AAA$3,0))</f>
        <v>0</v>
      </c>
      <c r="I34" s="88">
        <f>INDEX(IN_PAR!$A$3:$AAA$413,MATCH($G34,IN_PAR!$A$3:$A$413,0),MATCH(I$1,IN_PAR!$A$3:$AAA$3,0))</f>
        <v>0</v>
      </c>
      <c r="J34" s="88">
        <f>INDEX(IN_PAR!$A$3:$AAA$413,MATCH($G34,IN_PAR!$A$3:$A$413,0),MATCH(J$1,IN_PAR!$A$3:$AAA$3,0))</f>
        <v>0</v>
      </c>
    </row>
    <row r="35" spans="1:10" x14ac:dyDescent="0.2">
      <c r="A35" s="86" t="s">
        <v>7065</v>
      </c>
      <c r="B35" s="447" t="str">
        <f>IN_Anagrafica!$B$9</f>
        <v>NO</v>
      </c>
      <c r="C35" s="369" t="str">
        <f t="shared" si="1"/>
        <v>NO</v>
      </c>
      <c r="D35" s="1028" t="s">
        <v>1369</v>
      </c>
      <c r="E35" s="1030" t="s">
        <v>8123</v>
      </c>
      <c r="F35" s="1032" t="s">
        <v>1369</v>
      </c>
      <c r="G35" s="1032" t="s">
        <v>1304</v>
      </c>
      <c r="H35" s="88">
        <f>INDEX(IN_PAR!$A$3:$AAA$413,MATCH($G35,IN_PAR!$A$3:$A$413,0),MATCH(H$1,IN_PAR!$A$3:$AAA$3,0))</f>
        <v>0</v>
      </c>
      <c r="I35" s="88">
        <f>INDEX(IN_PAR!$A$3:$AAA$413,MATCH($G35,IN_PAR!$A$3:$A$413,0),MATCH(I$1,IN_PAR!$A$3:$AAA$3,0))</f>
        <v>0</v>
      </c>
      <c r="J35" s="88">
        <f>INDEX(IN_PAR!$A$3:$AAA$413,MATCH($G35,IN_PAR!$A$3:$A$413,0),MATCH(J$1,IN_PAR!$A$3:$AAA$3,0))</f>
        <v>0</v>
      </c>
    </row>
    <row r="36" spans="1:10" x14ac:dyDescent="0.2">
      <c r="A36" s="86" t="s">
        <v>7066</v>
      </c>
      <c r="B36" s="447" t="str">
        <f>IN_Anagrafica!$B$9</f>
        <v>NO</v>
      </c>
      <c r="C36" s="369" t="str">
        <f t="shared" si="1"/>
        <v>NO</v>
      </c>
      <c r="D36" s="1028" t="s">
        <v>1369</v>
      </c>
      <c r="E36" s="1030" t="s">
        <v>8124</v>
      </c>
      <c r="F36" s="1032" t="s">
        <v>1369</v>
      </c>
      <c r="G36" s="1032" t="s">
        <v>967</v>
      </c>
      <c r="H36" s="88">
        <f>INDEX(IN_PAR!$A$3:$AAA$413,MATCH($G36,IN_PAR!$A$3:$A$413,0),MATCH(H$1,IN_PAR!$A$3:$AAA$3,0))</f>
        <v>0</v>
      </c>
      <c r="I36" s="88">
        <f>INDEX(IN_PAR!$A$3:$AAA$413,MATCH($G36,IN_PAR!$A$3:$A$413,0),MATCH(I$1,IN_PAR!$A$3:$AAA$3,0))</f>
        <v>0</v>
      </c>
      <c r="J36" s="88">
        <f>INDEX(IN_PAR!$A$3:$AAA$413,MATCH($G36,IN_PAR!$A$3:$A$413,0),MATCH(J$1,IN_PAR!$A$3:$AAA$3,0))</f>
        <v>0</v>
      </c>
    </row>
    <row r="37" spans="1:10" x14ac:dyDescent="0.2">
      <c r="A37" s="86" t="s">
        <v>7067</v>
      </c>
      <c r="B37" s="447" t="str">
        <f>IN_Anagrafica!$B$9</f>
        <v>NO</v>
      </c>
      <c r="C37" s="369" t="str">
        <f t="shared" si="1"/>
        <v>NO</v>
      </c>
      <c r="D37" s="1028" t="s">
        <v>1369</v>
      </c>
      <c r="E37" s="1030" t="s">
        <v>8125</v>
      </c>
      <c r="F37" s="1032" t="s">
        <v>1369</v>
      </c>
      <c r="G37" s="1032" t="s">
        <v>982</v>
      </c>
      <c r="H37" s="88">
        <f>INDEX(IN_PAR!$A$3:$AAA$413,MATCH($G37,IN_PAR!$A$3:$A$413,0),MATCH(H$1,IN_PAR!$A$3:$AAA$3,0))</f>
        <v>0</v>
      </c>
      <c r="I37" s="88">
        <f>INDEX(IN_PAR!$A$3:$AAA$413,MATCH($G37,IN_PAR!$A$3:$A$413,0),MATCH(I$1,IN_PAR!$A$3:$AAA$3,0))</f>
        <v>0</v>
      </c>
      <c r="J37" s="88">
        <f>INDEX(IN_PAR!$A$3:$AAA$413,MATCH($G37,IN_PAR!$A$3:$A$413,0),MATCH(J$1,IN_PAR!$A$3:$AAA$3,0))</f>
        <v>0</v>
      </c>
    </row>
    <row r="38" spans="1:10" x14ac:dyDescent="0.2">
      <c r="A38" s="86" t="s">
        <v>7068</v>
      </c>
      <c r="B38" s="447" t="str">
        <f>IN_Anagrafica!$B$9</f>
        <v>NO</v>
      </c>
      <c r="C38" s="369" t="str">
        <f t="shared" si="1"/>
        <v>NO</v>
      </c>
      <c r="D38" s="1028" t="s">
        <v>1369</v>
      </c>
      <c r="E38" s="1030" t="s">
        <v>8126</v>
      </c>
      <c r="F38" s="1032" t="s">
        <v>1369</v>
      </c>
      <c r="G38" s="1032" t="s">
        <v>1291</v>
      </c>
      <c r="H38" s="88">
        <f>INDEX(IN_PAR!$A$3:$AAA$413,MATCH($G38,IN_PAR!$A$3:$A$413,0),MATCH(H$1,IN_PAR!$A$3:$AAA$3,0))</f>
        <v>0</v>
      </c>
      <c r="I38" s="88">
        <f>INDEX(IN_PAR!$A$3:$AAA$413,MATCH($G38,IN_PAR!$A$3:$A$413,0),MATCH(I$1,IN_PAR!$A$3:$AAA$3,0))</f>
        <v>0</v>
      </c>
      <c r="J38" s="88">
        <f>INDEX(IN_PAR!$A$3:$AAA$413,MATCH($G38,IN_PAR!$A$3:$A$413,0),MATCH(J$1,IN_PAR!$A$3:$AAA$3,0))</f>
        <v>0</v>
      </c>
    </row>
    <row r="39" spans="1:10" x14ac:dyDescent="0.2">
      <c r="A39" s="86" t="s">
        <v>7069</v>
      </c>
      <c r="B39" s="447" t="str">
        <f>IN_Anagrafica!$B$9</f>
        <v>NO</v>
      </c>
      <c r="C39" s="369" t="str">
        <f t="shared" si="1"/>
        <v>NO</v>
      </c>
      <c r="D39" s="1028" t="s">
        <v>1369</v>
      </c>
      <c r="E39" s="1030" t="s">
        <v>8127</v>
      </c>
      <c r="F39" s="1032" t="s">
        <v>1369</v>
      </c>
      <c r="G39" s="1032" t="s">
        <v>1305</v>
      </c>
      <c r="H39" s="88">
        <f>INDEX(IN_PAR!$A$3:$AAA$413,MATCH($G39,IN_PAR!$A$3:$A$413,0),MATCH(H$1,IN_PAR!$A$3:$AAA$3,0))</f>
        <v>0</v>
      </c>
      <c r="I39" s="88">
        <f>INDEX(IN_PAR!$A$3:$AAA$413,MATCH($G39,IN_PAR!$A$3:$A$413,0),MATCH(I$1,IN_PAR!$A$3:$AAA$3,0))</f>
        <v>0</v>
      </c>
      <c r="J39" s="88">
        <f>INDEX(IN_PAR!$A$3:$AAA$413,MATCH($G39,IN_PAR!$A$3:$A$413,0),MATCH(J$1,IN_PAR!$A$3:$AAA$3,0))</f>
        <v>0</v>
      </c>
    </row>
    <row r="40" spans="1:10" x14ac:dyDescent="0.2">
      <c r="A40" s="86" t="s">
        <v>7070</v>
      </c>
      <c r="B40" s="1067" t="s">
        <v>105</v>
      </c>
      <c r="C40" s="1037" t="s">
        <v>219</v>
      </c>
      <c r="D40" s="1028" t="s">
        <v>1369</v>
      </c>
      <c r="E40" s="1030" t="s">
        <v>372</v>
      </c>
      <c r="F40" s="1032" t="s">
        <v>1369</v>
      </c>
      <c r="G40" s="1031" t="s">
        <v>1262</v>
      </c>
      <c r="H40" s="88">
        <f>INDEX(IN_PAR!$A$3:$AAA$413,MATCH($G40,IN_PAR!$A$3:$A$413,0),MATCH(H$1,IN_PAR!$A$3:$AAA$3,0))</f>
        <v>0.56000000000000005</v>
      </c>
      <c r="I40" s="88">
        <f>INDEX(IN_PAR!$A$3:$AAA$413,MATCH($G40,IN_PAR!$A$3:$A$413,0),MATCH(I$1,IN_PAR!$A$3:$AAA$3,0))</f>
        <v>0.56000000000000005</v>
      </c>
      <c r="J40" s="88">
        <f>INDEX(IN_PAR!$A$3:$AAA$413,MATCH($G40,IN_PAR!$A$3:$A$413,0),MATCH(J$1,IN_PAR!$A$3:$AAA$3,0))</f>
        <v>0.56000000000000005</v>
      </c>
    </row>
    <row r="41" spans="1:10" x14ac:dyDescent="0.2">
      <c r="A41" s="86" t="s">
        <v>7071</v>
      </c>
      <c r="B41" s="1067" t="s">
        <v>105</v>
      </c>
      <c r="C41" s="1037" t="s">
        <v>219</v>
      </c>
      <c r="D41" s="1028" t="s">
        <v>1369</v>
      </c>
      <c r="E41" s="1030" t="s">
        <v>8128</v>
      </c>
      <c r="F41" s="1032" t="s">
        <v>1369</v>
      </c>
      <c r="G41" s="1032" t="s">
        <v>968</v>
      </c>
      <c r="H41" s="88">
        <f>INDEX(IN_PAR!$A$3:$AAA$413,MATCH($G41,IN_PAR!$A$3:$A$413,0),MATCH(H$1,IN_PAR!$A$3:$AAA$3,0))</f>
        <v>0.7</v>
      </c>
      <c r="I41" s="88">
        <f>INDEX(IN_PAR!$A$3:$AAA$413,MATCH($G41,IN_PAR!$A$3:$A$413,0),MATCH(I$1,IN_PAR!$A$3:$AAA$3,0))</f>
        <v>0</v>
      </c>
      <c r="J41" s="88">
        <f>INDEX(IN_PAR!$A$3:$AAA$413,MATCH($G41,IN_PAR!$A$3:$A$413,0),MATCH(J$1,IN_PAR!$A$3:$AAA$3,0))</f>
        <v>0</v>
      </c>
    </row>
    <row r="42" spans="1:10" x14ac:dyDescent="0.2">
      <c r="A42" s="86" t="s">
        <v>7072</v>
      </c>
      <c r="B42" s="1067" t="s">
        <v>105</v>
      </c>
      <c r="C42" s="1037" t="s">
        <v>219</v>
      </c>
      <c r="D42" s="1028" t="s">
        <v>1369</v>
      </c>
      <c r="E42" s="1030" t="s">
        <v>8129</v>
      </c>
      <c r="F42" s="1032" t="s">
        <v>1369</v>
      </c>
      <c r="G42" s="1032" t="s">
        <v>983</v>
      </c>
      <c r="H42" s="88">
        <f>INDEX(IN_PAR!$A$3:$AAA$413,MATCH($G42,IN_PAR!$A$3:$A$413,0),MATCH(H$1,IN_PAR!$A$3:$AAA$3,0))</f>
        <v>0.7</v>
      </c>
      <c r="I42" s="88">
        <f>INDEX(IN_PAR!$A$3:$AAA$413,MATCH($G42,IN_PAR!$A$3:$A$413,0),MATCH(I$1,IN_PAR!$A$3:$AAA$3,0))</f>
        <v>0</v>
      </c>
      <c r="J42" s="88">
        <f>INDEX(IN_PAR!$A$3:$AAA$413,MATCH($G42,IN_PAR!$A$3:$A$413,0),MATCH(J$1,IN_PAR!$A$3:$AAA$3,0))</f>
        <v>0</v>
      </c>
    </row>
    <row r="43" spans="1:10" x14ac:dyDescent="0.2">
      <c r="A43" s="86" t="s">
        <v>7073</v>
      </c>
      <c r="B43" s="1067" t="s">
        <v>105</v>
      </c>
      <c r="C43" s="1037" t="s">
        <v>219</v>
      </c>
      <c r="D43" s="1028" t="s">
        <v>1369</v>
      </c>
      <c r="E43" s="1030" t="s">
        <v>8130</v>
      </c>
      <c r="F43" s="1032" t="s">
        <v>1369</v>
      </c>
      <c r="G43" s="1032" t="s">
        <v>1288</v>
      </c>
      <c r="H43" s="88">
        <f>INDEX(IN_PAR!$A$3:$AAA$413,MATCH($G43,IN_PAR!$A$3:$A$413,0),MATCH(H$1,IN_PAR!$A$3:$AAA$3,0))</f>
        <v>0.7</v>
      </c>
      <c r="I43" s="88">
        <f>INDEX(IN_PAR!$A$3:$AAA$413,MATCH($G43,IN_PAR!$A$3:$A$413,0),MATCH(I$1,IN_PAR!$A$3:$AAA$3,0))</f>
        <v>0</v>
      </c>
      <c r="J43" s="88">
        <f>INDEX(IN_PAR!$A$3:$AAA$413,MATCH($G43,IN_PAR!$A$3:$A$413,0),MATCH(J$1,IN_PAR!$A$3:$AAA$3,0))</f>
        <v>0</v>
      </c>
    </row>
    <row r="44" spans="1:10" x14ac:dyDescent="0.2">
      <c r="A44" s="86" t="s">
        <v>7074</v>
      </c>
      <c r="B44" s="1067" t="s">
        <v>105</v>
      </c>
      <c r="C44" s="1037" t="s">
        <v>219</v>
      </c>
      <c r="D44" s="1028" t="s">
        <v>1369</v>
      </c>
      <c r="E44" s="1030" t="s">
        <v>8131</v>
      </c>
      <c r="F44" s="1032" t="s">
        <v>1369</v>
      </c>
      <c r="G44" s="1032" t="s">
        <v>1289</v>
      </c>
      <c r="H44" s="88">
        <f>INDEX(IN_PAR!$A$3:$AAA$413,MATCH($G44,IN_PAR!$A$3:$A$413,0),MATCH(H$1,IN_PAR!$A$3:$AAA$3,0))</f>
        <v>0.7</v>
      </c>
      <c r="I44" s="88">
        <f>INDEX(IN_PAR!$A$3:$AAA$413,MATCH($G44,IN_PAR!$A$3:$A$413,0),MATCH(I$1,IN_PAR!$A$3:$AAA$3,0))</f>
        <v>0</v>
      </c>
      <c r="J44" s="88">
        <f>INDEX(IN_PAR!$A$3:$AAA$413,MATCH($G44,IN_PAR!$A$3:$A$413,0),MATCH(J$1,IN_PAR!$A$3:$AAA$3,0))</f>
        <v>0</v>
      </c>
    </row>
    <row r="45" spans="1:10" x14ac:dyDescent="0.2">
      <c r="A45" s="86" t="s">
        <v>7075</v>
      </c>
      <c r="B45" s="1067" t="s">
        <v>105</v>
      </c>
      <c r="C45" s="1037" t="s">
        <v>219</v>
      </c>
      <c r="D45" s="1028" t="s">
        <v>1369</v>
      </c>
      <c r="E45" s="1030" t="s">
        <v>8132</v>
      </c>
      <c r="F45" s="1032" t="s">
        <v>1369</v>
      </c>
      <c r="G45" s="1032" t="s">
        <v>223</v>
      </c>
      <c r="H45" s="88">
        <f>INDEX(IN_PAR!$A$3:$AAA$413,MATCH($G45,IN_PAR!$A$3:$A$413,0),MATCH(H$1,IN_PAR!$A$3:$AAA$3,0))</f>
        <v>8092863.8399999999</v>
      </c>
      <c r="I45" s="88">
        <f>INDEX(IN_PAR!$A$3:$AAA$413,MATCH($G45,IN_PAR!$A$3:$A$413,0),MATCH(I$1,IN_PAR!$A$3:$AAA$3,0))</f>
        <v>0</v>
      </c>
      <c r="J45" s="88">
        <f>INDEX(IN_PAR!$A$3:$AAA$413,MATCH($G45,IN_PAR!$A$3:$A$413,0),MATCH(J$1,IN_PAR!$A$3:$AAA$3,0))</f>
        <v>0</v>
      </c>
    </row>
    <row r="46" spans="1:10" x14ac:dyDescent="0.2">
      <c r="A46" s="86" t="s">
        <v>7076</v>
      </c>
      <c r="B46" s="1067" t="s">
        <v>105</v>
      </c>
      <c r="C46" s="1037" t="s">
        <v>219</v>
      </c>
      <c r="D46" s="1028" t="s">
        <v>1369</v>
      </c>
      <c r="E46" s="1030" t="s">
        <v>8133</v>
      </c>
      <c r="F46" s="1032" t="s">
        <v>1369</v>
      </c>
      <c r="G46" s="1032" t="s">
        <v>228</v>
      </c>
      <c r="H46" s="88">
        <f>INDEX(IN_PAR!$A$3:$AAA$413,MATCH($G46,IN_PAR!$A$3:$A$413,0),MATCH(H$1,IN_PAR!$A$3:$AAA$3,0))</f>
        <v>9585446.6099999994</v>
      </c>
      <c r="I46" s="88">
        <f>INDEX(IN_PAR!$A$3:$AAA$413,MATCH($G46,IN_PAR!$A$3:$A$413,0),MATCH(I$1,IN_PAR!$A$3:$AAA$3,0))</f>
        <v>0</v>
      </c>
      <c r="J46" s="88">
        <f>INDEX(IN_PAR!$A$3:$AAA$413,MATCH($G46,IN_PAR!$A$3:$A$413,0),MATCH(J$1,IN_PAR!$A$3:$AAA$3,0))</f>
        <v>0</v>
      </c>
    </row>
    <row r="47" spans="1:10" x14ac:dyDescent="0.2">
      <c r="A47" s="86" t="s">
        <v>7077</v>
      </c>
      <c r="B47" s="1067" t="s">
        <v>105</v>
      </c>
      <c r="C47" s="1037" t="s">
        <v>219</v>
      </c>
      <c r="D47" s="1028" t="s">
        <v>1369</v>
      </c>
      <c r="E47" s="1030" t="s">
        <v>8134</v>
      </c>
      <c r="F47" s="1032" t="s">
        <v>1369</v>
      </c>
      <c r="G47" s="1032" t="s">
        <v>224</v>
      </c>
      <c r="H47" s="88">
        <f>INDEX(IN_PAR!$A$3:$AAA$413,MATCH($G47,IN_PAR!$A$3:$A$413,0),MATCH(H$1,IN_PAR!$A$3:$AAA$3,0))</f>
        <v>8051566.6799999997</v>
      </c>
      <c r="I47" s="88">
        <f>INDEX(IN_PAR!$A$3:$AAA$413,MATCH($G47,IN_PAR!$A$3:$A$413,0),MATCH(I$1,IN_PAR!$A$3:$AAA$3,0))</f>
        <v>0</v>
      </c>
      <c r="J47" s="88">
        <f>INDEX(IN_PAR!$A$3:$AAA$413,MATCH($G47,IN_PAR!$A$3:$A$413,0),MATCH(J$1,IN_PAR!$A$3:$AAA$3,0))</f>
        <v>0</v>
      </c>
    </row>
    <row r="48" spans="1:10" x14ac:dyDescent="0.2">
      <c r="A48" s="86" t="s">
        <v>7078</v>
      </c>
      <c r="B48" s="1067" t="s">
        <v>105</v>
      </c>
      <c r="C48" s="1037" t="s">
        <v>219</v>
      </c>
      <c r="D48" s="1028" t="s">
        <v>1369</v>
      </c>
      <c r="E48" s="1030" t="s">
        <v>8135</v>
      </c>
      <c r="F48" s="1032" t="s">
        <v>1369</v>
      </c>
      <c r="G48" s="1032" t="s">
        <v>229</v>
      </c>
      <c r="H48" s="88">
        <f>INDEX(IN_PAR!$A$3:$AAA$413,MATCH($G48,IN_PAR!$A$3:$A$413,0),MATCH(H$1,IN_PAR!$A$3:$AAA$3,0))</f>
        <v>6765815.0800000001</v>
      </c>
      <c r="I48" s="88">
        <f>INDEX(IN_PAR!$A$3:$AAA$413,MATCH($G48,IN_PAR!$A$3:$A$413,0),MATCH(I$1,IN_PAR!$A$3:$AAA$3,0))</f>
        <v>0</v>
      </c>
      <c r="J48" s="88">
        <f>INDEX(IN_PAR!$A$3:$AAA$413,MATCH($G48,IN_PAR!$A$3:$A$413,0),MATCH(J$1,IN_PAR!$A$3:$AAA$3,0))</f>
        <v>0</v>
      </c>
    </row>
    <row r="49" spans="1:10" x14ac:dyDescent="0.2">
      <c r="A49" s="86" t="s">
        <v>7079</v>
      </c>
      <c r="B49" s="1067" t="s">
        <v>105</v>
      </c>
      <c r="C49" s="1037" t="s">
        <v>219</v>
      </c>
      <c r="D49" s="1028" t="s">
        <v>1369</v>
      </c>
      <c r="E49" s="1030" t="s">
        <v>8136</v>
      </c>
      <c r="F49" s="1032" t="s">
        <v>1369</v>
      </c>
      <c r="G49" s="1032" t="s">
        <v>987</v>
      </c>
      <c r="H49" s="88">
        <f>INDEX(IN_PAR!$A$3:$AAA$413,MATCH($G49,IN_PAR!$A$3:$A$413,0),MATCH(H$1,IN_PAR!$A$3:$AAA$3,0))</f>
        <v>33673.17</v>
      </c>
      <c r="I49" s="88">
        <f>INDEX(IN_PAR!$A$3:$AAA$413,MATCH($G49,IN_PAR!$A$3:$A$413,0),MATCH(I$1,IN_PAR!$A$3:$AAA$3,0))</f>
        <v>5529.759</v>
      </c>
      <c r="J49" s="88">
        <f>INDEX(IN_PAR!$A$3:$AAA$413,MATCH($G49,IN_PAR!$A$3:$A$413,0),MATCH(J$1,IN_PAR!$A$3:$AAA$3,0))</f>
        <v>0</v>
      </c>
    </row>
    <row r="50" spans="1:10" x14ac:dyDescent="0.2">
      <c r="A50" s="86" t="s">
        <v>7080</v>
      </c>
      <c r="B50" s="1067" t="s">
        <v>105</v>
      </c>
      <c r="C50" s="1037" t="s">
        <v>219</v>
      </c>
      <c r="D50" s="1028" t="s">
        <v>1369</v>
      </c>
      <c r="E50" s="1030" t="s">
        <v>8137</v>
      </c>
      <c r="F50" s="1032" t="s">
        <v>1369</v>
      </c>
      <c r="G50" s="1032" t="s">
        <v>997</v>
      </c>
      <c r="H50" s="88">
        <f>INDEX(IN_PAR!$A$3:$AAA$413,MATCH($G50,IN_PAR!$A$3:$A$413,0),MATCH(H$1,IN_PAR!$A$3:$AAA$3,0))</f>
        <v>32680.720000000001</v>
      </c>
      <c r="I50" s="88">
        <f>INDEX(IN_PAR!$A$3:$AAA$413,MATCH($G50,IN_PAR!$A$3:$A$413,0),MATCH(I$1,IN_PAR!$A$3:$AAA$3,0))</f>
        <v>5269.8230000000003</v>
      </c>
      <c r="J50" s="88">
        <f>INDEX(IN_PAR!$A$3:$AAA$413,MATCH($G50,IN_PAR!$A$3:$A$413,0),MATCH(J$1,IN_PAR!$A$3:$AAA$3,0))</f>
        <v>3315.1109999999999</v>
      </c>
    </row>
    <row r="51" spans="1:10" x14ac:dyDescent="0.2">
      <c r="A51" s="86" t="s">
        <v>7081</v>
      </c>
      <c r="B51" s="447" t="str">
        <f>IN_Anagrafica!$B$9</f>
        <v>NO</v>
      </c>
      <c r="C51" s="369" t="str">
        <f t="shared" ref="C51:C96" si="2">IF(B51="SI","SI","NO")</f>
        <v>NO</v>
      </c>
      <c r="D51" s="1028" t="s">
        <v>1369</v>
      </c>
      <c r="E51" s="1030" t="s">
        <v>8138</v>
      </c>
      <c r="F51" s="1032" t="s">
        <v>1369</v>
      </c>
      <c r="G51" s="1031" t="s">
        <v>992</v>
      </c>
      <c r="H51" s="88">
        <f>INDEX(IN_PAR!$A$3:$AAA$413,MATCH($G51,IN_PAR!$A$3:$A$413,0),MATCH(H$1,IN_PAR!$A$3:$AAA$3,0))</f>
        <v>33.15</v>
      </c>
      <c r="I51" s="88">
        <f>INDEX(IN_PAR!$A$3:$AAA$413,MATCH($G51,IN_PAR!$A$3:$A$413,0),MATCH(I$1,IN_PAR!$A$3:$AAA$3,0))</f>
        <v>0</v>
      </c>
      <c r="J51" s="88">
        <f>INDEX(IN_PAR!$A$3:$AAA$413,MATCH($G51,IN_PAR!$A$3:$A$413,0),MATCH(J$1,IN_PAR!$A$3:$AAA$3,0))</f>
        <v>0</v>
      </c>
    </row>
    <row r="52" spans="1:10" x14ac:dyDescent="0.2">
      <c r="A52" s="86" t="s">
        <v>7082</v>
      </c>
      <c r="B52" s="447" t="str">
        <f>IN_Anagrafica!$B$9</f>
        <v>NO</v>
      </c>
      <c r="C52" s="369" t="str">
        <f t="shared" si="2"/>
        <v>NO</v>
      </c>
      <c r="D52" s="1028" t="s">
        <v>1369</v>
      </c>
      <c r="E52" s="1030" t="s">
        <v>8139</v>
      </c>
      <c r="F52" s="1032" t="s">
        <v>1369</v>
      </c>
      <c r="G52" s="1031" t="s">
        <v>999</v>
      </c>
      <c r="H52" s="88">
        <f>INDEX(IN_PAR!$A$3:$AAA$413,MATCH($G52,IN_PAR!$A$3:$A$413,0),MATCH(H$1,IN_PAR!$A$3:$AAA$3,0))</f>
        <v>33.15</v>
      </c>
      <c r="I52" s="88">
        <f>INDEX(IN_PAR!$A$3:$AAA$413,MATCH($G52,IN_PAR!$A$3:$A$413,0),MATCH(I$1,IN_PAR!$A$3:$AAA$3,0))</f>
        <v>0</v>
      </c>
      <c r="J52" s="88">
        <f>INDEX(IN_PAR!$A$3:$AAA$413,MATCH($G52,IN_PAR!$A$3:$A$413,0),MATCH(J$1,IN_PAR!$A$3:$AAA$3,0))</f>
        <v>0</v>
      </c>
    </row>
    <row r="53" spans="1:10" x14ac:dyDescent="0.2">
      <c r="A53" s="86" t="s">
        <v>7083</v>
      </c>
      <c r="B53" s="447" t="str">
        <f>IN_Anagrafica!$B$9</f>
        <v>NO</v>
      </c>
      <c r="C53" s="369" t="str">
        <f t="shared" si="2"/>
        <v>NO</v>
      </c>
      <c r="D53" s="1028" t="s">
        <v>1369</v>
      </c>
      <c r="E53" s="1030" t="s">
        <v>8140</v>
      </c>
      <c r="F53" s="1031" t="s">
        <v>1369</v>
      </c>
      <c r="G53" s="1031" t="s">
        <v>1336</v>
      </c>
      <c r="H53" s="88" t="str">
        <f>INDEX(IN_PAR!$A$3:$AAA$413,MATCH($G53,IN_PAR!$A$3:$A$413,0),MATCH(H$1,IN_PAR!$A$3:$AAA$3,0))</f>
        <v>Consolidamento</v>
      </c>
      <c r="I53" s="88" t="str">
        <f>INDEX(IN_PAR!$A$3:$AAA$413,MATCH($G53,IN_PAR!$A$3:$A$413,0),MATCH(I$1,IN_PAR!$A$3:$AAA$3,0))</f>
        <v>Consolidamento</v>
      </c>
      <c r="J53" s="88" t="str">
        <f>INDEX(IN_PAR!$A$3:$AAA$413,MATCH($G53,IN_PAR!$A$3:$A$413,0),MATCH(J$1,IN_PAR!$A$3:$AAA$3,0))</f>
        <v>Consolidamento</v>
      </c>
    </row>
    <row r="54" spans="1:10" x14ac:dyDescent="0.2">
      <c r="A54" s="86" t="s">
        <v>7084</v>
      </c>
      <c r="B54" s="447" t="str">
        <f>IN_Anagrafica!$B$9</f>
        <v>NO</v>
      </c>
      <c r="C54" s="369" t="str">
        <f t="shared" si="2"/>
        <v>NO</v>
      </c>
      <c r="D54" s="1028" t="s">
        <v>1369</v>
      </c>
      <c r="E54" s="1030" t="s">
        <v>8141</v>
      </c>
      <c r="F54" s="1031" t="s">
        <v>1369</v>
      </c>
      <c r="G54" s="1031" t="s">
        <v>1350</v>
      </c>
      <c r="H54" s="88" t="str">
        <f>INDEX(IN_PAR!$A$3:$AAA$413,MATCH($G54,IN_PAR!$A$3:$A$413,0),MATCH(H$1,IN_PAR!$A$3:$AAA$3,0))</f>
        <v>Consolidamento</v>
      </c>
      <c r="I54" s="88" t="str">
        <f>INDEX(IN_PAR!$A$3:$AAA$413,MATCH($G54,IN_PAR!$A$3:$A$413,0),MATCH(I$1,IN_PAR!$A$3:$AAA$3,0))</f>
        <v>Consolidamento</v>
      </c>
      <c r="J54" s="88" t="str">
        <f>INDEX(IN_PAR!$A$3:$AAA$413,MATCH($G54,IN_PAR!$A$3:$A$413,0),MATCH(J$1,IN_PAR!$A$3:$AAA$3,0))</f>
        <v>Consolidamento</v>
      </c>
    </row>
    <row r="55" spans="1:10" x14ac:dyDescent="0.2">
      <c r="A55" s="86" t="s">
        <v>7085</v>
      </c>
      <c r="B55" s="447" t="str">
        <f>IN_Anagrafica!$B$9</f>
        <v>NO</v>
      </c>
      <c r="C55" s="369" t="str">
        <f t="shared" si="2"/>
        <v>NO</v>
      </c>
      <c r="D55" s="1028" t="s">
        <v>1369</v>
      </c>
      <c r="E55" s="1030" t="s">
        <v>8142</v>
      </c>
      <c r="F55" s="1031" t="s">
        <v>1369</v>
      </c>
      <c r="G55" s="1031" t="s">
        <v>1351</v>
      </c>
      <c r="H55" s="88" t="str">
        <f>INDEX(IN_PAR!$A$3:$AAA$413,MATCH($G55,IN_PAR!$A$3:$A$413,0),MATCH(H$1,IN_PAR!$A$3:$AAA$3,0))</f>
        <v>Consolidamento</v>
      </c>
      <c r="I55" s="88" t="str">
        <f>INDEX(IN_PAR!$A$3:$AAA$413,MATCH($G55,IN_PAR!$A$3:$A$413,0),MATCH(I$1,IN_PAR!$A$3:$AAA$3,0))</f>
        <v>Consolidamento</v>
      </c>
      <c r="J55" s="88" t="str">
        <f>INDEX(IN_PAR!$A$3:$AAA$413,MATCH($G55,IN_PAR!$A$3:$A$413,0),MATCH(J$1,IN_PAR!$A$3:$AAA$3,0))</f>
        <v>Consolidamento</v>
      </c>
    </row>
    <row r="56" spans="1:10" x14ac:dyDescent="0.2">
      <c r="A56" s="86" t="s">
        <v>7086</v>
      </c>
      <c r="B56" s="447" t="str">
        <f>IN_Anagrafica!$B$9</f>
        <v>NO</v>
      </c>
      <c r="C56" s="369" t="str">
        <f t="shared" si="2"/>
        <v>NO</v>
      </c>
      <c r="D56" s="1028" t="s">
        <v>1369</v>
      </c>
      <c r="E56" s="1030" t="s">
        <v>8143</v>
      </c>
      <c r="F56" s="1031" t="s">
        <v>1369</v>
      </c>
      <c r="G56" s="1031" t="s">
        <v>1352</v>
      </c>
      <c r="H56" s="88" t="str">
        <f>INDEX(IN_PAR!$A$3:$AAA$413,MATCH($G56,IN_PAR!$A$3:$A$413,0),MATCH(H$1,IN_PAR!$A$3:$AAA$3,0))</f>
        <v>Consolidamento</v>
      </c>
      <c r="I56" s="88" t="str">
        <f>INDEX(IN_PAR!$A$3:$AAA$413,MATCH($G56,IN_PAR!$A$3:$A$413,0),MATCH(I$1,IN_PAR!$A$3:$AAA$3,0))</f>
        <v>Consolidamento</v>
      </c>
      <c r="J56" s="88" t="str">
        <f>INDEX(IN_PAR!$A$3:$AAA$413,MATCH($G56,IN_PAR!$A$3:$A$413,0),MATCH(J$1,IN_PAR!$A$3:$AAA$3,0))</f>
        <v>Consolidamento</v>
      </c>
    </row>
    <row r="57" spans="1:10" x14ac:dyDescent="0.2">
      <c r="A57" s="86" t="s">
        <v>7087</v>
      </c>
      <c r="B57" s="447" t="str">
        <f>IN_Anagrafica!$B$9</f>
        <v>NO</v>
      </c>
      <c r="C57" s="369" t="str">
        <f t="shared" si="2"/>
        <v>NO</v>
      </c>
      <c r="D57" s="1028" t="s">
        <v>1369</v>
      </c>
      <c r="E57" s="1030" t="s">
        <v>8144</v>
      </c>
      <c r="F57" s="1032" t="s">
        <v>1369</v>
      </c>
      <c r="G57" s="1032" t="s">
        <v>1362</v>
      </c>
      <c r="H57" s="88">
        <f>INDEX(IN_PAR!$A$3:$AAA$413,MATCH($G57,IN_PAR!$A$3:$A$413,0),MATCH(H$1,IN_PAR!$A$3:$AAA$3,0))</f>
        <v>0</v>
      </c>
      <c r="I57" s="88">
        <f>INDEX(IN_PAR!$A$3:$AAA$413,MATCH($G57,IN_PAR!$A$3:$A$413,0),MATCH(I$1,IN_PAR!$A$3:$AAA$3,0))</f>
        <v>0</v>
      </c>
      <c r="J57" s="88">
        <f>INDEX(IN_PAR!$A$3:$AAA$413,MATCH($G57,IN_PAR!$A$3:$A$413,0),MATCH(J$1,IN_PAR!$A$3:$AAA$3,0))</f>
        <v>0</v>
      </c>
    </row>
    <row r="58" spans="1:10" x14ac:dyDescent="0.2">
      <c r="A58" s="86" t="s">
        <v>7088</v>
      </c>
      <c r="B58" s="447" t="str">
        <f>IN_Anagrafica!$B$9</f>
        <v>NO</v>
      </c>
      <c r="C58" s="369" t="str">
        <f t="shared" si="2"/>
        <v>NO</v>
      </c>
      <c r="D58" s="1028" t="s">
        <v>1369</v>
      </c>
      <c r="E58" s="1030" t="s">
        <v>8145</v>
      </c>
      <c r="F58" s="1032" t="s">
        <v>1369</v>
      </c>
      <c r="G58" s="1032" t="s">
        <v>1379</v>
      </c>
      <c r="H58" s="88">
        <f>INDEX(IN_PAR!$A$3:$AAA$413,MATCH($G58,IN_PAR!$A$3:$A$413,0),MATCH(H$1,IN_PAR!$A$3:$AAA$3,0))</f>
        <v>0</v>
      </c>
      <c r="I58" s="88">
        <f>INDEX(IN_PAR!$A$3:$AAA$413,MATCH($G58,IN_PAR!$A$3:$A$413,0),MATCH(I$1,IN_PAR!$A$3:$AAA$3,0))</f>
        <v>0</v>
      </c>
      <c r="J58" s="88">
        <f>INDEX(IN_PAR!$A$3:$AAA$413,MATCH($G58,IN_PAR!$A$3:$A$413,0),MATCH(J$1,IN_PAR!$A$3:$AAA$3,0))</f>
        <v>0</v>
      </c>
    </row>
    <row r="59" spans="1:10" x14ac:dyDescent="0.2">
      <c r="A59" s="86" t="s">
        <v>7089</v>
      </c>
      <c r="B59" s="447" t="str">
        <f>IN_Anagrafica!$B$9</f>
        <v>NO</v>
      </c>
      <c r="C59" s="369" t="str">
        <f t="shared" si="2"/>
        <v>NO</v>
      </c>
      <c r="D59" s="1028" t="s">
        <v>1369</v>
      </c>
      <c r="E59" s="1030" t="s">
        <v>8146</v>
      </c>
      <c r="F59" s="1032" t="s">
        <v>1369</v>
      </c>
      <c r="G59" s="1032" t="s">
        <v>1399</v>
      </c>
      <c r="H59" s="88">
        <f>INDEX(IN_PAR!$A$3:$AAA$413,MATCH($G59,IN_PAR!$A$3:$A$413,0),MATCH(H$1,IN_PAR!$A$3:$AAA$3,0))</f>
        <v>0</v>
      </c>
      <c r="I59" s="88">
        <f>INDEX(IN_PAR!$A$3:$AAA$413,MATCH($G59,IN_PAR!$A$3:$A$413,0),MATCH(I$1,IN_PAR!$A$3:$AAA$3,0))</f>
        <v>0</v>
      </c>
      <c r="J59" s="88">
        <f>INDEX(IN_PAR!$A$3:$AAA$413,MATCH($G59,IN_PAR!$A$3:$A$413,0),MATCH(J$1,IN_PAR!$A$3:$AAA$3,0))</f>
        <v>0</v>
      </c>
    </row>
    <row r="60" spans="1:10" x14ac:dyDescent="0.2">
      <c r="A60" s="86" t="s">
        <v>7090</v>
      </c>
      <c r="B60" s="447" t="str">
        <f>IN_Anagrafica!$B$9</f>
        <v>NO</v>
      </c>
      <c r="C60" s="369" t="str">
        <f t="shared" si="2"/>
        <v>NO</v>
      </c>
      <c r="D60" s="1028" t="s">
        <v>1369</v>
      </c>
      <c r="E60" s="1030" t="s">
        <v>8147</v>
      </c>
      <c r="F60" s="1032" t="s">
        <v>1369</v>
      </c>
      <c r="G60" s="1032" t="s">
        <v>1421</v>
      </c>
      <c r="H60" s="88">
        <f>INDEX(IN_PAR!$A$3:$AAA$413,MATCH($G60,IN_PAR!$A$3:$A$413,0),MATCH(H$1,IN_PAR!$A$3:$AAA$3,0))</f>
        <v>0</v>
      </c>
      <c r="I60" s="88">
        <f>INDEX(IN_PAR!$A$3:$AAA$413,MATCH($G60,IN_PAR!$A$3:$A$413,0),MATCH(I$1,IN_PAR!$A$3:$AAA$3,0))</f>
        <v>0</v>
      </c>
      <c r="J60" s="88">
        <f>INDEX(IN_PAR!$A$3:$AAA$413,MATCH($G60,IN_PAR!$A$3:$A$413,0),MATCH(J$1,IN_PAR!$A$3:$AAA$3,0))</f>
        <v>0</v>
      </c>
    </row>
    <row r="61" spans="1:10" x14ac:dyDescent="0.2">
      <c r="A61" s="86" t="s">
        <v>7091</v>
      </c>
      <c r="B61" s="447" t="str">
        <f>IN_Anagrafica!$B$9</f>
        <v>NO</v>
      </c>
      <c r="C61" s="369" t="str">
        <f t="shared" si="2"/>
        <v>NO</v>
      </c>
      <c r="D61" s="1028" t="s">
        <v>1369</v>
      </c>
      <c r="E61" s="1030" t="s">
        <v>8148</v>
      </c>
      <c r="F61" s="1032" t="s">
        <v>1369</v>
      </c>
      <c r="G61" s="1032" t="s">
        <v>1363</v>
      </c>
      <c r="H61" s="88">
        <f>INDEX(IN_PAR!$A$3:$AAA$413,MATCH($G61,IN_PAR!$A$3:$A$413,0),MATCH(H$1,IN_PAR!$A$3:$AAA$3,0))</f>
        <v>0</v>
      </c>
      <c r="I61" s="88">
        <f>INDEX(IN_PAR!$A$3:$AAA$413,MATCH($G61,IN_PAR!$A$3:$A$413,0),MATCH(I$1,IN_PAR!$A$3:$AAA$3,0))</f>
        <v>0</v>
      </c>
      <c r="J61" s="88">
        <f>INDEX(IN_PAR!$A$3:$AAA$413,MATCH($G61,IN_PAR!$A$3:$A$413,0),MATCH(J$1,IN_PAR!$A$3:$AAA$3,0))</f>
        <v>0</v>
      </c>
    </row>
    <row r="62" spans="1:10" x14ac:dyDescent="0.2">
      <c r="A62" s="86" t="s">
        <v>7092</v>
      </c>
      <c r="B62" s="447" t="str">
        <f>IN_Anagrafica!$B$9</f>
        <v>NO</v>
      </c>
      <c r="C62" s="369" t="str">
        <f t="shared" si="2"/>
        <v>NO</v>
      </c>
      <c r="D62" s="1028" t="s">
        <v>1369</v>
      </c>
      <c r="E62" s="1030" t="s">
        <v>8149</v>
      </c>
      <c r="F62" s="1032" t="s">
        <v>1369</v>
      </c>
      <c r="G62" s="1032" t="s">
        <v>1380</v>
      </c>
      <c r="H62" s="88">
        <f>INDEX(IN_PAR!$A$3:$AAA$413,MATCH($G62,IN_PAR!$A$3:$A$413,0),MATCH(H$1,IN_PAR!$A$3:$AAA$3,0))</f>
        <v>0</v>
      </c>
      <c r="I62" s="88">
        <f>INDEX(IN_PAR!$A$3:$AAA$413,MATCH($G62,IN_PAR!$A$3:$A$413,0),MATCH(I$1,IN_PAR!$A$3:$AAA$3,0))</f>
        <v>0</v>
      </c>
      <c r="J62" s="88">
        <f>INDEX(IN_PAR!$A$3:$AAA$413,MATCH($G62,IN_PAR!$A$3:$A$413,0),MATCH(J$1,IN_PAR!$A$3:$AAA$3,0))</f>
        <v>0</v>
      </c>
    </row>
    <row r="63" spans="1:10" x14ac:dyDescent="0.2">
      <c r="A63" s="86" t="s">
        <v>7093</v>
      </c>
      <c r="B63" s="447" t="str">
        <f>IN_Anagrafica!$B$9</f>
        <v>NO</v>
      </c>
      <c r="C63" s="369" t="str">
        <f t="shared" si="2"/>
        <v>NO</v>
      </c>
      <c r="D63" s="1028" t="s">
        <v>1369</v>
      </c>
      <c r="E63" s="1030" t="s">
        <v>8150</v>
      </c>
      <c r="F63" s="1032" t="s">
        <v>1369</v>
      </c>
      <c r="G63" s="1032" t="s">
        <v>1400</v>
      </c>
      <c r="H63" s="88">
        <f>INDEX(IN_PAR!$A$3:$AAA$413,MATCH($G63,IN_PAR!$A$3:$A$413,0),MATCH(H$1,IN_PAR!$A$3:$AAA$3,0))</f>
        <v>0</v>
      </c>
      <c r="I63" s="88">
        <f>INDEX(IN_PAR!$A$3:$AAA$413,MATCH($G63,IN_PAR!$A$3:$A$413,0),MATCH(I$1,IN_PAR!$A$3:$AAA$3,0))</f>
        <v>0</v>
      </c>
      <c r="J63" s="88">
        <f>INDEX(IN_PAR!$A$3:$AAA$413,MATCH($G63,IN_PAR!$A$3:$A$413,0),MATCH(J$1,IN_PAR!$A$3:$AAA$3,0))</f>
        <v>0</v>
      </c>
    </row>
    <row r="64" spans="1:10" x14ac:dyDescent="0.2">
      <c r="A64" s="86" t="s">
        <v>7094</v>
      </c>
      <c r="B64" s="447" t="str">
        <f>IN_Anagrafica!$B$9</f>
        <v>NO</v>
      </c>
      <c r="C64" s="369" t="str">
        <f t="shared" si="2"/>
        <v>NO</v>
      </c>
      <c r="D64" s="1028" t="s">
        <v>1369</v>
      </c>
      <c r="E64" s="1030" t="s">
        <v>8151</v>
      </c>
      <c r="F64" s="1032" t="s">
        <v>1369</v>
      </c>
      <c r="G64" s="1032" t="s">
        <v>1422</v>
      </c>
      <c r="H64" s="88">
        <f>INDEX(IN_PAR!$A$3:$AAA$413,MATCH($G64,IN_PAR!$A$3:$A$413,0),MATCH(H$1,IN_PAR!$A$3:$AAA$3,0))</f>
        <v>0</v>
      </c>
      <c r="I64" s="88">
        <f>INDEX(IN_PAR!$A$3:$AAA$413,MATCH($G64,IN_PAR!$A$3:$A$413,0),MATCH(I$1,IN_PAR!$A$3:$AAA$3,0))</f>
        <v>0</v>
      </c>
      <c r="J64" s="88">
        <f>INDEX(IN_PAR!$A$3:$AAA$413,MATCH($G64,IN_PAR!$A$3:$A$413,0),MATCH(J$1,IN_PAR!$A$3:$AAA$3,0))</f>
        <v>0</v>
      </c>
    </row>
    <row r="65" spans="1:10" x14ac:dyDescent="0.2">
      <c r="A65" s="86" t="s">
        <v>7095</v>
      </c>
      <c r="B65" s="447" t="str">
        <f>IN_Anagrafica!$B$9</f>
        <v>NO</v>
      </c>
      <c r="C65" s="369" t="str">
        <f t="shared" si="2"/>
        <v>NO</v>
      </c>
      <c r="D65" s="1028" t="s">
        <v>1369</v>
      </c>
      <c r="E65" s="1030" t="s">
        <v>8152</v>
      </c>
      <c r="F65" s="1032" t="s">
        <v>1369</v>
      </c>
      <c r="G65" s="1031" t="s">
        <v>1366</v>
      </c>
      <c r="H65" s="88">
        <f>INDEX(IN_PAR!$A$3:$AAA$413,MATCH($G65,IN_PAR!$A$3:$A$413,0),MATCH(H$1,IN_PAR!$A$3:$AAA$3,0))</f>
        <v>0</v>
      </c>
      <c r="I65" s="88">
        <f>INDEX(IN_PAR!$A$3:$AAA$413,MATCH($G65,IN_PAR!$A$3:$A$413,0),MATCH(I$1,IN_PAR!$A$3:$AAA$3,0))</f>
        <v>0</v>
      </c>
      <c r="J65" s="88">
        <f>INDEX(IN_PAR!$A$3:$AAA$413,MATCH($G65,IN_PAR!$A$3:$A$413,0),MATCH(J$1,IN_PAR!$A$3:$AAA$3,0))</f>
        <v>0</v>
      </c>
    </row>
    <row r="66" spans="1:10" x14ac:dyDescent="0.2">
      <c r="A66" s="86" t="s">
        <v>7096</v>
      </c>
      <c r="B66" s="447" t="str">
        <f>IN_Anagrafica!$B$9</f>
        <v>NO</v>
      </c>
      <c r="C66" s="369" t="str">
        <f t="shared" si="2"/>
        <v>NO</v>
      </c>
      <c r="D66" s="1028" t="s">
        <v>1369</v>
      </c>
      <c r="E66" s="1030" t="s">
        <v>8153</v>
      </c>
      <c r="F66" s="1032" t="s">
        <v>1369</v>
      </c>
      <c r="G66" s="1031" t="s">
        <v>1381</v>
      </c>
      <c r="H66" s="88">
        <f>INDEX(IN_PAR!$A$3:$AAA$413,MATCH($G66,IN_PAR!$A$3:$A$413,0),MATCH(H$1,IN_PAR!$A$3:$AAA$3,0))</f>
        <v>0</v>
      </c>
      <c r="I66" s="88">
        <f>INDEX(IN_PAR!$A$3:$AAA$413,MATCH($G66,IN_PAR!$A$3:$A$413,0),MATCH(I$1,IN_PAR!$A$3:$AAA$3,0))</f>
        <v>0</v>
      </c>
      <c r="J66" s="88">
        <f>INDEX(IN_PAR!$A$3:$AAA$413,MATCH($G66,IN_PAR!$A$3:$A$413,0),MATCH(J$1,IN_PAR!$A$3:$AAA$3,0))</f>
        <v>0</v>
      </c>
    </row>
    <row r="67" spans="1:10" x14ac:dyDescent="0.2">
      <c r="A67" s="86" t="s">
        <v>7097</v>
      </c>
      <c r="B67" s="447" t="str">
        <f>IN_Anagrafica!$B$9</f>
        <v>NO</v>
      </c>
      <c r="C67" s="369" t="str">
        <f t="shared" si="2"/>
        <v>NO</v>
      </c>
      <c r="D67" s="1028" t="s">
        <v>1369</v>
      </c>
      <c r="E67" s="1030" t="s">
        <v>8154</v>
      </c>
      <c r="F67" s="1032" t="s">
        <v>1369</v>
      </c>
      <c r="G67" s="1031" t="s">
        <v>1402</v>
      </c>
      <c r="H67" s="88">
        <f>INDEX(IN_PAR!$A$3:$AAA$413,MATCH($G67,IN_PAR!$A$3:$A$413,0),MATCH(H$1,IN_PAR!$A$3:$AAA$3,0))</f>
        <v>0</v>
      </c>
      <c r="I67" s="88">
        <f>INDEX(IN_PAR!$A$3:$AAA$413,MATCH($G67,IN_PAR!$A$3:$A$413,0),MATCH(I$1,IN_PAR!$A$3:$AAA$3,0))</f>
        <v>0</v>
      </c>
      <c r="J67" s="88">
        <f>INDEX(IN_PAR!$A$3:$AAA$413,MATCH($G67,IN_PAR!$A$3:$A$413,0),MATCH(J$1,IN_PAR!$A$3:$AAA$3,0))</f>
        <v>0</v>
      </c>
    </row>
    <row r="68" spans="1:10" x14ac:dyDescent="0.2">
      <c r="A68" s="86" t="s">
        <v>7098</v>
      </c>
      <c r="B68" s="447" t="str">
        <f>IN_Anagrafica!$B$9</f>
        <v>NO</v>
      </c>
      <c r="C68" s="369" t="str">
        <f t="shared" si="2"/>
        <v>NO</v>
      </c>
      <c r="D68" s="1028" t="s">
        <v>1369</v>
      </c>
      <c r="E68" s="1030" t="s">
        <v>8155</v>
      </c>
      <c r="F68" s="1032" t="s">
        <v>1369</v>
      </c>
      <c r="G68" s="1031" t="s">
        <v>1424</v>
      </c>
      <c r="H68" s="88">
        <f>INDEX(IN_PAR!$A$3:$AAA$413,MATCH($G68,IN_PAR!$A$3:$A$413,0),MATCH(H$1,IN_PAR!$A$3:$AAA$3,0))</f>
        <v>0</v>
      </c>
      <c r="I68" s="88">
        <f>INDEX(IN_PAR!$A$3:$AAA$413,MATCH($G68,IN_PAR!$A$3:$A$413,0),MATCH(I$1,IN_PAR!$A$3:$AAA$3,0))</f>
        <v>0</v>
      </c>
      <c r="J68" s="88">
        <f>INDEX(IN_PAR!$A$3:$AAA$413,MATCH($G68,IN_PAR!$A$3:$A$413,0),MATCH(J$1,IN_PAR!$A$3:$AAA$3,0))</f>
        <v>0</v>
      </c>
    </row>
    <row r="69" spans="1:10" x14ac:dyDescent="0.2">
      <c r="A69" s="86" t="s">
        <v>7099</v>
      </c>
      <c r="B69" s="447" t="str">
        <f>IN_Anagrafica!$B$9</f>
        <v>NO</v>
      </c>
      <c r="C69" s="369" t="str">
        <f t="shared" si="2"/>
        <v>NO</v>
      </c>
      <c r="D69" s="1028" t="s">
        <v>1369</v>
      </c>
      <c r="E69" s="1030" t="s">
        <v>8156</v>
      </c>
      <c r="F69" s="1032" t="s">
        <v>1369</v>
      </c>
      <c r="G69" s="1031" t="s">
        <v>1371</v>
      </c>
      <c r="H69" s="88">
        <f>INDEX(IN_PAR!$A$3:$AAA$413,MATCH($G69,IN_PAR!$A$3:$A$413,0),MATCH(H$1,IN_PAR!$A$3:$AAA$3,0))</f>
        <v>0</v>
      </c>
      <c r="I69" s="88">
        <f>INDEX(IN_PAR!$A$3:$AAA$413,MATCH($G69,IN_PAR!$A$3:$A$413,0),MATCH(I$1,IN_PAR!$A$3:$AAA$3,0))</f>
        <v>0</v>
      </c>
      <c r="J69" s="88">
        <f>INDEX(IN_PAR!$A$3:$AAA$413,MATCH($G69,IN_PAR!$A$3:$A$413,0),MATCH(J$1,IN_PAR!$A$3:$AAA$3,0))</f>
        <v>0</v>
      </c>
    </row>
    <row r="70" spans="1:10" x14ac:dyDescent="0.2">
      <c r="A70" s="86" t="s">
        <v>7100</v>
      </c>
      <c r="B70" s="447" t="str">
        <f>IN_Anagrafica!$B$9</f>
        <v>NO</v>
      </c>
      <c r="C70" s="369" t="str">
        <f t="shared" si="2"/>
        <v>NO</v>
      </c>
      <c r="D70" s="1028" t="s">
        <v>1369</v>
      </c>
      <c r="E70" s="1030" t="s">
        <v>8157</v>
      </c>
      <c r="F70" s="1032" t="s">
        <v>1369</v>
      </c>
      <c r="G70" s="1031" t="s">
        <v>1382</v>
      </c>
      <c r="H70" s="88">
        <f>INDEX(IN_PAR!$A$3:$AAA$413,MATCH($G70,IN_PAR!$A$3:$A$413,0),MATCH(H$1,IN_PAR!$A$3:$AAA$3,0))</f>
        <v>0</v>
      </c>
      <c r="I70" s="88">
        <f>INDEX(IN_PAR!$A$3:$AAA$413,MATCH($G70,IN_PAR!$A$3:$A$413,0),MATCH(I$1,IN_PAR!$A$3:$AAA$3,0))</f>
        <v>0</v>
      </c>
      <c r="J70" s="88">
        <f>INDEX(IN_PAR!$A$3:$AAA$413,MATCH($G70,IN_PAR!$A$3:$A$413,0),MATCH(J$1,IN_PAR!$A$3:$AAA$3,0))</f>
        <v>0</v>
      </c>
    </row>
    <row r="71" spans="1:10" x14ac:dyDescent="0.2">
      <c r="A71" s="86" t="s">
        <v>7101</v>
      </c>
      <c r="B71" s="447" t="str">
        <f>IN_Anagrafica!$B$9</f>
        <v>NO</v>
      </c>
      <c r="C71" s="369" t="str">
        <f t="shared" si="2"/>
        <v>NO</v>
      </c>
      <c r="D71" s="1028" t="s">
        <v>1369</v>
      </c>
      <c r="E71" s="1030" t="s">
        <v>8158</v>
      </c>
      <c r="F71" s="1032" t="s">
        <v>1369</v>
      </c>
      <c r="G71" s="1031" t="s">
        <v>1403</v>
      </c>
      <c r="H71" s="88">
        <f>INDEX(IN_PAR!$A$3:$AAA$413,MATCH($G71,IN_PAR!$A$3:$A$413,0),MATCH(H$1,IN_PAR!$A$3:$AAA$3,0))</f>
        <v>0</v>
      </c>
      <c r="I71" s="88">
        <f>INDEX(IN_PAR!$A$3:$AAA$413,MATCH($G71,IN_PAR!$A$3:$A$413,0),MATCH(I$1,IN_PAR!$A$3:$AAA$3,0))</f>
        <v>0</v>
      </c>
      <c r="J71" s="88">
        <f>INDEX(IN_PAR!$A$3:$AAA$413,MATCH($G71,IN_PAR!$A$3:$A$413,0),MATCH(J$1,IN_PAR!$A$3:$AAA$3,0))</f>
        <v>0</v>
      </c>
    </row>
    <row r="72" spans="1:10" x14ac:dyDescent="0.2">
      <c r="A72" s="86" t="s">
        <v>7102</v>
      </c>
      <c r="B72" s="447" t="str">
        <f>IN_Anagrafica!$B$9</f>
        <v>NO</v>
      </c>
      <c r="C72" s="369" t="str">
        <f t="shared" si="2"/>
        <v>NO</v>
      </c>
      <c r="D72" s="1028" t="s">
        <v>1369</v>
      </c>
      <c r="E72" s="1030" t="s">
        <v>8159</v>
      </c>
      <c r="F72" s="1032" t="s">
        <v>1369</v>
      </c>
      <c r="G72" s="1031" t="s">
        <v>1425</v>
      </c>
      <c r="H72" s="88">
        <f>INDEX(IN_PAR!$A$3:$AAA$413,MATCH($G72,IN_PAR!$A$3:$A$413,0),MATCH(H$1,IN_PAR!$A$3:$AAA$3,0))</f>
        <v>0</v>
      </c>
      <c r="I72" s="88">
        <f>INDEX(IN_PAR!$A$3:$AAA$413,MATCH($G72,IN_PAR!$A$3:$A$413,0),MATCH(I$1,IN_PAR!$A$3:$AAA$3,0))</f>
        <v>0</v>
      </c>
      <c r="J72" s="88">
        <f>INDEX(IN_PAR!$A$3:$AAA$413,MATCH($G72,IN_PAR!$A$3:$A$413,0),MATCH(J$1,IN_PAR!$A$3:$AAA$3,0))</f>
        <v>0</v>
      </c>
    </row>
    <row r="73" spans="1:10" x14ac:dyDescent="0.2">
      <c r="A73" s="86" t="s">
        <v>7103</v>
      </c>
      <c r="B73" s="447" t="str">
        <f>IN_Anagrafica!$B$9</f>
        <v>NO</v>
      </c>
      <c r="C73" s="369" t="str">
        <f t="shared" si="2"/>
        <v>NO</v>
      </c>
      <c r="D73" s="1028" t="s">
        <v>1369</v>
      </c>
      <c r="E73" s="1030" t="s">
        <v>8160</v>
      </c>
      <c r="F73" s="1032" t="s">
        <v>1369</v>
      </c>
      <c r="G73" s="1031" t="s">
        <v>1444</v>
      </c>
      <c r="H73" s="88">
        <f>INDEX(IN_PAR!$A$3:$AAA$413,MATCH($G73,IN_PAR!$A$3:$A$413,0),MATCH(H$1,IN_PAR!$A$3:$AAA$3,0))</f>
        <v>0</v>
      </c>
      <c r="I73" s="88">
        <f>INDEX(IN_PAR!$A$3:$AAA$413,MATCH($G73,IN_PAR!$A$3:$A$413,0),MATCH(I$1,IN_PAR!$A$3:$AAA$3,0))</f>
        <v>0</v>
      </c>
      <c r="J73" s="88">
        <f>INDEX(IN_PAR!$A$3:$AAA$413,MATCH($G73,IN_PAR!$A$3:$A$413,0),MATCH(J$1,IN_PAR!$A$3:$AAA$3,0))</f>
        <v>0</v>
      </c>
    </row>
    <row r="74" spans="1:10" x14ac:dyDescent="0.2">
      <c r="A74" s="86" t="s">
        <v>7104</v>
      </c>
      <c r="B74" s="447" t="str">
        <f>IN_Anagrafica!$B$9</f>
        <v>NO</v>
      </c>
      <c r="C74" s="369" t="str">
        <f t="shared" si="2"/>
        <v>NO</v>
      </c>
      <c r="D74" s="1028" t="s">
        <v>1369</v>
      </c>
      <c r="E74" s="1030" t="s">
        <v>8161</v>
      </c>
      <c r="F74" s="1032" t="s">
        <v>1369</v>
      </c>
      <c r="G74" s="1031" t="s">
        <v>1459</v>
      </c>
      <c r="H74" s="88">
        <f>INDEX(IN_PAR!$A$3:$AAA$413,MATCH($G74,IN_PAR!$A$3:$A$413,0),MATCH(H$1,IN_PAR!$A$3:$AAA$3,0))</f>
        <v>0</v>
      </c>
      <c r="I74" s="88">
        <f>INDEX(IN_PAR!$A$3:$AAA$413,MATCH($G74,IN_PAR!$A$3:$A$413,0),MATCH(I$1,IN_PAR!$A$3:$AAA$3,0))</f>
        <v>0</v>
      </c>
      <c r="J74" s="88">
        <f>INDEX(IN_PAR!$A$3:$AAA$413,MATCH($G74,IN_PAR!$A$3:$A$413,0),MATCH(J$1,IN_PAR!$A$3:$AAA$3,0))</f>
        <v>0</v>
      </c>
    </row>
    <row r="75" spans="1:10" x14ac:dyDescent="0.2">
      <c r="A75" s="86" t="s">
        <v>7105</v>
      </c>
      <c r="B75" s="447" t="str">
        <f>IN_Anagrafica!$B$9</f>
        <v>NO</v>
      </c>
      <c r="C75" s="369" t="str">
        <f t="shared" si="2"/>
        <v>NO</v>
      </c>
      <c r="D75" s="1028" t="s">
        <v>1369</v>
      </c>
      <c r="E75" s="1030" t="s">
        <v>8162</v>
      </c>
      <c r="F75" s="1032" t="s">
        <v>1369</v>
      </c>
      <c r="G75" s="1031" t="s">
        <v>1474</v>
      </c>
      <c r="H75" s="88">
        <f>INDEX(IN_PAR!$A$3:$AAA$413,MATCH($G75,IN_PAR!$A$3:$A$413,0),MATCH(H$1,IN_PAR!$A$3:$AAA$3,0))</f>
        <v>0</v>
      </c>
      <c r="I75" s="88">
        <f>INDEX(IN_PAR!$A$3:$AAA$413,MATCH($G75,IN_PAR!$A$3:$A$413,0),MATCH(I$1,IN_PAR!$A$3:$AAA$3,0))</f>
        <v>0</v>
      </c>
      <c r="J75" s="88">
        <f>INDEX(IN_PAR!$A$3:$AAA$413,MATCH($G75,IN_PAR!$A$3:$A$413,0),MATCH(J$1,IN_PAR!$A$3:$AAA$3,0))</f>
        <v>0</v>
      </c>
    </row>
    <row r="76" spans="1:10" x14ac:dyDescent="0.2">
      <c r="A76" s="86" t="s">
        <v>7106</v>
      </c>
      <c r="B76" s="447" t="str">
        <f>IN_Anagrafica!$B$9</f>
        <v>NO</v>
      </c>
      <c r="C76" s="369" t="str">
        <f t="shared" si="2"/>
        <v>NO</v>
      </c>
      <c r="D76" s="1028" t="s">
        <v>1369</v>
      </c>
      <c r="E76" s="1030" t="s">
        <v>8163</v>
      </c>
      <c r="F76" s="1032" t="s">
        <v>1369</v>
      </c>
      <c r="G76" s="1031" t="s">
        <v>1489</v>
      </c>
      <c r="H76" s="88">
        <f>INDEX(IN_PAR!$A$3:$AAA$413,MATCH($G76,IN_PAR!$A$3:$A$413,0),MATCH(H$1,IN_PAR!$A$3:$AAA$3,0))</f>
        <v>0</v>
      </c>
      <c r="I76" s="88">
        <f>INDEX(IN_PAR!$A$3:$AAA$413,MATCH($G76,IN_PAR!$A$3:$A$413,0),MATCH(I$1,IN_PAR!$A$3:$AAA$3,0))</f>
        <v>0</v>
      </c>
      <c r="J76" s="88">
        <f>INDEX(IN_PAR!$A$3:$AAA$413,MATCH($G76,IN_PAR!$A$3:$A$413,0),MATCH(J$1,IN_PAR!$A$3:$AAA$3,0))</f>
        <v>0</v>
      </c>
    </row>
    <row r="77" spans="1:10" x14ac:dyDescent="0.2">
      <c r="A77" s="86" t="s">
        <v>7107</v>
      </c>
      <c r="B77" s="447" t="str">
        <f>IN_Anagrafica!$B$9</f>
        <v>NO</v>
      </c>
      <c r="C77" s="369" t="str">
        <f t="shared" si="2"/>
        <v>NO</v>
      </c>
      <c r="D77" s="1028" t="s">
        <v>1369</v>
      </c>
      <c r="E77" s="1030" t="s">
        <v>8164</v>
      </c>
      <c r="F77" s="1032" t="s">
        <v>1369</v>
      </c>
      <c r="G77" s="1031" t="s">
        <v>1451</v>
      </c>
      <c r="H77" s="88">
        <f>INDEX(IN_PAR!$A$3:$AAA$413,MATCH($G77,IN_PAR!$A$3:$A$413,0),MATCH(H$1,IN_PAR!$A$3:$AAA$3,0))</f>
        <v>0</v>
      </c>
      <c r="I77" s="88">
        <f>INDEX(IN_PAR!$A$3:$AAA$413,MATCH($G77,IN_PAR!$A$3:$A$413,0),MATCH(I$1,IN_PAR!$A$3:$AAA$3,0))</f>
        <v>0</v>
      </c>
      <c r="J77" s="88">
        <f>INDEX(IN_PAR!$A$3:$AAA$413,MATCH($G77,IN_PAR!$A$3:$A$413,0),MATCH(J$1,IN_PAR!$A$3:$AAA$3,0))</f>
        <v>0</v>
      </c>
    </row>
    <row r="78" spans="1:10" x14ac:dyDescent="0.2">
      <c r="A78" s="86" t="s">
        <v>7108</v>
      </c>
      <c r="B78" s="447" t="str">
        <f>IN_Anagrafica!$B$9</f>
        <v>NO</v>
      </c>
      <c r="C78" s="369" t="str">
        <f t="shared" si="2"/>
        <v>NO</v>
      </c>
      <c r="D78" s="1028" t="s">
        <v>1369</v>
      </c>
      <c r="E78" s="1030" t="s">
        <v>8165</v>
      </c>
      <c r="F78" s="1032" t="s">
        <v>1369</v>
      </c>
      <c r="G78" s="1031" t="s">
        <v>1464</v>
      </c>
      <c r="H78" s="88">
        <f>INDEX(IN_PAR!$A$3:$AAA$413,MATCH($G78,IN_PAR!$A$3:$A$413,0),MATCH(H$1,IN_PAR!$A$3:$AAA$3,0))</f>
        <v>0</v>
      </c>
      <c r="I78" s="88">
        <f>INDEX(IN_PAR!$A$3:$AAA$413,MATCH($G78,IN_PAR!$A$3:$A$413,0),MATCH(I$1,IN_PAR!$A$3:$AAA$3,0))</f>
        <v>0</v>
      </c>
      <c r="J78" s="88">
        <f>INDEX(IN_PAR!$A$3:$AAA$413,MATCH($G78,IN_PAR!$A$3:$A$413,0),MATCH(J$1,IN_PAR!$A$3:$AAA$3,0))</f>
        <v>0</v>
      </c>
    </row>
    <row r="79" spans="1:10" x14ac:dyDescent="0.2">
      <c r="A79" s="86" t="s">
        <v>7109</v>
      </c>
      <c r="B79" s="447" t="str">
        <f>IN_Anagrafica!$B$9</f>
        <v>NO</v>
      </c>
      <c r="C79" s="369" t="str">
        <f t="shared" si="2"/>
        <v>NO</v>
      </c>
      <c r="D79" s="1028" t="s">
        <v>1369</v>
      </c>
      <c r="E79" s="1030" t="s">
        <v>8166</v>
      </c>
      <c r="F79" s="1032" t="s">
        <v>1369</v>
      </c>
      <c r="G79" s="1031" t="s">
        <v>1479</v>
      </c>
      <c r="H79" s="88">
        <f>INDEX(IN_PAR!$A$3:$AAA$413,MATCH($G79,IN_PAR!$A$3:$A$413,0),MATCH(H$1,IN_PAR!$A$3:$AAA$3,0))</f>
        <v>0</v>
      </c>
      <c r="I79" s="88">
        <f>INDEX(IN_PAR!$A$3:$AAA$413,MATCH($G79,IN_PAR!$A$3:$A$413,0),MATCH(I$1,IN_PAR!$A$3:$AAA$3,0))</f>
        <v>0</v>
      </c>
      <c r="J79" s="88">
        <f>INDEX(IN_PAR!$A$3:$AAA$413,MATCH($G79,IN_PAR!$A$3:$A$413,0),MATCH(J$1,IN_PAR!$A$3:$AAA$3,0))</f>
        <v>0</v>
      </c>
    </row>
    <row r="80" spans="1:10" x14ac:dyDescent="0.2">
      <c r="A80" s="86" t="s">
        <v>7110</v>
      </c>
      <c r="B80" s="447" t="str">
        <f>IN_Anagrafica!$B$9</f>
        <v>NO</v>
      </c>
      <c r="C80" s="369" t="str">
        <f t="shared" si="2"/>
        <v>NO</v>
      </c>
      <c r="D80" s="1028" t="s">
        <v>1369</v>
      </c>
      <c r="E80" s="1030" t="s">
        <v>8167</v>
      </c>
      <c r="F80" s="1032" t="s">
        <v>1369</v>
      </c>
      <c r="G80" s="1031" t="s">
        <v>1494</v>
      </c>
      <c r="H80" s="88">
        <f>INDEX(IN_PAR!$A$3:$AAA$413,MATCH($G80,IN_PAR!$A$3:$A$413,0),MATCH(H$1,IN_PAR!$A$3:$AAA$3,0))</f>
        <v>0</v>
      </c>
      <c r="I80" s="88">
        <f>INDEX(IN_PAR!$A$3:$AAA$413,MATCH($G80,IN_PAR!$A$3:$A$413,0),MATCH(I$1,IN_PAR!$A$3:$AAA$3,0))</f>
        <v>0</v>
      </c>
      <c r="J80" s="88">
        <f>INDEX(IN_PAR!$A$3:$AAA$413,MATCH($G80,IN_PAR!$A$3:$A$413,0),MATCH(J$1,IN_PAR!$A$3:$AAA$3,0))</f>
        <v>0</v>
      </c>
    </row>
    <row r="81" spans="1:10" x14ac:dyDescent="0.2">
      <c r="A81" s="86" t="s">
        <v>7111</v>
      </c>
      <c r="B81" s="447" t="str">
        <f>IN_Anagrafica!$B$9</f>
        <v>NO</v>
      </c>
      <c r="C81" s="369" t="str">
        <f t="shared" si="2"/>
        <v>NO</v>
      </c>
      <c r="D81" s="1028" t="s">
        <v>1369</v>
      </c>
      <c r="E81" s="1030" t="s">
        <v>8168</v>
      </c>
      <c r="F81" s="1032" t="s">
        <v>1369</v>
      </c>
      <c r="G81" s="1031" t="s">
        <v>1455</v>
      </c>
      <c r="H81" s="88">
        <f>INDEX(IN_PAR!$A$3:$AAA$413,MATCH($G81,IN_PAR!$A$3:$A$413,0),MATCH(H$1,IN_PAR!$A$3:$AAA$3,0))</f>
        <v>0</v>
      </c>
      <c r="I81" s="88">
        <f>INDEX(IN_PAR!$A$3:$AAA$413,MATCH($G81,IN_PAR!$A$3:$A$413,0),MATCH(I$1,IN_PAR!$A$3:$AAA$3,0))</f>
        <v>0</v>
      </c>
      <c r="J81" s="88">
        <f>INDEX(IN_PAR!$A$3:$AAA$413,MATCH($G81,IN_PAR!$A$3:$A$413,0),MATCH(J$1,IN_PAR!$A$3:$AAA$3,0))</f>
        <v>0</v>
      </c>
    </row>
    <row r="82" spans="1:10" x14ac:dyDescent="0.2">
      <c r="A82" s="86" t="s">
        <v>7112</v>
      </c>
      <c r="B82" s="447" t="str">
        <f>IN_Anagrafica!$B$9</f>
        <v>NO</v>
      </c>
      <c r="C82" s="369" t="str">
        <f t="shared" si="2"/>
        <v>NO</v>
      </c>
      <c r="D82" s="1028" t="s">
        <v>1369</v>
      </c>
      <c r="E82" s="1030" t="s">
        <v>8169</v>
      </c>
      <c r="F82" s="1032" t="s">
        <v>1369</v>
      </c>
      <c r="G82" s="1031" t="s">
        <v>1462</v>
      </c>
      <c r="H82" s="88">
        <f>INDEX(IN_PAR!$A$3:$AAA$413,MATCH($G82,IN_PAR!$A$3:$A$413,0),MATCH(H$1,IN_PAR!$A$3:$AAA$3,0))</f>
        <v>0</v>
      </c>
      <c r="I82" s="88">
        <f>INDEX(IN_PAR!$A$3:$AAA$413,MATCH($G82,IN_PAR!$A$3:$A$413,0),MATCH(I$1,IN_PAR!$A$3:$AAA$3,0))</f>
        <v>0</v>
      </c>
      <c r="J82" s="88">
        <f>INDEX(IN_PAR!$A$3:$AAA$413,MATCH($G82,IN_PAR!$A$3:$A$413,0),MATCH(J$1,IN_PAR!$A$3:$AAA$3,0))</f>
        <v>0</v>
      </c>
    </row>
    <row r="83" spans="1:10" x14ac:dyDescent="0.2">
      <c r="A83" s="86" t="s">
        <v>7113</v>
      </c>
      <c r="B83" s="447" t="str">
        <f>IN_Anagrafica!$B$9</f>
        <v>NO</v>
      </c>
      <c r="C83" s="369" t="str">
        <f t="shared" si="2"/>
        <v>NO</v>
      </c>
      <c r="D83" s="1028" t="s">
        <v>1369</v>
      </c>
      <c r="E83" s="1030" t="s">
        <v>8170</v>
      </c>
      <c r="F83" s="1032" t="s">
        <v>1369</v>
      </c>
      <c r="G83" s="1031" t="s">
        <v>1477</v>
      </c>
      <c r="H83" s="88">
        <f>INDEX(IN_PAR!$A$3:$AAA$413,MATCH($G83,IN_PAR!$A$3:$A$413,0),MATCH(H$1,IN_PAR!$A$3:$AAA$3,0))</f>
        <v>0</v>
      </c>
      <c r="I83" s="88">
        <f>INDEX(IN_PAR!$A$3:$AAA$413,MATCH($G83,IN_PAR!$A$3:$A$413,0),MATCH(I$1,IN_PAR!$A$3:$AAA$3,0))</f>
        <v>0</v>
      </c>
      <c r="J83" s="88">
        <f>INDEX(IN_PAR!$A$3:$AAA$413,MATCH($G83,IN_PAR!$A$3:$A$413,0),MATCH(J$1,IN_PAR!$A$3:$AAA$3,0))</f>
        <v>0</v>
      </c>
    </row>
    <row r="84" spans="1:10" x14ac:dyDescent="0.2">
      <c r="A84" s="86" t="s">
        <v>7114</v>
      </c>
      <c r="B84" s="447" t="str">
        <f>IN_Anagrafica!$B$9</f>
        <v>NO</v>
      </c>
      <c r="C84" s="369" t="str">
        <f t="shared" si="2"/>
        <v>NO</v>
      </c>
      <c r="D84" s="1028" t="s">
        <v>1369</v>
      </c>
      <c r="E84" s="1030" t="s">
        <v>8171</v>
      </c>
      <c r="F84" s="1032" t="s">
        <v>1369</v>
      </c>
      <c r="G84" s="1031" t="s">
        <v>1492</v>
      </c>
      <c r="H84" s="88">
        <f>INDEX(IN_PAR!$A$3:$AAA$413,MATCH($G84,IN_PAR!$A$3:$A$413,0),MATCH(H$1,IN_PAR!$A$3:$AAA$3,0))</f>
        <v>0</v>
      </c>
      <c r="I84" s="88">
        <f>INDEX(IN_PAR!$A$3:$AAA$413,MATCH($G84,IN_PAR!$A$3:$A$413,0),MATCH(I$1,IN_PAR!$A$3:$AAA$3,0))</f>
        <v>0</v>
      </c>
      <c r="J84" s="88">
        <f>INDEX(IN_PAR!$A$3:$AAA$413,MATCH($G84,IN_PAR!$A$3:$A$413,0),MATCH(J$1,IN_PAR!$A$3:$AAA$3,0))</f>
        <v>0</v>
      </c>
    </row>
    <row r="85" spans="1:10" x14ac:dyDescent="0.2">
      <c r="A85" s="86" t="s">
        <v>7115</v>
      </c>
      <c r="B85" s="447" t="str">
        <f>IN_Anagrafica!$B$9</f>
        <v>NO</v>
      </c>
      <c r="C85" s="369" t="str">
        <f t="shared" si="2"/>
        <v>NO</v>
      </c>
      <c r="D85" s="1028" t="s">
        <v>1369</v>
      </c>
      <c r="E85" s="1030" t="s">
        <v>8172</v>
      </c>
      <c r="F85" s="1032" t="s">
        <v>1369</v>
      </c>
      <c r="G85" s="1031" t="s">
        <v>1456</v>
      </c>
      <c r="H85" s="88">
        <f>INDEX(IN_PAR!$A$3:$AAA$413,MATCH($G85,IN_PAR!$A$3:$A$413,0),MATCH(H$1,IN_PAR!$A$3:$AAA$3,0))</f>
        <v>0</v>
      </c>
      <c r="I85" s="88">
        <f>INDEX(IN_PAR!$A$3:$AAA$413,MATCH($G85,IN_PAR!$A$3:$A$413,0),MATCH(I$1,IN_PAR!$A$3:$AAA$3,0))</f>
        <v>0</v>
      </c>
      <c r="J85" s="88">
        <f>INDEX(IN_PAR!$A$3:$AAA$413,MATCH($G85,IN_PAR!$A$3:$A$413,0),MATCH(J$1,IN_PAR!$A$3:$AAA$3,0))</f>
        <v>0</v>
      </c>
    </row>
    <row r="86" spans="1:10" x14ac:dyDescent="0.2">
      <c r="A86" s="86" t="s">
        <v>7116</v>
      </c>
      <c r="B86" s="447" t="str">
        <f>IN_Anagrafica!$B$9</f>
        <v>NO</v>
      </c>
      <c r="C86" s="369" t="str">
        <f t="shared" si="2"/>
        <v>NO</v>
      </c>
      <c r="D86" s="1028" t="s">
        <v>1369</v>
      </c>
      <c r="E86" s="1030" t="s">
        <v>8173</v>
      </c>
      <c r="F86" s="1032" t="s">
        <v>1369</v>
      </c>
      <c r="G86" s="1031" t="s">
        <v>1470</v>
      </c>
      <c r="H86" s="88">
        <f>INDEX(IN_PAR!$A$3:$AAA$413,MATCH($G86,IN_PAR!$A$3:$A$413,0),MATCH(H$1,IN_PAR!$A$3:$AAA$3,0))</f>
        <v>0</v>
      </c>
      <c r="I86" s="88">
        <f>INDEX(IN_PAR!$A$3:$AAA$413,MATCH($G86,IN_PAR!$A$3:$A$413,0),MATCH(I$1,IN_PAR!$A$3:$AAA$3,0))</f>
        <v>0</v>
      </c>
      <c r="J86" s="88">
        <f>INDEX(IN_PAR!$A$3:$AAA$413,MATCH($G86,IN_PAR!$A$3:$A$413,0),MATCH(J$1,IN_PAR!$A$3:$AAA$3,0))</f>
        <v>0</v>
      </c>
    </row>
    <row r="87" spans="1:10" x14ac:dyDescent="0.2">
      <c r="A87" s="86" t="s">
        <v>7117</v>
      </c>
      <c r="B87" s="447" t="str">
        <f>IN_Anagrafica!$B$9</f>
        <v>NO</v>
      </c>
      <c r="C87" s="369" t="str">
        <f t="shared" si="2"/>
        <v>NO</v>
      </c>
      <c r="D87" s="1028" t="s">
        <v>1369</v>
      </c>
      <c r="E87" s="1030" t="s">
        <v>8174</v>
      </c>
      <c r="F87" s="1032" t="s">
        <v>1369</v>
      </c>
      <c r="G87" s="1031" t="s">
        <v>1485</v>
      </c>
      <c r="H87" s="88">
        <f>INDEX(IN_PAR!$A$3:$AAA$413,MATCH($G87,IN_PAR!$A$3:$A$413,0),MATCH(H$1,IN_PAR!$A$3:$AAA$3,0))</f>
        <v>0</v>
      </c>
      <c r="I87" s="88">
        <f>INDEX(IN_PAR!$A$3:$AAA$413,MATCH($G87,IN_PAR!$A$3:$A$413,0),MATCH(I$1,IN_PAR!$A$3:$AAA$3,0))</f>
        <v>0</v>
      </c>
      <c r="J87" s="88">
        <f>INDEX(IN_PAR!$A$3:$AAA$413,MATCH($G87,IN_PAR!$A$3:$A$413,0),MATCH(J$1,IN_PAR!$A$3:$AAA$3,0))</f>
        <v>0</v>
      </c>
    </row>
    <row r="88" spans="1:10" x14ac:dyDescent="0.2">
      <c r="A88" s="86" t="s">
        <v>7118</v>
      </c>
      <c r="B88" s="447" t="str">
        <f>IN_Anagrafica!$B$9</f>
        <v>NO</v>
      </c>
      <c r="C88" s="369" t="str">
        <f t="shared" si="2"/>
        <v>NO</v>
      </c>
      <c r="D88" s="1028" t="s">
        <v>1369</v>
      </c>
      <c r="E88" s="1030" t="s">
        <v>8175</v>
      </c>
      <c r="F88" s="1032" t="s">
        <v>1369</v>
      </c>
      <c r="G88" s="1031" t="s">
        <v>1500</v>
      </c>
      <c r="H88" s="88">
        <f>INDEX(IN_PAR!$A$3:$AAA$413,MATCH($G88,IN_PAR!$A$3:$A$413,0),MATCH(H$1,IN_PAR!$A$3:$AAA$3,0))</f>
        <v>0</v>
      </c>
      <c r="I88" s="88">
        <f>INDEX(IN_PAR!$A$3:$AAA$413,MATCH($G88,IN_PAR!$A$3:$A$413,0),MATCH(I$1,IN_PAR!$A$3:$AAA$3,0))</f>
        <v>0</v>
      </c>
      <c r="J88" s="88">
        <f>INDEX(IN_PAR!$A$3:$AAA$413,MATCH($G88,IN_PAR!$A$3:$A$413,0),MATCH(J$1,IN_PAR!$A$3:$AAA$3,0))</f>
        <v>0</v>
      </c>
    </row>
    <row r="89" spans="1:10" x14ac:dyDescent="0.2">
      <c r="A89" s="86" t="s">
        <v>7119</v>
      </c>
      <c r="B89" s="447" t="str">
        <f>IN_Anagrafica!$B$9</f>
        <v>NO</v>
      </c>
      <c r="C89" s="369" t="str">
        <f t="shared" si="2"/>
        <v>NO</v>
      </c>
      <c r="D89" s="1028" t="s">
        <v>1369</v>
      </c>
      <c r="E89" s="1030" t="s">
        <v>8176</v>
      </c>
      <c r="F89" s="1032" t="s">
        <v>1369</v>
      </c>
      <c r="G89" s="1031" t="s">
        <v>1447</v>
      </c>
      <c r="H89" s="88">
        <f>INDEX(IN_PAR!$A$3:$AAA$413,MATCH($G89,IN_PAR!$A$3:$A$413,0),MATCH(H$1,IN_PAR!$A$3:$AAA$3,0))</f>
        <v>0</v>
      </c>
      <c r="I89" s="88">
        <f>INDEX(IN_PAR!$A$3:$AAA$413,MATCH($G89,IN_PAR!$A$3:$A$413,0),MATCH(I$1,IN_PAR!$A$3:$AAA$3,0))</f>
        <v>0</v>
      </c>
      <c r="J89" s="88">
        <f>INDEX(IN_PAR!$A$3:$AAA$413,MATCH($G89,IN_PAR!$A$3:$A$413,0),MATCH(J$1,IN_PAR!$A$3:$AAA$3,0))</f>
        <v>0</v>
      </c>
    </row>
    <row r="90" spans="1:10" x14ac:dyDescent="0.2">
      <c r="A90" s="86" t="s">
        <v>7120</v>
      </c>
      <c r="B90" s="447" t="str">
        <f>IN_Anagrafica!$B$9</f>
        <v>NO</v>
      </c>
      <c r="C90" s="369" t="str">
        <f t="shared" si="2"/>
        <v>NO</v>
      </c>
      <c r="D90" s="1028" t="s">
        <v>1369</v>
      </c>
      <c r="E90" s="1030" t="s">
        <v>8177</v>
      </c>
      <c r="F90" s="1032" t="s">
        <v>1369</v>
      </c>
      <c r="G90" s="1031" t="s">
        <v>1463</v>
      </c>
      <c r="H90" s="88">
        <f>INDEX(IN_PAR!$A$3:$AAA$413,MATCH($G90,IN_PAR!$A$3:$A$413,0),MATCH(H$1,IN_PAR!$A$3:$AAA$3,0))</f>
        <v>0</v>
      </c>
      <c r="I90" s="88">
        <f>INDEX(IN_PAR!$A$3:$AAA$413,MATCH($G90,IN_PAR!$A$3:$A$413,0),MATCH(I$1,IN_PAR!$A$3:$AAA$3,0))</f>
        <v>0</v>
      </c>
      <c r="J90" s="88">
        <f>INDEX(IN_PAR!$A$3:$AAA$413,MATCH($G90,IN_PAR!$A$3:$A$413,0),MATCH(J$1,IN_PAR!$A$3:$AAA$3,0))</f>
        <v>0</v>
      </c>
    </row>
    <row r="91" spans="1:10" x14ac:dyDescent="0.2">
      <c r="A91" s="86" t="s">
        <v>7121</v>
      </c>
      <c r="B91" s="447" t="str">
        <f>IN_Anagrafica!$B$9</f>
        <v>NO</v>
      </c>
      <c r="C91" s="369" t="str">
        <f t="shared" si="2"/>
        <v>NO</v>
      </c>
      <c r="D91" s="1028" t="s">
        <v>1369</v>
      </c>
      <c r="E91" s="1030" t="s">
        <v>8178</v>
      </c>
      <c r="F91" s="1032" t="s">
        <v>1369</v>
      </c>
      <c r="G91" s="1031" t="s">
        <v>1478</v>
      </c>
      <c r="H91" s="88">
        <f>INDEX(IN_PAR!$A$3:$AAA$413,MATCH($G91,IN_PAR!$A$3:$A$413,0),MATCH(H$1,IN_PAR!$A$3:$AAA$3,0))</f>
        <v>0</v>
      </c>
      <c r="I91" s="88">
        <f>INDEX(IN_PAR!$A$3:$AAA$413,MATCH($G91,IN_PAR!$A$3:$A$413,0),MATCH(I$1,IN_PAR!$A$3:$AAA$3,0))</f>
        <v>0</v>
      </c>
      <c r="J91" s="88">
        <f>INDEX(IN_PAR!$A$3:$AAA$413,MATCH($G91,IN_PAR!$A$3:$A$413,0),MATCH(J$1,IN_PAR!$A$3:$AAA$3,0))</f>
        <v>0</v>
      </c>
    </row>
    <row r="92" spans="1:10" x14ac:dyDescent="0.2">
      <c r="A92" s="86" t="s">
        <v>7122</v>
      </c>
      <c r="B92" s="447" t="str">
        <f>IN_Anagrafica!$B$9</f>
        <v>NO</v>
      </c>
      <c r="C92" s="369" t="str">
        <f t="shared" si="2"/>
        <v>NO</v>
      </c>
      <c r="D92" s="1028" t="s">
        <v>1369</v>
      </c>
      <c r="E92" s="1030" t="s">
        <v>8179</v>
      </c>
      <c r="F92" s="1032" t="s">
        <v>1369</v>
      </c>
      <c r="G92" s="1031" t="s">
        <v>1493</v>
      </c>
      <c r="H92" s="88">
        <f>INDEX(IN_PAR!$A$3:$AAA$413,MATCH($G92,IN_PAR!$A$3:$A$413,0),MATCH(H$1,IN_PAR!$A$3:$AAA$3,0))</f>
        <v>0</v>
      </c>
      <c r="I92" s="88">
        <f>INDEX(IN_PAR!$A$3:$AAA$413,MATCH($G92,IN_PAR!$A$3:$A$413,0),MATCH(I$1,IN_PAR!$A$3:$AAA$3,0))</f>
        <v>0</v>
      </c>
      <c r="J92" s="88">
        <f>INDEX(IN_PAR!$A$3:$AAA$413,MATCH($G92,IN_PAR!$A$3:$A$413,0),MATCH(J$1,IN_PAR!$A$3:$AAA$3,0))</f>
        <v>0</v>
      </c>
    </row>
    <row r="93" spans="1:10" x14ac:dyDescent="0.2">
      <c r="A93" s="86" t="s">
        <v>7123</v>
      </c>
      <c r="B93" s="447" t="str">
        <f>IN_Anagrafica!$B$9</f>
        <v>NO</v>
      </c>
      <c r="C93" s="369" t="str">
        <f t="shared" si="2"/>
        <v>NO</v>
      </c>
      <c r="D93" s="1028" t="s">
        <v>1369</v>
      </c>
      <c r="E93" s="1030" t="s">
        <v>8180</v>
      </c>
      <c r="F93" s="1032" t="s">
        <v>1369</v>
      </c>
      <c r="G93" s="1031" t="s">
        <v>1454</v>
      </c>
      <c r="H93" s="88">
        <f>INDEX(IN_PAR!$A$3:$AAA$413,MATCH($G93,IN_PAR!$A$3:$A$413,0),MATCH(H$1,IN_PAR!$A$3:$AAA$3,0))</f>
        <v>0</v>
      </c>
      <c r="I93" s="88">
        <f>INDEX(IN_PAR!$A$3:$AAA$413,MATCH($G93,IN_PAR!$A$3:$A$413,0),MATCH(I$1,IN_PAR!$A$3:$AAA$3,0))</f>
        <v>0</v>
      </c>
      <c r="J93" s="88">
        <f>INDEX(IN_PAR!$A$3:$AAA$413,MATCH($G93,IN_PAR!$A$3:$A$413,0),MATCH(J$1,IN_PAR!$A$3:$AAA$3,0))</f>
        <v>0</v>
      </c>
    </row>
    <row r="94" spans="1:10" x14ac:dyDescent="0.2">
      <c r="A94" s="86" t="s">
        <v>7124</v>
      </c>
      <c r="B94" s="447" t="str">
        <f>IN_Anagrafica!$B$9</f>
        <v>NO</v>
      </c>
      <c r="C94" s="369" t="str">
        <f t="shared" si="2"/>
        <v>NO</v>
      </c>
      <c r="D94" s="1028" t="s">
        <v>1369</v>
      </c>
      <c r="E94" s="1030" t="s">
        <v>8181</v>
      </c>
      <c r="F94" s="1032" t="s">
        <v>1369</v>
      </c>
      <c r="G94" s="1031" t="s">
        <v>1472</v>
      </c>
      <c r="H94" s="88">
        <f>INDEX(IN_PAR!$A$3:$AAA$413,MATCH($G94,IN_PAR!$A$3:$A$413,0),MATCH(H$1,IN_PAR!$A$3:$AAA$3,0))</f>
        <v>0</v>
      </c>
      <c r="I94" s="88">
        <f>INDEX(IN_PAR!$A$3:$AAA$413,MATCH($G94,IN_PAR!$A$3:$A$413,0),MATCH(I$1,IN_PAR!$A$3:$AAA$3,0))</f>
        <v>0</v>
      </c>
      <c r="J94" s="88">
        <f>INDEX(IN_PAR!$A$3:$AAA$413,MATCH($G94,IN_PAR!$A$3:$A$413,0),MATCH(J$1,IN_PAR!$A$3:$AAA$3,0))</f>
        <v>0</v>
      </c>
    </row>
    <row r="95" spans="1:10" x14ac:dyDescent="0.2">
      <c r="A95" s="86" t="s">
        <v>7125</v>
      </c>
      <c r="B95" s="447" t="str">
        <f>IN_Anagrafica!$B$9</f>
        <v>NO</v>
      </c>
      <c r="C95" s="369" t="str">
        <f t="shared" si="2"/>
        <v>NO</v>
      </c>
      <c r="D95" s="1028" t="s">
        <v>1369</v>
      </c>
      <c r="E95" s="1030" t="s">
        <v>8182</v>
      </c>
      <c r="F95" s="1032" t="s">
        <v>1369</v>
      </c>
      <c r="G95" s="1031" t="s">
        <v>1487</v>
      </c>
      <c r="H95" s="88">
        <f>INDEX(IN_PAR!$A$3:$AAA$413,MATCH($G95,IN_PAR!$A$3:$A$413,0),MATCH(H$1,IN_PAR!$A$3:$AAA$3,0))</f>
        <v>0</v>
      </c>
      <c r="I95" s="88">
        <f>INDEX(IN_PAR!$A$3:$AAA$413,MATCH($G95,IN_PAR!$A$3:$A$413,0),MATCH(I$1,IN_PAR!$A$3:$AAA$3,0))</f>
        <v>0</v>
      </c>
      <c r="J95" s="88">
        <f>INDEX(IN_PAR!$A$3:$AAA$413,MATCH($G95,IN_PAR!$A$3:$A$413,0),MATCH(J$1,IN_PAR!$A$3:$AAA$3,0))</f>
        <v>0</v>
      </c>
    </row>
    <row r="96" spans="1:10" x14ac:dyDescent="0.2">
      <c r="A96" s="86" t="s">
        <v>7126</v>
      </c>
      <c r="B96" s="447" t="str">
        <f>IN_Anagrafica!$B$9</f>
        <v>NO</v>
      </c>
      <c r="C96" s="369" t="str">
        <f t="shared" si="2"/>
        <v>NO</v>
      </c>
      <c r="D96" s="1028" t="s">
        <v>1369</v>
      </c>
      <c r="E96" s="1030" t="s">
        <v>8183</v>
      </c>
      <c r="F96" s="1032" t="s">
        <v>1369</v>
      </c>
      <c r="G96" s="1031" t="s">
        <v>1502</v>
      </c>
      <c r="H96" s="88">
        <f>INDEX(IN_PAR!$A$3:$AAA$413,MATCH($G96,IN_PAR!$A$3:$A$413,0),MATCH(H$1,IN_PAR!$A$3:$AAA$3,0))</f>
        <v>0</v>
      </c>
      <c r="I96" s="88">
        <f>INDEX(IN_PAR!$A$3:$AAA$413,MATCH($G96,IN_PAR!$A$3:$A$413,0),MATCH(I$1,IN_PAR!$A$3:$AAA$3,0))</f>
        <v>0</v>
      </c>
      <c r="J96" s="88">
        <f>INDEX(IN_PAR!$A$3:$AAA$413,MATCH($G96,IN_PAR!$A$3:$A$413,0),MATCH(J$1,IN_PAR!$A$3:$AAA$3,0))</f>
        <v>0</v>
      </c>
    </row>
    <row r="97" spans="1:10" x14ac:dyDescent="0.2">
      <c r="A97" s="86" t="s">
        <v>7127</v>
      </c>
      <c r="B97" s="1067" t="s">
        <v>105</v>
      </c>
      <c r="C97" s="1037" t="s">
        <v>219</v>
      </c>
      <c r="D97" s="1028" t="s">
        <v>1369</v>
      </c>
      <c r="E97" s="1030" t="s">
        <v>8184</v>
      </c>
      <c r="F97" s="1032" t="s">
        <v>1369</v>
      </c>
      <c r="G97" s="1031" t="s">
        <v>251</v>
      </c>
      <c r="H97" s="88">
        <f>INDEX(IN_PAR!$A$3:$AAA$413,MATCH($G97,IN_PAR!$A$3:$A$413,0),MATCH(H$1,IN_PAR!$A$3:$AAA$3,0))</f>
        <v>16398095.42</v>
      </c>
      <c r="I97" s="88">
        <f>INDEX(IN_PAR!$A$3:$AAA$413,MATCH($G97,IN_PAR!$A$3:$A$413,0),MATCH(I$1,IN_PAR!$A$3:$AAA$3,0))</f>
        <v>0</v>
      </c>
      <c r="J97" s="88">
        <f>INDEX(IN_PAR!$A$3:$AAA$413,MATCH($G97,IN_PAR!$A$3:$A$413,0),MATCH(J$1,IN_PAR!$A$3:$AAA$3,0))</f>
        <v>0</v>
      </c>
    </row>
    <row r="98" spans="1:10" x14ac:dyDescent="0.2">
      <c r="A98" s="86" t="s">
        <v>5698</v>
      </c>
      <c r="B98" s="1067" t="s">
        <v>105</v>
      </c>
      <c r="C98" s="1037" t="s">
        <v>219</v>
      </c>
      <c r="D98" s="1028" t="s">
        <v>1369</v>
      </c>
      <c r="E98" s="1030" t="s">
        <v>8185</v>
      </c>
      <c r="F98" s="1032" t="s">
        <v>1369</v>
      </c>
      <c r="G98" s="1031" t="s">
        <v>253</v>
      </c>
      <c r="H98" s="88">
        <f>INDEX(IN_PAR!$A$3:$AAA$413,MATCH($G98,IN_PAR!$A$3:$A$413,0),MATCH(H$1,IN_PAR!$A$3:$AAA$3,0))</f>
        <v>-46833.73</v>
      </c>
      <c r="I98" s="88">
        <f>INDEX(IN_PAR!$A$3:$AAA$413,MATCH($G98,IN_PAR!$A$3:$A$413,0),MATCH(I$1,IN_PAR!$A$3:$AAA$3,0))</f>
        <v>0</v>
      </c>
      <c r="J98" s="88">
        <f>INDEX(IN_PAR!$A$3:$AAA$413,MATCH($G98,IN_PAR!$A$3:$A$413,0),MATCH(J$1,IN_PAR!$A$3:$AAA$3,0))</f>
        <v>0</v>
      </c>
    </row>
    <row r="99" spans="1:10" x14ac:dyDescent="0.2">
      <c r="A99" s="86" t="s">
        <v>7128</v>
      </c>
      <c r="B99" s="1067" t="s">
        <v>105</v>
      </c>
      <c r="C99" s="1037" t="s">
        <v>219</v>
      </c>
      <c r="D99" s="1028" t="s">
        <v>8186</v>
      </c>
      <c r="E99" s="1030" t="s">
        <v>295</v>
      </c>
      <c r="F99" s="1031" t="s">
        <v>8521</v>
      </c>
      <c r="G99" s="1031" t="s">
        <v>5108</v>
      </c>
      <c r="H99" s="88">
        <f>INDEX('Import CO_24'!$A$4:$AAA$143,MATCH($G99,'Import CO_24'!$A$4:$A$143,0),MATCH(H$1,'Import CO_24'!$A$4:$AAA$4,0))</f>
        <v>15631576.09</v>
      </c>
      <c r="I99" s="88">
        <f>INDEX('Import CO_24'!$A$4:$AAA$143,MATCH($G99,'Import CO_24'!$A$4:$A$143,0),MATCH(I$1,'Import CO_24'!$A$4:$AAA$4,0))</f>
        <v>1129334.76</v>
      </c>
      <c r="J99" s="88">
        <f>INDEX('Import CO_24'!$A$4:$AAA$143,MATCH($G99,'Import CO_24'!$A$4:$A$143,0),MATCH(J$1,'Import CO_24'!$A$4:$AAA$4,0))</f>
        <v>0</v>
      </c>
    </row>
    <row r="100" spans="1:10" x14ac:dyDescent="0.2">
      <c r="A100" s="86" t="s">
        <v>7129</v>
      </c>
      <c r="B100" s="1067" t="s">
        <v>105</v>
      </c>
      <c r="C100" s="1037" t="s">
        <v>219</v>
      </c>
      <c r="D100" s="1028" t="s">
        <v>8186</v>
      </c>
      <c r="E100" s="1030" t="s">
        <v>297</v>
      </c>
      <c r="F100" s="1031" t="s">
        <v>8521</v>
      </c>
      <c r="G100" s="1031" t="s">
        <v>6501</v>
      </c>
      <c r="H100" s="88">
        <f>INDEX('Import CO_24'!$A$4:$AAA$143,MATCH($G100,'Import CO_24'!$A$4:$A$143,0),MATCH(H$1,'Import CO_24'!$A$4:$AAA$4,0))</f>
        <v>802277.03999999992</v>
      </c>
      <c r="I100" s="88">
        <f>INDEX('Import CO_24'!$A$4:$AAA$143,MATCH($G100,'Import CO_24'!$A$4:$A$143,0),MATCH(I$1,'Import CO_24'!$A$4:$AAA$4,0))</f>
        <v>57148.47</v>
      </c>
      <c r="J100" s="88">
        <f>INDEX('Import CO_24'!$A$4:$AAA$143,MATCH($G100,'Import CO_24'!$A$4:$A$143,0),MATCH(J$1,'Import CO_24'!$A$4:$AAA$4,0))</f>
        <v>0</v>
      </c>
    </row>
    <row r="101" spans="1:10" x14ac:dyDescent="0.2">
      <c r="A101" s="86" t="s">
        <v>7130</v>
      </c>
      <c r="B101" s="1067" t="s">
        <v>105</v>
      </c>
      <c r="C101" s="1037" t="s">
        <v>219</v>
      </c>
      <c r="D101" s="1028" t="s">
        <v>8186</v>
      </c>
      <c r="E101" s="1030" t="s">
        <v>287</v>
      </c>
      <c r="F101" s="1031" t="s">
        <v>8521</v>
      </c>
      <c r="G101" s="1031" t="s">
        <v>6504</v>
      </c>
      <c r="H101" s="88">
        <f>INDEX('Import CO_24'!$A$4:$AAA$143,MATCH($G101,'Import CO_24'!$A$4:$A$143,0),MATCH(H$1,'Import CO_24'!$A$4:$AAA$4,0))</f>
        <v>46199.56</v>
      </c>
      <c r="I101" s="88">
        <f>INDEX('Import CO_24'!$A$4:$AAA$143,MATCH($G101,'Import CO_24'!$A$4:$A$143,0),MATCH(I$1,'Import CO_24'!$A$4:$AAA$4,0))</f>
        <v>3240</v>
      </c>
      <c r="J101" s="88">
        <f>INDEX('Import CO_24'!$A$4:$AAA$143,MATCH($G101,'Import CO_24'!$A$4:$A$143,0),MATCH(J$1,'Import CO_24'!$A$4:$AAA$4,0))</f>
        <v>0</v>
      </c>
    </row>
    <row r="102" spans="1:10" x14ac:dyDescent="0.2">
      <c r="A102" s="86" t="s">
        <v>7131</v>
      </c>
      <c r="B102" s="1067" t="s">
        <v>105</v>
      </c>
      <c r="C102" s="1037" t="s">
        <v>219</v>
      </c>
      <c r="D102" s="1028" t="s">
        <v>8186</v>
      </c>
      <c r="E102" s="1030" t="s">
        <v>709</v>
      </c>
      <c r="F102" s="1031" t="s">
        <v>8521</v>
      </c>
      <c r="G102" s="1031" t="s">
        <v>6502</v>
      </c>
      <c r="H102" s="88">
        <f>INDEX('Import CO_24'!$A$4:$AAA$143,MATCH($G102,'Import CO_24'!$A$4:$A$143,0),MATCH(H$1,'Import CO_24'!$A$4:$AAA$4,0))</f>
        <v>0</v>
      </c>
      <c r="I102" s="88">
        <f>INDEX('Import CO_24'!$A$4:$AAA$143,MATCH($G102,'Import CO_24'!$A$4:$A$143,0),MATCH(I$1,'Import CO_24'!$A$4:$AAA$4,0))</f>
        <v>0</v>
      </c>
      <c r="J102" s="88">
        <f>INDEX('Import CO_24'!$A$4:$AAA$143,MATCH($G102,'Import CO_24'!$A$4:$A$143,0),MATCH(J$1,'Import CO_24'!$A$4:$AAA$4,0))</f>
        <v>0</v>
      </c>
    </row>
    <row r="103" spans="1:10" x14ac:dyDescent="0.2">
      <c r="A103" s="86" t="s">
        <v>7132</v>
      </c>
      <c r="B103" s="1067" t="s">
        <v>105</v>
      </c>
      <c r="C103" s="1037" t="s">
        <v>219</v>
      </c>
      <c r="D103" s="1028" t="s">
        <v>8186</v>
      </c>
      <c r="E103" s="1030" t="s">
        <v>288</v>
      </c>
      <c r="F103" s="1031" t="s">
        <v>8521</v>
      </c>
      <c r="G103" s="1031" t="s">
        <v>6505</v>
      </c>
      <c r="H103" s="88">
        <f>INDEX('Import CO_24'!$A$4:$AAA$143,MATCH($G103,'Import CO_24'!$A$4:$A$143,0),MATCH(H$1,'Import CO_24'!$A$4:$AAA$4,0))</f>
        <v>0</v>
      </c>
      <c r="I103" s="88">
        <f>INDEX('Import CO_24'!$A$4:$AAA$143,MATCH($G103,'Import CO_24'!$A$4:$A$143,0),MATCH(I$1,'Import CO_24'!$A$4:$AAA$4,0))</f>
        <v>0</v>
      </c>
      <c r="J103" s="88">
        <f>INDEX('Import CO_24'!$A$4:$AAA$143,MATCH($G103,'Import CO_24'!$A$4:$A$143,0),MATCH(J$1,'Import CO_24'!$A$4:$AAA$4,0))</f>
        <v>0</v>
      </c>
    </row>
    <row r="104" spans="1:10" x14ac:dyDescent="0.2">
      <c r="A104" s="86" t="s">
        <v>7133</v>
      </c>
      <c r="B104" s="1067" t="s">
        <v>105</v>
      </c>
      <c r="C104" s="1037" t="s">
        <v>219</v>
      </c>
      <c r="D104" s="1028" t="s">
        <v>8186</v>
      </c>
      <c r="E104" s="1030" t="s">
        <v>359</v>
      </c>
      <c r="F104" s="1031" t="s">
        <v>8521</v>
      </c>
      <c r="G104" s="1031" t="s">
        <v>6503</v>
      </c>
      <c r="H104" s="88">
        <f>INDEX('Import CO_24'!$A$4:$AAA$143,MATCH($G104,'Import CO_24'!$A$4:$A$143,0),MATCH(H$1,'Import CO_24'!$A$4:$AAA$4,0))</f>
        <v>61477.34</v>
      </c>
      <c r="I104" s="88">
        <f>INDEX('Import CO_24'!$A$4:$AAA$143,MATCH($G104,'Import CO_24'!$A$4:$A$143,0),MATCH(I$1,'Import CO_24'!$A$4:$AAA$4,0))</f>
        <v>629.96</v>
      </c>
      <c r="J104" s="88">
        <f>INDEX('Import CO_24'!$A$4:$AAA$143,MATCH($G104,'Import CO_24'!$A$4:$A$143,0),MATCH(J$1,'Import CO_24'!$A$4:$AAA$4,0))</f>
        <v>0</v>
      </c>
    </row>
    <row r="105" spans="1:10" x14ac:dyDescent="0.2">
      <c r="A105" s="86" t="s">
        <v>7134</v>
      </c>
      <c r="B105" s="1067" t="s">
        <v>105</v>
      </c>
      <c r="C105" s="1037" t="s">
        <v>219</v>
      </c>
      <c r="D105" s="1028" t="s">
        <v>8186</v>
      </c>
      <c r="E105" s="1030" t="s">
        <v>8187</v>
      </c>
      <c r="F105" s="1031" t="s">
        <v>8521</v>
      </c>
      <c r="G105" s="1031" t="s">
        <v>6506</v>
      </c>
      <c r="H105" s="88">
        <f>INDEX('Import CO_24'!$A$4:$AAA$143,MATCH($G105,'Import CO_24'!$A$4:$A$143,0),MATCH(H$1,'Import CO_24'!$A$4:$AAA$4,0))</f>
        <v>0</v>
      </c>
      <c r="I105" s="88">
        <f>INDEX('Import CO_24'!$A$4:$AAA$143,MATCH($G105,'Import CO_24'!$A$4:$A$143,0),MATCH(I$1,'Import CO_24'!$A$4:$AAA$4,0))</f>
        <v>0</v>
      </c>
      <c r="J105" s="88">
        <f>INDEX('Import CO_24'!$A$4:$AAA$143,MATCH($G105,'Import CO_24'!$A$4:$A$143,0),MATCH(J$1,'Import CO_24'!$A$4:$AAA$4,0))</f>
        <v>0</v>
      </c>
    </row>
    <row r="106" spans="1:10" x14ac:dyDescent="0.2">
      <c r="A106" s="86" t="s">
        <v>7135</v>
      </c>
      <c r="B106" s="1067" t="s">
        <v>105</v>
      </c>
      <c r="C106" s="1037" t="s">
        <v>219</v>
      </c>
      <c r="D106" s="1028" t="s">
        <v>8186</v>
      </c>
      <c r="E106" s="1030" t="s">
        <v>360</v>
      </c>
      <c r="F106" s="1031" t="s">
        <v>8521</v>
      </c>
      <c r="G106" s="1031" t="s">
        <v>5047</v>
      </c>
      <c r="H106" s="88">
        <f>INDEX('Import CO_24'!$A$4:$AAA$143,MATCH($G106,'Import CO_24'!$A$4:$A$143,0),MATCH(H$1,'Import CO_24'!$A$4:$AAA$4,0))</f>
        <v>737378.09</v>
      </c>
      <c r="I106" s="88">
        <f>INDEX('Import CO_24'!$A$4:$AAA$143,MATCH($G106,'Import CO_24'!$A$4:$A$143,0),MATCH(I$1,'Import CO_24'!$A$4:$AAA$4,0))</f>
        <v>79332.09</v>
      </c>
      <c r="J106" s="88">
        <f>INDEX('Import CO_24'!$A$4:$AAA$143,MATCH($G106,'Import CO_24'!$A$4:$A$143,0),MATCH(J$1,'Import CO_24'!$A$4:$AAA$4,0))</f>
        <v>0</v>
      </c>
    </row>
    <row r="107" spans="1:10" x14ac:dyDescent="0.2">
      <c r="A107" s="86" t="s">
        <v>7136</v>
      </c>
      <c r="B107" s="1067" t="s">
        <v>105</v>
      </c>
      <c r="C107" s="1037" t="s">
        <v>219</v>
      </c>
      <c r="D107" s="1028" t="s">
        <v>8186</v>
      </c>
      <c r="E107" s="1030" t="s">
        <v>8188</v>
      </c>
      <c r="F107" s="1031" t="s">
        <v>8521</v>
      </c>
      <c r="G107" s="1031" t="s">
        <v>5048</v>
      </c>
      <c r="H107" s="88">
        <f>INDEX('Import CO_24'!$A$4:$AAA$143,MATCH($G107,'Import CO_24'!$A$4:$A$143,0),MATCH(H$1,'Import CO_24'!$A$4:$AAA$4,0))</f>
        <v>0</v>
      </c>
      <c r="I107" s="88">
        <f>INDEX('Import CO_24'!$A$4:$AAA$143,MATCH($G107,'Import CO_24'!$A$4:$A$143,0),MATCH(I$1,'Import CO_24'!$A$4:$AAA$4,0))</f>
        <v>0</v>
      </c>
      <c r="J107" s="88">
        <f>INDEX('Import CO_24'!$A$4:$AAA$143,MATCH($G107,'Import CO_24'!$A$4:$A$143,0),MATCH(J$1,'Import CO_24'!$A$4:$AAA$4,0))</f>
        <v>0</v>
      </c>
    </row>
    <row r="108" spans="1:10" x14ac:dyDescent="0.2">
      <c r="A108" s="86" t="s">
        <v>7137</v>
      </c>
      <c r="B108" s="1067" t="s">
        <v>105</v>
      </c>
      <c r="C108" s="1037" t="s">
        <v>219</v>
      </c>
      <c r="D108" s="1028" t="s">
        <v>8186</v>
      </c>
      <c r="E108" s="1030" t="s">
        <v>8189</v>
      </c>
      <c r="F108" s="1031" t="s">
        <v>656</v>
      </c>
      <c r="G108" s="1031" t="s">
        <v>6748</v>
      </c>
      <c r="H108" s="88" t="str">
        <f>+IN_Anagrafica!$B$3</f>
        <v>-</v>
      </c>
      <c r="I108" s="88" t="str">
        <f>+IN_Anagrafica!$B$3</f>
        <v>-</v>
      </c>
      <c r="J108" s="88" t="str">
        <f>+IN_Anagrafica!$B$3</f>
        <v>-</v>
      </c>
    </row>
    <row r="109" spans="1:10" x14ac:dyDescent="0.2">
      <c r="A109" s="86" t="s">
        <v>7138</v>
      </c>
      <c r="B109" s="1067" t="s">
        <v>105</v>
      </c>
      <c r="C109" s="1037" t="s">
        <v>219</v>
      </c>
      <c r="D109" s="1028" t="s">
        <v>8186</v>
      </c>
      <c r="E109" s="1030" t="s">
        <v>302</v>
      </c>
      <c r="F109" s="1031" t="s">
        <v>8521</v>
      </c>
      <c r="G109" s="1031" t="s">
        <v>5021</v>
      </c>
      <c r="H109" s="88">
        <f>INDEX('Import CO_24'!$A$4:$AAA$143,MATCH($G109,'Import CO_24'!$A$4:$A$143,0),MATCH(H$1,'Import CO_24'!$A$4:$AAA$4,0))</f>
        <v>154473.37</v>
      </c>
      <c r="I109" s="88">
        <f>INDEX('Import CO_24'!$A$4:$AAA$143,MATCH($G109,'Import CO_24'!$A$4:$A$143,0),MATCH(I$1,'Import CO_24'!$A$4:$AAA$4,0))</f>
        <v>1403.38</v>
      </c>
      <c r="J109" s="88">
        <f>INDEX('Import CO_24'!$A$4:$AAA$143,MATCH($G109,'Import CO_24'!$A$4:$A$143,0),MATCH(J$1,'Import CO_24'!$A$4:$AAA$4,0))</f>
        <v>0</v>
      </c>
    </row>
    <row r="110" spans="1:10" x14ac:dyDescent="0.2">
      <c r="A110" s="86" t="s">
        <v>7139</v>
      </c>
      <c r="B110" s="1067" t="s">
        <v>105</v>
      </c>
      <c r="C110" s="1037" t="s">
        <v>219</v>
      </c>
      <c r="D110" s="1028" t="s">
        <v>8186</v>
      </c>
      <c r="E110" s="1030" t="s">
        <v>305</v>
      </c>
      <c r="F110" s="1031" t="s">
        <v>8521</v>
      </c>
      <c r="G110" s="1031" t="s">
        <v>5027</v>
      </c>
      <c r="H110" s="88">
        <f>INDEX('Import CO_24'!$A$4:$AAA$143,MATCH($G110,'Import CO_24'!$A$4:$A$143,0),MATCH(H$1,'Import CO_24'!$A$4:$AAA$4,0))</f>
        <v>0</v>
      </c>
      <c r="I110" s="88">
        <f>INDEX('Import CO_24'!$A$4:$AAA$143,MATCH($G110,'Import CO_24'!$A$4:$A$143,0),MATCH(I$1,'Import CO_24'!$A$4:$AAA$4,0))</f>
        <v>0</v>
      </c>
      <c r="J110" s="88">
        <f>INDEX('Import CO_24'!$A$4:$AAA$143,MATCH($G110,'Import CO_24'!$A$4:$A$143,0),MATCH(J$1,'Import CO_24'!$A$4:$AAA$4,0))</f>
        <v>0</v>
      </c>
    </row>
    <row r="111" spans="1:10" x14ac:dyDescent="0.2">
      <c r="A111" s="86" t="s">
        <v>7140</v>
      </c>
      <c r="B111" s="1067" t="s">
        <v>105</v>
      </c>
      <c r="C111" s="1037" t="s">
        <v>219</v>
      </c>
      <c r="D111" s="1028" t="s">
        <v>8186</v>
      </c>
      <c r="E111" s="1030" t="s">
        <v>308</v>
      </c>
      <c r="F111" s="1031" t="s">
        <v>8521</v>
      </c>
      <c r="G111" s="1031" t="s">
        <v>5033</v>
      </c>
      <c r="H111" s="88">
        <f>INDEX('Import CO_24'!$A$4:$AAA$143,MATCH($G111,'Import CO_24'!$A$4:$A$143,0),MATCH(H$1,'Import CO_24'!$A$4:$AAA$4,0))</f>
        <v>0</v>
      </c>
      <c r="I111" s="88">
        <f>INDEX('Import CO_24'!$A$4:$AAA$143,MATCH($G111,'Import CO_24'!$A$4:$A$143,0),MATCH(I$1,'Import CO_24'!$A$4:$AAA$4,0))</f>
        <v>0</v>
      </c>
      <c r="J111" s="88">
        <f>INDEX('Import CO_24'!$A$4:$AAA$143,MATCH($G111,'Import CO_24'!$A$4:$A$143,0),MATCH(J$1,'Import CO_24'!$A$4:$AAA$4,0))</f>
        <v>0</v>
      </c>
    </row>
    <row r="112" spans="1:10" x14ac:dyDescent="0.2">
      <c r="A112" s="86" t="s">
        <v>7141</v>
      </c>
      <c r="B112" s="1067" t="s">
        <v>105</v>
      </c>
      <c r="C112" s="1037" t="s">
        <v>219</v>
      </c>
      <c r="D112" s="1028" t="s">
        <v>8186</v>
      </c>
      <c r="E112" s="1030" t="s">
        <v>312</v>
      </c>
      <c r="F112" s="1031" t="s">
        <v>8521</v>
      </c>
      <c r="G112" s="1031" t="s">
        <v>5039</v>
      </c>
      <c r="H112" s="88">
        <f>INDEX('Import CO_24'!$A$4:$AAA$143,MATCH($G112,'Import CO_24'!$A$4:$A$143,0),MATCH(H$1,'Import CO_24'!$A$4:$AAA$4,0))</f>
        <v>575751.38</v>
      </c>
      <c r="I112" s="88">
        <f>INDEX('Import CO_24'!$A$4:$AAA$143,MATCH($G112,'Import CO_24'!$A$4:$A$143,0),MATCH(I$1,'Import CO_24'!$A$4:$AAA$4,0))</f>
        <v>4797.62</v>
      </c>
      <c r="J112" s="88">
        <f>INDEX('Import CO_24'!$A$4:$AAA$143,MATCH($G112,'Import CO_24'!$A$4:$A$143,0),MATCH(J$1,'Import CO_24'!$A$4:$AAA$4,0))</f>
        <v>0</v>
      </c>
    </row>
    <row r="113" spans="1:10" x14ac:dyDescent="0.2">
      <c r="A113" s="86" t="s">
        <v>7142</v>
      </c>
      <c r="B113" s="1067" t="s">
        <v>105</v>
      </c>
      <c r="C113" s="1037" t="s">
        <v>219</v>
      </c>
      <c r="D113" s="1028" t="s">
        <v>8186</v>
      </c>
      <c r="E113" s="1030" t="s">
        <v>318</v>
      </c>
      <c r="F113" s="1031" t="s">
        <v>8521</v>
      </c>
      <c r="G113" s="1031" t="s">
        <v>5049</v>
      </c>
      <c r="H113" s="88">
        <f>INDEX('Import CO_24'!$A$4:$AAA$143,MATCH($G113,'Import CO_24'!$A$4:$A$143,0),MATCH(H$1,'Import CO_24'!$A$4:$AAA$4,0))</f>
        <v>190999.58</v>
      </c>
      <c r="I113" s="88">
        <f>INDEX('Import CO_24'!$A$4:$AAA$143,MATCH($G113,'Import CO_24'!$A$4:$A$143,0),MATCH(I$1,'Import CO_24'!$A$4:$AAA$4,0))</f>
        <v>0</v>
      </c>
      <c r="J113" s="88">
        <f>INDEX('Import CO_24'!$A$4:$AAA$143,MATCH($G113,'Import CO_24'!$A$4:$A$143,0),MATCH(J$1,'Import CO_24'!$A$4:$AAA$4,0))</f>
        <v>0</v>
      </c>
    </row>
    <row r="114" spans="1:10" x14ac:dyDescent="0.2">
      <c r="A114" s="86" t="s">
        <v>7143</v>
      </c>
      <c r="B114" s="1067" t="s">
        <v>105</v>
      </c>
      <c r="C114" s="1037" t="s">
        <v>219</v>
      </c>
      <c r="D114" s="1028" t="s">
        <v>8186</v>
      </c>
      <c r="E114" s="1030" t="s">
        <v>323</v>
      </c>
      <c r="F114" s="1031" t="s">
        <v>8521</v>
      </c>
      <c r="G114" s="1031" t="s">
        <v>5055</v>
      </c>
      <c r="H114" s="88">
        <f>INDEX('Import CO_24'!$A$4:$AAA$143,MATCH($G114,'Import CO_24'!$A$4:$A$143,0),MATCH(H$1,'Import CO_24'!$A$4:$AAA$4,0))</f>
        <v>0</v>
      </c>
      <c r="I114" s="88">
        <f>INDEX('Import CO_24'!$A$4:$AAA$143,MATCH($G114,'Import CO_24'!$A$4:$A$143,0),MATCH(I$1,'Import CO_24'!$A$4:$AAA$4,0))</f>
        <v>0</v>
      </c>
      <c r="J114" s="88">
        <f>INDEX('Import CO_24'!$A$4:$AAA$143,MATCH($G114,'Import CO_24'!$A$4:$A$143,0),MATCH(J$1,'Import CO_24'!$A$4:$AAA$4,0))</f>
        <v>0</v>
      </c>
    </row>
    <row r="115" spans="1:10" x14ac:dyDescent="0.2">
      <c r="A115" s="86" t="s">
        <v>7144</v>
      </c>
      <c r="B115" s="1067" t="s">
        <v>105</v>
      </c>
      <c r="C115" s="1037" t="s">
        <v>219</v>
      </c>
      <c r="D115" s="1028" t="s">
        <v>8186</v>
      </c>
      <c r="E115" s="1030" t="s">
        <v>326</v>
      </c>
      <c r="F115" s="1031" t="s">
        <v>8521</v>
      </c>
      <c r="G115" s="1031" t="s">
        <v>5061</v>
      </c>
      <c r="H115" s="88">
        <f>INDEX('Import CO_24'!$A$4:$AAA$143,MATCH($G115,'Import CO_24'!$A$4:$A$143,0),MATCH(H$1,'Import CO_24'!$A$4:$AAA$4,0))</f>
        <v>0</v>
      </c>
      <c r="I115" s="88">
        <f>INDEX('Import CO_24'!$A$4:$AAA$143,MATCH($G115,'Import CO_24'!$A$4:$A$143,0),MATCH(I$1,'Import CO_24'!$A$4:$AAA$4,0))</f>
        <v>0</v>
      </c>
      <c r="J115" s="88">
        <f>INDEX('Import CO_24'!$A$4:$AAA$143,MATCH($G115,'Import CO_24'!$A$4:$A$143,0),MATCH(J$1,'Import CO_24'!$A$4:$AAA$4,0))</f>
        <v>0</v>
      </c>
    </row>
    <row r="116" spans="1:10" x14ac:dyDescent="0.2">
      <c r="A116" s="86" t="s">
        <v>7145</v>
      </c>
      <c r="B116" s="1067" t="s">
        <v>105</v>
      </c>
      <c r="C116" s="1037" t="s">
        <v>219</v>
      </c>
      <c r="D116" s="1028" t="s">
        <v>8186</v>
      </c>
      <c r="E116" s="1030" t="s">
        <v>330</v>
      </c>
      <c r="F116" s="1031" t="s">
        <v>8521</v>
      </c>
      <c r="G116" s="1031" t="s">
        <v>5067</v>
      </c>
      <c r="H116" s="88">
        <f>INDEX('Import CO_24'!$A$4:$AAA$143,MATCH($G116,'Import CO_24'!$A$4:$A$143,0),MATCH(H$1,'Import CO_24'!$A$4:$AAA$4,0))</f>
        <v>0</v>
      </c>
      <c r="I116" s="88">
        <f>INDEX('Import CO_24'!$A$4:$AAA$143,MATCH($G116,'Import CO_24'!$A$4:$A$143,0),MATCH(I$1,'Import CO_24'!$A$4:$AAA$4,0))</f>
        <v>0</v>
      </c>
      <c r="J116" s="88">
        <f>INDEX('Import CO_24'!$A$4:$AAA$143,MATCH($G116,'Import CO_24'!$A$4:$A$143,0),MATCH(J$1,'Import CO_24'!$A$4:$AAA$4,0))</f>
        <v>0</v>
      </c>
    </row>
    <row r="117" spans="1:10" x14ac:dyDescent="0.2">
      <c r="A117" s="86" t="s">
        <v>7146</v>
      </c>
      <c r="B117" s="1067" t="s">
        <v>105</v>
      </c>
      <c r="C117" s="1037" t="s">
        <v>219</v>
      </c>
      <c r="D117" s="1028" t="s">
        <v>8186</v>
      </c>
      <c r="E117" s="1030" t="s">
        <v>333</v>
      </c>
      <c r="F117" s="1031" t="s">
        <v>8521</v>
      </c>
      <c r="G117" s="1031" t="s">
        <v>5073</v>
      </c>
      <c r="H117" s="88">
        <f>INDEX('Import CO_24'!$A$4:$AAA$143,MATCH($G117,'Import CO_24'!$A$4:$A$143,0),MATCH(H$1,'Import CO_24'!$A$4:$AAA$4,0))</f>
        <v>0</v>
      </c>
      <c r="I117" s="88">
        <f>INDEX('Import CO_24'!$A$4:$AAA$143,MATCH($G117,'Import CO_24'!$A$4:$A$143,0),MATCH(I$1,'Import CO_24'!$A$4:$AAA$4,0))</f>
        <v>0</v>
      </c>
      <c r="J117" s="88">
        <f>INDEX('Import CO_24'!$A$4:$AAA$143,MATCH($G117,'Import CO_24'!$A$4:$A$143,0),MATCH(J$1,'Import CO_24'!$A$4:$AAA$4,0))</f>
        <v>0</v>
      </c>
    </row>
    <row r="118" spans="1:10" x14ac:dyDescent="0.2">
      <c r="A118" s="86" t="s">
        <v>7147</v>
      </c>
      <c r="B118" s="1067" t="s">
        <v>105</v>
      </c>
      <c r="C118" s="1037" t="s">
        <v>219</v>
      </c>
      <c r="D118" s="1028" t="s">
        <v>8186</v>
      </c>
      <c r="E118" s="1030" t="s">
        <v>303</v>
      </c>
      <c r="F118" s="1031" t="s">
        <v>8521</v>
      </c>
      <c r="G118" s="1031" t="s">
        <v>5022</v>
      </c>
      <c r="H118" s="88">
        <f>INDEX('Import CO_24'!$A$4:$AAA$143,MATCH($G118,'Import CO_24'!$A$4:$A$143,0),MATCH(H$1,'Import CO_24'!$A$4:$AAA$4,0))</f>
        <v>176518.82</v>
      </c>
      <c r="I118" s="88">
        <f>INDEX('Import CO_24'!$A$4:$AAA$143,MATCH($G118,'Import CO_24'!$A$4:$A$143,0),MATCH(I$1,'Import CO_24'!$A$4:$AAA$4,0))</f>
        <v>25581.41</v>
      </c>
      <c r="J118" s="88">
        <f>INDEX('Import CO_24'!$A$4:$AAA$143,MATCH($G118,'Import CO_24'!$A$4:$A$143,0),MATCH(J$1,'Import CO_24'!$A$4:$AAA$4,0))</f>
        <v>0</v>
      </c>
    </row>
    <row r="119" spans="1:10" x14ac:dyDescent="0.2">
      <c r="A119" s="86" t="s">
        <v>7148</v>
      </c>
      <c r="B119" s="1067" t="s">
        <v>105</v>
      </c>
      <c r="C119" s="1037" t="s">
        <v>219</v>
      </c>
      <c r="D119" s="1028" t="s">
        <v>8186</v>
      </c>
      <c r="E119" s="1030" t="s">
        <v>313</v>
      </c>
      <c r="F119" s="1031" t="s">
        <v>8521</v>
      </c>
      <c r="G119" s="1031" t="s">
        <v>5040</v>
      </c>
      <c r="H119" s="88">
        <f>INDEX('Import CO_24'!$A$4:$AAA$143,MATCH($G119,'Import CO_24'!$A$4:$A$143,0),MATCH(H$1,'Import CO_24'!$A$4:$AAA$4,0))</f>
        <v>649847</v>
      </c>
      <c r="I119" s="88">
        <f>INDEX('Import CO_24'!$A$4:$AAA$143,MATCH($G119,'Import CO_24'!$A$4:$A$143,0),MATCH(I$1,'Import CO_24'!$A$4:$AAA$4,0))</f>
        <v>90903.73</v>
      </c>
      <c r="J119" s="88">
        <f>INDEX('Import CO_24'!$A$4:$AAA$143,MATCH($G119,'Import CO_24'!$A$4:$A$143,0),MATCH(J$1,'Import CO_24'!$A$4:$AAA$4,0))</f>
        <v>0</v>
      </c>
    </row>
    <row r="120" spans="1:10" x14ac:dyDescent="0.2">
      <c r="A120" s="86" t="s">
        <v>7149</v>
      </c>
      <c r="B120" s="1067" t="s">
        <v>105</v>
      </c>
      <c r="C120" s="1037" t="s">
        <v>219</v>
      </c>
      <c r="D120" s="1028" t="s">
        <v>8186</v>
      </c>
      <c r="E120" s="1030" t="s">
        <v>319</v>
      </c>
      <c r="F120" s="1031" t="s">
        <v>8521</v>
      </c>
      <c r="G120" s="1031" t="s">
        <v>5050</v>
      </c>
      <c r="H120" s="88">
        <f>INDEX('Import CO_24'!$A$4:$AAA$143,MATCH($G120,'Import CO_24'!$A$4:$A$143,0),MATCH(H$1,'Import CO_24'!$A$4:$AAA$4,0))</f>
        <v>274260.5</v>
      </c>
      <c r="I120" s="88">
        <f>INDEX('Import CO_24'!$A$4:$AAA$143,MATCH($G120,'Import CO_24'!$A$4:$A$143,0),MATCH(I$1,'Import CO_24'!$A$4:$AAA$4,0))</f>
        <v>0</v>
      </c>
      <c r="J120" s="88">
        <f>INDEX('Import CO_24'!$A$4:$AAA$143,MATCH($G120,'Import CO_24'!$A$4:$A$143,0),MATCH(J$1,'Import CO_24'!$A$4:$AAA$4,0))</f>
        <v>0</v>
      </c>
    </row>
    <row r="121" spans="1:10" x14ac:dyDescent="0.2">
      <c r="A121" s="86" t="s">
        <v>7150</v>
      </c>
      <c r="B121" s="1067" t="s">
        <v>105</v>
      </c>
      <c r="C121" s="1037" t="s">
        <v>219</v>
      </c>
      <c r="D121" s="1028" t="s">
        <v>8186</v>
      </c>
      <c r="E121" s="1030" t="s">
        <v>324</v>
      </c>
      <c r="F121" s="1031" t="s">
        <v>8521</v>
      </c>
      <c r="G121" s="1031" t="s">
        <v>5056</v>
      </c>
      <c r="H121" s="88">
        <f>INDEX('Import CO_24'!$A$4:$AAA$143,MATCH($G121,'Import CO_24'!$A$4:$A$143,0),MATCH(H$1,'Import CO_24'!$A$4:$AAA$4,0))</f>
        <v>595220</v>
      </c>
      <c r="I121" s="88">
        <f>INDEX('Import CO_24'!$A$4:$AAA$143,MATCH($G121,'Import CO_24'!$A$4:$A$143,0),MATCH(I$1,'Import CO_24'!$A$4:$AAA$4,0))</f>
        <v>0</v>
      </c>
      <c r="J121" s="88">
        <f>INDEX('Import CO_24'!$A$4:$AAA$143,MATCH($G121,'Import CO_24'!$A$4:$A$143,0),MATCH(J$1,'Import CO_24'!$A$4:$AAA$4,0))</f>
        <v>0</v>
      </c>
    </row>
    <row r="122" spans="1:10" x14ac:dyDescent="0.2">
      <c r="A122" s="86" t="s">
        <v>7151</v>
      </c>
      <c r="B122" s="1067" t="s">
        <v>105</v>
      </c>
      <c r="C122" s="1037" t="s">
        <v>219</v>
      </c>
      <c r="D122" s="1028" t="s">
        <v>8186</v>
      </c>
      <c r="E122" s="1030" t="s">
        <v>327</v>
      </c>
      <c r="F122" s="1031" t="s">
        <v>8521</v>
      </c>
      <c r="G122" s="1031" t="s">
        <v>5062</v>
      </c>
      <c r="H122" s="88">
        <f>INDEX('Import CO_24'!$A$4:$AAA$143,MATCH($G122,'Import CO_24'!$A$4:$A$143,0),MATCH(H$1,'Import CO_24'!$A$4:$AAA$4,0))</f>
        <v>1387780</v>
      </c>
      <c r="I122" s="88">
        <f>INDEX('Import CO_24'!$A$4:$AAA$143,MATCH($G122,'Import CO_24'!$A$4:$A$143,0),MATCH(I$1,'Import CO_24'!$A$4:$AAA$4,0))</f>
        <v>51520.63</v>
      </c>
      <c r="J122" s="88">
        <f>INDEX('Import CO_24'!$A$4:$AAA$143,MATCH($G122,'Import CO_24'!$A$4:$A$143,0),MATCH(J$1,'Import CO_24'!$A$4:$AAA$4,0))</f>
        <v>0</v>
      </c>
    </row>
    <row r="123" spans="1:10" x14ac:dyDescent="0.2">
      <c r="A123" s="86" t="s">
        <v>7152</v>
      </c>
      <c r="B123" s="1067" t="s">
        <v>105</v>
      </c>
      <c r="C123" s="1037" t="s">
        <v>219</v>
      </c>
      <c r="D123" s="1028" t="s">
        <v>8186</v>
      </c>
      <c r="E123" s="1030" t="s">
        <v>331</v>
      </c>
      <c r="F123" s="1031" t="s">
        <v>8521</v>
      </c>
      <c r="G123" s="1031" t="s">
        <v>5068</v>
      </c>
      <c r="H123" s="88">
        <f>INDEX('Import CO_24'!$A$4:$AAA$143,MATCH($G123,'Import CO_24'!$A$4:$A$143,0),MATCH(H$1,'Import CO_24'!$A$4:$AAA$4,0))</f>
        <v>0</v>
      </c>
      <c r="I123" s="88">
        <f>INDEX('Import CO_24'!$A$4:$AAA$143,MATCH($G123,'Import CO_24'!$A$4:$A$143,0),MATCH(I$1,'Import CO_24'!$A$4:$AAA$4,0))</f>
        <v>0</v>
      </c>
      <c r="J123" s="88">
        <f>INDEX('Import CO_24'!$A$4:$AAA$143,MATCH($G123,'Import CO_24'!$A$4:$A$143,0),MATCH(J$1,'Import CO_24'!$A$4:$AAA$4,0))</f>
        <v>0</v>
      </c>
    </row>
    <row r="124" spans="1:10" x14ac:dyDescent="0.2">
      <c r="A124" s="86" t="s">
        <v>7153</v>
      </c>
      <c r="B124" s="1067" t="s">
        <v>105</v>
      </c>
      <c r="C124" s="1037" t="s">
        <v>219</v>
      </c>
      <c r="D124" s="1028" t="s">
        <v>8186</v>
      </c>
      <c r="E124" s="1030" t="s">
        <v>334</v>
      </c>
      <c r="F124" s="1031" t="s">
        <v>8521</v>
      </c>
      <c r="G124" s="1031" t="s">
        <v>5074</v>
      </c>
      <c r="H124" s="88">
        <f>INDEX('Import CO_24'!$A$4:$AAA$143,MATCH($G124,'Import CO_24'!$A$4:$A$143,0),MATCH(H$1,'Import CO_24'!$A$4:$AAA$4,0))</f>
        <v>0</v>
      </c>
      <c r="I124" s="88">
        <f>INDEX('Import CO_24'!$A$4:$AAA$143,MATCH($G124,'Import CO_24'!$A$4:$A$143,0),MATCH(I$1,'Import CO_24'!$A$4:$AAA$4,0))</f>
        <v>0</v>
      </c>
      <c r="J124" s="88">
        <f>INDEX('Import CO_24'!$A$4:$AAA$143,MATCH($G124,'Import CO_24'!$A$4:$A$143,0),MATCH(J$1,'Import CO_24'!$A$4:$AAA$4,0))</f>
        <v>0</v>
      </c>
    </row>
    <row r="125" spans="1:10" x14ac:dyDescent="0.2">
      <c r="A125" s="86" t="s">
        <v>7154</v>
      </c>
      <c r="B125" s="1067" t="s">
        <v>105</v>
      </c>
      <c r="C125" s="1037" t="s">
        <v>219</v>
      </c>
      <c r="D125" s="1028" t="s">
        <v>8186</v>
      </c>
      <c r="E125" s="1030" t="s">
        <v>304</v>
      </c>
      <c r="F125" s="1031" t="s">
        <v>8521</v>
      </c>
      <c r="G125" s="1031" t="s">
        <v>5023</v>
      </c>
      <c r="H125" s="88">
        <f>INDEX('Import CO_24'!$A$4:$AAA$143,MATCH($G125,'Import CO_24'!$A$4:$A$143,0),MATCH(H$1,'Import CO_24'!$A$4:$AAA$4,0))</f>
        <v>64671.29</v>
      </c>
      <c r="I125" s="88">
        <f>INDEX('Import CO_24'!$A$4:$AAA$143,MATCH($G125,'Import CO_24'!$A$4:$A$143,0),MATCH(I$1,'Import CO_24'!$A$4:$AAA$4,0))</f>
        <v>4638.16</v>
      </c>
      <c r="J125" s="88">
        <f>INDEX('Import CO_24'!$A$4:$AAA$143,MATCH($G125,'Import CO_24'!$A$4:$A$143,0),MATCH(J$1,'Import CO_24'!$A$4:$AAA$4,0))</f>
        <v>0</v>
      </c>
    </row>
    <row r="126" spans="1:10" x14ac:dyDescent="0.2">
      <c r="A126" s="86" t="s">
        <v>7155</v>
      </c>
      <c r="B126" s="1067" t="s">
        <v>105</v>
      </c>
      <c r="C126" s="1037" t="s">
        <v>219</v>
      </c>
      <c r="D126" s="1028" t="s">
        <v>8186</v>
      </c>
      <c r="E126" s="1030" t="s">
        <v>306</v>
      </c>
      <c r="F126" s="1031" t="s">
        <v>8521</v>
      </c>
      <c r="G126" s="1031" t="s">
        <v>5029</v>
      </c>
      <c r="H126" s="88">
        <f>INDEX('Import CO_24'!$A$4:$AAA$143,MATCH($G126,'Import CO_24'!$A$4:$A$143,0),MATCH(H$1,'Import CO_24'!$A$4:$AAA$4,0))</f>
        <v>0</v>
      </c>
      <c r="I126" s="88">
        <f>INDEX('Import CO_24'!$A$4:$AAA$143,MATCH($G126,'Import CO_24'!$A$4:$A$143,0),MATCH(I$1,'Import CO_24'!$A$4:$AAA$4,0))</f>
        <v>0</v>
      </c>
      <c r="J126" s="88">
        <f>INDEX('Import CO_24'!$A$4:$AAA$143,MATCH($G126,'Import CO_24'!$A$4:$A$143,0),MATCH(J$1,'Import CO_24'!$A$4:$AAA$4,0))</f>
        <v>0</v>
      </c>
    </row>
    <row r="127" spans="1:10" x14ac:dyDescent="0.2">
      <c r="A127" s="86" t="s">
        <v>7156</v>
      </c>
      <c r="B127" s="1067" t="s">
        <v>105</v>
      </c>
      <c r="C127" s="1037" t="s">
        <v>219</v>
      </c>
      <c r="D127" s="1028" t="s">
        <v>8186</v>
      </c>
      <c r="E127" s="1030" t="s">
        <v>310</v>
      </c>
      <c r="F127" s="1031" t="s">
        <v>8521</v>
      </c>
      <c r="G127" s="1031" t="s">
        <v>5035</v>
      </c>
      <c r="H127" s="88">
        <f>INDEX('Import CO_24'!$A$4:$AAA$143,MATCH($G127,'Import CO_24'!$A$4:$A$143,0),MATCH(H$1,'Import CO_24'!$A$4:$AAA$4,0))</f>
        <v>0</v>
      </c>
      <c r="I127" s="88">
        <f>INDEX('Import CO_24'!$A$4:$AAA$143,MATCH($G127,'Import CO_24'!$A$4:$A$143,0),MATCH(I$1,'Import CO_24'!$A$4:$AAA$4,0))</f>
        <v>0</v>
      </c>
      <c r="J127" s="88">
        <f>INDEX('Import CO_24'!$A$4:$AAA$143,MATCH($G127,'Import CO_24'!$A$4:$A$143,0),MATCH(J$1,'Import CO_24'!$A$4:$AAA$4,0))</f>
        <v>0</v>
      </c>
    </row>
    <row r="128" spans="1:10" x14ac:dyDescent="0.2">
      <c r="A128" s="86" t="s">
        <v>7157</v>
      </c>
      <c r="B128" s="1067" t="s">
        <v>105</v>
      </c>
      <c r="C128" s="1037" t="s">
        <v>219</v>
      </c>
      <c r="D128" s="1028" t="s">
        <v>8186</v>
      </c>
      <c r="E128" s="1030" t="s">
        <v>314</v>
      </c>
      <c r="F128" s="1031" t="s">
        <v>8521</v>
      </c>
      <c r="G128" s="1031" t="s">
        <v>5041</v>
      </c>
      <c r="H128" s="88">
        <f>INDEX('Import CO_24'!$A$4:$AAA$143,MATCH($G128,'Import CO_24'!$A$4:$A$143,0),MATCH(H$1,'Import CO_24'!$A$4:$AAA$4,0))</f>
        <v>241691.91999999998</v>
      </c>
      <c r="I128" s="88">
        <f>INDEX('Import CO_24'!$A$4:$AAA$143,MATCH($G128,'Import CO_24'!$A$4:$A$143,0),MATCH(I$1,'Import CO_24'!$A$4:$AAA$4,0))</f>
        <v>16444.93</v>
      </c>
      <c r="J128" s="88">
        <f>INDEX('Import CO_24'!$A$4:$AAA$143,MATCH($G128,'Import CO_24'!$A$4:$A$143,0),MATCH(J$1,'Import CO_24'!$A$4:$AAA$4,0))</f>
        <v>0</v>
      </c>
    </row>
    <row r="129" spans="1:10" x14ac:dyDescent="0.2">
      <c r="A129" s="86" t="s">
        <v>7158</v>
      </c>
      <c r="B129" s="1067" t="s">
        <v>105</v>
      </c>
      <c r="C129" s="1037" t="s">
        <v>219</v>
      </c>
      <c r="D129" s="1028" t="s">
        <v>8186</v>
      </c>
      <c r="E129" s="1030" t="s">
        <v>320</v>
      </c>
      <c r="F129" s="1031" t="s">
        <v>8521</v>
      </c>
      <c r="G129" s="1031" t="s">
        <v>5051</v>
      </c>
      <c r="H129" s="88">
        <f>INDEX('Import CO_24'!$A$4:$AAA$143,MATCH($G129,'Import CO_24'!$A$4:$A$143,0),MATCH(H$1,'Import CO_24'!$A$4:$AAA$4,0))</f>
        <v>185026.73</v>
      </c>
      <c r="I129" s="88">
        <f>INDEX('Import CO_24'!$A$4:$AAA$143,MATCH($G129,'Import CO_24'!$A$4:$A$143,0),MATCH(I$1,'Import CO_24'!$A$4:$AAA$4,0))</f>
        <v>0</v>
      </c>
      <c r="J129" s="88">
        <f>INDEX('Import CO_24'!$A$4:$AAA$143,MATCH($G129,'Import CO_24'!$A$4:$A$143,0),MATCH(J$1,'Import CO_24'!$A$4:$AAA$4,0))</f>
        <v>0</v>
      </c>
    </row>
    <row r="130" spans="1:10" x14ac:dyDescent="0.2">
      <c r="A130" s="86" t="s">
        <v>7159</v>
      </c>
      <c r="B130" s="1067" t="s">
        <v>105</v>
      </c>
      <c r="C130" s="1037" t="s">
        <v>219</v>
      </c>
      <c r="D130" s="1028" t="s">
        <v>8186</v>
      </c>
      <c r="E130" s="1030" t="s">
        <v>325</v>
      </c>
      <c r="F130" s="1031" t="s">
        <v>8521</v>
      </c>
      <c r="G130" s="1031" t="s">
        <v>5057</v>
      </c>
      <c r="H130" s="88">
        <f>INDEX('Import CO_24'!$A$4:$AAA$143,MATCH($G130,'Import CO_24'!$A$4:$A$143,0),MATCH(H$1,'Import CO_24'!$A$4:$AAA$4,0))</f>
        <v>0</v>
      </c>
      <c r="I130" s="88">
        <f>INDEX('Import CO_24'!$A$4:$AAA$143,MATCH($G130,'Import CO_24'!$A$4:$A$143,0),MATCH(I$1,'Import CO_24'!$A$4:$AAA$4,0))</f>
        <v>0</v>
      </c>
      <c r="J130" s="88">
        <f>INDEX('Import CO_24'!$A$4:$AAA$143,MATCH($G130,'Import CO_24'!$A$4:$A$143,0),MATCH(J$1,'Import CO_24'!$A$4:$AAA$4,0))</f>
        <v>0</v>
      </c>
    </row>
    <row r="131" spans="1:10" x14ac:dyDescent="0.2">
      <c r="A131" s="86" t="s">
        <v>7160</v>
      </c>
      <c r="B131" s="1067" t="s">
        <v>105</v>
      </c>
      <c r="C131" s="1037" t="s">
        <v>219</v>
      </c>
      <c r="D131" s="1028" t="s">
        <v>8186</v>
      </c>
      <c r="E131" s="1030" t="s">
        <v>328</v>
      </c>
      <c r="F131" s="1031" t="s">
        <v>8521</v>
      </c>
      <c r="G131" s="1031" t="s">
        <v>5063</v>
      </c>
      <c r="H131" s="88">
        <f>INDEX('Import CO_24'!$A$4:$AAA$143,MATCH($G131,'Import CO_24'!$A$4:$A$143,0),MATCH(H$1,'Import CO_24'!$A$4:$AAA$4,0))</f>
        <v>0</v>
      </c>
      <c r="I131" s="88">
        <f>INDEX('Import CO_24'!$A$4:$AAA$143,MATCH($G131,'Import CO_24'!$A$4:$A$143,0),MATCH(I$1,'Import CO_24'!$A$4:$AAA$4,0))</f>
        <v>0</v>
      </c>
      <c r="J131" s="88">
        <f>INDEX('Import CO_24'!$A$4:$AAA$143,MATCH($G131,'Import CO_24'!$A$4:$A$143,0),MATCH(J$1,'Import CO_24'!$A$4:$AAA$4,0))</f>
        <v>0</v>
      </c>
    </row>
    <row r="132" spans="1:10" x14ac:dyDescent="0.2">
      <c r="A132" s="86" t="s">
        <v>7161</v>
      </c>
      <c r="B132" s="1067" t="s">
        <v>105</v>
      </c>
      <c r="C132" s="1037" t="s">
        <v>219</v>
      </c>
      <c r="D132" s="1028" t="s">
        <v>8186</v>
      </c>
      <c r="E132" s="1030" t="s">
        <v>332</v>
      </c>
      <c r="F132" s="1031" t="s">
        <v>8521</v>
      </c>
      <c r="G132" s="1031" t="s">
        <v>5069</v>
      </c>
      <c r="H132" s="88">
        <f>INDEX('Import CO_24'!$A$4:$AAA$143,MATCH($G132,'Import CO_24'!$A$4:$A$143,0),MATCH(H$1,'Import CO_24'!$A$4:$AAA$4,0))</f>
        <v>0</v>
      </c>
      <c r="I132" s="88">
        <f>INDEX('Import CO_24'!$A$4:$AAA$143,MATCH($G132,'Import CO_24'!$A$4:$A$143,0),MATCH(I$1,'Import CO_24'!$A$4:$AAA$4,0))</f>
        <v>0</v>
      </c>
      <c r="J132" s="88">
        <f>INDEX('Import CO_24'!$A$4:$AAA$143,MATCH($G132,'Import CO_24'!$A$4:$A$143,0),MATCH(J$1,'Import CO_24'!$A$4:$AAA$4,0))</f>
        <v>0</v>
      </c>
    </row>
    <row r="133" spans="1:10" x14ac:dyDescent="0.2">
      <c r="A133" s="86" t="s">
        <v>7162</v>
      </c>
      <c r="B133" s="1067" t="s">
        <v>105</v>
      </c>
      <c r="C133" s="1037" t="s">
        <v>219</v>
      </c>
      <c r="D133" s="1028" t="s">
        <v>8186</v>
      </c>
      <c r="E133" s="1030" t="s">
        <v>335</v>
      </c>
      <c r="F133" s="1031" t="s">
        <v>8521</v>
      </c>
      <c r="G133" s="1031" t="s">
        <v>5075</v>
      </c>
      <c r="H133" s="88">
        <f>INDEX('Import CO_24'!$A$4:$AAA$143,MATCH($G133,'Import CO_24'!$A$4:$A$143,0),MATCH(H$1,'Import CO_24'!$A$4:$AAA$4,0))</f>
        <v>0</v>
      </c>
      <c r="I133" s="88">
        <f>INDEX('Import CO_24'!$A$4:$AAA$143,MATCH($G133,'Import CO_24'!$A$4:$A$143,0),MATCH(I$1,'Import CO_24'!$A$4:$AAA$4,0))</f>
        <v>0</v>
      </c>
      <c r="J133" s="88">
        <f>INDEX('Import CO_24'!$A$4:$AAA$143,MATCH($G133,'Import CO_24'!$A$4:$A$143,0),MATCH(J$1,'Import CO_24'!$A$4:$AAA$4,0))</f>
        <v>0</v>
      </c>
    </row>
    <row r="134" spans="1:10" x14ac:dyDescent="0.2">
      <c r="A134" s="86" t="s">
        <v>7163</v>
      </c>
      <c r="B134" s="1067" t="s">
        <v>105</v>
      </c>
      <c r="C134" s="1037" t="s">
        <v>219</v>
      </c>
      <c r="D134" s="1028" t="s">
        <v>8186</v>
      </c>
      <c r="E134" s="1030" t="s">
        <v>675</v>
      </c>
      <c r="F134" s="1031" t="s">
        <v>8521</v>
      </c>
      <c r="G134" s="1031" t="s">
        <v>5024</v>
      </c>
      <c r="H134" s="88">
        <f>INDEX('Import CO_24'!$A$4:$AAA$143,MATCH($G134,'Import CO_24'!$A$4:$A$143,0),MATCH(H$1,'Import CO_24'!$A$4:$AAA$4,0))</f>
        <v>748883.39999999991</v>
      </c>
      <c r="I134" s="88">
        <f>INDEX('Import CO_24'!$A$4:$AAA$143,MATCH($G134,'Import CO_24'!$A$4:$A$143,0),MATCH(I$1,'Import CO_24'!$A$4:$AAA$4,0))</f>
        <v>87164.160000000003</v>
      </c>
      <c r="J134" s="88">
        <f>INDEX('Import CO_24'!$A$4:$AAA$143,MATCH($G134,'Import CO_24'!$A$4:$A$143,0),MATCH(J$1,'Import CO_24'!$A$4:$AAA$4,0))</f>
        <v>0</v>
      </c>
    </row>
    <row r="135" spans="1:10" x14ac:dyDescent="0.2">
      <c r="A135" s="86" t="s">
        <v>7164</v>
      </c>
      <c r="B135" s="1067" t="s">
        <v>105</v>
      </c>
      <c r="C135" s="1037" t="s">
        <v>219</v>
      </c>
      <c r="D135" s="1028" t="s">
        <v>8186</v>
      </c>
      <c r="E135" s="1030" t="s">
        <v>8190</v>
      </c>
      <c r="F135" s="1031" t="s">
        <v>8521</v>
      </c>
      <c r="G135" s="1031" t="s">
        <v>5030</v>
      </c>
      <c r="H135" s="88">
        <f>INDEX('Import CO_24'!$A$4:$AAA$143,MATCH($G135,'Import CO_24'!$A$4:$A$143,0),MATCH(H$1,'Import CO_24'!$A$4:$AAA$4,0))</f>
        <v>0</v>
      </c>
      <c r="I135" s="88">
        <f>INDEX('Import CO_24'!$A$4:$AAA$143,MATCH($G135,'Import CO_24'!$A$4:$A$143,0),MATCH(I$1,'Import CO_24'!$A$4:$AAA$4,0))</f>
        <v>0</v>
      </c>
      <c r="J135" s="88">
        <f>INDEX('Import CO_24'!$A$4:$AAA$143,MATCH($G135,'Import CO_24'!$A$4:$A$143,0),MATCH(J$1,'Import CO_24'!$A$4:$AAA$4,0))</f>
        <v>0</v>
      </c>
    </row>
    <row r="136" spans="1:10" x14ac:dyDescent="0.2">
      <c r="A136" s="86" t="s">
        <v>7165</v>
      </c>
      <c r="B136" s="1067" t="s">
        <v>105</v>
      </c>
      <c r="C136" s="1037" t="s">
        <v>219</v>
      </c>
      <c r="D136" s="1028" t="s">
        <v>8186</v>
      </c>
      <c r="E136" s="1030" t="s">
        <v>8191</v>
      </c>
      <c r="F136" s="1031" t="s">
        <v>8521</v>
      </c>
      <c r="G136" s="1031" t="s">
        <v>5036</v>
      </c>
      <c r="H136" s="88">
        <f>INDEX('Import CO_24'!$A$4:$AAA$143,MATCH($G136,'Import CO_24'!$A$4:$A$143,0),MATCH(H$1,'Import CO_24'!$A$4:$AAA$4,0))</f>
        <v>0</v>
      </c>
      <c r="I136" s="88">
        <f>INDEX('Import CO_24'!$A$4:$AAA$143,MATCH($G136,'Import CO_24'!$A$4:$A$143,0),MATCH(I$1,'Import CO_24'!$A$4:$AAA$4,0))</f>
        <v>0</v>
      </c>
      <c r="J136" s="88">
        <f>INDEX('Import CO_24'!$A$4:$AAA$143,MATCH($G136,'Import CO_24'!$A$4:$A$143,0),MATCH(J$1,'Import CO_24'!$A$4:$AAA$4,0))</f>
        <v>0</v>
      </c>
    </row>
    <row r="137" spans="1:10" x14ac:dyDescent="0.2">
      <c r="A137" s="86" t="s">
        <v>7166</v>
      </c>
      <c r="B137" s="1067" t="s">
        <v>105</v>
      </c>
      <c r="C137" s="1037" t="s">
        <v>219</v>
      </c>
      <c r="D137" s="1028" t="s">
        <v>8186</v>
      </c>
      <c r="E137" s="1030" t="s">
        <v>677</v>
      </c>
      <c r="F137" s="1031" t="s">
        <v>8521</v>
      </c>
      <c r="G137" s="1031" t="s">
        <v>5042</v>
      </c>
      <c r="H137" s="88">
        <f>INDEX('Import CO_24'!$A$4:$AAA$143,MATCH($G137,'Import CO_24'!$A$4:$A$143,0),MATCH(H$1,'Import CO_24'!$A$4:$AAA$4,0))</f>
        <v>2801247.48</v>
      </c>
      <c r="I137" s="88">
        <f>INDEX('Import CO_24'!$A$4:$AAA$143,MATCH($G137,'Import CO_24'!$A$4:$A$143,0),MATCH(I$1,'Import CO_24'!$A$4:$AAA$4,0))</f>
        <v>312536.65000000002</v>
      </c>
      <c r="J137" s="88">
        <f>INDEX('Import CO_24'!$A$4:$AAA$143,MATCH($G137,'Import CO_24'!$A$4:$A$143,0),MATCH(J$1,'Import CO_24'!$A$4:$AAA$4,0))</f>
        <v>0</v>
      </c>
    </row>
    <row r="138" spans="1:10" x14ac:dyDescent="0.2">
      <c r="A138" s="86" t="s">
        <v>7167</v>
      </c>
      <c r="B138" s="1067" t="s">
        <v>105</v>
      </c>
      <c r="C138" s="1037" t="s">
        <v>219</v>
      </c>
      <c r="D138" s="1028" t="s">
        <v>8186</v>
      </c>
      <c r="E138" s="1030" t="s">
        <v>680</v>
      </c>
      <c r="F138" s="1031" t="s">
        <v>8521</v>
      </c>
      <c r="G138" s="1031" t="s">
        <v>5052</v>
      </c>
      <c r="H138" s="88">
        <f>INDEX('Import CO_24'!$A$4:$AAA$143,MATCH($G138,'Import CO_24'!$A$4:$A$143,0),MATCH(H$1,'Import CO_24'!$A$4:$AAA$4,0))</f>
        <v>1725514.37</v>
      </c>
      <c r="I138" s="88">
        <f>INDEX('Import CO_24'!$A$4:$AAA$143,MATCH($G138,'Import CO_24'!$A$4:$A$143,0),MATCH(I$1,'Import CO_24'!$A$4:$AAA$4,0))</f>
        <v>0</v>
      </c>
      <c r="J138" s="88">
        <f>INDEX('Import CO_24'!$A$4:$AAA$143,MATCH($G138,'Import CO_24'!$A$4:$A$143,0),MATCH(J$1,'Import CO_24'!$A$4:$AAA$4,0))</f>
        <v>0</v>
      </c>
    </row>
    <row r="139" spans="1:10" x14ac:dyDescent="0.2">
      <c r="A139" s="86" t="s">
        <v>7168</v>
      </c>
      <c r="B139" s="1067" t="s">
        <v>105</v>
      </c>
      <c r="C139" s="1037" t="s">
        <v>219</v>
      </c>
      <c r="D139" s="1028" t="s">
        <v>8186</v>
      </c>
      <c r="E139" s="1030" t="s">
        <v>8192</v>
      </c>
      <c r="F139" s="1031" t="s">
        <v>8521</v>
      </c>
      <c r="G139" s="1031" t="s">
        <v>5058</v>
      </c>
      <c r="H139" s="88">
        <f>INDEX('Import CO_24'!$A$4:$AAA$143,MATCH($G139,'Import CO_24'!$A$4:$A$143,0),MATCH(H$1,'Import CO_24'!$A$4:$AAA$4,0))</f>
        <v>0</v>
      </c>
      <c r="I139" s="88">
        <f>INDEX('Import CO_24'!$A$4:$AAA$143,MATCH($G139,'Import CO_24'!$A$4:$A$143,0),MATCH(I$1,'Import CO_24'!$A$4:$AAA$4,0))</f>
        <v>0</v>
      </c>
      <c r="J139" s="88">
        <f>INDEX('Import CO_24'!$A$4:$AAA$143,MATCH($G139,'Import CO_24'!$A$4:$A$143,0),MATCH(J$1,'Import CO_24'!$A$4:$AAA$4,0))</f>
        <v>0</v>
      </c>
    </row>
    <row r="140" spans="1:10" x14ac:dyDescent="0.2">
      <c r="A140" s="86" t="s">
        <v>7169</v>
      </c>
      <c r="B140" s="1067" t="s">
        <v>105</v>
      </c>
      <c r="C140" s="1037" t="s">
        <v>219</v>
      </c>
      <c r="D140" s="1028" t="s">
        <v>8186</v>
      </c>
      <c r="E140" s="1030" t="s">
        <v>8193</v>
      </c>
      <c r="F140" s="1031" t="s">
        <v>8521</v>
      </c>
      <c r="G140" s="1031" t="s">
        <v>5064</v>
      </c>
      <c r="H140" s="88">
        <f>INDEX('Import CO_24'!$A$4:$AAA$143,MATCH($G140,'Import CO_24'!$A$4:$A$143,0),MATCH(H$1,'Import CO_24'!$A$4:$AAA$4,0))</f>
        <v>0</v>
      </c>
      <c r="I140" s="88">
        <f>INDEX('Import CO_24'!$A$4:$AAA$143,MATCH($G140,'Import CO_24'!$A$4:$A$143,0),MATCH(I$1,'Import CO_24'!$A$4:$AAA$4,0))</f>
        <v>0</v>
      </c>
      <c r="J140" s="88">
        <f>INDEX('Import CO_24'!$A$4:$AAA$143,MATCH($G140,'Import CO_24'!$A$4:$A$143,0),MATCH(J$1,'Import CO_24'!$A$4:$AAA$4,0))</f>
        <v>0</v>
      </c>
    </row>
    <row r="141" spans="1:10" x14ac:dyDescent="0.2">
      <c r="A141" s="86" t="s">
        <v>7170</v>
      </c>
      <c r="B141" s="1067" t="s">
        <v>105</v>
      </c>
      <c r="C141" s="1037" t="s">
        <v>219</v>
      </c>
      <c r="D141" s="1028" t="s">
        <v>8186</v>
      </c>
      <c r="E141" s="1030" t="s">
        <v>682</v>
      </c>
      <c r="F141" s="1031" t="s">
        <v>8521</v>
      </c>
      <c r="G141" s="1031" t="s">
        <v>5070</v>
      </c>
      <c r="H141" s="88">
        <f>INDEX('Import CO_24'!$A$4:$AAA$143,MATCH($G141,'Import CO_24'!$A$4:$A$143,0),MATCH(H$1,'Import CO_24'!$A$4:$AAA$4,0))</f>
        <v>0</v>
      </c>
      <c r="I141" s="88">
        <f>INDEX('Import CO_24'!$A$4:$AAA$143,MATCH($G141,'Import CO_24'!$A$4:$A$143,0),MATCH(I$1,'Import CO_24'!$A$4:$AAA$4,0))</f>
        <v>0</v>
      </c>
      <c r="J141" s="88">
        <f>INDEX('Import CO_24'!$A$4:$AAA$143,MATCH($G141,'Import CO_24'!$A$4:$A$143,0),MATCH(J$1,'Import CO_24'!$A$4:$AAA$4,0))</f>
        <v>0</v>
      </c>
    </row>
    <row r="142" spans="1:10" x14ac:dyDescent="0.2">
      <c r="A142" s="86" t="s">
        <v>7171</v>
      </c>
      <c r="B142" s="1067" t="s">
        <v>105</v>
      </c>
      <c r="C142" s="1037" t="s">
        <v>219</v>
      </c>
      <c r="D142" s="1028" t="s">
        <v>8186</v>
      </c>
      <c r="E142" s="1030" t="s">
        <v>8194</v>
      </c>
      <c r="F142" s="1031" t="s">
        <v>8521</v>
      </c>
      <c r="G142" s="1031" t="s">
        <v>5076</v>
      </c>
      <c r="H142" s="88">
        <f>INDEX('Import CO_24'!$A$4:$AAA$143,MATCH($G142,'Import CO_24'!$A$4:$A$143,0),MATCH(H$1,'Import CO_24'!$A$4:$AAA$4,0))</f>
        <v>0</v>
      </c>
      <c r="I142" s="88">
        <f>INDEX('Import CO_24'!$A$4:$AAA$143,MATCH($G142,'Import CO_24'!$A$4:$A$143,0),MATCH(I$1,'Import CO_24'!$A$4:$AAA$4,0))</f>
        <v>0</v>
      </c>
      <c r="J142" s="88">
        <f>INDEX('Import CO_24'!$A$4:$AAA$143,MATCH($G142,'Import CO_24'!$A$4:$A$143,0),MATCH(J$1,'Import CO_24'!$A$4:$AAA$4,0))</f>
        <v>0</v>
      </c>
    </row>
    <row r="143" spans="1:10" x14ac:dyDescent="0.2">
      <c r="A143" s="86" t="s">
        <v>7172</v>
      </c>
      <c r="B143" s="1067" t="s">
        <v>105</v>
      </c>
      <c r="C143" s="1037" t="s">
        <v>219</v>
      </c>
      <c r="D143" s="1028" t="s">
        <v>8186</v>
      </c>
      <c r="E143" s="1030" t="s">
        <v>676</v>
      </c>
      <c r="F143" s="1031" t="s">
        <v>8521</v>
      </c>
      <c r="G143" s="1031" t="s">
        <v>5025</v>
      </c>
      <c r="H143" s="88">
        <f>INDEX('Import CO_24'!$A$4:$AAA$143,MATCH($G143,'Import CO_24'!$A$4:$A$143,0),MATCH(H$1,'Import CO_24'!$A$4:$AAA$4,0))</f>
        <v>-5509.53</v>
      </c>
      <c r="I143" s="88">
        <f>INDEX('Import CO_24'!$A$4:$AAA$143,MATCH($G143,'Import CO_24'!$A$4:$A$143,0),MATCH(I$1,'Import CO_24'!$A$4:$AAA$4,0))</f>
        <v>-1022.24</v>
      </c>
      <c r="J143" s="88">
        <f>INDEX('Import CO_24'!$A$4:$AAA$143,MATCH($G143,'Import CO_24'!$A$4:$A$143,0),MATCH(J$1,'Import CO_24'!$A$4:$AAA$4,0))</f>
        <v>0</v>
      </c>
    </row>
    <row r="144" spans="1:10" x14ac:dyDescent="0.2">
      <c r="A144" s="86" t="s">
        <v>7173</v>
      </c>
      <c r="B144" s="1067" t="s">
        <v>105</v>
      </c>
      <c r="C144" s="1037" t="s">
        <v>219</v>
      </c>
      <c r="D144" s="1028" t="s">
        <v>8186</v>
      </c>
      <c r="E144" s="1030" t="s">
        <v>8195</v>
      </c>
      <c r="F144" s="1031" t="s">
        <v>8521</v>
      </c>
      <c r="G144" s="1031" t="s">
        <v>5031</v>
      </c>
      <c r="H144" s="88">
        <f>INDEX('Import CO_24'!$A$4:$AAA$143,MATCH($G144,'Import CO_24'!$A$4:$A$143,0),MATCH(H$1,'Import CO_24'!$A$4:$AAA$4,0))</f>
        <v>0</v>
      </c>
      <c r="I144" s="88">
        <f>INDEX('Import CO_24'!$A$4:$AAA$143,MATCH($G144,'Import CO_24'!$A$4:$A$143,0),MATCH(I$1,'Import CO_24'!$A$4:$AAA$4,0))</f>
        <v>0</v>
      </c>
      <c r="J144" s="88">
        <f>INDEX('Import CO_24'!$A$4:$AAA$143,MATCH($G144,'Import CO_24'!$A$4:$A$143,0),MATCH(J$1,'Import CO_24'!$A$4:$AAA$4,0))</f>
        <v>0</v>
      </c>
    </row>
    <row r="145" spans="1:10" x14ac:dyDescent="0.2">
      <c r="A145" s="86" t="s">
        <v>7174</v>
      </c>
      <c r="B145" s="1067" t="s">
        <v>105</v>
      </c>
      <c r="C145" s="1037" t="s">
        <v>219</v>
      </c>
      <c r="D145" s="1028" t="s">
        <v>8186</v>
      </c>
      <c r="E145" s="1030" t="s">
        <v>8196</v>
      </c>
      <c r="F145" s="1031" t="s">
        <v>8521</v>
      </c>
      <c r="G145" s="1031" t="s">
        <v>5037</v>
      </c>
      <c r="H145" s="88">
        <f>INDEX('Import CO_24'!$A$4:$AAA$143,MATCH($G145,'Import CO_24'!$A$4:$A$143,0),MATCH(H$1,'Import CO_24'!$A$4:$AAA$4,0))</f>
        <v>0</v>
      </c>
      <c r="I145" s="88">
        <f>INDEX('Import CO_24'!$A$4:$AAA$143,MATCH($G145,'Import CO_24'!$A$4:$A$143,0),MATCH(I$1,'Import CO_24'!$A$4:$AAA$4,0))</f>
        <v>0</v>
      </c>
      <c r="J145" s="88">
        <f>INDEX('Import CO_24'!$A$4:$AAA$143,MATCH($G145,'Import CO_24'!$A$4:$A$143,0),MATCH(J$1,'Import CO_24'!$A$4:$AAA$4,0))</f>
        <v>0</v>
      </c>
    </row>
    <row r="146" spans="1:10" x14ac:dyDescent="0.2">
      <c r="A146" s="86" t="s">
        <v>7175</v>
      </c>
      <c r="B146" s="1067" t="s">
        <v>105</v>
      </c>
      <c r="C146" s="1037" t="s">
        <v>219</v>
      </c>
      <c r="D146" s="1028" t="s">
        <v>8186</v>
      </c>
      <c r="E146" s="1030" t="s">
        <v>678</v>
      </c>
      <c r="F146" s="1031" t="s">
        <v>8521</v>
      </c>
      <c r="G146" s="1031" t="s">
        <v>5043</v>
      </c>
      <c r="H146" s="88">
        <f>INDEX('Import CO_24'!$A$4:$AAA$143,MATCH($G146,'Import CO_24'!$A$4:$A$143,0),MATCH(H$1,'Import CO_24'!$A$4:$AAA$4,0))</f>
        <v>-20996.46</v>
      </c>
      <c r="I146" s="88">
        <f>INDEX('Import CO_24'!$A$4:$AAA$143,MATCH($G146,'Import CO_24'!$A$4:$A$143,0),MATCH(I$1,'Import CO_24'!$A$4:$AAA$4,0))</f>
        <v>-3330.53</v>
      </c>
      <c r="J146" s="88">
        <f>INDEX('Import CO_24'!$A$4:$AAA$143,MATCH($G146,'Import CO_24'!$A$4:$A$143,0),MATCH(J$1,'Import CO_24'!$A$4:$AAA$4,0))</f>
        <v>0</v>
      </c>
    </row>
    <row r="147" spans="1:10" x14ac:dyDescent="0.2">
      <c r="A147" s="86" t="s">
        <v>7176</v>
      </c>
      <c r="B147" s="1067" t="s">
        <v>105</v>
      </c>
      <c r="C147" s="1037" t="s">
        <v>219</v>
      </c>
      <c r="D147" s="1028" t="s">
        <v>8186</v>
      </c>
      <c r="E147" s="1030" t="s">
        <v>681</v>
      </c>
      <c r="F147" s="1031" t="s">
        <v>8521</v>
      </c>
      <c r="G147" s="1031" t="s">
        <v>5053</v>
      </c>
      <c r="H147" s="88">
        <f>INDEX('Import CO_24'!$A$4:$AAA$143,MATCH($G147,'Import CO_24'!$A$4:$A$143,0),MATCH(H$1,'Import CO_24'!$A$4:$AAA$4,0))</f>
        <v>0</v>
      </c>
      <c r="I147" s="88">
        <f>INDEX('Import CO_24'!$A$4:$AAA$143,MATCH($G147,'Import CO_24'!$A$4:$A$143,0),MATCH(I$1,'Import CO_24'!$A$4:$AAA$4,0))</f>
        <v>0</v>
      </c>
      <c r="J147" s="88">
        <f>INDEX('Import CO_24'!$A$4:$AAA$143,MATCH($G147,'Import CO_24'!$A$4:$A$143,0),MATCH(J$1,'Import CO_24'!$A$4:$AAA$4,0))</f>
        <v>0</v>
      </c>
    </row>
    <row r="148" spans="1:10" x14ac:dyDescent="0.2">
      <c r="A148" s="86" t="s">
        <v>7177</v>
      </c>
      <c r="B148" s="1067" t="s">
        <v>105</v>
      </c>
      <c r="C148" s="1037" t="s">
        <v>219</v>
      </c>
      <c r="D148" s="1028" t="s">
        <v>8186</v>
      </c>
      <c r="E148" s="1030" t="s">
        <v>8197</v>
      </c>
      <c r="F148" s="1031" t="s">
        <v>8521</v>
      </c>
      <c r="G148" s="1031" t="s">
        <v>5059</v>
      </c>
      <c r="H148" s="88">
        <f>INDEX('Import CO_24'!$A$4:$AAA$143,MATCH($G148,'Import CO_24'!$A$4:$A$143,0),MATCH(H$1,'Import CO_24'!$A$4:$AAA$4,0))</f>
        <v>0</v>
      </c>
      <c r="I148" s="88">
        <f>INDEX('Import CO_24'!$A$4:$AAA$143,MATCH($G148,'Import CO_24'!$A$4:$A$143,0),MATCH(I$1,'Import CO_24'!$A$4:$AAA$4,0))</f>
        <v>0</v>
      </c>
      <c r="J148" s="88">
        <f>INDEX('Import CO_24'!$A$4:$AAA$143,MATCH($G148,'Import CO_24'!$A$4:$A$143,0),MATCH(J$1,'Import CO_24'!$A$4:$AAA$4,0))</f>
        <v>0</v>
      </c>
    </row>
    <row r="149" spans="1:10" x14ac:dyDescent="0.2">
      <c r="A149" s="86" t="s">
        <v>7178</v>
      </c>
      <c r="B149" s="1067" t="s">
        <v>105</v>
      </c>
      <c r="C149" s="1037" t="s">
        <v>219</v>
      </c>
      <c r="D149" s="1028" t="s">
        <v>8186</v>
      </c>
      <c r="E149" s="1030" t="s">
        <v>8198</v>
      </c>
      <c r="F149" s="1031" t="s">
        <v>8521</v>
      </c>
      <c r="G149" s="1031" t="s">
        <v>5065</v>
      </c>
      <c r="H149" s="88">
        <f>INDEX('Import CO_24'!$A$4:$AAA$143,MATCH($G149,'Import CO_24'!$A$4:$A$143,0),MATCH(H$1,'Import CO_24'!$A$4:$AAA$4,0))</f>
        <v>0</v>
      </c>
      <c r="I149" s="88">
        <f>INDEX('Import CO_24'!$A$4:$AAA$143,MATCH($G149,'Import CO_24'!$A$4:$A$143,0),MATCH(I$1,'Import CO_24'!$A$4:$AAA$4,0))</f>
        <v>0</v>
      </c>
      <c r="J149" s="88">
        <f>INDEX('Import CO_24'!$A$4:$AAA$143,MATCH($G149,'Import CO_24'!$A$4:$A$143,0),MATCH(J$1,'Import CO_24'!$A$4:$AAA$4,0))</f>
        <v>0</v>
      </c>
    </row>
    <row r="150" spans="1:10" x14ac:dyDescent="0.2">
      <c r="A150" s="86" t="s">
        <v>7179</v>
      </c>
      <c r="B150" s="1067" t="s">
        <v>105</v>
      </c>
      <c r="C150" s="1037" t="s">
        <v>219</v>
      </c>
      <c r="D150" s="1028" t="s">
        <v>8186</v>
      </c>
      <c r="E150" s="1030" t="s">
        <v>683</v>
      </c>
      <c r="F150" s="1031" t="s">
        <v>8521</v>
      </c>
      <c r="G150" s="1031" t="s">
        <v>5071</v>
      </c>
      <c r="H150" s="88">
        <f>INDEX('Import CO_24'!$A$4:$AAA$143,MATCH($G150,'Import CO_24'!$A$4:$A$143,0),MATCH(H$1,'Import CO_24'!$A$4:$AAA$4,0))</f>
        <v>0</v>
      </c>
      <c r="I150" s="88">
        <f>INDEX('Import CO_24'!$A$4:$AAA$143,MATCH($G150,'Import CO_24'!$A$4:$A$143,0),MATCH(I$1,'Import CO_24'!$A$4:$AAA$4,0))</f>
        <v>0</v>
      </c>
      <c r="J150" s="88">
        <f>INDEX('Import CO_24'!$A$4:$AAA$143,MATCH($G150,'Import CO_24'!$A$4:$A$143,0),MATCH(J$1,'Import CO_24'!$A$4:$AAA$4,0))</f>
        <v>0</v>
      </c>
    </row>
    <row r="151" spans="1:10" x14ac:dyDescent="0.2">
      <c r="A151" s="86" t="s">
        <v>7180</v>
      </c>
      <c r="B151" s="1067" t="s">
        <v>105</v>
      </c>
      <c r="C151" s="1037" t="s">
        <v>219</v>
      </c>
      <c r="D151" s="1028" t="s">
        <v>8186</v>
      </c>
      <c r="E151" s="1030" t="s">
        <v>8199</v>
      </c>
      <c r="F151" s="1031" t="s">
        <v>8521</v>
      </c>
      <c r="G151" s="1031" t="s">
        <v>5077</v>
      </c>
      <c r="H151" s="88">
        <f>INDEX('Import CO_24'!$A$4:$AAA$143,MATCH($G151,'Import CO_24'!$A$4:$A$143,0),MATCH(H$1,'Import CO_24'!$A$4:$AAA$4,0))</f>
        <v>0</v>
      </c>
      <c r="I151" s="88">
        <f>INDEX('Import CO_24'!$A$4:$AAA$143,MATCH($G151,'Import CO_24'!$A$4:$A$143,0),MATCH(I$1,'Import CO_24'!$A$4:$AAA$4,0))</f>
        <v>0</v>
      </c>
      <c r="J151" s="88">
        <f>INDEX('Import CO_24'!$A$4:$AAA$143,MATCH($G151,'Import CO_24'!$A$4:$A$143,0),MATCH(J$1,'Import CO_24'!$A$4:$AAA$4,0))</f>
        <v>0</v>
      </c>
    </row>
    <row r="152" spans="1:10" x14ac:dyDescent="0.2">
      <c r="A152" s="86" t="s">
        <v>7181</v>
      </c>
      <c r="B152" s="1067" t="s">
        <v>105</v>
      </c>
      <c r="C152" s="1037" t="s">
        <v>219</v>
      </c>
      <c r="D152" s="1028" t="s">
        <v>8186</v>
      </c>
      <c r="E152" s="1030" t="s">
        <v>367</v>
      </c>
      <c r="F152" s="1031" t="s">
        <v>8521</v>
      </c>
      <c r="G152" s="1031" t="s">
        <v>5026</v>
      </c>
      <c r="H152" s="88">
        <f>INDEX('Import CO_24'!$A$4:$AAA$143,MATCH($G152,'Import CO_24'!$A$4:$A$143,0),MATCH(H$1,'Import CO_24'!$A$4:$AAA$4,0))</f>
        <v>1885.1</v>
      </c>
      <c r="I152" s="88">
        <f>INDEX('Import CO_24'!$A$4:$AAA$143,MATCH($G152,'Import CO_24'!$A$4:$A$143,0),MATCH(I$1,'Import CO_24'!$A$4:$AAA$4,0))</f>
        <v>0</v>
      </c>
      <c r="J152" s="88">
        <f>INDEX('Import CO_24'!$A$4:$AAA$143,MATCH($G152,'Import CO_24'!$A$4:$A$143,0),MATCH(J$1,'Import CO_24'!$A$4:$AAA$4,0))</f>
        <v>0</v>
      </c>
    </row>
    <row r="153" spans="1:10" x14ac:dyDescent="0.2">
      <c r="A153" s="86" t="s">
        <v>7182</v>
      </c>
      <c r="B153" s="1067" t="s">
        <v>105</v>
      </c>
      <c r="C153" s="1037" t="s">
        <v>219</v>
      </c>
      <c r="D153" s="1028" t="s">
        <v>8186</v>
      </c>
      <c r="E153" s="1030" t="s">
        <v>8200</v>
      </c>
      <c r="F153" s="1031" t="s">
        <v>8521</v>
      </c>
      <c r="G153" s="1031" t="s">
        <v>5032</v>
      </c>
      <c r="H153" s="88">
        <f>INDEX('Import CO_24'!$A$4:$AAA$143,MATCH($G153,'Import CO_24'!$A$4:$A$143,0),MATCH(H$1,'Import CO_24'!$A$4:$AAA$4,0))</f>
        <v>0</v>
      </c>
      <c r="I153" s="88">
        <f>INDEX('Import CO_24'!$A$4:$AAA$143,MATCH($G153,'Import CO_24'!$A$4:$A$143,0),MATCH(I$1,'Import CO_24'!$A$4:$AAA$4,0))</f>
        <v>0</v>
      </c>
      <c r="J153" s="88">
        <f>INDEX('Import CO_24'!$A$4:$AAA$143,MATCH($G153,'Import CO_24'!$A$4:$A$143,0),MATCH(J$1,'Import CO_24'!$A$4:$AAA$4,0))</f>
        <v>0</v>
      </c>
    </row>
    <row r="154" spans="1:10" x14ac:dyDescent="0.2">
      <c r="A154" s="86" t="s">
        <v>7183</v>
      </c>
      <c r="B154" s="1067" t="s">
        <v>105</v>
      </c>
      <c r="C154" s="1037" t="s">
        <v>219</v>
      </c>
      <c r="D154" s="1028" t="s">
        <v>8186</v>
      </c>
      <c r="E154" s="1030" t="s">
        <v>8201</v>
      </c>
      <c r="F154" s="1031" t="s">
        <v>8521</v>
      </c>
      <c r="G154" s="1031" t="s">
        <v>5038</v>
      </c>
      <c r="H154" s="88">
        <f>INDEX('Import CO_24'!$A$4:$AAA$143,MATCH($G154,'Import CO_24'!$A$4:$A$143,0),MATCH(H$1,'Import CO_24'!$A$4:$AAA$4,0))</f>
        <v>0</v>
      </c>
      <c r="I154" s="88">
        <f>INDEX('Import CO_24'!$A$4:$AAA$143,MATCH($G154,'Import CO_24'!$A$4:$A$143,0),MATCH(I$1,'Import CO_24'!$A$4:$AAA$4,0))</f>
        <v>0</v>
      </c>
      <c r="J154" s="88">
        <f>INDEX('Import CO_24'!$A$4:$AAA$143,MATCH($G154,'Import CO_24'!$A$4:$A$143,0),MATCH(J$1,'Import CO_24'!$A$4:$AAA$4,0))</f>
        <v>0</v>
      </c>
    </row>
    <row r="155" spans="1:10" x14ac:dyDescent="0.2">
      <c r="A155" s="86" t="s">
        <v>7184</v>
      </c>
      <c r="B155" s="1067" t="s">
        <v>105</v>
      </c>
      <c r="C155" s="1037" t="s">
        <v>219</v>
      </c>
      <c r="D155" s="1028" t="s">
        <v>8186</v>
      </c>
      <c r="E155" s="1030" t="s">
        <v>679</v>
      </c>
      <c r="F155" s="1031" t="s">
        <v>8521</v>
      </c>
      <c r="G155" s="1031" t="s">
        <v>5044</v>
      </c>
      <c r="H155" s="88">
        <f>INDEX('Import CO_24'!$A$4:$AAA$143,MATCH($G155,'Import CO_24'!$A$4:$A$143,0),MATCH(H$1,'Import CO_24'!$A$4:$AAA$4,0))</f>
        <v>10194.1</v>
      </c>
      <c r="I155" s="88">
        <f>INDEX('Import CO_24'!$A$4:$AAA$143,MATCH($G155,'Import CO_24'!$A$4:$A$143,0),MATCH(I$1,'Import CO_24'!$A$4:$AAA$4,0))</f>
        <v>0</v>
      </c>
      <c r="J155" s="88">
        <f>INDEX('Import CO_24'!$A$4:$AAA$143,MATCH($G155,'Import CO_24'!$A$4:$A$143,0),MATCH(J$1,'Import CO_24'!$A$4:$AAA$4,0))</f>
        <v>0</v>
      </c>
    </row>
    <row r="156" spans="1:10" x14ac:dyDescent="0.2">
      <c r="A156" s="86" t="s">
        <v>7185</v>
      </c>
      <c r="B156" s="1067" t="s">
        <v>105</v>
      </c>
      <c r="C156" s="1037" t="s">
        <v>219</v>
      </c>
      <c r="D156" s="1028" t="s">
        <v>8186</v>
      </c>
      <c r="E156" s="1030" t="s">
        <v>368</v>
      </c>
      <c r="F156" s="1031" t="s">
        <v>8521</v>
      </c>
      <c r="G156" s="1031" t="s">
        <v>5054</v>
      </c>
      <c r="H156" s="88">
        <f>INDEX('Import CO_24'!$A$4:$AAA$143,MATCH($G156,'Import CO_24'!$A$4:$A$143,0),MATCH(H$1,'Import CO_24'!$A$4:$AAA$4,0))</f>
        <v>4040.3100000000004</v>
      </c>
      <c r="I156" s="88">
        <f>INDEX('Import CO_24'!$A$4:$AAA$143,MATCH($G156,'Import CO_24'!$A$4:$A$143,0),MATCH(I$1,'Import CO_24'!$A$4:$AAA$4,0))</f>
        <v>0</v>
      </c>
      <c r="J156" s="88">
        <f>INDEX('Import CO_24'!$A$4:$AAA$143,MATCH($G156,'Import CO_24'!$A$4:$A$143,0),MATCH(J$1,'Import CO_24'!$A$4:$AAA$4,0))</f>
        <v>0</v>
      </c>
    </row>
    <row r="157" spans="1:10" x14ac:dyDescent="0.2">
      <c r="A157" s="86" t="s">
        <v>7186</v>
      </c>
      <c r="B157" s="1067" t="s">
        <v>105</v>
      </c>
      <c r="C157" s="1037" t="s">
        <v>219</v>
      </c>
      <c r="D157" s="1028" t="s">
        <v>8186</v>
      </c>
      <c r="E157" s="1030" t="s">
        <v>8202</v>
      </c>
      <c r="F157" s="1031" t="s">
        <v>8521</v>
      </c>
      <c r="G157" s="1031" t="s">
        <v>5060</v>
      </c>
      <c r="H157" s="88">
        <f>INDEX('Import CO_24'!$A$4:$AAA$143,MATCH($G157,'Import CO_24'!$A$4:$A$143,0),MATCH(H$1,'Import CO_24'!$A$4:$AAA$4,0))</f>
        <v>0</v>
      </c>
      <c r="I157" s="88">
        <f>INDEX('Import CO_24'!$A$4:$AAA$143,MATCH($G157,'Import CO_24'!$A$4:$A$143,0),MATCH(I$1,'Import CO_24'!$A$4:$AAA$4,0))</f>
        <v>0</v>
      </c>
      <c r="J157" s="88">
        <f>INDEX('Import CO_24'!$A$4:$AAA$143,MATCH($G157,'Import CO_24'!$A$4:$A$143,0),MATCH(J$1,'Import CO_24'!$A$4:$AAA$4,0))</f>
        <v>0</v>
      </c>
    </row>
    <row r="158" spans="1:10" x14ac:dyDescent="0.2">
      <c r="A158" s="86" t="s">
        <v>7187</v>
      </c>
      <c r="B158" s="1067" t="s">
        <v>105</v>
      </c>
      <c r="C158" s="1037" t="s">
        <v>219</v>
      </c>
      <c r="D158" s="1028" t="s">
        <v>8186</v>
      </c>
      <c r="E158" s="1030" t="s">
        <v>8203</v>
      </c>
      <c r="F158" s="1031" t="s">
        <v>8521</v>
      </c>
      <c r="G158" s="1031" t="s">
        <v>5066</v>
      </c>
      <c r="H158" s="88">
        <f>INDEX('Import CO_24'!$A$4:$AAA$143,MATCH($G158,'Import CO_24'!$A$4:$A$143,0),MATCH(H$1,'Import CO_24'!$A$4:$AAA$4,0))</f>
        <v>-5242.54</v>
      </c>
      <c r="I158" s="88">
        <f>INDEX('Import CO_24'!$A$4:$AAA$143,MATCH($G158,'Import CO_24'!$A$4:$A$143,0),MATCH(I$1,'Import CO_24'!$A$4:$AAA$4,0))</f>
        <v>-508.98</v>
      </c>
      <c r="J158" s="88">
        <f>INDEX('Import CO_24'!$A$4:$AAA$143,MATCH($G158,'Import CO_24'!$A$4:$A$143,0),MATCH(J$1,'Import CO_24'!$A$4:$AAA$4,0))</f>
        <v>0</v>
      </c>
    </row>
    <row r="159" spans="1:10" x14ac:dyDescent="0.2">
      <c r="A159" s="86" t="s">
        <v>7188</v>
      </c>
      <c r="B159" s="1067" t="s">
        <v>105</v>
      </c>
      <c r="C159" s="1037" t="s">
        <v>219</v>
      </c>
      <c r="D159" s="1028" t="s">
        <v>8186</v>
      </c>
      <c r="E159" s="1030" t="s">
        <v>684</v>
      </c>
      <c r="F159" s="1031" t="s">
        <v>8521</v>
      </c>
      <c r="G159" s="1031" t="s">
        <v>5072</v>
      </c>
      <c r="H159" s="88">
        <f>INDEX('Import CO_24'!$A$4:$AAA$143,MATCH($G159,'Import CO_24'!$A$4:$A$143,0),MATCH(H$1,'Import CO_24'!$A$4:$AAA$4,0))</f>
        <v>0</v>
      </c>
      <c r="I159" s="88">
        <f>INDEX('Import CO_24'!$A$4:$AAA$143,MATCH($G159,'Import CO_24'!$A$4:$A$143,0),MATCH(I$1,'Import CO_24'!$A$4:$AAA$4,0))</f>
        <v>0</v>
      </c>
      <c r="J159" s="88">
        <f>INDEX('Import CO_24'!$A$4:$AAA$143,MATCH($G159,'Import CO_24'!$A$4:$A$143,0),MATCH(J$1,'Import CO_24'!$A$4:$AAA$4,0))</f>
        <v>0</v>
      </c>
    </row>
    <row r="160" spans="1:10" x14ac:dyDescent="0.2">
      <c r="A160" s="86" t="s">
        <v>7189</v>
      </c>
      <c r="B160" s="1067" t="s">
        <v>105</v>
      </c>
      <c r="C160" s="1037" t="s">
        <v>219</v>
      </c>
      <c r="D160" s="1028" t="s">
        <v>8186</v>
      </c>
      <c r="E160" s="1030" t="s">
        <v>8204</v>
      </c>
      <c r="F160" s="1031" t="s">
        <v>8521</v>
      </c>
      <c r="G160" s="1031" t="s">
        <v>5078</v>
      </c>
      <c r="H160" s="88">
        <f>INDEX('Import CO_24'!$A$4:$AAA$143,MATCH($G160,'Import CO_24'!$A$4:$A$143,0),MATCH(H$1,'Import CO_24'!$A$4:$AAA$4,0))</f>
        <v>0</v>
      </c>
      <c r="I160" s="88">
        <f>INDEX('Import CO_24'!$A$4:$AAA$143,MATCH($G160,'Import CO_24'!$A$4:$A$143,0),MATCH(I$1,'Import CO_24'!$A$4:$AAA$4,0))</f>
        <v>0</v>
      </c>
      <c r="J160" s="88">
        <f>INDEX('Import CO_24'!$A$4:$AAA$143,MATCH($G160,'Import CO_24'!$A$4:$A$143,0),MATCH(J$1,'Import CO_24'!$A$4:$AAA$4,0))</f>
        <v>0</v>
      </c>
    </row>
    <row r="161" spans="1:10" x14ac:dyDescent="0.2">
      <c r="A161" s="86" t="s">
        <v>7190</v>
      </c>
      <c r="B161" s="1067" t="s">
        <v>105</v>
      </c>
      <c r="C161" s="1037" t="s">
        <v>219</v>
      </c>
      <c r="D161" s="1028" t="s">
        <v>8186</v>
      </c>
      <c r="E161" s="1030" t="s">
        <v>8205</v>
      </c>
      <c r="F161" s="1031" t="s">
        <v>8521</v>
      </c>
      <c r="G161" s="1031" t="s">
        <v>5079</v>
      </c>
      <c r="H161" s="88">
        <f>INDEX('Import CO_24'!$A$4:$AAA$143,MATCH($G161,'Import CO_24'!$A$4:$A$143,0),MATCH(H$1,'Import CO_24'!$A$4:$AAA$4,0))</f>
        <v>0</v>
      </c>
      <c r="I161" s="88">
        <f>INDEX('Import CO_24'!$A$4:$AAA$143,MATCH($G161,'Import CO_24'!$A$4:$A$143,0),MATCH(I$1,'Import CO_24'!$A$4:$AAA$4,0))</f>
        <v>0</v>
      </c>
      <c r="J161" s="88">
        <f>INDEX('Import CO_24'!$A$4:$AAA$143,MATCH($G161,'Import CO_24'!$A$4:$A$143,0),MATCH(J$1,'Import CO_24'!$A$4:$AAA$4,0))</f>
        <v>0</v>
      </c>
    </row>
    <row r="162" spans="1:10" x14ac:dyDescent="0.2">
      <c r="A162" s="86" t="s">
        <v>7191</v>
      </c>
      <c r="B162" s="1067" t="s">
        <v>105</v>
      </c>
      <c r="C162" s="1037" t="s">
        <v>219</v>
      </c>
      <c r="D162" s="1028" t="s">
        <v>8186</v>
      </c>
      <c r="E162" s="1030" t="s">
        <v>402</v>
      </c>
      <c r="F162" s="1031" t="s">
        <v>8521</v>
      </c>
      <c r="G162" s="1031" t="s">
        <v>5080</v>
      </c>
      <c r="H162" s="88">
        <f>INDEX('Import CO_24'!$A$4:$AAA$143,MATCH($G162,'Import CO_24'!$A$4:$A$143,0),MATCH(H$1,'Import CO_24'!$A$4:$AAA$4,0))</f>
        <v>899319</v>
      </c>
      <c r="I162" s="88">
        <f>INDEX('Import CO_24'!$A$4:$AAA$143,MATCH($G162,'Import CO_24'!$A$4:$A$143,0),MATCH(I$1,'Import CO_24'!$A$4:$AAA$4,0))</f>
        <v>0</v>
      </c>
      <c r="J162" s="88">
        <f>INDEX('Import CO_24'!$A$4:$AAA$143,MATCH($G162,'Import CO_24'!$A$4:$A$143,0),MATCH(J$1,'Import CO_24'!$A$4:$AAA$4,0))</f>
        <v>0</v>
      </c>
    </row>
    <row r="163" spans="1:10" x14ac:dyDescent="0.2">
      <c r="A163" s="86" t="s">
        <v>7192</v>
      </c>
      <c r="B163" s="1067" t="s">
        <v>105</v>
      </c>
      <c r="C163" s="1037" t="s">
        <v>219</v>
      </c>
      <c r="D163" s="1028" t="s">
        <v>8186</v>
      </c>
      <c r="E163" s="1030" t="s">
        <v>8206</v>
      </c>
      <c r="F163" s="1031" t="s">
        <v>8521</v>
      </c>
      <c r="G163" s="1031" t="s">
        <v>5081</v>
      </c>
      <c r="H163" s="88">
        <f>INDEX('Import CO_24'!$A$4:$AAA$143,MATCH($G163,'Import CO_24'!$A$4:$A$143,0),MATCH(H$1,'Import CO_24'!$A$4:$AAA$4,0))</f>
        <v>0</v>
      </c>
      <c r="I163" s="88">
        <f>INDEX('Import CO_24'!$A$4:$AAA$143,MATCH($G163,'Import CO_24'!$A$4:$A$143,0),MATCH(I$1,'Import CO_24'!$A$4:$AAA$4,0))</f>
        <v>0</v>
      </c>
      <c r="J163" s="88">
        <f>INDEX('Import CO_24'!$A$4:$AAA$143,MATCH($G163,'Import CO_24'!$A$4:$A$143,0),MATCH(J$1,'Import CO_24'!$A$4:$AAA$4,0))</f>
        <v>0</v>
      </c>
    </row>
    <row r="164" spans="1:10" x14ac:dyDescent="0.2">
      <c r="A164" s="86" t="s">
        <v>7193</v>
      </c>
      <c r="B164" s="1067" t="s">
        <v>105</v>
      </c>
      <c r="C164" s="1037" t="s">
        <v>219</v>
      </c>
      <c r="D164" s="1028" t="s">
        <v>8186</v>
      </c>
      <c r="E164" s="1030" t="s">
        <v>8207</v>
      </c>
      <c r="F164" s="1031" t="s">
        <v>8521</v>
      </c>
      <c r="G164" s="1031" t="s">
        <v>5082</v>
      </c>
      <c r="H164" s="88">
        <f>INDEX('Import CO_24'!$A$4:$AAA$143,MATCH($G164,'Import CO_24'!$A$4:$A$143,0),MATCH(H$1,'Import CO_24'!$A$4:$AAA$4,0))</f>
        <v>0</v>
      </c>
      <c r="I164" s="88">
        <f>INDEX('Import CO_24'!$A$4:$AAA$143,MATCH($G164,'Import CO_24'!$A$4:$A$143,0),MATCH(I$1,'Import CO_24'!$A$4:$AAA$4,0))</f>
        <v>0</v>
      </c>
      <c r="J164" s="88">
        <f>INDEX('Import CO_24'!$A$4:$AAA$143,MATCH($G164,'Import CO_24'!$A$4:$A$143,0),MATCH(J$1,'Import CO_24'!$A$4:$AAA$4,0))</f>
        <v>0</v>
      </c>
    </row>
    <row r="165" spans="1:10" x14ac:dyDescent="0.2">
      <c r="A165" s="86" t="s">
        <v>7194</v>
      </c>
      <c r="B165" s="1067" t="s">
        <v>105</v>
      </c>
      <c r="C165" s="1037" t="s">
        <v>219</v>
      </c>
      <c r="D165" s="1028" t="s">
        <v>8186</v>
      </c>
      <c r="E165" s="1030" t="s">
        <v>8208</v>
      </c>
      <c r="F165" s="1031" t="s">
        <v>8521</v>
      </c>
      <c r="G165" s="1031" t="s">
        <v>5083</v>
      </c>
      <c r="H165" s="88">
        <f>INDEX('Import CO_24'!$A$4:$AAA$143,MATCH($G165,'Import CO_24'!$A$4:$A$143,0),MATCH(H$1,'Import CO_24'!$A$4:$AAA$4,0))</f>
        <v>0</v>
      </c>
      <c r="I165" s="88">
        <f>INDEX('Import CO_24'!$A$4:$AAA$143,MATCH($G165,'Import CO_24'!$A$4:$A$143,0),MATCH(I$1,'Import CO_24'!$A$4:$AAA$4,0))</f>
        <v>0</v>
      </c>
      <c r="J165" s="88">
        <f>INDEX('Import CO_24'!$A$4:$AAA$143,MATCH($G165,'Import CO_24'!$A$4:$A$143,0),MATCH(J$1,'Import CO_24'!$A$4:$AAA$4,0))</f>
        <v>0</v>
      </c>
    </row>
    <row r="166" spans="1:10" x14ac:dyDescent="0.2">
      <c r="A166" s="86" t="s">
        <v>7195</v>
      </c>
      <c r="B166" s="1067" t="s">
        <v>105</v>
      </c>
      <c r="C166" s="1037" t="s">
        <v>219</v>
      </c>
      <c r="D166" s="1028" t="s">
        <v>8186</v>
      </c>
      <c r="E166" s="1030" t="s">
        <v>722</v>
      </c>
      <c r="F166" s="1031" t="s">
        <v>8521</v>
      </c>
      <c r="G166" s="1031" t="s">
        <v>5084</v>
      </c>
      <c r="H166" s="88">
        <f>INDEX('Import CO_24'!$A$4:$AAA$143,MATCH($G166,'Import CO_24'!$A$4:$A$143,0),MATCH(H$1,'Import CO_24'!$A$4:$AAA$4,0))</f>
        <v>0</v>
      </c>
      <c r="I166" s="88">
        <f>INDEX('Import CO_24'!$A$4:$AAA$143,MATCH($G166,'Import CO_24'!$A$4:$A$143,0),MATCH(I$1,'Import CO_24'!$A$4:$AAA$4,0))</f>
        <v>0</v>
      </c>
      <c r="J166" s="88">
        <f>INDEX('Import CO_24'!$A$4:$AAA$143,MATCH($G166,'Import CO_24'!$A$4:$A$143,0),MATCH(J$1,'Import CO_24'!$A$4:$AAA$4,0))</f>
        <v>0</v>
      </c>
    </row>
    <row r="167" spans="1:10" x14ac:dyDescent="0.2">
      <c r="A167" s="86" t="s">
        <v>7196</v>
      </c>
      <c r="B167" s="1067" t="s">
        <v>105</v>
      </c>
      <c r="C167" s="1037" t="s">
        <v>219</v>
      </c>
      <c r="D167" s="1028" t="s">
        <v>8186</v>
      </c>
      <c r="E167" s="1030" t="s">
        <v>8209</v>
      </c>
      <c r="F167" s="1031" t="s">
        <v>8521</v>
      </c>
      <c r="G167" s="1031" t="s">
        <v>5085</v>
      </c>
      <c r="H167" s="88">
        <f>INDEX('Import CO_24'!$A$4:$AAA$143,MATCH($G167,'Import CO_24'!$A$4:$A$143,0),MATCH(H$1,'Import CO_24'!$A$4:$AAA$4,0))</f>
        <v>0</v>
      </c>
      <c r="I167" s="88">
        <f>INDEX('Import CO_24'!$A$4:$AAA$143,MATCH($G167,'Import CO_24'!$A$4:$A$143,0),MATCH(I$1,'Import CO_24'!$A$4:$AAA$4,0))</f>
        <v>0</v>
      </c>
      <c r="J167" s="88">
        <f>INDEX('Import CO_24'!$A$4:$AAA$143,MATCH($G167,'Import CO_24'!$A$4:$A$143,0),MATCH(J$1,'Import CO_24'!$A$4:$AAA$4,0))</f>
        <v>0</v>
      </c>
    </row>
    <row r="168" spans="1:10" x14ac:dyDescent="0.2">
      <c r="A168" s="86" t="s">
        <v>7197</v>
      </c>
      <c r="B168" s="1067" t="s">
        <v>105</v>
      </c>
      <c r="C168" s="1037" t="s">
        <v>219</v>
      </c>
      <c r="D168" s="1028" t="s">
        <v>8186</v>
      </c>
      <c r="E168" s="1030" t="s">
        <v>8210</v>
      </c>
      <c r="F168" s="1031" t="s">
        <v>8521</v>
      </c>
      <c r="G168" s="1031" t="s">
        <v>5086</v>
      </c>
      <c r="H168" s="88">
        <f>INDEX('Import CO_24'!$A$4:$AAA$143,MATCH($G168,'Import CO_24'!$A$4:$A$143,0),MATCH(H$1,'Import CO_24'!$A$4:$AAA$4,0))</f>
        <v>0</v>
      </c>
      <c r="I168" s="88">
        <f>INDEX('Import CO_24'!$A$4:$AAA$143,MATCH($G168,'Import CO_24'!$A$4:$A$143,0),MATCH(I$1,'Import CO_24'!$A$4:$AAA$4,0))</f>
        <v>0</v>
      </c>
      <c r="J168" s="88">
        <f>INDEX('Import CO_24'!$A$4:$AAA$143,MATCH($G168,'Import CO_24'!$A$4:$A$143,0),MATCH(J$1,'Import CO_24'!$A$4:$AAA$4,0))</f>
        <v>0</v>
      </c>
    </row>
    <row r="169" spans="1:10" x14ac:dyDescent="0.2">
      <c r="A169" s="86" t="s">
        <v>7198</v>
      </c>
      <c r="B169" s="1067" t="s">
        <v>105</v>
      </c>
      <c r="C169" s="1037" t="s">
        <v>219</v>
      </c>
      <c r="D169" s="1028" t="s">
        <v>8186</v>
      </c>
      <c r="E169" s="1030" t="s">
        <v>8211</v>
      </c>
      <c r="F169" s="1031" t="s">
        <v>8521</v>
      </c>
      <c r="G169" s="1031" t="s">
        <v>5087</v>
      </c>
      <c r="H169" s="88">
        <f>INDEX('Import CO_24'!$A$4:$AAA$143,MATCH($G169,'Import CO_24'!$A$4:$A$143,0),MATCH(H$1,'Import CO_24'!$A$4:$AAA$4,0))</f>
        <v>0</v>
      </c>
      <c r="I169" s="88">
        <f>INDEX('Import CO_24'!$A$4:$AAA$143,MATCH($G169,'Import CO_24'!$A$4:$A$143,0),MATCH(I$1,'Import CO_24'!$A$4:$AAA$4,0))</f>
        <v>0</v>
      </c>
      <c r="J169" s="88">
        <f>INDEX('Import CO_24'!$A$4:$AAA$143,MATCH($G169,'Import CO_24'!$A$4:$A$143,0),MATCH(J$1,'Import CO_24'!$A$4:$AAA$4,0))</f>
        <v>0</v>
      </c>
    </row>
    <row r="170" spans="1:10" x14ac:dyDescent="0.2">
      <c r="A170" s="86" t="s">
        <v>7199</v>
      </c>
      <c r="B170" s="1067" t="s">
        <v>105</v>
      </c>
      <c r="C170" s="1037" t="s">
        <v>219</v>
      </c>
      <c r="D170" s="1028" t="s">
        <v>8186</v>
      </c>
      <c r="E170" s="1030" t="s">
        <v>749</v>
      </c>
      <c r="F170" s="1031" t="s">
        <v>8521</v>
      </c>
      <c r="G170" s="1031" t="s">
        <v>5088</v>
      </c>
      <c r="H170" s="88">
        <f>INDEX('Import CO_24'!$A$4:$AAA$143,MATCH($G170,'Import CO_24'!$A$4:$A$143,0),MATCH(H$1,'Import CO_24'!$A$4:$AAA$4,0))</f>
        <v>0</v>
      </c>
      <c r="I170" s="88">
        <f>INDEX('Import CO_24'!$A$4:$AAA$143,MATCH($G170,'Import CO_24'!$A$4:$A$143,0),MATCH(I$1,'Import CO_24'!$A$4:$AAA$4,0))</f>
        <v>0</v>
      </c>
      <c r="J170" s="88">
        <f>INDEX('Import CO_24'!$A$4:$AAA$143,MATCH($G170,'Import CO_24'!$A$4:$A$143,0),MATCH(J$1,'Import CO_24'!$A$4:$AAA$4,0))</f>
        <v>0</v>
      </c>
    </row>
    <row r="171" spans="1:10" x14ac:dyDescent="0.2">
      <c r="A171" s="86" t="s">
        <v>7200</v>
      </c>
      <c r="B171" s="1067" t="s">
        <v>105</v>
      </c>
      <c r="C171" s="1037" t="s">
        <v>219</v>
      </c>
      <c r="D171" s="1028" t="s">
        <v>8186</v>
      </c>
      <c r="E171" s="1030" t="s">
        <v>8212</v>
      </c>
      <c r="F171" s="1031" t="s">
        <v>8521</v>
      </c>
      <c r="G171" s="1031" t="s">
        <v>5089</v>
      </c>
      <c r="H171" s="88">
        <f>INDEX('Import CO_24'!$A$4:$AAA$143,MATCH($G171,'Import CO_24'!$A$4:$A$143,0),MATCH(H$1,'Import CO_24'!$A$4:$AAA$4,0))</f>
        <v>0</v>
      </c>
      <c r="I171" s="88">
        <f>INDEX('Import CO_24'!$A$4:$AAA$143,MATCH($G171,'Import CO_24'!$A$4:$A$143,0),MATCH(I$1,'Import CO_24'!$A$4:$AAA$4,0))</f>
        <v>0</v>
      </c>
      <c r="J171" s="88">
        <f>INDEX('Import CO_24'!$A$4:$AAA$143,MATCH($G171,'Import CO_24'!$A$4:$A$143,0),MATCH(J$1,'Import CO_24'!$A$4:$AAA$4,0))</f>
        <v>0</v>
      </c>
    </row>
    <row r="172" spans="1:10" x14ac:dyDescent="0.2">
      <c r="A172" s="86" t="s">
        <v>7201</v>
      </c>
      <c r="B172" s="1067" t="s">
        <v>105</v>
      </c>
      <c r="C172" s="1037" t="s">
        <v>219</v>
      </c>
      <c r="D172" s="1028" t="s">
        <v>8186</v>
      </c>
      <c r="E172" s="1030" t="s">
        <v>8213</v>
      </c>
      <c r="F172" s="1031" t="s">
        <v>8521</v>
      </c>
      <c r="G172" s="1031" t="s">
        <v>5090</v>
      </c>
      <c r="H172" s="88">
        <f>INDEX('Import CO_24'!$A$4:$AAA$143,MATCH($G172,'Import CO_24'!$A$4:$A$143,0),MATCH(H$1,'Import CO_24'!$A$4:$AAA$4,0))</f>
        <v>0</v>
      </c>
      <c r="I172" s="88">
        <f>INDEX('Import CO_24'!$A$4:$AAA$143,MATCH($G172,'Import CO_24'!$A$4:$A$143,0),MATCH(I$1,'Import CO_24'!$A$4:$AAA$4,0))</f>
        <v>0</v>
      </c>
      <c r="J172" s="88">
        <f>INDEX('Import CO_24'!$A$4:$AAA$143,MATCH($G172,'Import CO_24'!$A$4:$A$143,0),MATCH(J$1,'Import CO_24'!$A$4:$AAA$4,0))</f>
        <v>0</v>
      </c>
    </row>
    <row r="173" spans="1:10" x14ac:dyDescent="0.2">
      <c r="A173" s="86" t="s">
        <v>7202</v>
      </c>
      <c r="B173" s="1067" t="s">
        <v>105</v>
      </c>
      <c r="C173" s="1037" t="s">
        <v>219</v>
      </c>
      <c r="D173" s="1028" t="s">
        <v>8186</v>
      </c>
      <c r="E173" s="1030" t="s">
        <v>341</v>
      </c>
      <c r="F173" s="1031" t="s">
        <v>8521</v>
      </c>
      <c r="G173" s="1031" t="s">
        <v>5091</v>
      </c>
      <c r="H173" s="88">
        <f>INDEX('Import CO_24'!$A$4:$AAA$143,MATCH($G173,'Import CO_24'!$A$4:$A$143,0),MATCH(H$1,'Import CO_24'!$A$4:$AAA$4,0))</f>
        <v>0</v>
      </c>
      <c r="I173" s="88">
        <f>INDEX('Import CO_24'!$A$4:$AAA$143,MATCH($G173,'Import CO_24'!$A$4:$A$143,0),MATCH(I$1,'Import CO_24'!$A$4:$AAA$4,0))</f>
        <v>0</v>
      </c>
      <c r="J173" s="88">
        <f>INDEX('Import CO_24'!$A$4:$AAA$143,MATCH($G173,'Import CO_24'!$A$4:$A$143,0),MATCH(J$1,'Import CO_24'!$A$4:$AAA$4,0))</f>
        <v>0</v>
      </c>
    </row>
    <row r="174" spans="1:10" x14ac:dyDescent="0.2">
      <c r="A174" s="86" t="s">
        <v>7203</v>
      </c>
      <c r="B174" s="1067" t="s">
        <v>105</v>
      </c>
      <c r="C174" s="1037" t="s">
        <v>219</v>
      </c>
      <c r="D174" s="1028" t="s">
        <v>8186</v>
      </c>
      <c r="E174" s="1030" t="s">
        <v>342</v>
      </c>
      <c r="F174" s="1031" t="s">
        <v>8521</v>
      </c>
      <c r="G174" s="1031" t="s">
        <v>5092</v>
      </c>
      <c r="H174" s="88">
        <f>INDEX('Import CO_24'!$A$4:$AAA$143,MATCH($G174,'Import CO_24'!$A$4:$A$143,0),MATCH(H$1,'Import CO_24'!$A$4:$AAA$4,0))</f>
        <v>0</v>
      </c>
      <c r="I174" s="88">
        <f>INDEX('Import CO_24'!$A$4:$AAA$143,MATCH($G174,'Import CO_24'!$A$4:$A$143,0),MATCH(I$1,'Import CO_24'!$A$4:$AAA$4,0))</f>
        <v>0</v>
      </c>
      <c r="J174" s="88">
        <f>INDEX('Import CO_24'!$A$4:$AAA$143,MATCH($G174,'Import CO_24'!$A$4:$A$143,0),MATCH(J$1,'Import CO_24'!$A$4:$AAA$4,0))</f>
        <v>0</v>
      </c>
    </row>
    <row r="175" spans="1:10" x14ac:dyDescent="0.2">
      <c r="A175" s="86" t="s">
        <v>7204</v>
      </c>
      <c r="B175" s="1067" t="s">
        <v>105</v>
      </c>
      <c r="C175" s="1037" t="s">
        <v>219</v>
      </c>
      <c r="D175" s="1028" t="s">
        <v>8186</v>
      </c>
      <c r="E175" s="1030" t="s">
        <v>343</v>
      </c>
      <c r="F175" s="1031" t="s">
        <v>8521</v>
      </c>
      <c r="G175" s="1031" t="s">
        <v>5093</v>
      </c>
      <c r="H175" s="88">
        <f>INDEX('Import CO_24'!$A$4:$AAA$143,MATCH($G175,'Import CO_24'!$A$4:$A$143,0),MATCH(H$1,'Import CO_24'!$A$4:$AAA$4,0))</f>
        <v>0</v>
      </c>
      <c r="I175" s="88">
        <f>INDEX('Import CO_24'!$A$4:$AAA$143,MATCH($G175,'Import CO_24'!$A$4:$A$143,0),MATCH(I$1,'Import CO_24'!$A$4:$AAA$4,0))</f>
        <v>0</v>
      </c>
      <c r="J175" s="88">
        <f>INDEX('Import CO_24'!$A$4:$AAA$143,MATCH($G175,'Import CO_24'!$A$4:$A$143,0),MATCH(J$1,'Import CO_24'!$A$4:$AAA$4,0))</f>
        <v>0</v>
      </c>
    </row>
    <row r="176" spans="1:10" x14ac:dyDescent="0.2">
      <c r="A176" s="86" t="s">
        <v>7205</v>
      </c>
      <c r="B176" s="1067" t="s">
        <v>105</v>
      </c>
      <c r="C176" s="1037" t="s">
        <v>219</v>
      </c>
      <c r="D176" s="1028" t="s">
        <v>8186</v>
      </c>
      <c r="E176" s="1030" t="s">
        <v>351</v>
      </c>
      <c r="F176" s="1031" t="s">
        <v>8521</v>
      </c>
      <c r="G176" s="1031" t="s">
        <v>5101</v>
      </c>
      <c r="H176" s="88">
        <f>INDEX('Import CO_24'!$A$4:$AAA$143,MATCH($G176,'Import CO_24'!$A$4:$A$143,0),MATCH(H$1,'Import CO_24'!$A$4:$AAA$4,0))</f>
        <v>0</v>
      </c>
      <c r="I176" s="88">
        <f>INDEX('Import CO_24'!$A$4:$AAA$143,MATCH($G176,'Import CO_24'!$A$4:$A$143,0),MATCH(I$1,'Import CO_24'!$A$4:$AAA$4,0))</f>
        <v>0</v>
      </c>
      <c r="J176" s="88">
        <f>INDEX('Import CO_24'!$A$4:$AAA$143,MATCH($G176,'Import CO_24'!$A$4:$A$143,0),MATCH(J$1,'Import CO_24'!$A$4:$AAA$4,0))</f>
        <v>0</v>
      </c>
    </row>
    <row r="177" spans="1:10" x14ac:dyDescent="0.2">
      <c r="A177" s="86" t="s">
        <v>7206</v>
      </c>
      <c r="B177" s="1067" t="s">
        <v>105</v>
      </c>
      <c r="C177" s="1037" t="s">
        <v>219</v>
      </c>
      <c r="D177" s="1028" t="s">
        <v>8186</v>
      </c>
      <c r="E177" s="1030" t="s">
        <v>344</v>
      </c>
      <c r="F177" s="1031" t="s">
        <v>8521</v>
      </c>
      <c r="G177" s="1031" t="s">
        <v>5094</v>
      </c>
      <c r="H177" s="88">
        <f>INDEX('Import CO_24'!$A$4:$AAA$143,MATCH($G177,'Import CO_24'!$A$4:$A$143,0),MATCH(H$1,'Import CO_24'!$A$4:$AAA$4,0))</f>
        <v>0</v>
      </c>
      <c r="I177" s="88">
        <f>INDEX('Import CO_24'!$A$4:$AAA$143,MATCH($G177,'Import CO_24'!$A$4:$A$143,0),MATCH(I$1,'Import CO_24'!$A$4:$AAA$4,0))</f>
        <v>0</v>
      </c>
      <c r="J177" s="88">
        <f>INDEX('Import CO_24'!$A$4:$AAA$143,MATCH($G177,'Import CO_24'!$A$4:$A$143,0),MATCH(J$1,'Import CO_24'!$A$4:$AAA$4,0))</f>
        <v>0</v>
      </c>
    </row>
    <row r="178" spans="1:10" x14ac:dyDescent="0.2">
      <c r="A178" s="86" t="s">
        <v>7207</v>
      </c>
      <c r="B178" s="1067" t="s">
        <v>105</v>
      </c>
      <c r="C178" s="1037" t="s">
        <v>219</v>
      </c>
      <c r="D178" s="1028" t="s">
        <v>8186</v>
      </c>
      <c r="E178" s="1030" t="s">
        <v>352</v>
      </c>
      <c r="F178" s="1031" t="s">
        <v>8521</v>
      </c>
      <c r="G178" s="1031" t="s">
        <v>5102</v>
      </c>
      <c r="H178" s="88">
        <f>INDEX('Import CO_24'!$A$4:$AAA$143,MATCH($G178,'Import CO_24'!$A$4:$A$143,0),MATCH(H$1,'Import CO_24'!$A$4:$AAA$4,0))</f>
        <v>0</v>
      </c>
      <c r="I178" s="88">
        <f>INDEX('Import CO_24'!$A$4:$AAA$143,MATCH($G178,'Import CO_24'!$A$4:$A$143,0),MATCH(I$1,'Import CO_24'!$A$4:$AAA$4,0))</f>
        <v>0</v>
      </c>
      <c r="J178" s="88">
        <f>INDEX('Import CO_24'!$A$4:$AAA$143,MATCH($G178,'Import CO_24'!$A$4:$A$143,0),MATCH(J$1,'Import CO_24'!$A$4:$AAA$4,0))</f>
        <v>0</v>
      </c>
    </row>
    <row r="179" spans="1:10" x14ac:dyDescent="0.2">
      <c r="A179" s="86" t="s">
        <v>7208</v>
      </c>
      <c r="B179" s="1067" t="s">
        <v>105</v>
      </c>
      <c r="C179" s="1037" t="s">
        <v>219</v>
      </c>
      <c r="D179" s="1028" t="s">
        <v>8186</v>
      </c>
      <c r="E179" s="1030" t="s">
        <v>345</v>
      </c>
      <c r="F179" s="1031" t="s">
        <v>8521</v>
      </c>
      <c r="G179" s="1031" t="s">
        <v>5095</v>
      </c>
      <c r="H179" s="88">
        <f>INDEX('Import CO_24'!$A$4:$AAA$143,MATCH($G179,'Import CO_24'!$A$4:$A$143,0),MATCH(H$1,'Import CO_24'!$A$4:$AAA$4,0))</f>
        <v>0</v>
      </c>
      <c r="I179" s="88">
        <f>INDEX('Import CO_24'!$A$4:$AAA$143,MATCH($G179,'Import CO_24'!$A$4:$A$143,0),MATCH(I$1,'Import CO_24'!$A$4:$AAA$4,0))</f>
        <v>0</v>
      </c>
      <c r="J179" s="88">
        <f>INDEX('Import CO_24'!$A$4:$AAA$143,MATCH($G179,'Import CO_24'!$A$4:$A$143,0),MATCH(J$1,'Import CO_24'!$A$4:$AAA$4,0))</f>
        <v>0</v>
      </c>
    </row>
    <row r="180" spans="1:10" x14ac:dyDescent="0.2">
      <c r="A180" s="86" t="s">
        <v>7209</v>
      </c>
      <c r="B180" s="1067" t="s">
        <v>105</v>
      </c>
      <c r="C180" s="1037" t="s">
        <v>219</v>
      </c>
      <c r="D180" s="1028" t="s">
        <v>8186</v>
      </c>
      <c r="E180" s="1030" t="s">
        <v>353</v>
      </c>
      <c r="F180" s="1031" t="s">
        <v>8521</v>
      </c>
      <c r="G180" s="1031" t="s">
        <v>5103</v>
      </c>
      <c r="H180" s="88">
        <f>INDEX('Import CO_24'!$A$4:$AAA$143,MATCH($G180,'Import CO_24'!$A$4:$A$143,0),MATCH(H$1,'Import CO_24'!$A$4:$AAA$4,0))</f>
        <v>0</v>
      </c>
      <c r="I180" s="88">
        <f>INDEX('Import CO_24'!$A$4:$AAA$143,MATCH($G180,'Import CO_24'!$A$4:$A$143,0),MATCH(I$1,'Import CO_24'!$A$4:$AAA$4,0))</f>
        <v>0</v>
      </c>
      <c r="J180" s="88">
        <f>INDEX('Import CO_24'!$A$4:$AAA$143,MATCH($G180,'Import CO_24'!$A$4:$A$143,0),MATCH(J$1,'Import CO_24'!$A$4:$AAA$4,0))</f>
        <v>0</v>
      </c>
    </row>
    <row r="181" spans="1:10" x14ac:dyDescent="0.2">
      <c r="A181" s="86" t="s">
        <v>7210</v>
      </c>
      <c r="B181" s="1067" t="s">
        <v>105</v>
      </c>
      <c r="C181" s="1037" t="s">
        <v>219</v>
      </c>
      <c r="D181" s="1028" t="s">
        <v>8186</v>
      </c>
      <c r="E181" s="1030" t="s">
        <v>346</v>
      </c>
      <c r="F181" s="1031" t="s">
        <v>8521</v>
      </c>
      <c r="G181" s="1031" t="s">
        <v>5096</v>
      </c>
      <c r="H181" s="88">
        <f>INDEX('Import CO_24'!$A$4:$AAA$143,MATCH($G181,'Import CO_24'!$A$4:$A$143,0),MATCH(H$1,'Import CO_24'!$A$4:$AAA$4,0))</f>
        <v>0</v>
      </c>
      <c r="I181" s="88">
        <f>INDEX('Import CO_24'!$A$4:$AAA$143,MATCH($G181,'Import CO_24'!$A$4:$A$143,0),MATCH(I$1,'Import CO_24'!$A$4:$AAA$4,0))</f>
        <v>0</v>
      </c>
      <c r="J181" s="88">
        <f>INDEX('Import CO_24'!$A$4:$AAA$143,MATCH($G181,'Import CO_24'!$A$4:$A$143,0),MATCH(J$1,'Import CO_24'!$A$4:$AAA$4,0))</f>
        <v>0</v>
      </c>
    </row>
    <row r="182" spans="1:10" x14ac:dyDescent="0.2">
      <c r="A182" s="86" t="s">
        <v>7211</v>
      </c>
      <c r="B182" s="1067" t="s">
        <v>105</v>
      </c>
      <c r="C182" s="1037" t="s">
        <v>219</v>
      </c>
      <c r="D182" s="1028" t="s">
        <v>8186</v>
      </c>
      <c r="E182" s="1030" t="s">
        <v>347</v>
      </c>
      <c r="F182" s="1031" t="s">
        <v>8521</v>
      </c>
      <c r="G182" s="1031" t="s">
        <v>5097</v>
      </c>
      <c r="H182" s="88">
        <f>INDEX('Import CO_24'!$A$4:$AAA$143,MATCH($G182,'Import CO_24'!$A$4:$A$143,0),MATCH(H$1,'Import CO_24'!$A$4:$AAA$4,0))</f>
        <v>0</v>
      </c>
      <c r="I182" s="88">
        <f>INDEX('Import CO_24'!$A$4:$AAA$143,MATCH($G182,'Import CO_24'!$A$4:$A$143,0),MATCH(I$1,'Import CO_24'!$A$4:$AAA$4,0))</f>
        <v>0</v>
      </c>
      <c r="J182" s="88">
        <f>INDEX('Import CO_24'!$A$4:$AAA$143,MATCH($G182,'Import CO_24'!$A$4:$A$143,0),MATCH(J$1,'Import CO_24'!$A$4:$AAA$4,0))</f>
        <v>0</v>
      </c>
    </row>
    <row r="183" spans="1:10" x14ac:dyDescent="0.2">
      <c r="A183" s="86" t="s">
        <v>7212</v>
      </c>
      <c r="B183" s="1067" t="s">
        <v>105</v>
      </c>
      <c r="C183" s="1037" t="s">
        <v>219</v>
      </c>
      <c r="D183" s="1028" t="s">
        <v>8186</v>
      </c>
      <c r="E183" s="1030" t="s">
        <v>348</v>
      </c>
      <c r="F183" s="1031" t="s">
        <v>8521</v>
      </c>
      <c r="G183" s="1031" t="s">
        <v>5098</v>
      </c>
      <c r="H183" s="88">
        <f>INDEX('Import CO_24'!$A$4:$AAA$143,MATCH($G183,'Import CO_24'!$A$4:$A$143,0),MATCH(H$1,'Import CO_24'!$A$4:$AAA$4,0))</f>
        <v>0</v>
      </c>
      <c r="I183" s="88">
        <f>INDEX('Import CO_24'!$A$4:$AAA$143,MATCH($G183,'Import CO_24'!$A$4:$A$143,0),MATCH(I$1,'Import CO_24'!$A$4:$AAA$4,0))</f>
        <v>0</v>
      </c>
      <c r="J183" s="88">
        <f>INDEX('Import CO_24'!$A$4:$AAA$143,MATCH($G183,'Import CO_24'!$A$4:$A$143,0),MATCH(J$1,'Import CO_24'!$A$4:$AAA$4,0))</f>
        <v>0</v>
      </c>
    </row>
    <row r="184" spans="1:10" x14ac:dyDescent="0.2">
      <c r="A184" s="86" t="s">
        <v>7213</v>
      </c>
      <c r="B184" s="1067" t="s">
        <v>105</v>
      </c>
      <c r="C184" s="1037" t="s">
        <v>219</v>
      </c>
      <c r="D184" s="1028" t="s">
        <v>8186</v>
      </c>
      <c r="E184" s="1030" t="s">
        <v>349</v>
      </c>
      <c r="F184" s="1031" t="s">
        <v>8521</v>
      </c>
      <c r="G184" s="1031" t="s">
        <v>5099</v>
      </c>
      <c r="H184" s="88">
        <f>INDEX('Import CO_24'!$A$4:$AAA$143,MATCH($G184,'Import CO_24'!$A$4:$A$143,0),MATCH(H$1,'Import CO_24'!$A$4:$AAA$4,0))</f>
        <v>0</v>
      </c>
      <c r="I184" s="88">
        <f>INDEX('Import CO_24'!$A$4:$AAA$143,MATCH($G184,'Import CO_24'!$A$4:$A$143,0),MATCH(I$1,'Import CO_24'!$A$4:$AAA$4,0))</f>
        <v>0</v>
      </c>
      <c r="J184" s="88">
        <f>INDEX('Import CO_24'!$A$4:$AAA$143,MATCH($G184,'Import CO_24'!$A$4:$A$143,0),MATCH(J$1,'Import CO_24'!$A$4:$AAA$4,0))</f>
        <v>0</v>
      </c>
    </row>
    <row r="185" spans="1:10" x14ac:dyDescent="0.2">
      <c r="A185" s="86" t="s">
        <v>7214</v>
      </c>
      <c r="B185" s="1067" t="s">
        <v>105</v>
      </c>
      <c r="C185" s="1037" t="s">
        <v>219</v>
      </c>
      <c r="D185" s="1028" t="s">
        <v>8186</v>
      </c>
      <c r="E185" s="1030" t="s">
        <v>350</v>
      </c>
      <c r="F185" s="1031" t="s">
        <v>8521</v>
      </c>
      <c r="G185" s="1031" t="s">
        <v>5100</v>
      </c>
      <c r="H185" s="88">
        <f>INDEX('Import CO_24'!$A$4:$AAA$143,MATCH($G185,'Import CO_24'!$A$4:$A$143,0),MATCH(H$1,'Import CO_24'!$A$4:$AAA$4,0))</f>
        <v>0</v>
      </c>
      <c r="I185" s="88">
        <f>INDEX('Import CO_24'!$A$4:$AAA$143,MATCH($G185,'Import CO_24'!$A$4:$A$143,0),MATCH(I$1,'Import CO_24'!$A$4:$AAA$4,0))</f>
        <v>0</v>
      </c>
      <c r="J185" s="88">
        <f>INDEX('Import CO_24'!$A$4:$AAA$143,MATCH($G185,'Import CO_24'!$A$4:$A$143,0),MATCH(J$1,'Import CO_24'!$A$4:$AAA$4,0))</f>
        <v>0</v>
      </c>
    </row>
    <row r="186" spans="1:10" x14ac:dyDescent="0.2">
      <c r="A186" s="86" t="s">
        <v>7215</v>
      </c>
      <c r="B186" s="1067" t="s">
        <v>105</v>
      </c>
      <c r="C186" s="1037" t="s">
        <v>219</v>
      </c>
      <c r="D186" s="1028" t="s">
        <v>8186</v>
      </c>
      <c r="E186" s="1030" t="s">
        <v>8214</v>
      </c>
      <c r="F186" s="1031" t="s">
        <v>8521</v>
      </c>
      <c r="G186" s="1031" t="s">
        <v>6487</v>
      </c>
      <c r="H186" s="88">
        <f>INDEX('Import CO_24'!$A$4:$AAA$143,MATCH($G186,'Import CO_24'!$A$4:$A$143,0),MATCH(H$1,'Import CO_24'!$A$4:$AAA$4,0))</f>
        <v>0</v>
      </c>
      <c r="I186" s="88">
        <f>INDEX('Import CO_24'!$A$4:$AAA$143,MATCH($G186,'Import CO_24'!$A$4:$A$143,0),MATCH(I$1,'Import CO_24'!$A$4:$AAA$4,0))</f>
        <v>0</v>
      </c>
      <c r="J186" s="88">
        <f>INDEX('Import CO_24'!$A$4:$AAA$143,MATCH($G186,'Import CO_24'!$A$4:$A$143,0),MATCH(J$1,'Import CO_24'!$A$4:$AAA$4,0))</f>
        <v>0</v>
      </c>
    </row>
    <row r="187" spans="1:10" x14ac:dyDescent="0.2">
      <c r="A187" s="86" t="s">
        <v>7216</v>
      </c>
      <c r="B187" s="1067" t="s">
        <v>105</v>
      </c>
      <c r="C187" s="1037" t="s">
        <v>219</v>
      </c>
      <c r="D187" s="1028" t="s">
        <v>8186</v>
      </c>
      <c r="E187" s="1030" t="s">
        <v>8215</v>
      </c>
      <c r="F187" s="1031" t="s">
        <v>8521</v>
      </c>
      <c r="G187" s="1031" t="s">
        <v>5109</v>
      </c>
      <c r="H187" s="88">
        <f>INDEX('Import CO_24'!$A$4:$AAA$143,MATCH($G187,'Import CO_24'!$A$4:$A$143,0),MATCH(H$1,'Import CO_24'!$A$4:$AAA$4,0))</f>
        <v>2578084.6487835948</v>
      </c>
      <c r="I187" s="88">
        <f>INDEX('Import CO_24'!$A$4:$AAA$143,MATCH($G187,'Import CO_24'!$A$4:$A$143,0),MATCH(I$1,'Import CO_24'!$A$4:$AAA$4,0))</f>
        <v>423369.3112164053</v>
      </c>
      <c r="J187" s="88">
        <f>INDEX('Import CO_24'!$A$4:$AAA$143,MATCH($G187,'Import CO_24'!$A$4:$A$143,0),MATCH(J$1,'Import CO_24'!$A$4:$AAA$4,0))</f>
        <v>0</v>
      </c>
    </row>
    <row r="188" spans="1:10" x14ac:dyDescent="0.2">
      <c r="A188" s="86" t="s">
        <v>7217</v>
      </c>
      <c r="B188" s="1067" t="s">
        <v>105</v>
      </c>
      <c r="C188" s="1037" t="s">
        <v>219</v>
      </c>
      <c r="D188" s="1028" t="s">
        <v>8186</v>
      </c>
      <c r="E188" s="1030" t="s">
        <v>354</v>
      </c>
      <c r="F188" s="1031" t="s">
        <v>8521</v>
      </c>
      <c r="G188" s="1031" t="s">
        <v>5110</v>
      </c>
      <c r="H188" s="88">
        <f>INDEX('Import CO_24'!$A$4:$AAA$143,MATCH($G188,'Import CO_24'!$A$4:$A$143,0),MATCH(H$1,'Import CO_24'!$A$4:$AAA$4,0))</f>
        <v>544206.23382549558</v>
      </c>
      <c r="I188" s="88">
        <f>INDEX('Import CO_24'!$A$4:$AAA$143,MATCH($G188,'Import CO_24'!$A$4:$A$143,0),MATCH(I$1,'Import CO_24'!$A$4:$AAA$4,0))</f>
        <v>89368.756174504466</v>
      </c>
      <c r="J188" s="88">
        <f>INDEX('Import CO_24'!$A$4:$AAA$143,MATCH($G188,'Import CO_24'!$A$4:$A$143,0),MATCH(J$1,'Import CO_24'!$A$4:$AAA$4,0))</f>
        <v>0</v>
      </c>
    </row>
    <row r="189" spans="1:10" x14ac:dyDescent="0.2">
      <c r="A189" s="86" t="s">
        <v>7218</v>
      </c>
      <c r="B189" s="1067" t="s">
        <v>105</v>
      </c>
      <c r="C189" s="1037" t="s">
        <v>219</v>
      </c>
      <c r="D189" s="1028" t="s">
        <v>8186</v>
      </c>
      <c r="E189" s="1030" t="s">
        <v>355</v>
      </c>
      <c r="F189" s="1031" t="s">
        <v>8521</v>
      </c>
      <c r="G189" s="1031" t="s">
        <v>5111</v>
      </c>
      <c r="H189" s="88">
        <f>INDEX('Import CO_24'!$A$4:$AAA$143,MATCH($G189,'Import CO_24'!$A$4:$A$143,0),MATCH(H$1,'Import CO_24'!$A$4:$AAA$4,0))</f>
        <v>2033878.4149580994</v>
      </c>
      <c r="I189" s="88">
        <f>INDEX('Import CO_24'!$A$4:$AAA$143,MATCH($G189,'Import CO_24'!$A$4:$A$143,0),MATCH(I$1,'Import CO_24'!$A$4:$AAA$4,0))</f>
        <v>334000.55504190084</v>
      </c>
      <c r="J189" s="88">
        <f>INDEX('Import CO_24'!$A$4:$AAA$143,MATCH($G189,'Import CO_24'!$A$4:$A$143,0),MATCH(J$1,'Import CO_24'!$A$4:$AAA$4,0))</f>
        <v>0</v>
      </c>
    </row>
    <row r="190" spans="1:10" x14ac:dyDescent="0.2">
      <c r="A190" s="86" t="s">
        <v>7219</v>
      </c>
      <c r="B190" s="1067" t="s">
        <v>105</v>
      </c>
      <c r="C190" s="1037" t="s">
        <v>219</v>
      </c>
      <c r="D190" s="1028" t="s">
        <v>8186</v>
      </c>
      <c r="E190" s="1030" t="s">
        <v>356</v>
      </c>
      <c r="F190" s="1031" t="s">
        <v>8521</v>
      </c>
      <c r="G190" s="1031" t="s">
        <v>5112</v>
      </c>
      <c r="H190" s="88">
        <f>INDEX('Import CO_24'!$A$4:$AAA$143,MATCH($G190,'Import CO_24'!$A$4:$A$143,0),MATCH(H$1,'Import CO_24'!$A$4:$AAA$4,0))</f>
        <v>0</v>
      </c>
      <c r="I190" s="88">
        <f>INDEX('Import CO_24'!$A$4:$AAA$143,MATCH($G190,'Import CO_24'!$A$4:$A$143,0),MATCH(I$1,'Import CO_24'!$A$4:$AAA$4,0))</f>
        <v>0</v>
      </c>
      <c r="J190" s="88">
        <f>INDEX('Import CO_24'!$A$4:$AAA$143,MATCH($G190,'Import CO_24'!$A$4:$A$143,0),MATCH(J$1,'Import CO_24'!$A$4:$AAA$4,0))</f>
        <v>0</v>
      </c>
    </row>
    <row r="191" spans="1:10" x14ac:dyDescent="0.2">
      <c r="A191" s="86" t="s">
        <v>7220</v>
      </c>
      <c r="B191" s="1067" t="s">
        <v>105</v>
      </c>
      <c r="C191" s="1037" t="s">
        <v>219</v>
      </c>
      <c r="D191" s="1028" t="s">
        <v>8216</v>
      </c>
      <c r="E191" s="1030" t="s">
        <v>295</v>
      </c>
      <c r="F191" s="1031" t="s">
        <v>8522</v>
      </c>
      <c r="G191" s="1031" t="s">
        <v>5202</v>
      </c>
      <c r="H191" s="88">
        <f>INDEX('Import CO_25'!$A$4:$AAA$143,MATCH($G191,'Import CO_25'!$A$4:$A$143,0),MATCH(H$1,'Import CO_25'!$A$4:$AAA$4,0))</f>
        <v>14504625.279999999</v>
      </c>
      <c r="I191" s="88">
        <f>INDEX('Import CO_25'!$A$4:$AAA$143,MATCH($G191,'Import CO_25'!$A$4:$A$143,0),MATCH(I$1,'Import CO_25'!$A$4:$AAA$4,0))</f>
        <v>1151921.4552</v>
      </c>
      <c r="J191" s="88">
        <f>INDEX('Import CO_25'!$A$4:$AAA$143,MATCH($G191,'Import CO_25'!$A$4:$A$143,0),MATCH(J$1,'Import CO_25'!$A$4:$AAA$4,0))</f>
        <v>1935401.68</v>
      </c>
    </row>
    <row r="192" spans="1:10" x14ac:dyDescent="0.2">
      <c r="A192" s="86" t="s">
        <v>7221</v>
      </c>
      <c r="B192" s="1067" t="s">
        <v>105</v>
      </c>
      <c r="C192" s="1037" t="s">
        <v>219</v>
      </c>
      <c r="D192" s="1028" t="s">
        <v>8216</v>
      </c>
      <c r="E192" s="1030" t="s">
        <v>297</v>
      </c>
      <c r="F192" s="1031" t="s">
        <v>8522</v>
      </c>
      <c r="G192" s="1031" t="s">
        <v>6495</v>
      </c>
      <c r="H192" s="88">
        <f>INDEX('Import CO_25'!$A$4:$AAA$143,MATCH($G192,'Import CO_25'!$A$4:$A$143,0),MATCH(H$1,'Import CO_25'!$A$4:$AAA$4,0))</f>
        <v>691188.35</v>
      </c>
      <c r="I192" s="88">
        <f>INDEX('Import CO_25'!$A$4:$AAA$143,MATCH($G192,'Import CO_25'!$A$4:$A$143,0),MATCH(I$1,'Import CO_25'!$A$4:$AAA$4,0))</f>
        <v>58291.439400000003</v>
      </c>
      <c r="J192" s="88">
        <f>INDEX('Import CO_25'!$A$4:$AAA$143,MATCH($G192,'Import CO_25'!$A$4:$A$143,0),MATCH(J$1,'Import CO_25'!$A$4:$AAA$4,0))</f>
        <v>47492.01</v>
      </c>
    </row>
    <row r="193" spans="1:10" x14ac:dyDescent="0.2">
      <c r="A193" s="86" t="s">
        <v>7222</v>
      </c>
      <c r="B193" s="1067" t="s">
        <v>105</v>
      </c>
      <c r="C193" s="1037" t="s">
        <v>219</v>
      </c>
      <c r="D193" s="1028" t="s">
        <v>8216</v>
      </c>
      <c r="E193" s="1030" t="s">
        <v>287</v>
      </c>
      <c r="F193" s="1031" t="s">
        <v>8522</v>
      </c>
      <c r="G193" s="1031" t="s">
        <v>6497</v>
      </c>
      <c r="H193" s="88">
        <f>INDEX('Import CO_25'!$A$4:$AAA$143,MATCH($G193,'Import CO_25'!$A$4:$A$143,0),MATCH(H$1,'Import CO_25'!$A$4:$AAA$4,0))</f>
        <v>26617.1</v>
      </c>
      <c r="I193" s="88">
        <f>INDEX('Import CO_25'!$A$4:$AAA$143,MATCH($G193,'Import CO_25'!$A$4:$A$143,0),MATCH(I$1,'Import CO_25'!$A$4:$AAA$4,0))</f>
        <v>3304.8</v>
      </c>
      <c r="J193" s="88">
        <f>INDEX('Import CO_25'!$A$4:$AAA$143,MATCH($G193,'Import CO_25'!$A$4:$A$143,0),MATCH(J$1,'Import CO_25'!$A$4:$AAA$4,0))</f>
        <v>0</v>
      </c>
    </row>
    <row r="194" spans="1:10" x14ac:dyDescent="0.2">
      <c r="A194" s="86" t="s">
        <v>7223</v>
      </c>
      <c r="B194" s="1067" t="s">
        <v>105</v>
      </c>
      <c r="C194" s="1037" t="s">
        <v>219</v>
      </c>
      <c r="D194" s="1028" t="s">
        <v>8216</v>
      </c>
      <c r="E194" s="1030" t="s">
        <v>709</v>
      </c>
      <c r="F194" s="1031" t="s">
        <v>8522</v>
      </c>
      <c r="G194" s="1031" t="s">
        <v>6496</v>
      </c>
      <c r="H194" s="88">
        <f>INDEX('Import CO_25'!$A$4:$AAA$143,MATCH($G194,'Import CO_25'!$A$4:$A$143,0),MATCH(H$1,'Import CO_25'!$A$4:$AAA$4,0))</f>
        <v>0</v>
      </c>
      <c r="I194" s="88">
        <f>INDEX('Import CO_25'!$A$4:$AAA$143,MATCH($G194,'Import CO_25'!$A$4:$A$143,0),MATCH(I$1,'Import CO_25'!$A$4:$AAA$4,0))</f>
        <v>0</v>
      </c>
      <c r="J194" s="88">
        <f>INDEX('Import CO_25'!$A$4:$AAA$143,MATCH($G194,'Import CO_25'!$A$4:$A$143,0),MATCH(J$1,'Import CO_25'!$A$4:$AAA$4,0))</f>
        <v>0</v>
      </c>
    </row>
    <row r="195" spans="1:10" x14ac:dyDescent="0.2">
      <c r="A195" s="86" t="s">
        <v>7224</v>
      </c>
      <c r="B195" s="1067" t="s">
        <v>105</v>
      </c>
      <c r="C195" s="1037" t="s">
        <v>219</v>
      </c>
      <c r="D195" s="1028" t="s">
        <v>8216</v>
      </c>
      <c r="E195" s="1030" t="s">
        <v>288</v>
      </c>
      <c r="F195" s="1031" t="s">
        <v>8522</v>
      </c>
      <c r="G195" s="1031" t="s">
        <v>6498</v>
      </c>
      <c r="H195" s="88">
        <f>INDEX('Import CO_25'!$A$4:$AAA$143,MATCH($G195,'Import CO_25'!$A$4:$A$143,0),MATCH(H$1,'Import CO_25'!$A$4:$AAA$4,0))</f>
        <v>0</v>
      </c>
      <c r="I195" s="88">
        <f>INDEX('Import CO_25'!$A$4:$AAA$143,MATCH($G195,'Import CO_25'!$A$4:$A$143,0),MATCH(I$1,'Import CO_25'!$A$4:$AAA$4,0))</f>
        <v>0</v>
      </c>
      <c r="J195" s="88">
        <f>INDEX('Import CO_25'!$A$4:$AAA$143,MATCH($G195,'Import CO_25'!$A$4:$A$143,0),MATCH(J$1,'Import CO_25'!$A$4:$AAA$4,0))</f>
        <v>0</v>
      </c>
    </row>
    <row r="196" spans="1:10" x14ac:dyDescent="0.2">
      <c r="A196" s="86" t="s">
        <v>7225</v>
      </c>
      <c r="B196" s="1067" t="s">
        <v>105</v>
      </c>
      <c r="C196" s="1037" t="s">
        <v>219</v>
      </c>
      <c r="D196" s="1028" t="s">
        <v>8216</v>
      </c>
      <c r="E196" s="1030" t="s">
        <v>359</v>
      </c>
      <c r="F196" s="1031" t="s">
        <v>8522</v>
      </c>
      <c r="G196" s="1031" t="s">
        <v>6499</v>
      </c>
      <c r="H196" s="88">
        <f>INDEX('Import CO_25'!$A$4:$AAA$143,MATCH($G196,'Import CO_25'!$A$4:$A$143,0),MATCH(H$1,'Import CO_25'!$A$4:$AAA$4,0))</f>
        <v>44048.69</v>
      </c>
      <c r="I196" s="88">
        <f>INDEX('Import CO_25'!$A$4:$AAA$143,MATCH($G196,'Import CO_25'!$A$4:$A$143,0),MATCH(I$1,'Import CO_25'!$A$4:$AAA$4,0))</f>
        <v>642.55920000000003</v>
      </c>
      <c r="J196" s="88">
        <f>INDEX('Import CO_25'!$A$4:$AAA$143,MATCH($G196,'Import CO_25'!$A$4:$A$143,0),MATCH(J$1,'Import CO_25'!$A$4:$AAA$4,0))</f>
        <v>0</v>
      </c>
    </row>
    <row r="197" spans="1:10" x14ac:dyDescent="0.2">
      <c r="A197" s="86" t="s">
        <v>7226</v>
      </c>
      <c r="B197" s="1067" t="s">
        <v>105</v>
      </c>
      <c r="C197" s="1037" t="s">
        <v>219</v>
      </c>
      <c r="D197" s="1028" t="s">
        <v>8216</v>
      </c>
      <c r="E197" s="1030" t="s">
        <v>8187</v>
      </c>
      <c r="F197" s="1031" t="s">
        <v>8522</v>
      </c>
      <c r="G197" s="1031" t="s">
        <v>6500</v>
      </c>
      <c r="H197" s="88">
        <f>INDEX('Import CO_25'!$A$4:$AAA$143,MATCH($G197,'Import CO_25'!$A$4:$A$143,0),MATCH(H$1,'Import CO_25'!$A$4:$AAA$4,0))</f>
        <v>0</v>
      </c>
      <c r="I197" s="88">
        <f>INDEX('Import CO_25'!$A$4:$AAA$143,MATCH($G197,'Import CO_25'!$A$4:$A$143,0),MATCH(I$1,'Import CO_25'!$A$4:$AAA$4,0))</f>
        <v>0</v>
      </c>
      <c r="J197" s="88">
        <f>INDEX('Import CO_25'!$A$4:$AAA$143,MATCH($G197,'Import CO_25'!$A$4:$A$143,0),MATCH(J$1,'Import CO_25'!$A$4:$AAA$4,0))</f>
        <v>0</v>
      </c>
    </row>
    <row r="198" spans="1:10" x14ac:dyDescent="0.2">
      <c r="A198" s="86" t="s">
        <v>7227</v>
      </c>
      <c r="B198" s="1067" t="s">
        <v>105</v>
      </c>
      <c r="C198" s="1037" t="s">
        <v>219</v>
      </c>
      <c r="D198" s="1028" t="s">
        <v>8216</v>
      </c>
      <c r="E198" s="1030" t="s">
        <v>360</v>
      </c>
      <c r="F198" s="1031" t="s">
        <v>8522</v>
      </c>
      <c r="G198" s="1031" t="s">
        <v>5141</v>
      </c>
      <c r="H198" s="88">
        <f>INDEX('Import CO_25'!$A$4:$AAA$143,MATCH($G198,'Import CO_25'!$A$4:$A$143,0),MATCH(H$1,'Import CO_25'!$A$4:$AAA$4,0))</f>
        <v>671335.83</v>
      </c>
      <c r="I198" s="88">
        <f>INDEX('Import CO_25'!$A$4:$AAA$143,MATCH($G198,'Import CO_25'!$A$4:$A$143,0),MATCH(I$1,'Import CO_25'!$A$4:$AAA$4,0))</f>
        <v>80918.731799999994</v>
      </c>
      <c r="J198" s="88">
        <f>INDEX('Import CO_25'!$A$4:$AAA$143,MATCH($G198,'Import CO_25'!$A$4:$A$143,0),MATCH(J$1,'Import CO_25'!$A$4:$AAA$4,0))</f>
        <v>40885.03</v>
      </c>
    </row>
    <row r="199" spans="1:10" x14ac:dyDescent="0.2">
      <c r="A199" s="86" t="s">
        <v>7228</v>
      </c>
      <c r="B199" s="1067" t="s">
        <v>105</v>
      </c>
      <c r="C199" s="1037" t="s">
        <v>219</v>
      </c>
      <c r="D199" s="1028" t="s">
        <v>8216</v>
      </c>
      <c r="E199" s="1030" t="s">
        <v>8188</v>
      </c>
      <c r="F199" s="1031" t="s">
        <v>8522</v>
      </c>
      <c r="G199" s="1031" t="s">
        <v>5142</v>
      </c>
      <c r="H199" s="88">
        <f>INDEX('Import CO_25'!$A$4:$AAA$143,MATCH($G199,'Import CO_25'!$A$4:$A$143,0),MATCH(H$1,'Import CO_25'!$A$4:$AAA$4,0))</f>
        <v>0</v>
      </c>
      <c r="I199" s="88">
        <f>INDEX('Import CO_25'!$A$4:$AAA$143,MATCH($G199,'Import CO_25'!$A$4:$A$143,0),MATCH(I$1,'Import CO_25'!$A$4:$AAA$4,0))</f>
        <v>0</v>
      </c>
      <c r="J199" s="88">
        <f>INDEX('Import CO_25'!$A$4:$AAA$143,MATCH($G199,'Import CO_25'!$A$4:$A$143,0),MATCH(J$1,'Import CO_25'!$A$4:$AAA$4,0))</f>
        <v>0</v>
      </c>
    </row>
    <row r="200" spans="1:10" x14ac:dyDescent="0.2">
      <c r="A200" s="86" t="s">
        <v>7229</v>
      </c>
      <c r="B200" s="1067" t="s">
        <v>105</v>
      </c>
      <c r="C200" s="1037" t="s">
        <v>219</v>
      </c>
      <c r="D200" s="1028" t="s">
        <v>8216</v>
      </c>
      <c r="E200" s="1030" t="s">
        <v>8189</v>
      </c>
      <c r="F200" s="1031" t="s">
        <v>656</v>
      </c>
      <c r="G200" s="1031" t="s">
        <v>6748</v>
      </c>
      <c r="H200" s="88" t="str">
        <f>+IN_Anagrafica!$B$3</f>
        <v>-</v>
      </c>
      <c r="I200" s="88" t="str">
        <f>+IN_Anagrafica!$B$3</f>
        <v>-</v>
      </c>
      <c r="J200" s="88" t="str">
        <f>+IN_Anagrafica!$B$3</f>
        <v>-</v>
      </c>
    </row>
    <row r="201" spans="1:10" x14ac:dyDescent="0.2">
      <c r="A201" s="86" t="s">
        <v>7230</v>
      </c>
      <c r="B201" s="1067" t="s">
        <v>105</v>
      </c>
      <c r="C201" s="1037" t="s">
        <v>219</v>
      </c>
      <c r="D201" s="1028" t="s">
        <v>8216</v>
      </c>
      <c r="E201" s="1030" t="s">
        <v>302</v>
      </c>
      <c r="F201" s="1031" t="s">
        <v>8522</v>
      </c>
      <c r="G201" s="1031" t="s">
        <v>5113</v>
      </c>
      <c r="H201" s="88">
        <f>INDEX('Import CO_25'!$A$4:$AAA$143,MATCH($G201,'Import CO_25'!$A$4:$A$143,0),MATCH(H$1,'Import CO_25'!$A$4:$AAA$4,0))</f>
        <v>125057.40000000001</v>
      </c>
      <c r="I201" s="88">
        <f>INDEX('Import CO_25'!$A$4:$AAA$143,MATCH($G201,'Import CO_25'!$A$4:$A$143,0),MATCH(I$1,'Import CO_25'!$A$4:$AAA$4,0))</f>
        <v>1431.4476000000002</v>
      </c>
      <c r="J201" s="88">
        <f>INDEX('Import CO_25'!$A$4:$AAA$143,MATCH($G201,'Import CO_25'!$A$4:$A$143,0),MATCH(J$1,'Import CO_25'!$A$4:$AAA$4,0))</f>
        <v>13965.22</v>
      </c>
    </row>
    <row r="202" spans="1:10" x14ac:dyDescent="0.2">
      <c r="A202" s="86" t="s">
        <v>7231</v>
      </c>
      <c r="B202" s="1067" t="s">
        <v>105</v>
      </c>
      <c r="C202" s="1037" t="s">
        <v>219</v>
      </c>
      <c r="D202" s="1028" t="s">
        <v>8216</v>
      </c>
      <c r="E202" s="1030" t="s">
        <v>305</v>
      </c>
      <c r="F202" s="1031" t="s">
        <v>8522</v>
      </c>
      <c r="G202" s="1031" t="s">
        <v>5119</v>
      </c>
      <c r="H202" s="88">
        <f>INDEX('Import CO_25'!$A$4:$AAA$143,MATCH($G202,'Import CO_25'!$A$4:$A$143,0),MATCH(H$1,'Import CO_25'!$A$4:$AAA$4,0))</f>
        <v>0</v>
      </c>
      <c r="I202" s="88">
        <f>INDEX('Import CO_25'!$A$4:$AAA$143,MATCH($G202,'Import CO_25'!$A$4:$A$143,0),MATCH(I$1,'Import CO_25'!$A$4:$AAA$4,0))</f>
        <v>0</v>
      </c>
      <c r="J202" s="88">
        <f>INDEX('Import CO_25'!$A$4:$AAA$143,MATCH($G202,'Import CO_25'!$A$4:$A$143,0),MATCH(J$1,'Import CO_25'!$A$4:$AAA$4,0))</f>
        <v>0</v>
      </c>
    </row>
    <row r="203" spans="1:10" x14ac:dyDescent="0.2">
      <c r="A203" s="86" t="s">
        <v>7232</v>
      </c>
      <c r="B203" s="1067" t="s">
        <v>105</v>
      </c>
      <c r="C203" s="1037" t="s">
        <v>219</v>
      </c>
      <c r="D203" s="1028" t="s">
        <v>8216</v>
      </c>
      <c r="E203" s="1030" t="s">
        <v>308</v>
      </c>
      <c r="F203" s="1031" t="s">
        <v>8522</v>
      </c>
      <c r="G203" s="1031" t="s">
        <v>5125</v>
      </c>
      <c r="H203" s="88">
        <f>INDEX('Import CO_25'!$A$4:$AAA$143,MATCH($G203,'Import CO_25'!$A$4:$A$143,0),MATCH(H$1,'Import CO_25'!$A$4:$AAA$4,0))</f>
        <v>0</v>
      </c>
      <c r="I203" s="88">
        <f>INDEX('Import CO_25'!$A$4:$AAA$143,MATCH($G203,'Import CO_25'!$A$4:$A$143,0),MATCH(I$1,'Import CO_25'!$A$4:$AAA$4,0))</f>
        <v>0</v>
      </c>
      <c r="J203" s="88">
        <f>INDEX('Import CO_25'!$A$4:$AAA$143,MATCH($G203,'Import CO_25'!$A$4:$A$143,0),MATCH(J$1,'Import CO_25'!$A$4:$AAA$4,0))</f>
        <v>0</v>
      </c>
    </row>
    <row r="204" spans="1:10" x14ac:dyDescent="0.2">
      <c r="A204" s="86" t="s">
        <v>7233</v>
      </c>
      <c r="B204" s="1067" t="s">
        <v>105</v>
      </c>
      <c r="C204" s="1037" t="s">
        <v>219</v>
      </c>
      <c r="D204" s="1028" t="s">
        <v>8216</v>
      </c>
      <c r="E204" s="1030" t="s">
        <v>312</v>
      </c>
      <c r="F204" s="1031" t="s">
        <v>8522</v>
      </c>
      <c r="G204" s="1031" t="s">
        <v>5131</v>
      </c>
      <c r="H204" s="88">
        <f>INDEX('Import CO_25'!$A$4:$AAA$143,MATCH($G204,'Import CO_25'!$A$4:$A$143,0),MATCH(H$1,'Import CO_25'!$A$4:$AAA$4,0))</f>
        <v>558289.04999999993</v>
      </c>
      <c r="I204" s="88">
        <f>INDEX('Import CO_25'!$A$4:$AAA$143,MATCH($G204,'Import CO_25'!$A$4:$A$143,0),MATCH(I$1,'Import CO_25'!$A$4:$AAA$4,0))</f>
        <v>4893.5724</v>
      </c>
      <c r="J204" s="88">
        <f>INDEX('Import CO_25'!$A$4:$AAA$143,MATCH($G204,'Import CO_25'!$A$4:$A$143,0),MATCH(J$1,'Import CO_25'!$A$4:$AAA$4,0))</f>
        <v>58270.740000000005</v>
      </c>
    </row>
    <row r="205" spans="1:10" x14ac:dyDescent="0.2">
      <c r="A205" s="86" t="s">
        <v>7234</v>
      </c>
      <c r="B205" s="1067" t="s">
        <v>105</v>
      </c>
      <c r="C205" s="1037" t="s">
        <v>219</v>
      </c>
      <c r="D205" s="1028" t="s">
        <v>8216</v>
      </c>
      <c r="E205" s="1030" t="s">
        <v>318</v>
      </c>
      <c r="F205" s="1031" t="s">
        <v>8522</v>
      </c>
      <c r="G205" s="1031" t="s">
        <v>5143</v>
      </c>
      <c r="H205" s="88">
        <f>INDEX('Import CO_25'!$A$4:$AAA$143,MATCH($G205,'Import CO_25'!$A$4:$A$143,0),MATCH(H$1,'Import CO_25'!$A$4:$AAA$4,0))</f>
        <v>173307</v>
      </c>
      <c r="I205" s="88">
        <f>INDEX('Import CO_25'!$A$4:$AAA$143,MATCH($G205,'Import CO_25'!$A$4:$A$143,0),MATCH(I$1,'Import CO_25'!$A$4:$AAA$4,0))</f>
        <v>0</v>
      </c>
      <c r="J205" s="88">
        <f>INDEX('Import CO_25'!$A$4:$AAA$143,MATCH($G205,'Import CO_25'!$A$4:$A$143,0),MATCH(J$1,'Import CO_25'!$A$4:$AAA$4,0))</f>
        <v>0</v>
      </c>
    </row>
    <row r="206" spans="1:10" x14ac:dyDescent="0.2">
      <c r="A206" s="86" t="s">
        <v>7235</v>
      </c>
      <c r="B206" s="1067" t="s">
        <v>105</v>
      </c>
      <c r="C206" s="1037" t="s">
        <v>219</v>
      </c>
      <c r="D206" s="1028" t="s">
        <v>8216</v>
      </c>
      <c r="E206" s="1030" t="s">
        <v>323</v>
      </c>
      <c r="F206" s="1031" t="s">
        <v>8522</v>
      </c>
      <c r="G206" s="1031" t="s">
        <v>5149</v>
      </c>
      <c r="H206" s="88">
        <f>INDEX('Import CO_25'!$A$4:$AAA$143,MATCH($G206,'Import CO_25'!$A$4:$A$143,0),MATCH(H$1,'Import CO_25'!$A$4:$AAA$4,0))</f>
        <v>77.209999999999994</v>
      </c>
      <c r="I206" s="88">
        <f>INDEX('Import CO_25'!$A$4:$AAA$143,MATCH($G206,'Import CO_25'!$A$4:$A$143,0),MATCH(I$1,'Import CO_25'!$A$4:$AAA$4,0))</f>
        <v>0</v>
      </c>
      <c r="J206" s="88">
        <f>INDEX('Import CO_25'!$A$4:$AAA$143,MATCH($G206,'Import CO_25'!$A$4:$A$143,0),MATCH(J$1,'Import CO_25'!$A$4:$AAA$4,0))</f>
        <v>0</v>
      </c>
    </row>
    <row r="207" spans="1:10" x14ac:dyDescent="0.2">
      <c r="A207" s="86" t="s">
        <v>7236</v>
      </c>
      <c r="B207" s="1067" t="s">
        <v>105</v>
      </c>
      <c r="C207" s="1037" t="s">
        <v>219</v>
      </c>
      <c r="D207" s="1028" t="s">
        <v>8216</v>
      </c>
      <c r="E207" s="1030" t="s">
        <v>326</v>
      </c>
      <c r="F207" s="1031" t="s">
        <v>8522</v>
      </c>
      <c r="G207" s="1031" t="s">
        <v>5155</v>
      </c>
      <c r="H207" s="88">
        <f>INDEX('Import CO_25'!$A$4:$AAA$143,MATCH($G207,'Import CO_25'!$A$4:$A$143,0),MATCH(H$1,'Import CO_25'!$A$4:$AAA$4,0))</f>
        <v>0</v>
      </c>
      <c r="I207" s="88">
        <f>INDEX('Import CO_25'!$A$4:$AAA$143,MATCH($G207,'Import CO_25'!$A$4:$A$143,0),MATCH(I$1,'Import CO_25'!$A$4:$AAA$4,0))</f>
        <v>0</v>
      </c>
      <c r="J207" s="88">
        <f>INDEX('Import CO_25'!$A$4:$AAA$143,MATCH($G207,'Import CO_25'!$A$4:$A$143,0),MATCH(J$1,'Import CO_25'!$A$4:$AAA$4,0))</f>
        <v>0</v>
      </c>
    </row>
    <row r="208" spans="1:10" x14ac:dyDescent="0.2">
      <c r="A208" s="86" t="s">
        <v>7237</v>
      </c>
      <c r="B208" s="1067" t="s">
        <v>105</v>
      </c>
      <c r="C208" s="1037" t="s">
        <v>219</v>
      </c>
      <c r="D208" s="1028" t="s">
        <v>8216</v>
      </c>
      <c r="E208" s="1030" t="s">
        <v>330</v>
      </c>
      <c r="F208" s="1031" t="s">
        <v>8522</v>
      </c>
      <c r="G208" s="1031" t="s">
        <v>5161</v>
      </c>
      <c r="H208" s="88">
        <f>INDEX('Import CO_25'!$A$4:$AAA$143,MATCH($G208,'Import CO_25'!$A$4:$A$143,0),MATCH(H$1,'Import CO_25'!$A$4:$AAA$4,0))</f>
        <v>0</v>
      </c>
      <c r="I208" s="88">
        <f>INDEX('Import CO_25'!$A$4:$AAA$143,MATCH($G208,'Import CO_25'!$A$4:$A$143,0),MATCH(I$1,'Import CO_25'!$A$4:$AAA$4,0))</f>
        <v>0</v>
      </c>
      <c r="J208" s="88">
        <f>INDEX('Import CO_25'!$A$4:$AAA$143,MATCH($G208,'Import CO_25'!$A$4:$A$143,0),MATCH(J$1,'Import CO_25'!$A$4:$AAA$4,0))</f>
        <v>0</v>
      </c>
    </row>
    <row r="209" spans="1:10" x14ac:dyDescent="0.2">
      <c r="A209" s="86" t="s">
        <v>7238</v>
      </c>
      <c r="B209" s="1067" t="s">
        <v>105</v>
      </c>
      <c r="C209" s="1037" t="s">
        <v>219</v>
      </c>
      <c r="D209" s="1028" t="s">
        <v>8216</v>
      </c>
      <c r="E209" s="1030" t="s">
        <v>333</v>
      </c>
      <c r="F209" s="1031" t="s">
        <v>8522</v>
      </c>
      <c r="G209" s="1031" t="s">
        <v>5167</v>
      </c>
      <c r="H209" s="88">
        <f>INDEX('Import CO_25'!$A$4:$AAA$143,MATCH($G209,'Import CO_25'!$A$4:$A$143,0),MATCH(H$1,'Import CO_25'!$A$4:$AAA$4,0))</f>
        <v>0</v>
      </c>
      <c r="I209" s="88">
        <f>INDEX('Import CO_25'!$A$4:$AAA$143,MATCH($G209,'Import CO_25'!$A$4:$A$143,0),MATCH(I$1,'Import CO_25'!$A$4:$AAA$4,0))</f>
        <v>0</v>
      </c>
      <c r="J209" s="88">
        <f>INDEX('Import CO_25'!$A$4:$AAA$143,MATCH($G209,'Import CO_25'!$A$4:$A$143,0),MATCH(J$1,'Import CO_25'!$A$4:$AAA$4,0))</f>
        <v>0</v>
      </c>
    </row>
    <row r="210" spans="1:10" x14ac:dyDescent="0.2">
      <c r="A210" s="86" t="s">
        <v>7239</v>
      </c>
      <c r="B210" s="1067" t="s">
        <v>105</v>
      </c>
      <c r="C210" s="1037" t="s">
        <v>219</v>
      </c>
      <c r="D210" s="1028" t="s">
        <v>8216</v>
      </c>
      <c r="E210" s="1030" t="s">
        <v>303</v>
      </c>
      <c r="F210" s="1031" t="s">
        <v>8522</v>
      </c>
      <c r="G210" s="1031" t="s">
        <v>5114</v>
      </c>
      <c r="H210" s="88">
        <f>INDEX('Import CO_25'!$A$4:$AAA$143,MATCH($G210,'Import CO_25'!$A$4:$A$143,0),MATCH(H$1,'Import CO_25'!$A$4:$AAA$4,0))</f>
        <v>270009.28999999998</v>
      </c>
      <c r="I210" s="88">
        <f>INDEX('Import CO_25'!$A$4:$AAA$143,MATCH($G210,'Import CO_25'!$A$4:$A$143,0),MATCH(I$1,'Import CO_25'!$A$4:$AAA$4,0))</f>
        <v>26093.038199999999</v>
      </c>
      <c r="J210" s="88">
        <f>INDEX('Import CO_25'!$A$4:$AAA$143,MATCH($G210,'Import CO_25'!$A$4:$A$143,0),MATCH(J$1,'Import CO_25'!$A$4:$AAA$4,0))</f>
        <v>37164.800000000003</v>
      </c>
    </row>
    <row r="211" spans="1:10" x14ac:dyDescent="0.2">
      <c r="A211" s="86" t="s">
        <v>7240</v>
      </c>
      <c r="B211" s="1067" t="s">
        <v>105</v>
      </c>
      <c r="C211" s="1037" t="s">
        <v>219</v>
      </c>
      <c r="D211" s="1028" t="s">
        <v>8216</v>
      </c>
      <c r="E211" s="1030" t="s">
        <v>313</v>
      </c>
      <c r="F211" s="1031" t="s">
        <v>8522</v>
      </c>
      <c r="G211" s="1031" t="s">
        <v>5132</v>
      </c>
      <c r="H211" s="88">
        <f>INDEX('Import CO_25'!$A$4:$AAA$143,MATCH($G211,'Import CO_25'!$A$4:$A$143,0),MATCH(H$1,'Import CO_25'!$A$4:$AAA$4,0))</f>
        <v>1162435.02</v>
      </c>
      <c r="I211" s="88">
        <f>INDEX('Import CO_25'!$A$4:$AAA$143,MATCH($G211,'Import CO_25'!$A$4:$A$143,0),MATCH(I$1,'Import CO_25'!$A$4:$AAA$4,0))</f>
        <v>92721.804600000003</v>
      </c>
      <c r="J211" s="88">
        <f>INDEX('Import CO_25'!$A$4:$AAA$143,MATCH($G211,'Import CO_25'!$A$4:$A$143,0),MATCH(J$1,'Import CO_25'!$A$4:$AAA$4,0))</f>
        <v>147809.79</v>
      </c>
    </row>
    <row r="212" spans="1:10" x14ac:dyDescent="0.2">
      <c r="A212" s="86" t="s">
        <v>7241</v>
      </c>
      <c r="B212" s="1067" t="s">
        <v>105</v>
      </c>
      <c r="C212" s="1037" t="s">
        <v>219</v>
      </c>
      <c r="D212" s="1028" t="s">
        <v>8216</v>
      </c>
      <c r="E212" s="1030" t="s">
        <v>319</v>
      </c>
      <c r="F212" s="1031" t="s">
        <v>8522</v>
      </c>
      <c r="G212" s="1031" t="s">
        <v>5144</v>
      </c>
      <c r="H212" s="88">
        <f>INDEX('Import CO_25'!$A$4:$AAA$143,MATCH($G212,'Import CO_25'!$A$4:$A$143,0),MATCH(H$1,'Import CO_25'!$A$4:$AAA$4,0))</f>
        <v>286705.51</v>
      </c>
      <c r="I212" s="88">
        <f>INDEX('Import CO_25'!$A$4:$AAA$143,MATCH($G212,'Import CO_25'!$A$4:$A$143,0),MATCH(I$1,'Import CO_25'!$A$4:$AAA$4,0))</f>
        <v>0</v>
      </c>
      <c r="J212" s="88">
        <f>INDEX('Import CO_25'!$A$4:$AAA$143,MATCH($G212,'Import CO_25'!$A$4:$A$143,0),MATCH(J$1,'Import CO_25'!$A$4:$AAA$4,0))</f>
        <v>52166.45</v>
      </c>
    </row>
    <row r="213" spans="1:10" x14ac:dyDescent="0.2">
      <c r="A213" s="86" t="s">
        <v>7242</v>
      </c>
      <c r="B213" s="1067" t="s">
        <v>105</v>
      </c>
      <c r="C213" s="1037" t="s">
        <v>219</v>
      </c>
      <c r="D213" s="1028" t="s">
        <v>8216</v>
      </c>
      <c r="E213" s="1030" t="s">
        <v>324</v>
      </c>
      <c r="F213" s="1031" t="s">
        <v>8522</v>
      </c>
      <c r="G213" s="1031" t="s">
        <v>5150</v>
      </c>
      <c r="H213" s="88">
        <f>INDEX('Import CO_25'!$A$4:$AAA$143,MATCH($G213,'Import CO_25'!$A$4:$A$143,0),MATCH(H$1,'Import CO_25'!$A$4:$AAA$4,0))</f>
        <v>264631.40999999997</v>
      </c>
      <c r="I213" s="88">
        <f>INDEX('Import CO_25'!$A$4:$AAA$143,MATCH($G213,'Import CO_25'!$A$4:$A$143,0),MATCH(I$1,'Import CO_25'!$A$4:$AAA$4,0))</f>
        <v>0</v>
      </c>
      <c r="J213" s="88">
        <f>INDEX('Import CO_25'!$A$4:$AAA$143,MATCH($G213,'Import CO_25'!$A$4:$A$143,0),MATCH(J$1,'Import CO_25'!$A$4:$AAA$4,0))</f>
        <v>0</v>
      </c>
    </row>
    <row r="214" spans="1:10" x14ac:dyDescent="0.2">
      <c r="A214" s="86" t="s">
        <v>7243</v>
      </c>
      <c r="B214" s="1067" t="s">
        <v>105</v>
      </c>
      <c r="C214" s="1037" t="s">
        <v>219</v>
      </c>
      <c r="D214" s="1028" t="s">
        <v>8216</v>
      </c>
      <c r="E214" s="1030" t="s">
        <v>327</v>
      </c>
      <c r="F214" s="1031" t="s">
        <v>8522</v>
      </c>
      <c r="G214" s="1031" t="s">
        <v>5156</v>
      </c>
      <c r="H214" s="88">
        <f>INDEX('Import CO_25'!$A$4:$AAA$143,MATCH($G214,'Import CO_25'!$A$4:$A$143,0),MATCH(H$1,'Import CO_25'!$A$4:$AAA$4,0))</f>
        <v>1745407.8599999999</v>
      </c>
      <c r="I214" s="88">
        <f>INDEX('Import CO_25'!$A$4:$AAA$143,MATCH($G214,'Import CO_25'!$A$4:$A$143,0),MATCH(I$1,'Import CO_25'!$A$4:$AAA$4,0))</f>
        <v>52551.042600000001</v>
      </c>
      <c r="J214" s="88">
        <f>INDEX('Import CO_25'!$A$4:$AAA$143,MATCH($G214,'Import CO_25'!$A$4:$A$143,0),MATCH(J$1,'Import CO_25'!$A$4:$AAA$4,0))</f>
        <v>48000</v>
      </c>
    </row>
    <row r="215" spans="1:10" x14ac:dyDescent="0.2">
      <c r="A215" s="86" t="s">
        <v>7244</v>
      </c>
      <c r="B215" s="1067" t="s">
        <v>105</v>
      </c>
      <c r="C215" s="1037" t="s">
        <v>219</v>
      </c>
      <c r="D215" s="1028" t="s">
        <v>8216</v>
      </c>
      <c r="E215" s="1030" t="s">
        <v>331</v>
      </c>
      <c r="F215" s="1031" t="s">
        <v>8522</v>
      </c>
      <c r="G215" s="1031" t="s">
        <v>5162</v>
      </c>
      <c r="H215" s="88">
        <f>INDEX('Import CO_25'!$A$4:$AAA$143,MATCH($G215,'Import CO_25'!$A$4:$A$143,0),MATCH(H$1,'Import CO_25'!$A$4:$AAA$4,0))</f>
        <v>0</v>
      </c>
      <c r="I215" s="88">
        <f>INDEX('Import CO_25'!$A$4:$AAA$143,MATCH($G215,'Import CO_25'!$A$4:$A$143,0),MATCH(I$1,'Import CO_25'!$A$4:$AAA$4,0))</f>
        <v>0</v>
      </c>
      <c r="J215" s="88">
        <f>INDEX('Import CO_25'!$A$4:$AAA$143,MATCH($G215,'Import CO_25'!$A$4:$A$143,0),MATCH(J$1,'Import CO_25'!$A$4:$AAA$4,0))</f>
        <v>0</v>
      </c>
    </row>
    <row r="216" spans="1:10" x14ac:dyDescent="0.2">
      <c r="A216" s="86" t="s">
        <v>7245</v>
      </c>
      <c r="B216" s="1067" t="s">
        <v>105</v>
      </c>
      <c r="C216" s="1037" t="s">
        <v>219</v>
      </c>
      <c r="D216" s="1028" t="s">
        <v>8216</v>
      </c>
      <c r="E216" s="1030" t="s">
        <v>334</v>
      </c>
      <c r="F216" s="1031" t="s">
        <v>8522</v>
      </c>
      <c r="G216" s="1031" t="s">
        <v>5168</v>
      </c>
      <c r="H216" s="88">
        <f>INDEX('Import CO_25'!$A$4:$AAA$143,MATCH($G216,'Import CO_25'!$A$4:$A$143,0),MATCH(H$1,'Import CO_25'!$A$4:$AAA$4,0))</f>
        <v>0</v>
      </c>
      <c r="I216" s="88">
        <f>INDEX('Import CO_25'!$A$4:$AAA$143,MATCH($G216,'Import CO_25'!$A$4:$A$143,0),MATCH(I$1,'Import CO_25'!$A$4:$AAA$4,0))</f>
        <v>0</v>
      </c>
      <c r="J216" s="88">
        <f>INDEX('Import CO_25'!$A$4:$AAA$143,MATCH($G216,'Import CO_25'!$A$4:$A$143,0),MATCH(J$1,'Import CO_25'!$A$4:$AAA$4,0))</f>
        <v>0</v>
      </c>
    </row>
    <row r="217" spans="1:10" x14ac:dyDescent="0.2">
      <c r="A217" s="86" t="s">
        <v>7246</v>
      </c>
      <c r="B217" s="1067" t="s">
        <v>105</v>
      </c>
      <c r="C217" s="1037" t="s">
        <v>219</v>
      </c>
      <c r="D217" s="1028" t="s">
        <v>8216</v>
      </c>
      <c r="E217" s="1030" t="s">
        <v>304</v>
      </c>
      <c r="F217" s="1031" t="s">
        <v>8522</v>
      </c>
      <c r="G217" s="1031" t="s">
        <v>5115</v>
      </c>
      <c r="H217" s="88">
        <f>INDEX('Import CO_25'!$A$4:$AAA$143,MATCH($G217,'Import CO_25'!$A$4:$A$143,0),MATCH(H$1,'Import CO_25'!$A$4:$AAA$4,0))</f>
        <v>57538.400000000001</v>
      </c>
      <c r="I217" s="88">
        <f>INDEX('Import CO_25'!$A$4:$AAA$143,MATCH($G217,'Import CO_25'!$A$4:$A$143,0),MATCH(I$1,'Import CO_25'!$A$4:$AAA$4,0))</f>
        <v>4730.9232000000002</v>
      </c>
      <c r="J217" s="88">
        <f>INDEX('Import CO_25'!$A$4:$AAA$143,MATCH($G217,'Import CO_25'!$A$4:$A$143,0),MATCH(J$1,'Import CO_25'!$A$4:$AAA$4,0))</f>
        <v>643.57000000000005</v>
      </c>
    </row>
    <row r="218" spans="1:10" x14ac:dyDescent="0.2">
      <c r="A218" s="86" t="s">
        <v>7247</v>
      </c>
      <c r="B218" s="1067" t="s">
        <v>105</v>
      </c>
      <c r="C218" s="1037" t="s">
        <v>219</v>
      </c>
      <c r="D218" s="1028" t="s">
        <v>8216</v>
      </c>
      <c r="E218" s="1030" t="s">
        <v>306</v>
      </c>
      <c r="F218" s="1031" t="s">
        <v>8522</v>
      </c>
      <c r="G218" s="1031" t="s">
        <v>5121</v>
      </c>
      <c r="H218" s="88">
        <f>INDEX('Import CO_25'!$A$4:$AAA$143,MATCH($G218,'Import CO_25'!$A$4:$A$143,0),MATCH(H$1,'Import CO_25'!$A$4:$AAA$4,0))</f>
        <v>0</v>
      </c>
      <c r="I218" s="88">
        <f>INDEX('Import CO_25'!$A$4:$AAA$143,MATCH($G218,'Import CO_25'!$A$4:$A$143,0),MATCH(I$1,'Import CO_25'!$A$4:$AAA$4,0))</f>
        <v>0</v>
      </c>
      <c r="J218" s="88">
        <f>INDEX('Import CO_25'!$A$4:$AAA$143,MATCH($G218,'Import CO_25'!$A$4:$A$143,0),MATCH(J$1,'Import CO_25'!$A$4:$AAA$4,0))</f>
        <v>0</v>
      </c>
    </row>
    <row r="219" spans="1:10" x14ac:dyDescent="0.2">
      <c r="A219" s="86" t="s">
        <v>7248</v>
      </c>
      <c r="B219" s="1067" t="s">
        <v>105</v>
      </c>
      <c r="C219" s="1037" t="s">
        <v>219</v>
      </c>
      <c r="D219" s="1028" t="s">
        <v>8216</v>
      </c>
      <c r="E219" s="1030" t="s">
        <v>310</v>
      </c>
      <c r="F219" s="1031" t="s">
        <v>8522</v>
      </c>
      <c r="G219" s="1031" t="s">
        <v>5127</v>
      </c>
      <c r="H219" s="88">
        <f>INDEX('Import CO_25'!$A$4:$AAA$143,MATCH($G219,'Import CO_25'!$A$4:$A$143,0),MATCH(H$1,'Import CO_25'!$A$4:$AAA$4,0))</f>
        <v>0</v>
      </c>
      <c r="I219" s="88">
        <f>INDEX('Import CO_25'!$A$4:$AAA$143,MATCH($G219,'Import CO_25'!$A$4:$A$143,0),MATCH(I$1,'Import CO_25'!$A$4:$AAA$4,0))</f>
        <v>0</v>
      </c>
      <c r="J219" s="88">
        <f>INDEX('Import CO_25'!$A$4:$AAA$143,MATCH($G219,'Import CO_25'!$A$4:$A$143,0),MATCH(J$1,'Import CO_25'!$A$4:$AAA$4,0))</f>
        <v>0</v>
      </c>
    </row>
    <row r="220" spans="1:10" x14ac:dyDescent="0.2">
      <c r="A220" s="86" t="s">
        <v>7249</v>
      </c>
      <c r="B220" s="1067" t="s">
        <v>105</v>
      </c>
      <c r="C220" s="1037" t="s">
        <v>219</v>
      </c>
      <c r="D220" s="1028" t="s">
        <v>8216</v>
      </c>
      <c r="E220" s="1030" t="s">
        <v>314</v>
      </c>
      <c r="F220" s="1031" t="s">
        <v>8522</v>
      </c>
      <c r="G220" s="1031" t="s">
        <v>5133</v>
      </c>
      <c r="H220" s="88">
        <f>INDEX('Import CO_25'!$A$4:$AAA$143,MATCH($G220,'Import CO_25'!$A$4:$A$143,0),MATCH(H$1,'Import CO_25'!$A$4:$AAA$4,0))</f>
        <v>242789.82</v>
      </c>
      <c r="I220" s="88">
        <f>INDEX('Import CO_25'!$A$4:$AAA$143,MATCH($G220,'Import CO_25'!$A$4:$A$143,0),MATCH(I$1,'Import CO_25'!$A$4:$AAA$4,0))</f>
        <v>16773.828600000001</v>
      </c>
      <c r="J220" s="88">
        <f>INDEX('Import CO_25'!$A$4:$AAA$143,MATCH($G220,'Import CO_25'!$A$4:$A$143,0),MATCH(J$1,'Import CO_25'!$A$4:$AAA$4,0))</f>
        <v>2885.32</v>
      </c>
    </row>
    <row r="221" spans="1:10" x14ac:dyDescent="0.2">
      <c r="A221" s="86" t="s">
        <v>7250</v>
      </c>
      <c r="B221" s="1067" t="s">
        <v>105</v>
      </c>
      <c r="C221" s="1037" t="s">
        <v>219</v>
      </c>
      <c r="D221" s="1028" t="s">
        <v>8216</v>
      </c>
      <c r="E221" s="1030" t="s">
        <v>320</v>
      </c>
      <c r="F221" s="1031" t="s">
        <v>8522</v>
      </c>
      <c r="G221" s="1031" t="s">
        <v>5145</v>
      </c>
      <c r="H221" s="88">
        <f>INDEX('Import CO_25'!$A$4:$AAA$143,MATCH($G221,'Import CO_25'!$A$4:$A$143,0),MATCH(H$1,'Import CO_25'!$A$4:$AAA$4,0))</f>
        <v>176510.35</v>
      </c>
      <c r="I221" s="88">
        <f>INDEX('Import CO_25'!$A$4:$AAA$143,MATCH($G221,'Import CO_25'!$A$4:$A$143,0),MATCH(I$1,'Import CO_25'!$A$4:$AAA$4,0))</f>
        <v>0</v>
      </c>
      <c r="J221" s="88">
        <f>INDEX('Import CO_25'!$A$4:$AAA$143,MATCH($G221,'Import CO_25'!$A$4:$A$143,0),MATCH(J$1,'Import CO_25'!$A$4:$AAA$4,0))</f>
        <v>0</v>
      </c>
    </row>
    <row r="222" spans="1:10" x14ac:dyDescent="0.2">
      <c r="A222" s="86" t="s">
        <v>7251</v>
      </c>
      <c r="B222" s="1067" t="s">
        <v>105</v>
      </c>
      <c r="C222" s="1037" t="s">
        <v>219</v>
      </c>
      <c r="D222" s="1028" t="s">
        <v>8216</v>
      </c>
      <c r="E222" s="1030" t="s">
        <v>325</v>
      </c>
      <c r="F222" s="1031" t="s">
        <v>8522</v>
      </c>
      <c r="G222" s="1031" t="s">
        <v>5151</v>
      </c>
      <c r="H222" s="88">
        <f>INDEX('Import CO_25'!$A$4:$AAA$143,MATCH($G222,'Import CO_25'!$A$4:$A$143,0),MATCH(H$1,'Import CO_25'!$A$4:$AAA$4,0))</f>
        <v>26109.25</v>
      </c>
      <c r="I222" s="88">
        <f>INDEX('Import CO_25'!$A$4:$AAA$143,MATCH($G222,'Import CO_25'!$A$4:$A$143,0),MATCH(I$1,'Import CO_25'!$A$4:$AAA$4,0))</f>
        <v>0</v>
      </c>
      <c r="J222" s="88">
        <f>INDEX('Import CO_25'!$A$4:$AAA$143,MATCH($G222,'Import CO_25'!$A$4:$A$143,0),MATCH(J$1,'Import CO_25'!$A$4:$AAA$4,0))</f>
        <v>0</v>
      </c>
    </row>
    <row r="223" spans="1:10" x14ac:dyDescent="0.2">
      <c r="A223" s="86" t="s">
        <v>7252</v>
      </c>
      <c r="B223" s="1067" t="s">
        <v>105</v>
      </c>
      <c r="C223" s="1037" t="s">
        <v>219</v>
      </c>
      <c r="D223" s="1028" t="s">
        <v>8216</v>
      </c>
      <c r="E223" s="1030" t="s">
        <v>328</v>
      </c>
      <c r="F223" s="1031" t="s">
        <v>8522</v>
      </c>
      <c r="G223" s="1031" t="s">
        <v>5157</v>
      </c>
      <c r="H223" s="88">
        <f>INDEX('Import CO_25'!$A$4:$AAA$143,MATCH($G223,'Import CO_25'!$A$4:$A$143,0),MATCH(H$1,'Import CO_25'!$A$4:$AAA$4,0))</f>
        <v>0</v>
      </c>
      <c r="I223" s="88">
        <f>INDEX('Import CO_25'!$A$4:$AAA$143,MATCH($G223,'Import CO_25'!$A$4:$A$143,0),MATCH(I$1,'Import CO_25'!$A$4:$AAA$4,0))</f>
        <v>0</v>
      </c>
      <c r="J223" s="88">
        <f>INDEX('Import CO_25'!$A$4:$AAA$143,MATCH($G223,'Import CO_25'!$A$4:$A$143,0),MATCH(J$1,'Import CO_25'!$A$4:$AAA$4,0))</f>
        <v>0</v>
      </c>
    </row>
    <row r="224" spans="1:10" x14ac:dyDescent="0.2">
      <c r="A224" s="86" t="s">
        <v>7253</v>
      </c>
      <c r="B224" s="1067" t="s">
        <v>105</v>
      </c>
      <c r="C224" s="1037" t="s">
        <v>219</v>
      </c>
      <c r="D224" s="1028" t="s">
        <v>8216</v>
      </c>
      <c r="E224" s="1030" t="s">
        <v>332</v>
      </c>
      <c r="F224" s="1031" t="s">
        <v>8522</v>
      </c>
      <c r="G224" s="1031" t="s">
        <v>5163</v>
      </c>
      <c r="H224" s="88">
        <f>INDEX('Import CO_25'!$A$4:$AAA$143,MATCH($G224,'Import CO_25'!$A$4:$A$143,0),MATCH(H$1,'Import CO_25'!$A$4:$AAA$4,0))</f>
        <v>0</v>
      </c>
      <c r="I224" s="88">
        <f>INDEX('Import CO_25'!$A$4:$AAA$143,MATCH($G224,'Import CO_25'!$A$4:$A$143,0),MATCH(I$1,'Import CO_25'!$A$4:$AAA$4,0))</f>
        <v>0</v>
      </c>
      <c r="J224" s="88">
        <f>INDEX('Import CO_25'!$A$4:$AAA$143,MATCH($G224,'Import CO_25'!$A$4:$A$143,0),MATCH(J$1,'Import CO_25'!$A$4:$AAA$4,0))</f>
        <v>0</v>
      </c>
    </row>
    <row r="225" spans="1:10" x14ac:dyDescent="0.2">
      <c r="A225" s="86" t="s">
        <v>7254</v>
      </c>
      <c r="B225" s="1067" t="s">
        <v>105</v>
      </c>
      <c r="C225" s="1037" t="s">
        <v>219</v>
      </c>
      <c r="D225" s="1028" t="s">
        <v>8216</v>
      </c>
      <c r="E225" s="1030" t="s">
        <v>335</v>
      </c>
      <c r="F225" s="1031" t="s">
        <v>8522</v>
      </c>
      <c r="G225" s="1031" t="s">
        <v>5169</v>
      </c>
      <c r="H225" s="88">
        <f>INDEX('Import CO_25'!$A$4:$AAA$143,MATCH($G225,'Import CO_25'!$A$4:$A$143,0),MATCH(H$1,'Import CO_25'!$A$4:$AAA$4,0))</f>
        <v>0</v>
      </c>
      <c r="I225" s="88">
        <f>INDEX('Import CO_25'!$A$4:$AAA$143,MATCH($G225,'Import CO_25'!$A$4:$A$143,0),MATCH(I$1,'Import CO_25'!$A$4:$AAA$4,0))</f>
        <v>0</v>
      </c>
      <c r="J225" s="88">
        <f>INDEX('Import CO_25'!$A$4:$AAA$143,MATCH($G225,'Import CO_25'!$A$4:$A$143,0),MATCH(J$1,'Import CO_25'!$A$4:$AAA$4,0))</f>
        <v>0</v>
      </c>
    </row>
    <row r="226" spans="1:10" x14ac:dyDescent="0.2">
      <c r="A226" s="86" t="s">
        <v>7255</v>
      </c>
      <c r="B226" s="1067" t="s">
        <v>105</v>
      </c>
      <c r="C226" s="1037" t="s">
        <v>219</v>
      </c>
      <c r="D226" s="1028" t="s">
        <v>8216</v>
      </c>
      <c r="E226" s="1030" t="s">
        <v>675</v>
      </c>
      <c r="F226" s="1031" t="s">
        <v>8522</v>
      </c>
      <c r="G226" s="1031" t="s">
        <v>5116</v>
      </c>
      <c r="H226" s="88">
        <f>INDEX('Import CO_25'!$A$4:$AAA$143,MATCH($G226,'Import CO_25'!$A$4:$A$143,0),MATCH(H$1,'Import CO_25'!$A$4:$AAA$4,0))</f>
        <v>681254</v>
      </c>
      <c r="I226" s="88">
        <f>INDEX('Import CO_25'!$A$4:$AAA$143,MATCH($G226,'Import CO_25'!$A$4:$A$143,0),MATCH(I$1,'Import CO_25'!$A$4:$AAA$4,0))</f>
        <v>88907.443200000009</v>
      </c>
      <c r="J226" s="88">
        <f>INDEX('Import CO_25'!$A$4:$AAA$143,MATCH($G226,'Import CO_25'!$A$4:$A$143,0),MATCH(J$1,'Import CO_25'!$A$4:$AAA$4,0))</f>
        <v>51937.85</v>
      </c>
    </row>
    <row r="227" spans="1:10" x14ac:dyDescent="0.2">
      <c r="A227" s="86" t="s">
        <v>7256</v>
      </c>
      <c r="B227" s="1067" t="s">
        <v>105</v>
      </c>
      <c r="C227" s="1037" t="s">
        <v>219</v>
      </c>
      <c r="D227" s="1028" t="s">
        <v>8216</v>
      </c>
      <c r="E227" s="1030" t="s">
        <v>8190</v>
      </c>
      <c r="F227" s="1031" t="s">
        <v>8522</v>
      </c>
      <c r="G227" s="1031" t="s">
        <v>5122</v>
      </c>
      <c r="H227" s="88">
        <f>INDEX('Import CO_25'!$A$4:$AAA$143,MATCH($G227,'Import CO_25'!$A$4:$A$143,0),MATCH(H$1,'Import CO_25'!$A$4:$AAA$4,0))</f>
        <v>0</v>
      </c>
      <c r="I227" s="88">
        <f>INDEX('Import CO_25'!$A$4:$AAA$143,MATCH($G227,'Import CO_25'!$A$4:$A$143,0),MATCH(I$1,'Import CO_25'!$A$4:$AAA$4,0))</f>
        <v>0</v>
      </c>
      <c r="J227" s="88">
        <f>INDEX('Import CO_25'!$A$4:$AAA$143,MATCH($G227,'Import CO_25'!$A$4:$A$143,0),MATCH(J$1,'Import CO_25'!$A$4:$AAA$4,0))</f>
        <v>0</v>
      </c>
    </row>
    <row r="228" spans="1:10" x14ac:dyDescent="0.2">
      <c r="A228" s="86" t="s">
        <v>7257</v>
      </c>
      <c r="B228" s="1067" t="s">
        <v>105</v>
      </c>
      <c r="C228" s="1037" t="s">
        <v>219</v>
      </c>
      <c r="D228" s="1028" t="s">
        <v>8216</v>
      </c>
      <c r="E228" s="1030" t="s">
        <v>8191</v>
      </c>
      <c r="F228" s="1031" t="s">
        <v>8522</v>
      </c>
      <c r="G228" s="1031" t="s">
        <v>5128</v>
      </c>
      <c r="H228" s="88">
        <f>INDEX('Import CO_25'!$A$4:$AAA$143,MATCH($G228,'Import CO_25'!$A$4:$A$143,0),MATCH(H$1,'Import CO_25'!$A$4:$AAA$4,0))</f>
        <v>0</v>
      </c>
      <c r="I228" s="88">
        <f>INDEX('Import CO_25'!$A$4:$AAA$143,MATCH($G228,'Import CO_25'!$A$4:$A$143,0),MATCH(I$1,'Import CO_25'!$A$4:$AAA$4,0))</f>
        <v>0</v>
      </c>
      <c r="J228" s="88">
        <f>INDEX('Import CO_25'!$A$4:$AAA$143,MATCH($G228,'Import CO_25'!$A$4:$A$143,0),MATCH(J$1,'Import CO_25'!$A$4:$AAA$4,0))</f>
        <v>0</v>
      </c>
    </row>
    <row r="229" spans="1:10" x14ac:dyDescent="0.2">
      <c r="A229" s="86" t="s">
        <v>7258</v>
      </c>
      <c r="B229" s="1067" t="s">
        <v>105</v>
      </c>
      <c r="C229" s="1037" t="s">
        <v>219</v>
      </c>
      <c r="D229" s="1028" t="s">
        <v>8216</v>
      </c>
      <c r="E229" s="1030" t="s">
        <v>677</v>
      </c>
      <c r="F229" s="1031" t="s">
        <v>8522</v>
      </c>
      <c r="G229" s="1031" t="s">
        <v>5134</v>
      </c>
      <c r="H229" s="88">
        <f>INDEX('Import CO_25'!$A$4:$AAA$143,MATCH($G229,'Import CO_25'!$A$4:$A$143,0),MATCH(H$1,'Import CO_25'!$A$4:$AAA$4,0))</f>
        <v>3020274.86</v>
      </c>
      <c r="I229" s="88">
        <f>INDEX('Import CO_25'!$A$4:$AAA$143,MATCH($G229,'Import CO_25'!$A$4:$A$143,0),MATCH(I$1,'Import CO_25'!$A$4:$AAA$4,0))</f>
        <v>318787.38300000003</v>
      </c>
      <c r="J229" s="88">
        <f>INDEX('Import CO_25'!$A$4:$AAA$143,MATCH($G229,'Import CO_25'!$A$4:$A$143,0),MATCH(J$1,'Import CO_25'!$A$4:$AAA$4,0))</f>
        <v>205957.72</v>
      </c>
    </row>
    <row r="230" spans="1:10" x14ac:dyDescent="0.2">
      <c r="A230" s="86" t="s">
        <v>7259</v>
      </c>
      <c r="B230" s="1067" t="s">
        <v>105</v>
      </c>
      <c r="C230" s="1037" t="s">
        <v>219</v>
      </c>
      <c r="D230" s="1028" t="s">
        <v>8216</v>
      </c>
      <c r="E230" s="1030" t="s">
        <v>680</v>
      </c>
      <c r="F230" s="1031" t="s">
        <v>8522</v>
      </c>
      <c r="G230" s="1031" t="s">
        <v>5146</v>
      </c>
      <c r="H230" s="88">
        <f>INDEX('Import CO_25'!$A$4:$AAA$143,MATCH($G230,'Import CO_25'!$A$4:$A$143,0),MATCH(H$1,'Import CO_25'!$A$4:$AAA$4,0))</f>
        <v>1716357.73</v>
      </c>
      <c r="I230" s="88">
        <f>INDEX('Import CO_25'!$A$4:$AAA$143,MATCH($G230,'Import CO_25'!$A$4:$A$143,0),MATCH(I$1,'Import CO_25'!$A$4:$AAA$4,0))</f>
        <v>0</v>
      </c>
      <c r="J230" s="88">
        <f>INDEX('Import CO_25'!$A$4:$AAA$143,MATCH($G230,'Import CO_25'!$A$4:$A$143,0),MATCH(J$1,'Import CO_25'!$A$4:$AAA$4,0))</f>
        <v>0</v>
      </c>
    </row>
    <row r="231" spans="1:10" x14ac:dyDescent="0.2">
      <c r="A231" s="86" t="s">
        <v>7260</v>
      </c>
      <c r="B231" s="1067" t="s">
        <v>105</v>
      </c>
      <c r="C231" s="1037" t="s">
        <v>219</v>
      </c>
      <c r="D231" s="1028" t="s">
        <v>8216</v>
      </c>
      <c r="E231" s="1030" t="s">
        <v>8192</v>
      </c>
      <c r="F231" s="1031" t="s">
        <v>8522</v>
      </c>
      <c r="G231" s="1031" t="s">
        <v>5152</v>
      </c>
      <c r="H231" s="88">
        <f>INDEX('Import CO_25'!$A$4:$AAA$143,MATCH($G231,'Import CO_25'!$A$4:$A$143,0),MATCH(H$1,'Import CO_25'!$A$4:$AAA$4,0))</f>
        <v>355961.21</v>
      </c>
      <c r="I231" s="88">
        <f>INDEX('Import CO_25'!$A$4:$AAA$143,MATCH($G231,'Import CO_25'!$A$4:$A$143,0),MATCH(I$1,'Import CO_25'!$A$4:$AAA$4,0))</f>
        <v>0</v>
      </c>
      <c r="J231" s="88">
        <f>INDEX('Import CO_25'!$A$4:$AAA$143,MATCH($G231,'Import CO_25'!$A$4:$A$143,0),MATCH(J$1,'Import CO_25'!$A$4:$AAA$4,0))</f>
        <v>0</v>
      </c>
    </row>
    <row r="232" spans="1:10" x14ac:dyDescent="0.2">
      <c r="A232" s="86" t="s">
        <v>7261</v>
      </c>
      <c r="B232" s="1067" t="s">
        <v>105</v>
      </c>
      <c r="C232" s="1037" t="s">
        <v>219</v>
      </c>
      <c r="D232" s="1028" t="s">
        <v>8216</v>
      </c>
      <c r="E232" s="1030" t="s">
        <v>8193</v>
      </c>
      <c r="F232" s="1031" t="s">
        <v>8522</v>
      </c>
      <c r="G232" s="1031" t="s">
        <v>5158</v>
      </c>
      <c r="H232" s="88">
        <f>INDEX('Import CO_25'!$A$4:$AAA$143,MATCH($G232,'Import CO_25'!$A$4:$A$143,0),MATCH(H$1,'Import CO_25'!$A$4:$AAA$4,0))</f>
        <v>0</v>
      </c>
      <c r="I232" s="88">
        <f>INDEX('Import CO_25'!$A$4:$AAA$143,MATCH($G232,'Import CO_25'!$A$4:$A$143,0),MATCH(I$1,'Import CO_25'!$A$4:$AAA$4,0))</f>
        <v>0</v>
      </c>
      <c r="J232" s="88">
        <f>INDEX('Import CO_25'!$A$4:$AAA$143,MATCH($G232,'Import CO_25'!$A$4:$A$143,0),MATCH(J$1,'Import CO_25'!$A$4:$AAA$4,0))</f>
        <v>0</v>
      </c>
    </row>
    <row r="233" spans="1:10" x14ac:dyDescent="0.2">
      <c r="A233" s="86" t="s">
        <v>7262</v>
      </c>
      <c r="B233" s="1067" t="s">
        <v>105</v>
      </c>
      <c r="C233" s="1037" t="s">
        <v>219</v>
      </c>
      <c r="D233" s="1028" t="s">
        <v>8216</v>
      </c>
      <c r="E233" s="1030" t="s">
        <v>682</v>
      </c>
      <c r="F233" s="1031" t="s">
        <v>8522</v>
      </c>
      <c r="G233" s="1031" t="s">
        <v>5164</v>
      </c>
      <c r="H233" s="88">
        <f>INDEX('Import CO_25'!$A$4:$AAA$143,MATCH($G233,'Import CO_25'!$A$4:$A$143,0),MATCH(H$1,'Import CO_25'!$A$4:$AAA$4,0))</f>
        <v>0</v>
      </c>
      <c r="I233" s="88">
        <f>INDEX('Import CO_25'!$A$4:$AAA$143,MATCH($G233,'Import CO_25'!$A$4:$A$143,0),MATCH(I$1,'Import CO_25'!$A$4:$AAA$4,0))</f>
        <v>0</v>
      </c>
      <c r="J233" s="88">
        <f>INDEX('Import CO_25'!$A$4:$AAA$143,MATCH($G233,'Import CO_25'!$A$4:$A$143,0),MATCH(J$1,'Import CO_25'!$A$4:$AAA$4,0))</f>
        <v>0</v>
      </c>
    </row>
    <row r="234" spans="1:10" x14ac:dyDescent="0.2">
      <c r="A234" s="86" t="s">
        <v>7263</v>
      </c>
      <c r="B234" s="1067" t="s">
        <v>105</v>
      </c>
      <c r="C234" s="1037" t="s">
        <v>219</v>
      </c>
      <c r="D234" s="1028" t="s">
        <v>8216</v>
      </c>
      <c r="E234" s="1030" t="s">
        <v>8194</v>
      </c>
      <c r="F234" s="1031" t="s">
        <v>8522</v>
      </c>
      <c r="G234" s="1031" t="s">
        <v>5170</v>
      </c>
      <c r="H234" s="88">
        <f>INDEX('Import CO_25'!$A$4:$AAA$143,MATCH($G234,'Import CO_25'!$A$4:$A$143,0),MATCH(H$1,'Import CO_25'!$A$4:$AAA$4,0))</f>
        <v>0</v>
      </c>
      <c r="I234" s="88">
        <f>INDEX('Import CO_25'!$A$4:$AAA$143,MATCH($G234,'Import CO_25'!$A$4:$A$143,0),MATCH(I$1,'Import CO_25'!$A$4:$AAA$4,0))</f>
        <v>0</v>
      </c>
      <c r="J234" s="88">
        <f>INDEX('Import CO_25'!$A$4:$AAA$143,MATCH($G234,'Import CO_25'!$A$4:$A$143,0),MATCH(J$1,'Import CO_25'!$A$4:$AAA$4,0))</f>
        <v>0</v>
      </c>
    </row>
    <row r="235" spans="1:10" x14ac:dyDescent="0.2">
      <c r="A235" s="86" t="s">
        <v>7264</v>
      </c>
      <c r="B235" s="1067" t="s">
        <v>105</v>
      </c>
      <c r="C235" s="1037" t="s">
        <v>219</v>
      </c>
      <c r="D235" s="1028" t="s">
        <v>8216</v>
      </c>
      <c r="E235" s="1030" t="s">
        <v>676</v>
      </c>
      <c r="F235" s="1031" t="s">
        <v>8522</v>
      </c>
      <c r="G235" s="1031" t="s">
        <v>5117</v>
      </c>
      <c r="H235" s="88">
        <f>INDEX('Import CO_25'!$A$4:$AAA$143,MATCH($G235,'Import CO_25'!$A$4:$A$143,0),MATCH(H$1,'Import CO_25'!$A$4:$AAA$4,0))</f>
        <v>-62.16</v>
      </c>
      <c r="I235" s="88">
        <f>INDEX('Import CO_25'!$A$4:$AAA$143,MATCH($G235,'Import CO_25'!$A$4:$A$143,0),MATCH(I$1,'Import CO_25'!$A$4:$AAA$4,0))</f>
        <v>-1042.6848</v>
      </c>
      <c r="J235" s="88">
        <f>INDEX('Import CO_25'!$A$4:$AAA$143,MATCH($G235,'Import CO_25'!$A$4:$A$143,0),MATCH(J$1,'Import CO_25'!$A$4:$AAA$4,0))</f>
        <v>0</v>
      </c>
    </row>
    <row r="236" spans="1:10" x14ac:dyDescent="0.2">
      <c r="A236" s="86" t="s">
        <v>7265</v>
      </c>
      <c r="B236" s="1067" t="s">
        <v>105</v>
      </c>
      <c r="C236" s="1037" t="s">
        <v>219</v>
      </c>
      <c r="D236" s="1028" t="s">
        <v>8216</v>
      </c>
      <c r="E236" s="1030" t="s">
        <v>8195</v>
      </c>
      <c r="F236" s="1031" t="s">
        <v>8522</v>
      </c>
      <c r="G236" s="1031" t="s">
        <v>5123</v>
      </c>
      <c r="H236" s="88">
        <f>INDEX('Import CO_25'!$A$4:$AAA$143,MATCH($G236,'Import CO_25'!$A$4:$A$143,0),MATCH(H$1,'Import CO_25'!$A$4:$AAA$4,0))</f>
        <v>0</v>
      </c>
      <c r="I236" s="88">
        <f>INDEX('Import CO_25'!$A$4:$AAA$143,MATCH($G236,'Import CO_25'!$A$4:$A$143,0),MATCH(I$1,'Import CO_25'!$A$4:$AAA$4,0))</f>
        <v>0</v>
      </c>
      <c r="J236" s="88">
        <f>INDEX('Import CO_25'!$A$4:$AAA$143,MATCH($G236,'Import CO_25'!$A$4:$A$143,0),MATCH(J$1,'Import CO_25'!$A$4:$AAA$4,0))</f>
        <v>0</v>
      </c>
    </row>
    <row r="237" spans="1:10" x14ac:dyDescent="0.2">
      <c r="A237" s="86" t="s">
        <v>7266</v>
      </c>
      <c r="B237" s="1067" t="s">
        <v>105</v>
      </c>
      <c r="C237" s="1037" t="s">
        <v>219</v>
      </c>
      <c r="D237" s="1028" t="s">
        <v>8216</v>
      </c>
      <c r="E237" s="1030" t="s">
        <v>8196</v>
      </c>
      <c r="F237" s="1031" t="s">
        <v>8522</v>
      </c>
      <c r="G237" s="1031" t="s">
        <v>5129</v>
      </c>
      <c r="H237" s="88">
        <f>INDEX('Import CO_25'!$A$4:$AAA$143,MATCH($G237,'Import CO_25'!$A$4:$A$143,0),MATCH(H$1,'Import CO_25'!$A$4:$AAA$4,0))</f>
        <v>0</v>
      </c>
      <c r="I237" s="88">
        <f>INDEX('Import CO_25'!$A$4:$AAA$143,MATCH($G237,'Import CO_25'!$A$4:$A$143,0),MATCH(I$1,'Import CO_25'!$A$4:$AAA$4,0))</f>
        <v>0</v>
      </c>
      <c r="J237" s="88">
        <f>INDEX('Import CO_25'!$A$4:$AAA$143,MATCH($G237,'Import CO_25'!$A$4:$A$143,0),MATCH(J$1,'Import CO_25'!$A$4:$AAA$4,0))</f>
        <v>0</v>
      </c>
    </row>
    <row r="238" spans="1:10" x14ac:dyDescent="0.2">
      <c r="A238" s="86" t="s">
        <v>7267</v>
      </c>
      <c r="B238" s="1067" t="s">
        <v>105</v>
      </c>
      <c r="C238" s="1037" t="s">
        <v>219</v>
      </c>
      <c r="D238" s="1028" t="s">
        <v>8216</v>
      </c>
      <c r="E238" s="1030" t="s">
        <v>678</v>
      </c>
      <c r="F238" s="1031" t="s">
        <v>8522</v>
      </c>
      <c r="G238" s="1031" t="s">
        <v>5135</v>
      </c>
      <c r="H238" s="88">
        <f>INDEX('Import CO_25'!$A$4:$AAA$143,MATCH($G238,'Import CO_25'!$A$4:$A$143,0),MATCH(H$1,'Import CO_25'!$A$4:$AAA$4,0))</f>
        <v>-270.62</v>
      </c>
      <c r="I238" s="88">
        <f>INDEX('Import CO_25'!$A$4:$AAA$143,MATCH($G238,'Import CO_25'!$A$4:$A$143,0),MATCH(I$1,'Import CO_25'!$A$4:$AAA$4,0))</f>
        <v>-3397.1406000000002</v>
      </c>
      <c r="J238" s="88">
        <f>INDEX('Import CO_25'!$A$4:$AAA$143,MATCH($G238,'Import CO_25'!$A$4:$A$143,0),MATCH(J$1,'Import CO_25'!$A$4:$AAA$4,0))</f>
        <v>0</v>
      </c>
    </row>
    <row r="239" spans="1:10" x14ac:dyDescent="0.2">
      <c r="A239" s="86" t="s">
        <v>7268</v>
      </c>
      <c r="B239" s="1067" t="s">
        <v>105</v>
      </c>
      <c r="C239" s="1037" t="s">
        <v>219</v>
      </c>
      <c r="D239" s="1028" t="s">
        <v>8216</v>
      </c>
      <c r="E239" s="1030" t="s">
        <v>681</v>
      </c>
      <c r="F239" s="1031" t="s">
        <v>8522</v>
      </c>
      <c r="G239" s="1031" t="s">
        <v>5147</v>
      </c>
      <c r="H239" s="88">
        <f>INDEX('Import CO_25'!$A$4:$AAA$143,MATCH($G239,'Import CO_25'!$A$4:$A$143,0),MATCH(H$1,'Import CO_25'!$A$4:$AAA$4,0))</f>
        <v>0</v>
      </c>
      <c r="I239" s="88">
        <f>INDEX('Import CO_25'!$A$4:$AAA$143,MATCH($G239,'Import CO_25'!$A$4:$A$143,0),MATCH(I$1,'Import CO_25'!$A$4:$AAA$4,0))</f>
        <v>0</v>
      </c>
      <c r="J239" s="88">
        <f>INDEX('Import CO_25'!$A$4:$AAA$143,MATCH($G239,'Import CO_25'!$A$4:$A$143,0),MATCH(J$1,'Import CO_25'!$A$4:$AAA$4,0))</f>
        <v>0</v>
      </c>
    </row>
    <row r="240" spans="1:10" x14ac:dyDescent="0.2">
      <c r="A240" s="86" t="s">
        <v>7269</v>
      </c>
      <c r="B240" s="1067" t="s">
        <v>105</v>
      </c>
      <c r="C240" s="1037" t="s">
        <v>219</v>
      </c>
      <c r="D240" s="1028" t="s">
        <v>8216</v>
      </c>
      <c r="E240" s="1030" t="s">
        <v>8197</v>
      </c>
      <c r="F240" s="1031" t="s">
        <v>8522</v>
      </c>
      <c r="G240" s="1031" t="s">
        <v>5153</v>
      </c>
      <c r="H240" s="88">
        <f>INDEX('Import CO_25'!$A$4:$AAA$143,MATCH($G240,'Import CO_25'!$A$4:$A$143,0),MATCH(H$1,'Import CO_25'!$A$4:$AAA$4,0))</f>
        <v>0</v>
      </c>
      <c r="I240" s="88">
        <f>INDEX('Import CO_25'!$A$4:$AAA$143,MATCH($G240,'Import CO_25'!$A$4:$A$143,0),MATCH(I$1,'Import CO_25'!$A$4:$AAA$4,0))</f>
        <v>0</v>
      </c>
      <c r="J240" s="88">
        <f>INDEX('Import CO_25'!$A$4:$AAA$143,MATCH($G240,'Import CO_25'!$A$4:$A$143,0),MATCH(J$1,'Import CO_25'!$A$4:$AAA$4,0))</f>
        <v>0</v>
      </c>
    </row>
    <row r="241" spans="1:10" x14ac:dyDescent="0.2">
      <c r="A241" s="86" t="s">
        <v>7270</v>
      </c>
      <c r="B241" s="1067" t="s">
        <v>105</v>
      </c>
      <c r="C241" s="1037" t="s">
        <v>219</v>
      </c>
      <c r="D241" s="1028" t="s">
        <v>8216</v>
      </c>
      <c r="E241" s="1030" t="s">
        <v>8198</v>
      </c>
      <c r="F241" s="1031" t="s">
        <v>8522</v>
      </c>
      <c r="G241" s="1031" t="s">
        <v>5159</v>
      </c>
      <c r="H241" s="88">
        <f>INDEX('Import CO_25'!$A$4:$AAA$143,MATCH($G241,'Import CO_25'!$A$4:$A$143,0),MATCH(H$1,'Import CO_25'!$A$4:$AAA$4,0))</f>
        <v>0</v>
      </c>
      <c r="I241" s="88">
        <f>INDEX('Import CO_25'!$A$4:$AAA$143,MATCH($G241,'Import CO_25'!$A$4:$A$143,0),MATCH(I$1,'Import CO_25'!$A$4:$AAA$4,0))</f>
        <v>0</v>
      </c>
      <c r="J241" s="88">
        <f>INDEX('Import CO_25'!$A$4:$AAA$143,MATCH($G241,'Import CO_25'!$A$4:$A$143,0),MATCH(J$1,'Import CO_25'!$A$4:$AAA$4,0))</f>
        <v>0</v>
      </c>
    </row>
    <row r="242" spans="1:10" x14ac:dyDescent="0.2">
      <c r="A242" s="86" t="s">
        <v>7271</v>
      </c>
      <c r="B242" s="1067" t="s">
        <v>105</v>
      </c>
      <c r="C242" s="1037" t="s">
        <v>219</v>
      </c>
      <c r="D242" s="1028" t="s">
        <v>8216</v>
      </c>
      <c r="E242" s="1030" t="s">
        <v>683</v>
      </c>
      <c r="F242" s="1031" t="s">
        <v>8522</v>
      </c>
      <c r="G242" s="1031" t="s">
        <v>5165</v>
      </c>
      <c r="H242" s="88">
        <f>INDEX('Import CO_25'!$A$4:$AAA$143,MATCH($G242,'Import CO_25'!$A$4:$A$143,0),MATCH(H$1,'Import CO_25'!$A$4:$AAA$4,0))</f>
        <v>0</v>
      </c>
      <c r="I242" s="88">
        <f>INDEX('Import CO_25'!$A$4:$AAA$143,MATCH($G242,'Import CO_25'!$A$4:$A$143,0),MATCH(I$1,'Import CO_25'!$A$4:$AAA$4,0))</f>
        <v>0</v>
      </c>
      <c r="J242" s="88">
        <f>INDEX('Import CO_25'!$A$4:$AAA$143,MATCH($G242,'Import CO_25'!$A$4:$A$143,0),MATCH(J$1,'Import CO_25'!$A$4:$AAA$4,0))</f>
        <v>0</v>
      </c>
    </row>
    <row r="243" spans="1:10" x14ac:dyDescent="0.2">
      <c r="A243" s="86" t="s">
        <v>7272</v>
      </c>
      <c r="B243" s="1067" t="s">
        <v>105</v>
      </c>
      <c r="C243" s="1037" t="s">
        <v>219</v>
      </c>
      <c r="D243" s="1028" t="s">
        <v>8216</v>
      </c>
      <c r="E243" s="1030" t="s">
        <v>8199</v>
      </c>
      <c r="F243" s="1031" t="s">
        <v>8522</v>
      </c>
      <c r="G243" s="1031" t="s">
        <v>5171</v>
      </c>
      <c r="H243" s="88">
        <f>INDEX('Import CO_25'!$A$4:$AAA$143,MATCH($G243,'Import CO_25'!$A$4:$A$143,0),MATCH(H$1,'Import CO_25'!$A$4:$AAA$4,0))</f>
        <v>0</v>
      </c>
      <c r="I243" s="88">
        <f>INDEX('Import CO_25'!$A$4:$AAA$143,MATCH($G243,'Import CO_25'!$A$4:$A$143,0),MATCH(I$1,'Import CO_25'!$A$4:$AAA$4,0))</f>
        <v>0</v>
      </c>
      <c r="J243" s="88">
        <f>INDEX('Import CO_25'!$A$4:$AAA$143,MATCH($G243,'Import CO_25'!$A$4:$A$143,0),MATCH(J$1,'Import CO_25'!$A$4:$AAA$4,0))</f>
        <v>0</v>
      </c>
    </row>
    <row r="244" spans="1:10" x14ac:dyDescent="0.2">
      <c r="A244" s="86" t="s">
        <v>7273</v>
      </c>
      <c r="B244" s="1067" t="s">
        <v>105</v>
      </c>
      <c r="C244" s="1037" t="s">
        <v>219</v>
      </c>
      <c r="D244" s="1028" t="s">
        <v>8216</v>
      </c>
      <c r="E244" s="1030" t="s">
        <v>367</v>
      </c>
      <c r="F244" s="1031" t="s">
        <v>8522</v>
      </c>
      <c r="G244" s="1031" t="s">
        <v>5118</v>
      </c>
      <c r="H244" s="88">
        <f>INDEX('Import CO_25'!$A$4:$AAA$143,MATCH($G244,'Import CO_25'!$A$4:$A$143,0),MATCH(H$1,'Import CO_25'!$A$4:$AAA$4,0))</f>
        <v>9984.1</v>
      </c>
      <c r="I244" s="88">
        <f>INDEX('Import CO_25'!$A$4:$AAA$143,MATCH($G244,'Import CO_25'!$A$4:$A$143,0),MATCH(I$1,'Import CO_25'!$A$4:$AAA$4,0))</f>
        <v>0</v>
      </c>
      <c r="J244" s="88">
        <f>INDEX('Import CO_25'!$A$4:$AAA$143,MATCH($G244,'Import CO_25'!$A$4:$A$143,0),MATCH(J$1,'Import CO_25'!$A$4:$AAA$4,0))</f>
        <v>902.31</v>
      </c>
    </row>
    <row r="245" spans="1:10" x14ac:dyDescent="0.2">
      <c r="A245" s="86" t="s">
        <v>7274</v>
      </c>
      <c r="B245" s="1067" t="s">
        <v>105</v>
      </c>
      <c r="C245" s="1037" t="s">
        <v>219</v>
      </c>
      <c r="D245" s="1028" t="s">
        <v>8216</v>
      </c>
      <c r="E245" s="1030" t="s">
        <v>8200</v>
      </c>
      <c r="F245" s="1031" t="s">
        <v>8522</v>
      </c>
      <c r="G245" s="1031" t="s">
        <v>5124</v>
      </c>
      <c r="H245" s="88">
        <f>INDEX('Import CO_25'!$A$4:$AAA$143,MATCH($G245,'Import CO_25'!$A$4:$A$143,0),MATCH(H$1,'Import CO_25'!$A$4:$AAA$4,0))</f>
        <v>0</v>
      </c>
      <c r="I245" s="88">
        <f>INDEX('Import CO_25'!$A$4:$AAA$143,MATCH($G245,'Import CO_25'!$A$4:$A$143,0),MATCH(I$1,'Import CO_25'!$A$4:$AAA$4,0))</f>
        <v>0</v>
      </c>
      <c r="J245" s="88">
        <f>INDEX('Import CO_25'!$A$4:$AAA$143,MATCH($G245,'Import CO_25'!$A$4:$A$143,0),MATCH(J$1,'Import CO_25'!$A$4:$AAA$4,0))</f>
        <v>0</v>
      </c>
    </row>
    <row r="246" spans="1:10" x14ac:dyDescent="0.2">
      <c r="A246" s="86" t="s">
        <v>7275</v>
      </c>
      <c r="B246" s="1067" t="s">
        <v>105</v>
      </c>
      <c r="C246" s="1037" t="s">
        <v>219</v>
      </c>
      <c r="D246" s="1028" t="s">
        <v>8216</v>
      </c>
      <c r="E246" s="1030" t="s">
        <v>8201</v>
      </c>
      <c r="F246" s="1031" t="s">
        <v>8522</v>
      </c>
      <c r="G246" s="1031" t="s">
        <v>5130</v>
      </c>
      <c r="H246" s="88">
        <f>INDEX('Import CO_25'!$A$4:$AAA$143,MATCH($G246,'Import CO_25'!$A$4:$A$143,0),MATCH(H$1,'Import CO_25'!$A$4:$AAA$4,0))</f>
        <v>0</v>
      </c>
      <c r="I246" s="88">
        <f>INDEX('Import CO_25'!$A$4:$AAA$143,MATCH($G246,'Import CO_25'!$A$4:$A$143,0),MATCH(I$1,'Import CO_25'!$A$4:$AAA$4,0))</f>
        <v>0</v>
      </c>
      <c r="J246" s="88">
        <f>INDEX('Import CO_25'!$A$4:$AAA$143,MATCH($G246,'Import CO_25'!$A$4:$A$143,0),MATCH(J$1,'Import CO_25'!$A$4:$AAA$4,0))</f>
        <v>0</v>
      </c>
    </row>
    <row r="247" spans="1:10" x14ac:dyDescent="0.2">
      <c r="A247" s="86" t="s">
        <v>7276</v>
      </c>
      <c r="B247" s="1067" t="s">
        <v>105</v>
      </c>
      <c r="C247" s="1037" t="s">
        <v>219</v>
      </c>
      <c r="D247" s="1028" t="s">
        <v>8216</v>
      </c>
      <c r="E247" s="1030" t="s">
        <v>679</v>
      </c>
      <c r="F247" s="1031" t="s">
        <v>8522</v>
      </c>
      <c r="G247" s="1031" t="s">
        <v>5136</v>
      </c>
      <c r="H247" s="88">
        <f>INDEX('Import CO_25'!$A$4:$AAA$143,MATCH($G247,'Import CO_25'!$A$4:$A$143,0),MATCH(H$1,'Import CO_25'!$A$4:$AAA$4,0))</f>
        <v>44614.009999999995</v>
      </c>
      <c r="I247" s="88">
        <f>INDEX('Import CO_25'!$A$4:$AAA$143,MATCH($G247,'Import CO_25'!$A$4:$A$143,0),MATCH(I$1,'Import CO_25'!$A$4:$AAA$4,0))</f>
        <v>0</v>
      </c>
      <c r="J247" s="88">
        <f>INDEX('Import CO_25'!$A$4:$AAA$143,MATCH($G247,'Import CO_25'!$A$4:$A$143,0),MATCH(J$1,'Import CO_25'!$A$4:$AAA$4,0))</f>
        <v>3801.81</v>
      </c>
    </row>
    <row r="248" spans="1:10" x14ac:dyDescent="0.2">
      <c r="A248" s="86" t="s">
        <v>7277</v>
      </c>
      <c r="B248" s="1067" t="s">
        <v>105</v>
      </c>
      <c r="C248" s="1037" t="s">
        <v>219</v>
      </c>
      <c r="D248" s="1028" t="s">
        <v>8216</v>
      </c>
      <c r="E248" s="1030" t="s">
        <v>368</v>
      </c>
      <c r="F248" s="1031" t="s">
        <v>8522</v>
      </c>
      <c r="G248" s="1031" t="s">
        <v>5148</v>
      </c>
      <c r="H248" s="88">
        <f>INDEX('Import CO_25'!$A$4:$AAA$143,MATCH($G248,'Import CO_25'!$A$4:$A$143,0),MATCH(H$1,'Import CO_25'!$A$4:$AAA$4,0))</f>
        <v>-122.97000000000025</v>
      </c>
      <c r="I248" s="88">
        <f>INDEX('Import CO_25'!$A$4:$AAA$143,MATCH($G248,'Import CO_25'!$A$4:$A$143,0),MATCH(I$1,'Import CO_25'!$A$4:$AAA$4,0))</f>
        <v>0</v>
      </c>
      <c r="J248" s="88">
        <f>INDEX('Import CO_25'!$A$4:$AAA$143,MATCH($G248,'Import CO_25'!$A$4:$A$143,0),MATCH(J$1,'Import CO_25'!$A$4:$AAA$4,0))</f>
        <v>0</v>
      </c>
    </row>
    <row r="249" spans="1:10" x14ac:dyDescent="0.2">
      <c r="A249" s="86" t="s">
        <v>7278</v>
      </c>
      <c r="B249" s="1067" t="s">
        <v>105</v>
      </c>
      <c r="C249" s="1037" t="s">
        <v>219</v>
      </c>
      <c r="D249" s="1028" t="s">
        <v>8216</v>
      </c>
      <c r="E249" s="1030" t="s">
        <v>8202</v>
      </c>
      <c r="F249" s="1031" t="s">
        <v>8522</v>
      </c>
      <c r="G249" s="1031" t="s">
        <v>5154</v>
      </c>
      <c r="H249" s="88">
        <f>INDEX('Import CO_25'!$A$4:$AAA$143,MATCH($G249,'Import CO_25'!$A$4:$A$143,0),MATCH(H$1,'Import CO_25'!$A$4:$AAA$4,0))</f>
        <v>0</v>
      </c>
      <c r="I249" s="88">
        <f>INDEX('Import CO_25'!$A$4:$AAA$143,MATCH($G249,'Import CO_25'!$A$4:$A$143,0),MATCH(I$1,'Import CO_25'!$A$4:$AAA$4,0))</f>
        <v>0</v>
      </c>
      <c r="J249" s="88">
        <f>INDEX('Import CO_25'!$A$4:$AAA$143,MATCH($G249,'Import CO_25'!$A$4:$A$143,0),MATCH(J$1,'Import CO_25'!$A$4:$AAA$4,0))</f>
        <v>0</v>
      </c>
    </row>
    <row r="250" spans="1:10" x14ac:dyDescent="0.2">
      <c r="A250" s="86" t="s">
        <v>7279</v>
      </c>
      <c r="B250" s="1067" t="s">
        <v>105</v>
      </c>
      <c r="C250" s="1037" t="s">
        <v>219</v>
      </c>
      <c r="D250" s="1028" t="s">
        <v>8216</v>
      </c>
      <c r="E250" s="1030" t="s">
        <v>8203</v>
      </c>
      <c r="F250" s="1031" t="s">
        <v>8522</v>
      </c>
      <c r="G250" s="1031" t="s">
        <v>5160</v>
      </c>
      <c r="H250" s="88">
        <f>INDEX('Import CO_25'!$A$4:$AAA$143,MATCH($G250,'Import CO_25'!$A$4:$A$143,0),MATCH(H$1,'Import CO_25'!$A$4:$AAA$4,0))</f>
        <v>-15450</v>
      </c>
      <c r="I250" s="88">
        <f>INDEX('Import CO_25'!$A$4:$AAA$143,MATCH($G250,'Import CO_25'!$A$4:$A$143,0),MATCH(I$1,'Import CO_25'!$A$4:$AAA$4,0))</f>
        <v>-519.15960000000007</v>
      </c>
      <c r="J250" s="88">
        <f>INDEX('Import CO_25'!$A$4:$AAA$143,MATCH($G250,'Import CO_25'!$A$4:$A$143,0),MATCH(J$1,'Import CO_25'!$A$4:$AAA$4,0))</f>
        <v>0</v>
      </c>
    </row>
    <row r="251" spans="1:10" x14ac:dyDescent="0.2">
      <c r="A251" s="86" t="s">
        <v>7280</v>
      </c>
      <c r="B251" s="1067" t="s">
        <v>105</v>
      </c>
      <c r="C251" s="1037" t="s">
        <v>219</v>
      </c>
      <c r="D251" s="1028" t="s">
        <v>8216</v>
      </c>
      <c r="E251" s="1030" t="s">
        <v>684</v>
      </c>
      <c r="F251" s="1031" t="s">
        <v>8522</v>
      </c>
      <c r="G251" s="1031" t="s">
        <v>5166</v>
      </c>
      <c r="H251" s="88">
        <f>INDEX('Import CO_25'!$A$4:$AAA$143,MATCH($G251,'Import CO_25'!$A$4:$A$143,0),MATCH(H$1,'Import CO_25'!$A$4:$AAA$4,0))</f>
        <v>0</v>
      </c>
      <c r="I251" s="88">
        <f>INDEX('Import CO_25'!$A$4:$AAA$143,MATCH($G251,'Import CO_25'!$A$4:$A$143,0),MATCH(I$1,'Import CO_25'!$A$4:$AAA$4,0))</f>
        <v>0</v>
      </c>
      <c r="J251" s="88">
        <f>INDEX('Import CO_25'!$A$4:$AAA$143,MATCH($G251,'Import CO_25'!$A$4:$A$143,0),MATCH(J$1,'Import CO_25'!$A$4:$AAA$4,0))</f>
        <v>0</v>
      </c>
    </row>
    <row r="252" spans="1:10" x14ac:dyDescent="0.2">
      <c r="A252" s="86" t="s">
        <v>7281</v>
      </c>
      <c r="B252" s="1067" t="s">
        <v>105</v>
      </c>
      <c r="C252" s="1037" t="s">
        <v>219</v>
      </c>
      <c r="D252" s="1028" t="s">
        <v>8216</v>
      </c>
      <c r="E252" s="1030" t="s">
        <v>8204</v>
      </c>
      <c r="F252" s="1031" t="s">
        <v>8522</v>
      </c>
      <c r="G252" s="1031" t="s">
        <v>5172</v>
      </c>
      <c r="H252" s="88">
        <f>INDEX('Import CO_25'!$A$4:$AAA$143,MATCH($G252,'Import CO_25'!$A$4:$A$143,0),MATCH(H$1,'Import CO_25'!$A$4:$AAA$4,0))</f>
        <v>0</v>
      </c>
      <c r="I252" s="88">
        <f>INDEX('Import CO_25'!$A$4:$AAA$143,MATCH($G252,'Import CO_25'!$A$4:$A$143,0),MATCH(I$1,'Import CO_25'!$A$4:$AAA$4,0))</f>
        <v>0</v>
      </c>
      <c r="J252" s="88">
        <f>INDEX('Import CO_25'!$A$4:$AAA$143,MATCH($G252,'Import CO_25'!$A$4:$A$143,0),MATCH(J$1,'Import CO_25'!$A$4:$AAA$4,0))</f>
        <v>0</v>
      </c>
    </row>
    <row r="253" spans="1:10" x14ac:dyDescent="0.2">
      <c r="A253" s="86" t="s">
        <v>7282</v>
      </c>
      <c r="B253" s="1067" t="s">
        <v>105</v>
      </c>
      <c r="C253" s="1037" t="s">
        <v>219</v>
      </c>
      <c r="D253" s="1028" t="s">
        <v>8216</v>
      </c>
      <c r="E253" s="1030" t="s">
        <v>8205</v>
      </c>
      <c r="F253" s="1031" t="s">
        <v>8522</v>
      </c>
      <c r="G253" s="1031" t="s">
        <v>5173</v>
      </c>
      <c r="H253" s="88">
        <f>INDEX('Import CO_25'!$A$4:$AAA$143,MATCH($G253,'Import CO_25'!$A$4:$A$143,0),MATCH(H$1,'Import CO_25'!$A$4:$AAA$4,0))</f>
        <v>0</v>
      </c>
      <c r="I253" s="88">
        <f>INDEX('Import CO_25'!$A$4:$AAA$143,MATCH($G253,'Import CO_25'!$A$4:$A$143,0),MATCH(I$1,'Import CO_25'!$A$4:$AAA$4,0))</f>
        <v>0</v>
      </c>
      <c r="J253" s="88">
        <f>INDEX('Import CO_25'!$A$4:$AAA$143,MATCH($G253,'Import CO_25'!$A$4:$A$143,0),MATCH(J$1,'Import CO_25'!$A$4:$AAA$4,0))</f>
        <v>0</v>
      </c>
    </row>
    <row r="254" spans="1:10" x14ac:dyDescent="0.2">
      <c r="A254" s="86" t="s">
        <v>7283</v>
      </c>
      <c r="B254" s="1067" t="s">
        <v>105</v>
      </c>
      <c r="C254" s="1037" t="s">
        <v>219</v>
      </c>
      <c r="D254" s="1028" t="s">
        <v>8216</v>
      </c>
      <c r="E254" s="1030" t="s">
        <v>402</v>
      </c>
      <c r="F254" s="1031" t="s">
        <v>8522</v>
      </c>
      <c r="G254" s="1031" t="s">
        <v>5174</v>
      </c>
      <c r="H254" s="88">
        <f>INDEX('Import CO_25'!$A$4:$AAA$143,MATCH($G254,'Import CO_25'!$A$4:$A$143,0),MATCH(H$1,'Import CO_25'!$A$4:$AAA$4,0))</f>
        <v>899319</v>
      </c>
      <c r="I254" s="88">
        <f>INDEX('Import CO_25'!$A$4:$AAA$143,MATCH($G254,'Import CO_25'!$A$4:$A$143,0),MATCH(I$1,'Import CO_25'!$A$4:$AAA$4,0))</f>
        <v>0</v>
      </c>
      <c r="J254" s="88">
        <f>INDEX('Import CO_25'!$A$4:$AAA$143,MATCH($G254,'Import CO_25'!$A$4:$A$143,0),MATCH(J$1,'Import CO_25'!$A$4:$AAA$4,0))</f>
        <v>0</v>
      </c>
    </row>
    <row r="255" spans="1:10" x14ac:dyDescent="0.2">
      <c r="A255" s="86" t="s">
        <v>7284</v>
      </c>
      <c r="B255" s="1067" t="s">
        <v>105</v>
      </c>
      <c r="C255" s="1037" t="s">
        <v>219</v>
      </c>
      <c r="D255" s="1028" t="s">
        <v>8216</v>
      </c>
      <c r="E255" s="1030" t="s">
        <v>8206</v>
      </c>
      <c r="F255" s="1031" t="s">
        <v>8522</v>
      </c>
      <c r="G255" s="1031" t="s">
        <v>5175</v>
      </c>
      <c r="H255" s="88">
        <f>INDEX('Import CO_25'!$A$4:$AAA$143,MATCH($G255,'Import CO_25'!$A$4:$A$143,0),MATCH(H$1,'Import CO_25'!$A$4:$AAA$4,0))</f>
        <v>0</v>
      </c>
      <c r="I255" s="88">
        <f>INDEX('Import CO_25'!$A$4:$AAA$143,MATCH($G255,'Import CO_25'!$A$4:$A$143,0),MATCH(I$1,'Import CO_25'!$A$4:$AAA$4,0))</f>
        <v>0</v>
      </c>
      <c r="J255" s="88">
        <f>INDEX('Import CO_25'!$A$4:$AAA$143,MATCH($G255,'Import CO_25'!$A$4:$A$143,0),MATCH(J$1,'Import CO_25'!$A$4:$AAA$4,0))</f>
        <v>0</v>
      </c>
    </row>
    <row r="256" spans="1:10" x14ac:dyDescent="0.2">
      <c r="A256" s="86" t="s">
        <v>7285</v>
      </c>
      <c r="B256" s="1067" t="s">
        <v>105</v>
      </c>
      <c r="C256" s="1037" t="s">
        <v>219</v>
      </c>
      <c r="D256" s="1028" t="s">
        <v>8216</v>
      </c>
      <c r="E256" s="1030" t="s">
        <v>8207</v>
      </c>
      <c r="F256" s="1031" t="s">
        <v>8522</v>
      </c>
      <c r="G256" s="1031" t="s">
        <v>5176</v>
      </c>
      <c r="H256" s="88">
        <f>INDEX('Import CO_25'!$A$4:$AAA$143,MATCH($G256,'Import CO_25'!$A$4:$A$143,0),MATCH(H$1,'Import CO_25'!$A$4:$AAA$4,0))</f>
        <v>0</v>
      </c>
      <c r="I256" s="88">
        <f>INDEX('Import CO_25'!$A$4:$AAA$143,MATCH($G256,'Import CO_25'!$A$4:$A$143,0),MATCH(I$1,'Import CO_25'!$A$4:$AAA$4,0))</f>
        <v>0</v>
      </c>
      <c r="J256" s="88">
        <f>INDEX('Import CO_25'!$A$4:$AAA$143,MATCH($G256,'Import CO_25'!$A$4:$A$143,0),MATCH(J$1,'Import CO_25'!$A$4:$AAA$4,0))</f>
        <v>0</v>
      </c>
    </row>
    <row r="257" spans="1:10" x14ac:dyDescent="0.2">
      <c r="A257" s="86" t="s">
        <v>7286</v>
      </c>
      <c r="B257" s="1067" t="s">
        <v>105</v>
      </c>
      <c r="C257" s="1037" t="s">
        <v>219</v>
      </c>
      <c r="D257" s="1028" t="s">
        <v>8216</v>
      </c>
      <c r="E257" s="1030" t="s">
        <v>8208</v>
      </c>
      <c r="F257" s="1031" t="s">
        <v>8522</v>
      </c>
      <c r="G257" s="1031" t="s">
        <v>5177</v>
      </c>
      <c r="H257" s="88">
        <f>INDEX('Import CO_25'!$A$4:$AAA$143,MATCH($G257,'Import CO_25'!$A$4:$A$143,0),MATCH(H$1,'Import CO_25'!$A$4:$AAA$4,0))</f>
        <v>0</v>
      </c>
      <c r="I257" s="88">
        <f>INDEX('Import CO_25'!$A$4:$AAA$143,MATCH($G257,'Import CO_25'!$A$4:$A$143,0),MATCH(I$1,'Import CO_25'!$A$4:$AAA$4,0))</f>
        <v>0</v>
      </c>
      <c r="J257" s="88">
        <f>INDEX('Import CO_25'!$A$4:$AAA$143,MATCH($G257,'Import CO_25'!$A$4:$A$143,0),MATCH(J$1,'Import CO_25'!$A$4:$AAA$4,0))</f>
        <v>0</v>
      </c>
    </row>
    <row r="258" spans="1:10" x14ac:dyDescent="0.2">
      <c r="A258" s="86" t="s">
        <v>7287</v>
      </c>
      <c r="B258" s="1067" t="s">
        <v>105</v>
      </c>
      <c r="C258" s="1037" t="s">
        <v>219</v>
      </c>
      <c r="D258" s="1028" t="s">
        <v>8216</v>
      </c>
      <c r="E258" s="1030" t="s">
        <v>722</v>
      </c>
      <c r="F258" s="1031" t="s">
        <v>8522</v>
      </c>
      <c r="G258" s="1031" t="s">
        <v>5178</v>
      </c>
      <c r="H258" s="88">
        <f>INDEX('Import CO_25'!$A$4:$AAA$143,MATCH($G258,'Import CO_25'!$A$4:$A$143,0),MATCH(H$1,'Import CO_25'!$A$4:$AAA$4,0))</f>
        <v>0</v>
      </c>
      <c r="I258" s="88">
        <f>INDEX('Import CO_25'!$A$4:$AAA$143,MATCH($G258,'Import CO_25'!$A$4:$A$143,0),MATCH(I$1,'Import CO_25'!$A$4:$AAA$4,0))</f>
        <v>0</v>
      </c>
      <c r="J258" s="88">
        <f>INDEX('Import CO_25'!$A$4:$AAA$143,MATCH($G258,'Import CO_25'!$A$4:$A$143,0),MATCH(J$1,'Import CO_25'!$A$4:$AAA$4,0))</f>
        <v>0</v>
      </c>
    </row>
    <row r="259" spans="1:10" x14ac:dyDescent="0.2">
      <c r="A259" s="86" t="s">
        <v>7288</v>
      </c>
      <c r="B259" s="1067" t="s">
        <v>105</v>
      </c>
      <c r="C259" s="1037" t="s">
        <v>219</v>
      </c>
      <c r="D259" s="1028" t="s">
        <v>8216</v>
      </c>
      <c r="E259" s="1030" t="s">
        <v>8209</v>
      </c>
      <c r="F259" s="1031" t="s">
        <v>8522</v>
      </c>
      <c r="G259" s="1031" t="s">
        <v>5179</v>
      </c>
      <c r="H259" s="88">
        <f>INDEX('Import CO_25'!$A$4:$AAA$143,MATCH($G259,'Import CO_25'!$A$4:$A$143,0),MATCH(H$1,'Import CO_25'!$A$4:$AAA$4,0))</f>
        <v>0</v>
      </c>
      <c r="I259" s="88">
        <f>INDEX('Import CO_25'!$A$4:$AAA$143,MATCH($G259,'Import CO_25'!$A$4:$A$143,0),MATCH(I$1,'Import CO_25'!$A$4:$AAA$4,0))</f>
        <v>0</v>
      </c>
      <c r="J259" s="88">
        <f>INDEX('Import CO_25'!$A$4:$AAA$143,MATCH($G259,'Import CO_25'!$A$4:$A$143,0),MATCH(J$1,'Import CO_25'!$A$4:$AAA$4,0))</f>
        <v>0</v>
      </c>
    </row>
    <row r="260" spans="1:10" x14ac:dyDescent="0.2">
      <c r="A260" s="86" t="s">
        <v>7289</v>
      </c>
      <c r="B260" s="1067" t="s">
        <v>105</v>
      </c>
      <c r="C260" s="1037" t="s">
        <v>219</v>
      </c>
      <c r="D260" s="1028" t="s">
        <v>8216</v>
      </c>
      <c r="E260" s="1030" t="s">
        <v>8210</v>
      </c>
      <c r="F260" s="1031" t="s">
        <v>8522</v>
      </c>
      <c r="G260" s="1031" t="s">
        <v>5180</v>
      </c>
      <c r="H260" s="88">
        <f>INDEX('Import CO_25'!$A$4:$AAA$143,MATCH($G260,'Import CO_25'!$A$4:$A$143,0),MATCH(H$1,'Import CO_25'!$A$4:$AAA$4,0))</f>
        <v>0</v>
      </c>
      <c r="I260" s="88">
        <f>INDEX('Import CO_25'!$A$4:$AAA$143,MATCH($G260,'Import CO_25'!$A$4:$A$143,0),MATCH(I$1,'Import CO_25'!$A$4:$AAA$4,0))</f>
        <v>0</v>
      </c>
      <c r="J260" s="88">
        <f>INDEX('Import CO_25'!$A$4:$AAA$143,MATCH($G260,'Import CO_25'!$A$4:$A$143,0),MATCH(J$1,'Import CO_25'!$A$4:$AAA$4,0))</f>
        <v>0</v>
      </c>
    </row>
    <row r="261" spans="1:10" x14ac:dyDescent="0.2">
      <c r="A261" s="86" t="s">
        <v>7290</v>
      </c>
      <c r="B261" s="1067" t="s">
        <v>105</v>
      </c>
      <c r="C261" s="1037" t="s">
        <v>219</v>
      </c>
      <c r="D261" s="1028" t="s">
        <v>8216</v>
      </c>
      <c r="E261" s="1030" t="s">
        <v>8211</v>
      </c>
      <c r="F261" s="1031" t="s">
        <v>8522</v>
      </c>
      <c r="G261" s="1031" t="s">
        <v>5181</v>
      </c>
      <c r="H261" s="88">
        <f>INDEX('Import CO_25'!$A$4:$AAA$143,MATCH($G261,'Import CO_25'!$A$4:$A$143,0),MATCH(H$1,'Import CO_25'!$A$4:$AAA$4,0))</f>
        <v>0</v>
      </c>
      <c r="I261" s="88">
        <f>INDEX('Import CO_25'!$A$4:$AAA$143,MATCH($G261,'Import CO_25'!$A$4:$A$143,0),MATCH(I$1,'Import CO_25'!$A$4:$AAA$4,0))</f>
        <v>0</v>
      </c>
      <c r="J261" s="88">
        <f>INDEX('Import CO_25'!$A$4:$AAA$143,MATCH($G261,'Import CO_25'!$A$4:$A$143,0),MATCH(J$1,'Import CO_25'!$A$4:$AAA$4,0))</f>
        <v>0</v>
      </c>
    </row>
    <row r="262" spans="1:10" x14ac:dyDescent="0.2">
      <c r="A262" s="86" t="s">
        <v>7291</v>
      </c>
      <c r="B262" s="1067" t="s">
        <v>105</v>
      </c>
      <c r="C262" s="1037" t="s">
        <v>219</v>
      </c>
      <c r="D262" s="1028" t="s">
        <v>8216</v>
      </c>
      <c r="E262" s="1030" t="s">
        <v>749</v>
      </c>
      <c r="F262" s="1031" t="s">
        <v>8522</v>
      </c>
      <c r="G262" s="1031" t="s">
        <v>5182</v>
      </c>
      <c r="H262" s="88">
        <f>INDEX('Import CO_25'!$A$4:$AAA$143,MATCH($G262,'Import CO_25'!$A$4:$A$143,0),MATCH(H$1,'Import CO_25'!$A$4:$AAA$4,0))</f>
        <v>0</v>
      </c>
      <c r="I262" s="88">
        <f>INDEX('Import CO_25'!$A$4:$AAA$143,MATCH($G262,'Import CO_25'!$A$4:$A$143,0),MATCH(I$1,'Import CO_25'!$A$4:$AAA$4,0))</f>
        <v>0</v>
      </c>
      <c r="J262" s="88">
        <f>INDEX('Import CO_25'!$A$4:$AAA$143,MATCH($G262,'Import CO_25'!$A$4:$A$143,0),MATCH(J$1,'Import CO_25'!$A$4:$AAA$4,0))</f>
        <v>0</v>
      </c>
    </row>
    <row r="263" spans="1:10" x14ac:dyDescent="0.2">
      <c r="A263" s="86" t="s">
        <v>7292</v>
      </c>
      <c r="B263" s="1067" t="s">
        <v>105</v>
      </c>
      <c r="C263" s="1037" t="s">
        <v>219</v>
      </c>
      <c r="D263" s="1028" t="s">
        <v>8216</v>
      </c>
      <c r="E263" s="1030" t="s">
        <v>8212</v>
      </c>
      <c r="F263" s="1031" t="s">
        <v>8522</v>
      </c>
      <c r="G263" s="1031" t="s">
        <v>5183</v>
      </c>
      <c r="H263" s="88">
        <f>INDEX('Import CO_25'!$A$4:$AAA$143,MATCH($G263,'Import CO_25'!$A$4:$A$143,0),MATCH(H$1,'Import CO_25'!$A$4:$AAA$4,0))</f>
        <v>0</v>
      </c>
      <c r="I263" s="88">
        <f>INDEX('Import CO_25'!$A$4:$AAA$143,MATCH($G263,'Import CO_25'!$A$4:$A$143,0),MATCH(I$1,'Import CO_25'!$A$4:$AAA$4,0))</f>
        <v>0</v>
      </c>
      <c r="J263" s="88">
        <f>INDEX('Import CO_25'!$A$4:$AAA$143,MATCH($G263,'Import CO_25'!$A$4:$A$143,0),MATCH(J$1,'Import CO_25'!$A$4:$AAA$4,0))</f>
        <v>0</v>
      </c>
    </row>
    <row r="264" spans="1:10" x14ac:dyDescent="0.2">
      <c r="A264" s="86" t="s">
        <v>7293</v>
      </c>
      <c r="B264" s="1067" t="s">
        <v>105</v>
      </c>
      <c r="C264" s="1037" t="s">
        <v>219</v>
      </c>
      <c r="D264" s="1028" t="s">
        <v>8216</v>
      </c>
      <c r="E264" s="1030" t="s">
        <v>8213</v>
      </c>
      <c r="F264" s="1031" t="s">
        <v>8522</v>
      </c>
      <c r="G264" s="1031" t="s">
        <v>5184</v>
      </c>
      <c r="H264" s="88">
        <f>INDEX('Import CO_25'!$A$4:$AAA$143,MATCH($G264,'Import CO_25'!$A$4:$A$143,0),MATCH(H$1,'Import CO_25'!$A$4:$AAA$4,0))</f>
        <v>0</v>
      </c>
      <c r="I264" s="88">
        <f>INDEX('Import CO_25'!$A$4:$AAA$143,MATCH($G264,'Import CO_25'!$A$4:$A$143,0),MATCH(I$1,'Import CO_25'!$A$4:$AAA$4,0))</f>
        <v>0</v>
      </c>
      <c r="J264" s="88">
        <f>INDEX('Import CO_25'!$A$4:$AAA$143,MATCH($G264,'Import CO_25'!$A$4:$A$143,0),MATCH(J$1,'Import CO_25'!$A$4:$AAA$4,0))</f>
        <v>0</v>
      </c>
    </row>
    <row r="265" spans="1:10" x14ac:dyDescent="0.2">
      <c r="A265" s="86" t="s">
        <v>7294</v>
      </c>
      <c r="B265" s="1067" t="s">
        <v>105</v>
      </c>
      <c r="C265" s="1037" t="s">
        <v>219</v>
      </c>
      <c r="D265" s="1028" t="s">
        <v>8216</v>
      </c>
      <c r="E265" s="1030" t="s">
        <v>341</v>
      </c>
      <c r="F265" s="1031" t="s">
        <v>8522</v>
      </c>
      <c r="G265" s="1031" t="s">
        <v>5185</v>
      </c>
      <c r="H265" s="88">
        <f>INDEX('Import CO_25'!$A$4:$AAA$143,MATCH($G265,'Import CO_25'!$A$4:$A$143,0),MATCH(H$1,'Import CO_25'!$A$4:$AAA$4,0))</f>
        <v>0</v>
      </c>
      <c r="I265" s="88">
        <f>INDEX('Import CO_25'!$A$4:$AAA$143,MATCH($G265,'Import CO_25'!$A$4:$A$143,0),MATCH(I$1,'Import CO_25'!$A$4:$AAA$4,0))</f>
        <v>0</v>
      </c>
      <c r="J265" s="88">
        <f>INDEX('Import CO_25'!$A$4:$AAA$143,MATCH($G265,'Import CO_25'!$A$4:$A$143,0),MATCH(J$1,'Import CO_25'!$A$4:$AAA$4,0))</f>
        <v>0</v>
      </c>
    </row>
    <row r="266" spans="1:10" x14ac:dyDescent="0.2">
      <c r="A266" s="86" t="s">
        <v>7295</v>
      </c>
      <c r="B266" s="1067" t="s">
        <v>105</v>
      </c>
      <c r="C266" s="1037" t="s">
        <v>219</v>
      </c>
      <c r="D266" s="1028" t="s">
        <v>8216</v>
      </c>
      <c r="E266" s="1030" t="s">
        <v>342</v>
      </c>
      <c r="F266" s="1031" t="s">
        <v>8522</v>
      </c>
      <c r="G266" s="1031" t="s">
        <v>5186</v>
      </c>
      <c r="H266" s="88">
        <f>INDEX('Import CO_25'!$A$4:$AAA$143,MATCH($G266,'Import CO_25'!$A$4:$A$143,0),MATCH(H$1,'Import CO_25'!$A$4:$AAA$4,0))</f>
        <v>0</v>
      </c>
      <c r="I266" s="88">
        <f>INDEX('Import CO_25'!$A$4:$AAA$143,MATCH($G266,'Import CO_25'!$A$4:$A$143,0),MATCH(I$1,'Import CO_25'!$A$4:$AAA$4,0))</f>
        <v>0</v>
      </c>
      <c r="J266" s="88">
        <f>INDEX('Import CO_25'!$A$4:$AAA$143,MATCH($G266,'Import CO_25'!$A$4:$A$143,0),MATCH(J$1,'Import CO_25'!$A$4:$AAA$4,0))</f>
        <v>0</v>
      </c>
    </row>
    <row r="267" spans="1:10" x14ac:dyDescent="0.2">
      <c r="A267" s="86" t="s">
        <v>7296</v>
      </c>
      <c r="B267" s="1067" t="s">
        <v>105</v>
      </c>
      <c r="C267" s="1037" t="s">
        <v>219</v>
      </c>
      <c r="D267" s="1028" t="s">
        <v>8216</v>
      </c>
      <c r="E267" s="1030" t="s">
        <v>343</v>
      </c>
      <c r="F267" s="1031" t="s">
        <v>8522</v>
      </c>
      <c r="G267" s="1031" t="s">
        <v>5187</v>
      </c>
      <c r="H267" s="88">
        <f>INDEX('Import CO_25'!$A$4:$AAA$143,MATCH($G267,'Import CO_25'!$A$4:$A$143,0),MATCH(H$1,'Import CO_25'!$A$4:$AAA$4,0))</f>
        <v>0</v>
      </c>
      <c r="I267" s="88">
        <f>INDEX('Import CO_25'!$A$4:$AAA$143,MATCH($G267,'Import CO_25'!$A$4:$A$143,0),MATCH(I$1,'Import CO_25'!$A$4:$AAA$4,0))</f>
        <v>0</v>
      </c>
      <c r="J267" s="88">
        <f>INDEX('Import CO_25'!$A$4:$AAA$143,MATCH($G267,'Import CO_25'!$A$4:$A$143,0),MATCH(J$1,'Import CO_25'!$A$4:$AAA$4,0))</f>
        <v>0</v>
      </c>
    </row>
    <row r="268" spans="1:10" x14ac:dyDescent="0.2">
      <c r="A268" s="86" t="s">
        <v>7297</v>
      </c>
      <c r="B268" s="1067" t="s">
        <v>105</v>
      </c>
      <c r="C268" s="1037" t="s">
        <v>219</v>
      </c>
      <c r="D268" s="1028" t="s">
        <v>8216</v>
      </c>
      <c r="E268" s="1030" t="s">
        <v>351</v>
      </c>
      <c r="F268" s="1031" t="s">
        <v>8522</v>
      </c>
      <c r="G268" s="1031" t="s">
        <v>5195</v>
      </c>
      <c r="H268" s="88">
        <f>INDEX('Import CO_25'!$A$4:$AAA$143,MATCH($G268,'Import CO_25'!$A$4:$A$143,0),MATCH(H$1,'Import CO_25'!$A$4:$AAA$4,0))</f>
        <v>0</v>
      </c>
      <c r="I268" s="88">
        <f>INDEX('Import CO_25'!$A$4:$AAA$143,MATCH($G268,'Import CO_25'!$A$4:$A$143,0),MATCH(I$1,'Import CO_25'!$A$4:$AAA$4,0))</f>
        <v>0</v>
      </c>
      <c r="J268" s="88">
        <f>INDEX('Import CO_25'!$A$4:$AAA$143,MATCH($G268,'Import CO_25'!$A$4:$A$143,0),MATCH(J$1,'Import CO_25'!$A$4:$AAA$4,0))</f>
        <v>0</v>
      </c>
    </row>
    <row r="269" spans="1:10" x14ac:dyDescent="0.2">
      <c r="A269" s="86" t="s">
        <v>7298</v>
      </c>
      <c r="B269" s="1067" t="s">
        <v>105</v>
      </c>
      <c r="C269" s="1037" t="s">
        <v>219</v>
      </c>
      <c r="D269" s="1028" t="s">
        <v>8216</v>
      </c>
      <c r="E269" s="1030" t="s">
        <v>344</v>
      </c>
      <c r="F269" s="1031" t="s">
        <v>8522</v>
      </c>
      <c r="G269" s="1031" t="s">
        <v>5188</v>
      </c>
      <c r="H269" s="88">
        <f>INDEX('Import CO_25'!$A$4:$AAA$143,MATCH($G269,'Import CO_25'!$A$4:$A$143,0),MATCH(H$1,'Import CO_25'!$A$4:$AAA$4,0))</f>
        <v>0</v>
      </c>
      <c r="I269" s="88">
        <f>INDEX('Import CO_25'!$A$4:$AAA$143,MATCH($G269,'Import CO_25'!$A$4:$A$143,0),MATCH(I$1,'Import CO_25'!$A$4:$AAA$4,0))</f>
        <v>0</v>
      </c>
      <c r="J269" s="88">
        <f>INDEX('Import CO_25'!$A$4:$AAA$143,MATCH($G269,'Import CO_25'!$A$4:$A$143,0),MATCH(J$1,'Import CO_25'!$A$4:$AAA$4,0))</f>
        <v>0</v>
      </c>
    </row>
    <row r="270" spans="1:10" x14ac:dyDescent="0.2">
      <c r="A270" s="86" t="s">
        <v>7299</v>
      </c>
      <c r="B270" s="1067" t="s">
        <v>105</v>
      </c>
      <c r="C270" s="1037" t="s">
        <v>219</v>
      </c>
      <c r="D270" s="1028" t="s">
        <v>8216</v>
      </c>
      <c r="E270" s="1030" t="s">
        <v>352</v>
      </c>
      <c r="F270" s="1031" t="s">
        <v>8522</v>
      </c>
      <c r="G270" s="1031" t="s">
        <v>5196</v>
      </c>
      <c r="H270" s="88">
        <f>INDEX('Import CO_25'!$A$4:$AAA$143,MATCH($G270,'Import CO_25'!$A$4:$A$143,0),MATCH(H$1,'Import CO_25'!$A$4:$AAA$4,0))</f>
        <v>0</v>
      </c>
      <c r="I270" s="88">
        <f>INDEX('Import CO_25'!$A$4:$AAA$143,MATCH($G270,'Import CO_25'!$A$4:$A$143,0),MATCH(I$1,'Import CO_25'!$A$4:$AAA$4,0))</f>
        <v>0</v>
      </c>
      <c r="J270" s="88">
        <f>INDEX('Import CO_25'!$A$4:$AAA$143,MATCH($G270,'Import CO_25'!$A$4:$A$143,0),MATCH(J$1,'Import CO_25'!$A$4:$AAA$4,0))</f>
        <v>0</v>
      </c>
    </row>
    <row r="271" spans="1:10" x14ac:dyDescent="0.2">
      <c r="A271" s="86" t="s">
        <v>7300</v>
      </c>
      <c r="B271" s="1067" t="s">
        <v>105</v>
      </c>
      <c r="C271" s="1037" t="s">
        <v>219</v>
      </c>
      <c r="D271" s="1028" t="s">
        <v>8216</v>
      </c>
      <c r="E271" s="1030" t="s">
        <v>345</v>
      </c>
      <c r="F271" s="1031" t="s">
        <v>8522</v>
      </c>
      <c r="G271" s="1031" t="s">
        <v>5189</v>
      </c>
      <c r="H271" s="88">
        <f>INDEX('Import CO_25'!$A$4:$AAA$143,MATCH($G271,'Import CO_25'!$A$4:$A$143,0),MATCH(H$1,'Import CO_25'!$A$4:$AAA$4,0))</f>
        <v>0</v>
      </c>
      <c r="I271" s="88">
        <f>INDEX('Import CO_25'!$A$4:$AAA$143,MATCH($G271,'Import CO_25'!$A$4:$A$143,0),MATCH(I$1,'Import CO_25'!$A$4:$AAA$4,0))</f>
        <v>0</v>
      </c>
      <c r="J271" s="88">
        <f>INDEX('Import CO_25'!$A$4:$AAA$143,MATCH($G271,'Import CO_25'!$A$4:$A$143,0),MATCH(J$1,'Import CO_25'!$A$4:$AAA$4,0))</f>
        <v>0</v>
      </c>
    </row>
    <row r="272" spans="1:10" x14ac:dyDescent="0.2">
      <c r="A272" s="86" t="s">
        <v>7301</v>
      </c>
      <c r="B272" s="1067" t="s">
        <v>105</v>
      </c>
      <c r="C272" s="1037" t="s">
        <v>219</v>
      </c>
      <c r="D272" s="1028" t="s">
        <v>8216</v>
      </c>
      <c r="E272" s="1030" t="s">
        <v>353</v>
      </c>
      <c r="F272" s="1031" t="s">
        <v>8522</v>
      </c>
      <c r="G272" s="1031" t="s">
        <v>5197</v>
      </c>
      <c r="H272" s="88">
        <f>INDEX('Import CO_25'!$A$4:$AAA$143,MATCH($G272,'Import CO_25'!$A$4:$A$143,0),MATCH(H$1,'Import CO_25'!$A$4:$AAA$4,0))</f>
        <v>0</v>
      </c>
      <c r="I272" s="88">
        <f>INDEX('Import CO_25'!$A$4:$AAA$143,MATCH($G272,'Import CO_25'!$A$4:$A$143,0),MATCH(I$1,'Import CO_25'!$A$4:$AAA$4,0))</f>
        <v>0</v>
      </c>
      <c r="J272" s="88">
        <f>INDEX('Import CO_25'!$A$4:$AAA$143,MATCH($G272,'Import CO_25'!$A$4:$A$143,0),MATCH(J$1,'Import CO_25'!$A$4:$AAA$4,0))</f>
        <v>0</v>
      </c>
    </row>
    <row r="273" spans="1:10" x14ac:dyDescent="0.2">
      <c r="A273" s="86" t="s">
        <v>7302</v>
      </c>
      <c r="B273" s="1067" t="s">
        <v>105</v>
      </c>
      <c r="C273" s="1037" t="s">
        <v>219</v>
      </c>
      <c r="D273" s="1028" t="s">
        <v>8216</v>
      </c>
      <c r="E273" s="1030" t="s">
        <v>346</v>
      </c>
      <c r="F273" s="1031" t="s">
        <v>8522</v>
      </c>
      <c r="G273" s="1031" t="s">
        <v>5190</v>
      </c>
      <c r="H273" s="88">
        <f>INDEX('Import CO_25'!$A$4:$AAA$143,MATCH($G273,'Import CO_25'!$A$4:$A$143,0),MATCH(H$1,'Import CO_25'!$A$4:$AAA$4,0))</f>
        <v>0</v>
      </c>
      <c r="I273" s="88">
        <f>INDEX('Import CO_25'!$A$4:$AAA$143,MATCH($G273,'Import CO_25'!$A$4:$A$143,0),MATCH(I$1,'Import CO_25'!$A$4:$AAA$4,0))</f>
        <v>0</v>
      </c>
      <c r="J273" s="88">
        <f>INDEX('Import CO_25'!$A$4:$AAA$143,MATCH($G273,'Import CO_25'!$A$4:$A$143,0),MATCH(J$1,'Import CO_25'!$A$4:$AAA$4,0))</f>
        <v>0</v>
      </c>
    </row>
    <row r="274" spans="1:10" x14ac:dyDescent="0.2">
      <c r="A274" s="86" t="s">
        <v>7303</v>
      </c>
      <c r="B274" s="1067" t="s">
        <v>105</v>
      </c>
      <c r="C274" s="1037" t="s">
        <v>219</v>
      </c>
      <c r="D274" s="1028" t="s">
        <v>8216</v>
      </c>
      <c r="E274" s="1030" t="s">
        <v>289</v>
      </c>
      <c r="F274" s="1031" t="s">
        <v>8522</v>
      </c>
      <c r="G274" s="1031" t="s">
        <v>5198</v>
      </c>
      <c r="H274" s="88">
        <f>INDEX('Import CO_25'!$A$4:$AAA$143,MATCH($G274,'Import CO_25'!$A$4:$A$143,0),MATCH(H$1,'Import CO_25'!$A$4:$AAA$4,0))</f>
        <v>0</v>
      </c>
      <c r="I274" s="88">
        <f>INDEX('Import CO_25'!$A$4:$AAA$143,MATCH($G274,'Import CO_25'!$A$4:$A$143,0),MATCH(I$1,'Import CO_25'!$A$4:$AAA$4,0))</f>
        <v>0</v>
      </c>
      <c r="J274" s="88">
        <f>INDEX('Import CO_25'!$A$4:$AAA$143,MATCH($G274,'Import CO_25'!$A$4:$A$143,0),MATCH(J$1,'Import CO_25'!$A$4:$AAA$4,0))</f>
        <v>0</v>
      </c>
    </row>
    <row r="275" spans="1:10" x14ac:dyDescent="0.2">
      <c r="A275" s="86" t="s">
        <v>7304</v>
      </c>
      <c r="B275" s="1067" t="s">
        <v>105</v>
      </c>
      <c r="C275" s="1037" t="s">
        <v>219</v>
      </c>
      <c r="D275" s="1028" t="s">
        <v>8216</v>
      </c>
      <c r="E275" s="1030" t="s">
        <v>347</v>
      </c>
      <c r="F275" s="1031" t="s">
        <v>8522</v>
      </c>
      <c r="G275" s="1031" t="s">
        <v>5191</v>
      </c>
      <c r="H275" s="88">
        <f>INDEX('Import CO_25'!$A$4:$AAA$143,MATCH($G275,'Import CO_25'!$A$4:$A$143,0),MATCH(H$1,'Import CO_25'!$A$4:$AAA$4,0))</f>
        <v>0</v>
      </c>
      <c r="I275" s="88">
        <f>INDEX('Import CO_25'!$A$4:$AAA$143,MATCH($G275,'Import CO_25'!$A$4:$A$143,0),MATCH(I$1,'Import CO_25'!$A$4:$AAA$4,0))</f>
        <v>0</v>
      </c>
      <c r="J275" s="88">
        <f>INDEX('Import CO_25'!$A$4:$AAA$143,MATCH($G275,'Import CO_25'!$A$4:$A$143,0),MATCH(J$1,'Import CO_25'!$A$4:$AAA$4,0))</f>
        <v>0</v>
      </c>
    </row>
    <row r="276" spans="1:10" x14ac:dyDescent="0.2">
      <c r="A276" s="86" t="s">
        <v>7305</v>
      </c>
      <c r="B276" s="1067" t="s">
        <v>105</v>
      </c>
      <c r="C276" s="1037" t="s">
        <v>219</v>
      </c>
      <c r="D276" s="1028" t="s">
        <v>8216</v>
      </c>
      <c r="E276" s="1030" t="s">
        <v>348</v>
      </c>
      <c r="F276" s="1031" t="s">
        <v>8522</v>
      </c>
      <c r="G276" s="1031" t="s">
        <v>5192</v>
      </c>
      <c r="H276" s="88">
        <f>INDEX('Import CO_25'!$A$4:$AAA$143,MATCH($G276,'Import CO_25'!$A$4:$A$143,0),MATCH(H$1,'Import CO_25'!$A$4:$AAA$4,0))</f>
        <v>0</v>
      </c>
      <c r="I276" s="88">
        <f>INDEX('Import CO_25'!$A$4:$AAA$143,MATCH($G276,'Import CO_25'!$A$4:$A$143,0),MATCH(I$1,'Import CO_25'!$A$4:$AAA$4,0))</f>
        <v>0</v>
      </c>
      <c r="J276" s="88">
        <f>INDEX('Import CO_25'!$A$4:$AAA$143,MATCH($G276,'Import CO_25'!$A$4:$A$143,0),MATCH(J$1,'Import CO_25'!$A$4:$AAA$4,0))</f>
        <v>0</v>
      </c>
    </row>
    <row r="277" spans="1:10" x14ac:dyDescent="0.2">
      <c r="A277" s="86" t="s">
        <v>7306</v>
      </c>
      <c r="B277" s="1067" t="s">
        <v>105</v>
      </c>
      <c r="C277" s="1037" t="s">
        <v>219</v>
      </c>
      <c r="D277" s="1028" t="s">
        <v>8216</v>
      </c>
      <c r="E277" s="1030" t="s">
        <v>349</v>
      </c>
      <c r="F277" s="1031" t="s">
        <v>8522</v>
      </c>
      <c r="G277" s="1031" t="s">
        <v>5193</v>
      </c>
      <c r="H277" s="88">
        <f>INDEX('Import CO_25'!$A$4:$AAA$143,MATCH($G277,'Import CO_25'!$A$4:$A$143,0),MATCH(H$1,'Import CO_25'!$A$4:$AAA$4,0))</f>
        <v>0</v>
      </c>
      <c r="I277" s="88">
        <f>INDEX('Import CO_25'!$A$4:$AAA$143,MATCH($G277,'Import CO_25'!$A$4:$A$143,0),MATCH(I$1,'Import CO_25'!$A$4:$AAA$4,0))</f>
        <v>0</v>
      </c>
      <c r="J277" s="88">
        <f>INDEX('Import CO_25'!$A$4:$AAA$143,MATCH($G277,'Import CO_25'!$A$4:$A$143,0),MATCH(J$1,'Import CO_25'!$A$4:$AAA$4,0))</f>
        <v>0</v>
      </c>
    </row>
    <row r="278" spans="1:10" x14ac:dyDescent="0.2">
      <c r="A278" s="86" t="s">
        <v>7307</v>
      </c>
      <c r="B278" s="1067" t="s">
        <v>105</v>
      </c>
      <c r="C278" s="1037" t="s">
        <v>219</v>
      </c>
      <c r="D278" s="1028" t="s">
        <v>8216</v>
      </c>
      <c r="E278" s="1030" t="s">
        <v>350</v>
      </c>
      <c r="F278" s="1031" t="s">
        <v>8522</v>
      </c>
      <c r="G278" s="1031" t="s">
        <v>5194</v>
      </c>
      <c r="H278" s="88">
        <f>INDEX('Import CO_25'!$A$4:$AAA$143,MATCH($G278,'Import CO_25'!$A$4:$A$143,0),MATCH(H$1,'Import CO_25'!$A$4:$AAA$4,0))</f>
        <v>0</v>
      </c>
      <c r="I278" s="88">
        <f>INDEX('Import CO_25'!$A$4:$AAA$143,MATCH($G278,'Import CO_25'!$A$4:$A$143,0),MATCH(I$1,'Import CO_25'!$A$4:$AAA$4,0))</f>
        <v>0</v>
      </c>
      <c r="J278" s="88">
        <f>INDEX('Import CO_25'!$A$4:$AAA$143,MATCH($G278,'Import CO_25'!$A$4:$A$143,0),MATCH(J$1,'Import CO_25'!$A$4:$AAA$4,0))</f>
        <v>0</v>
      </c>
    </row>
    <row r="279" spans="1:10" x14ac:dyDescent="0.2">
      <c r="A279" s="86" t="s">
        <v>7308</v>
      </c>
      <c r="B279" s="1067" t="s">
        <v>105</v>
      </c>
      <c r="C279" s="1037" t="s">
        <v>219</v>
      </c>
      <c r="D279" s="1028" t="s">
        <v>8216</v>
      </c>
      <c r="E279" s="1030" t="s">
        <v>8214</v>
      </c>
      <c r="F279" s="1031" t="s">
        <v>8522</v>
      </c>
      <c r="G279" s="1031" t="s">
        <v>6487</v>
      </c>
      <c r="H279" s="88">
        <f>INDEX('Import CO_25'!$A$4:$AAA$143,MATCH($G279,'Import CO_25'!$A$4:$A$143,0),MATCH(H$1,'Import CO_25'!$A$4:$AAA$4,0))</f>
        <v>0</v>
      </c>
      <c r="I279" s="88">
        <f>INDEX('Import CO_25'!$A$4:$AAA$143,MATCH($G279,'Import CO_25'!$A$4:$A$143,0),MATCH(I$1,'Import CO_25'!$A$4:$AAA$4,0))</f>
        <v>0</v>
      </c>
      <c r="J279" s="88">
        <f>INDEX('Import CO_25'!$A$4:$AAA$143,MATCH($G279,'Import CO_25'!$A$4:$A$143,0),MATCH(J$1,'Import CO_25'!$A$4:$AAA$4,0))</f>
        <v>0</v>
      </c>
    </row>
    <row r="280" spans="1:10" x14ac:dyDescent="0.2">
      <c r="A280" s="86" t="s">
        <v>7309</v>
      </c>
      <c r="B280" s="1067" t="s">
        <v>105</v>
      </c>
      <c r="C280" s="1037" t="s">
        <v>219</v>
      </c>
      <c r="D280" s="1028" t="s">
        <v>8216</v>
      </c>
      <c r="E280" s="1030" t="s">
        <v>8215</v>
      </c>
      <c r="F280" s="1031" t="s">
        <v>8522</v>
      </c>
      <c r="G280" s="1031" t="s">
        <v>5203</v>
      </c>
      <c r="H280" s="88">
        <f>INDEX('Import CO_25'!$A$4:$AAA$143,MATCH($G280,'Import CO_25'!$A$4:$A$143,0),MATCH(H$1,'Import CO_25'!$A$4:$AAA$4,0))</f>
        <v>988341.67339806445</v>
      </c>
      <c r="I280" s="88">
        <f>INDEX('Import CO_25'!$A$4:$AAA$143,MATCH($G280,'Import CO_25'!$A$4:$A$143,0),MATCH(I$1,'Import CO_25'!$A$4:$AAA$4,0))</f>
        <v>431836.69744073343</v>
      </c>
      <c r="J280" s="88">
        <f>INDEX('Import CO_25'!$A$4:$AAA$143,MATCH($G280,'Import CO_25'!$A$4:$A$143,0),MATCH(J$1,'Import CO_25'!$A$4:$AAA$4,0))</f>
        <v>100251.46125347161</v>
      </c>
    </row>
    <row r="281" spans="1:10" x14ac:dyDescent="0.2">
      <c r="A281" s="86" t="s">
        <v>7310</v>
      </c>
      <c r="B281" s="1067" t="s">
        <v>105</v>
      </c>
      <c r="C281" s="1037" t="s">
        <v>219</v>
      </c>
      <c r="D281" s="1028" t="s">
        <v>8216</v>
      </c>
      <c r="E281" s="1030" t="s">
        <v>354</v>
      </c>
      <c r="F281" s="1031" t="s">
        <v>8522</v>
      </c>
      <c r="G281" s="1031" t="s">
        <v>5204</v>
      </c>
      <c r="H281" s="88">
        <f>INDEX('Import CO_25'!$A$4:$AAA$143,MATCH($G281,'Import CO_25'!$A$4:$A$143,0),MATCH(H$1,'Import CO_25'!$A$4:$AAA$4,0))</f>
        <v>333869.89483903546</v>
      </c>
      <c r="I281" s="88">
        <f>INDEX('Import CO_25'!$A$4:$AAA$143,MATCH($G281,'Import CO_25'!$A$4:$A$143,0),MATCH(I$1,'Import CO_25'!$A$4:$AAA$4,0))</f>
        <v>91156.131297994551</v>
      </c>
      <c r="J281" s="88">
        <f>INDEX('Import CO_25'!$A$4:$AAA$143,MATCH($G281,'Import CO_25'!$A$4:$A$143,0),MATCH(J$1,'Import CO_25'!$A$4:$AAA$4,0))</f>
        <v>33865.762951265795</v>
      </c>
    </row>
    <row r="282" spans="1:10" x14ac:dyDescent="0.2">
      <c r="A282" s="86" t="s">
        <v>7311</v>
      </c>
      <c r="B282" s="1067" t="s">
        <v>105</v>
      </c>
      <c r="C282" s="1037" t="s">
        <v>219</v>
      </c>
      <c r="D282" s="1028" t="s">
        <v>8216</v>
      </c>
      <c r="E282" s="1030" t="s">
        <v>355</v>
      </c>
      <c r="F282" s="1031" t="s">
        <v>8522</v>
      </c>
      <c r="G282" s="1031" t="s">
        <v>5205</v>
      </c>
      <c r="H282" s="88">
        <f>INDEX('Import CO_25'!$A$4:$AAA$143,MATCH($G282,'Import CO_25'!$A$4:$A$143,0),MATCH(H$1,'Import CO_25'!$A$4:$AAA$4,0))</f>
        <v>654471.77855902899</v>
      </c>
      <c r="I282" s="88">
        <f>INDEX('Import CO_25'!$A$4:$AAA$143,MATCH($G282,'Import CO_25'!$A$4:$A$143,0),MATCH(I$1,'Import CO_25'!$A$4:$AAA$4,0))</f>
        <v>340680.56614273885</v>
      </c>
      <c r="J282" s="88">
        <f>INDEX('Import CO_25'!$A$4:$AAA$143,MATCH($G282,'Import CO_25'!$A$4:$A$143,0),MATCH(J$1,'Import CO_25'!$A$4:$AAA$4,0))</f>
        <v>66385.698302205827</v>
      </c>
    </row>
    <row r="283" spans="1:10" x14ac:dyDescent="0.2">
      <c r="A283" s="86" t="s">
        <v>7312</v>
      </c>
      <c r="B283" s="1067" t="s">
        <v>105</v>
      </c>
      <c r="C283" s="1037" t="s">
        <v>219</v>
      </c>
      <c r="D283" s="1028" t="s">
        <v>8216</v>
      </c>
      <c r="E283" s="1030" t="s">
        <v>356</v>
      </c>
      <c r="F283" s="1031" t="s">
        <v>8522</v>
      </c>
      <c r="G283" s="1031" t="s">
        <v>5206</v>
      </c>
      <c r="H283" s="88">
        <f>INDEX('Import CO_25'!$A$4:$AAA$143,MATCH($G283,'Import CO_25'!$A$4:$A$143,0),MATCH(H$1,'Import CO_25'!$A$4:$AAA$4,0))</f>
        <v>0</v>
      </c>
      <c r="I283" s="88">
        <f>INDEX('Import CO_25'!$A$4:$AAA$143,MATCH($G283,'Import CO_25'!$A$4:$A$143,0),MATCH(I$1,'Import CO_25'!$A$4:$AAA$4,0))</f>
        <v>0</v>
      </c>
      <c r="J283" s="88">
        <f>INDEX('Import CO_25'!$A$4:$AAA$143,MATCH($G283,'Import CO_25'!$A$4:$A$143,0),MATCH(J$1,'Import CO_25'!$A$4:$AAA$4,0))</f>
        <v>0</v>
      </c>
    </row>
    <row r="284" spans="1:10" x14ac:dyDescent="0.2">
      <c r="A284" s="86" t="s">
        <v>7313</v>
      </c>
      <c r="B284" s="447" t="str">
        <f>IN_Anagrafica!$B$9</f>
        <v>NO</v>
      </c>
      <c r="C284" s="369" t="str">
        <f t="shared" ref="C284:C347" si="3">IF(B284="SI","SI","NO")</f>
        <v>NO</v>
      </c>
      <c r="D284" s="1028" t="s">
        <v>8217</v>
      </c>
      <c r="E284" s="1030" t="s">
        <v>295</v>
      </c>
      <c r="F284" s="1031" t="s">
        <v>8520</v>
      </c>
      <c r="G284" s="1031" t="s">
        <v>5719</v>
      </c>
      <c r="H284" s="88">
        <f>INDEX(Import_CO_Comuni!$A$4:$AAA$324,MATCH($G284,Import_CO_Comuni!$A$4:$A$324,0),MATCH(H$1,Import_CO_Comuni!$A$4:$AAA$4,0))</f>
        <v>0</v>
      </c>
      <c r="I284" s="88">
        <f>INDEX(Import_CO_Comuni!$A$4:$AAA$324,MATCH($G284,Import_CO_Comuni!$A$4:$A$324,0),MATCH(I$1,Import_CO_Comuni!$A$4:$AAA$4,0))</f>
        <v>0</v>
      </c>
      <c r="J284" s="88">
        <f>INDEX(Import_CO_Comuni!$A$4:$AAA$324,MATCH($G284,Import_CO_Comuni!$A$4:$A$324,0),MATCH(J$1,Import_CO_Comuni!$A$4:$AAA$4,0))</f>
        <v>0</v>
      </c>
    </row>
    <row r="285" spans="1:10" x14ac:dyDescent="0.2">
      <c r="A285" s="86" t="s">
        <v>7314</v>
      </c>
      <c r="B285" s="447" t="str">
        <f>IN_Anagrafica!$B$9</f>
        <v>NO</v>
      </c>
      <c r="C285" s="369" t="str">
        <f t="shared" si="3"/>
        <v>NO</v>
      </c>
      <c r="D285" s="1028" t="s">
        <v>8217</v>
      </c>
      <c r="E285" s="1030" t="s">
        <v>297</v>
      </c>
      <c r="F285" s="1031" t="s">
        <v>8520</v>
      </c>
      <c r="G285" s="1031" t="s">
        <v>5720</v>
      </c>
      <c r="H285" s="88">
        <f>INDEX(Import_CO_Comuni!$A$4:$AAA$324,MATCH($G285,Import_CO_Comuni!$A$4:$A$324,0),MATCH(H$1,Import_CO_Comuni!$A$4:$AAA$4,0))</f>
        <v>0</v>
      </c>
      <c r="I285" s="88">
        <f>INDEX(Import_CO_Comuni!$A$4:$AAA$324,MATCH($G285,Import_CO_Comuni!$A$4:$A$324,0),MATCH(I$1,Import_CO_Comuni!$A$4:$AAA$4,0))</f>
        <v>0</v>
      </c>
      <c r="J285" s="88">
        <f>INDEX(Import_CO_Comuni!$A$4:$AAA$324,MATCH($G285,Import_CO_Comuni!$A$4:$A$324,0),MATCH(J$1,Import_CO_Comuni!$A$4:$AAA$4,0))</f>
        <v>0</v>
      </c>
    </row>
    <row r="286" spans="1:10" x14ac:dyDescent="0.2">
      <c r="A286" s="86" t="s">
        <v>7315</v>
      </c>
      <c r="B286" s="447" t="str">
        <f>IN_Anagrafica!$B$9</f>
        <v>NO</v>
      </c>
      <c r="C286" s="369" t="str">
        <f t="shared" si="3"/>
        <v>NO</v>
      </c>
      <c r="D286" s="1028" t="s">
        <v>8217</v>
      </c>
      <c r="E286" s="1030" t="s">
        <v>287</v>
      </c>
      <c r="F286" s="1033" t="s">
        <v>105</v>
      </c>
      <c r="G286" s="1033" t="s">
        <v>105</v>
      </c>
      <c r="H286" s="997"/>
      <c r="I286" s="997"/>
      <c r="J286" s="997"/>
    </row>
    <row r="287" spans="1:10" x14ac:dyDescent="0.2">
      <c r="A287" s="86" t="s">
        <v>7316</v>
      </c>
      <c r="B287" s="447" t="str">
        <f>IN_Anagrafica!$B$9</f>
        <v>NO</v>
      </c>
      <c r="C287" s="369" t="str">
        <f t="shared" si="3"/>
        <v>NO</v>
      </c>
      <c r="D287" s="1028" t="s">
        <v>8217</v>
      </c>
      <c r="E287" s="1030" t="s">
        <v>709</v>
      </c>
      <c r="F287" s="1031" t="s">
        <v>8520</v>
      </c>
      <c r="G287" s="1031" t="s">
        <v>5721</v>
      </c>
      <c r="H287" s="88">
        <f>INDEX(Import_CO_Comuni!$A$4:$AAA$324,MATCH($G287,Import_CO_Comuni!$A$4:$A$324,0),MATCH(H$1,Import_CO_Comuni!$A$4:$AAA$4,0))</f>
        <v>0</v>
      </c>
      <c r="I287" s="88">
        <f>INDEX(Import_CO_Comuni!$A$4:$AAA$324,MATCH($G287,Import_CO_Comuni!$A$4:$A$324,0),MATCH(I$1,Import_CO_Comuni!$A$4:$AAA$4,0))</f>
        <v>0</v>
      </c>
      <c r="J287" s="88">
        <f>INDEX(Import_CO_Comuni!$A$4:$AAA$324,MATCH($G287,Import_CO_Comuni!$A$4:$A$324,0),MATCH(J$1,Import_CO_Comuni!$A$4:$AAA$4,0))</f>
        <v>0</v>
      </c>
    </row>
    <row r="288" spans="1:10" x14ac:dyDescent="0.2">
      <c r="A288" s="86" t="s">
        <v>7317</v>
      </c>
      <c r="B288" s="447" t="str">
        <f>IN_Anagrafica!$B$9</f>
        <v>NO</v>
      </c>
      <c r="C288" s="369" t="str">
        <f t="shared" si="3"/>
        <v>NO</v>
      </c>
      <c r="D288" s="1028" t="s">
        <v>8217</v>
      </c>
      <c r="E288" s="1030" t="s">
        <v>288</v>
      </c>
      <c r="F288" s="1033" t="s">
        <v>105</v>
      </c>
      <c r="G288" s="1033" t="s">
        <v>105</v>
      </c>
      <c r="H288" s="997"/>
      <c r="I288" s="997"/>
      <c r="J288" s="997"/>
    </row>
    <row r="289" spans="1:10" x14ac:dyDescent="0.2">
      <c r="A289" s="86" t="s">
        <v>7318</v>
      </c>
      <c r="B289" s="447" t="str">
        <f>IN_Anagrafica!$B$9</f>
        <v>NO</v>
      </c>
      <c r="C289" s="369" t="str">
        <f t="shared" si="3"/>
        <v>NO</v>
      </c>
      <c r="D289" s="1028" t="s">
        <v>8217</v>
      </c>
      <c r="E289" s="1030" t="s">
        <v>359</v>
      </c>
      <c r="F289" s="1031" t="s">
        <v>8520</v>
      </c>
      <c r="G289" s="1031" t="s">
        <v>5722</v>
      </c>
      <c r="H289" s="88">
        <f>INDEX(Import_CO_Comuni!$A$4:$AAA$324,MATCH($G289,Import_CO_Comuni!$A$4:$A$324,0),MATCH(H$1,Import_CO_Comuni!$A$4:$AAA$4,0))</f>
        <v>0</v>
      </c>
      <c r="I289" s="88">
        <f>INDEX(Import_CO_Comuni!$A$4:$AAA$324,MATCH($G289,Import_CO_Comuni!$A$4:$A$324,0),MATCH(I$1,Import_CO_Comuni!$A$4:$AAA$4,0))</f>
        <v>0</v>
      </c>
      <c r="J289" s="88">
        <f>INDEX(Import_CO_Comuni!$A$4:$AAA$324,MATCH($G289,Import_CO_Comuni!$A$4:$A$324,0),MATCH(J$1,Import_CO_Comuni!$A$4:$AAA$4,0))</f>
        <v>0</v>
      </c>
    </row>
    <row r="290" spans="1:10" x14ac:dyDescent="0.2">
      <c r="A290" s="86" t="s">
        <v>7319</v>
      </c>
      <c r="B290" s="447" t="str">
        <f>IN_Anagrafica!$B$9</f>
        <v>NO</v>
      </c>
      <c r="C290" s="369" t="str">
        <f t="shared" si="3"/>
        <v>NO</v>
      </c>
      <c r="D290" s="1028" t="s">
        <v>8217</v>
      </c>
      <c r="E290" s="1030" t="s">
        <v>8187</v>
      </c>
      <c r="F290" s="1033" t="s">
        <v>105</v>
      </c>
      <c r="G290" s="1033" t="s">
        <v>105</v>
      </c>
      <c r="H290" s="997"/>
      <c r="I290" s="997"/>
      <c r="J290" s="997"/>
    </row>
    <row r="291" spans="1:10" x14ac:dyDescent="0.2">
      <c r="A291" s="86" t="s">
        <v>7320</v>
      </c>
      <c r="B291" s="447" t="str">
        <f>IN_Anagrafica!$B$9</f>
        <v>NO</v>
      </c>
      <c r="C291" s="369" t="str">
        <f t="shared" si="3"/>
        <v>NO</v>
      </c>
      <c r="D291" s="1028" t="s">
        <v>8217</v>
      </c>
      <c r="E291" s="1030" t="s">
        <v>360</v>
      </c>
      <c r="F291" s="1031" t="s">
        <v>8520</v>
      </c>
      <c r="G291" s="1031" t="s">
        <v>5213</v>
      </c>
      <c r="H291" s="88">
        <f>INDEX(Import_CO_Comuni!$A$4:$AAA$324,MATCH($G291,Import_CO_Comuni!$A$4:$A$324,0),MATCH(H$1,Import_CO_Comuni!$A$4:$AAA$4,0))</f>
        <v>0</v>
      </c>
      <c r="I291" s="88">
        <f>INDEX(Import_CO_Comuni!$A$4:$AAA$324,MATCH($G291,Import_CO_Comuni!$A$4:$A$324,0),MATCH(I$1,Import_CO_Comuni!$A$4:$AAA$4,0))</f>
        <v>0</v>
      </c>
      <c r="J291" s="88">
        <f>INDEX(Import_CO_Comuni!$A$4:$AAA$324,MATCH($G291,Import_CO_Comuni!$A$4:$A$324,0),MATCH(J$1,Import_CO_Comuni!$A$4:$AAA$4,0))</f>
        <v>0</v>
      </c>
    </row>
    <row r="292" spans="1:10" x14ac:dyDescent="0.2">
      <c r="A292" s="86" t="s">
        <v>7321</v>
      </c>
      <c r="B292" s="447" t="str">
        <f>IN_Anagrafica!$B$9</f>
        <v>NO</v>
      </c>
      <c r="C292" s="369" t="str">
        <f t="shared" si="3"/>
        <v>NO</v>
      </c>
      <c r="D292" s="1028" t="s">
        <v>8217</v>
      </c>
      <c r="E292" s="1030" t="s">
        <v>8188</v>
      </c>
      <c r="F292" s="1033" t="s">
        <v>105</v>
      </c>
      <c r="G292" s="1033" t="s">
        <v>105</v>
      </c>
      <c r="H292" s="997"/>
      <c r="I292" s="997"/>
      <c r="J292" s="997"/>
    </row>
    <row r="293" spans="1:10" x14ac:dyDescent="0.2">
      <c r="A293" s="86" t="s">
        <v>7322</v>
      </c>
      <c r="B293" s="447" t="str">
        <f>IN_Anagrafica!$B$9</f>
        <v>NO</v>
      </c>
      <c r="C293" s="369" t="str">
        <f t="shared" si="3"/>
        <v>NO</v>
      </c>
      <c r="D293" s="1028" t="s">
        <v>8217</v>
      </c>
      <c r="E293" s="1030" t="s">
        <v>8189</v>
      </c>
      <c r="F293" s="1031" t="s">
        <v>656</v>
      </c>
      <c r="G293" s="1031" t="s">
        <v>6748</v>
      </c>
      <c r="H293" s="88" t="str">
        <f>+IN_Anagrafica!$B$3</f>
        <v>-</v>
      </c>
      <c r="I293" s="88" t="str">
        <f>+IN_Anagrafica!$B$3</f>
        <v>-</v>
      </c>
      <c r="J293" s="88" t="str">
        <f>+IN_Anagrafica!$B$3</f>
        <v>-</v>
      </c>
    </row>
    <row r="294" spans="1:10" x14ac:dyDescent="0.2">
      <c r="A294" s="86" t="s">
        <v>7323</v>
      </c>
      <c r="B294" s="447" t="str">
        <f>IN_Anagrafica!$B$9</f>
        <v>NO</v>
      </c>
      <c r="C294" s="369" t="str">
        <f t="shared" si="3"/>
        <v>NO</v>
      </c>
      <c r="D294" s="1028" t="s">
        <v>8217</v>
      </c>
      <c r="E294" s="1030" t="s">
        <v>302</v>
      </c>
      <c r="F294" s="1031" t="s">
        <v>8520</v>
      </c>
      <c r="G294" s="1031" t="s">
        <v>5723</v>
      </c>
      <c r="H294" s="88">
        <f>INDEX(Import_CO_Comuni!$A$4:$AAA$324,MATCH($G294,Import_CO_Comuni!$A$4:$A$324,0),MATCH(H$1,Import_CO_Comuni!$A$4:$AAA$4,0))</f>
        <v>0</v>
      </c>
      <c r="I294" s="88">
        <f>INDEX(Import_CO_Comuni!$A$4:$AAA$324,MATCH($G294,Import_CO_Comuni!$A$4:$A$324,0),MATCH(I$1,Import_CO_Comuni!$A$4:$AAA$4,0))</f>
        <v>0</v>
      </c>
      <c r="J294" s="88">
        <f>INDEX(Import_CO_Comuni!$A$4:$AAA$324,MATCH($G294,Import_CO_Comuni!$A$4:$A$324,0),MATCH(J$1,Import_CO_Comuni!$A$4:$AAA$4,0))</f>
        <v>0</v>
      </c>
    </row>
    <row r="295" spans="1:10" x14ac:dyDescent="0.2">
      <c r="A295" s="86" t="s">
        <v>7324</v>
      </c>
      <c r="B295" s="447" t="str">
        <f>IN_Anagrafica!$B$9</f>
        <v>NO</v>
      </c>
      <c r="C295" s="369" t="str">
        <f t="shared" si="3"/>
        <v>NO</v>
      </c>
      <c r="D295" s="1028" t="s">
        <v>8217</v>
      </c>
      <c r="E295" s="1030" t="s">
        <v>305</v>
      </c>
      <c r="F295" s="1031" t="s">
        <v>8520</v>
      </c>
      <c r="G295" s="1031" t="s">
        <v>5729</v>
      </c>
      <c r="H295" s="88">
        <f>INDEX(Import_CO_Comuni!$A$4:$AAA$324,MATCH($G295,Import_CO_Comuni!$A$4:$A$324,0),MATCH(H$1,Import_CO_Comuni!$A$4:$AAA$4,0))</f>
        <v>0</v>
      </c>
      <c r="I295" s="88">
        <f>INDEX(Import_CO_Comuni!$A$4:$AAA$324,MATCH($G295,Import_CO_Comuni!$A$4:$A$324,0),MATCH(I$1,Import_CO_Comuni!$A$4:$AAA$4,0))</f>
        <v>0</v>
      </c>
      <c r="J295" s="88">
        <f>INDEX(Import_CO_Comuni!$A$4:$AAA$324,MATCH($G295,Import_CO_Comuni!$A$4:$A$324,0),MATCH(J$1,Import_CO_Comuni!$A$4:$AAA$4,0))</f>
        <v>0</v>
      </c>
    </row>
    <row r="296" spans="1:10" x14ac:dyDescent="0.2">
      <c r="A296" s="86" t="s">
        <v>7325</v>
      </c>
      <c r="B296" s="447" t="str">
        <f>IN_Anagrafica!$B$9</f>
        <v>NO</v>
      </c>
      <c r="C296" s="369" t="str">
        <f t="shared" si="3"/>
        <v>NO</v>
      </c>
      <c r="D296" s="1028" t="s">
        <v>8217</v>
      </c>
      <c r="E296" s="1030" t="s">
        <v>308</v>
      </c>
      <c r="F296" s="1031" t="s">
        <v>8520</v>
      </c>
      <c r="G296" s="1031" t="s">
        <v>5735</v>
      </c>
      <c r="H296" s="88">
        <f>INDEX(Import_CO_Comuni!$A$4:$AAA$324,MATCH($G296,Import_CO_Comuni!$A$4:$A$324,0),MATCH(H$1,Import_CO_Comuni!$A$4:$AAA$4,0))</f>
        <v>0</v>
      </c>
      <c r="I296" s="88">
        <f>INDEX(Import_CO_Comuni!$A$4:$AAA$324,MATCH($G296,Import_CO_Comuni!$A$4:$A$324,0),MATCH(I$1,Import_CO_Comuni!$A$4:$AAA$4,0))</f>
        <v>0</v>
      </c>
      <c r="J296" s="88">
        <f>INDEX(Import_CO_Comuni!$A$4:$AAA$324,MATCH($G296,Import_CO_Comuni!$A$4:$A$324,0),MATCH(J$1,Import_CO_Comuni!$A$4:$AAA$4,0))</f>
        <v>0</v>
      </c>
    </row>
    <row r="297" spans="1:10" x14ac:dyDescent="0.2">
      <c r="A297" s="86" t="s">
        <v>7326</v>
      </c>
      <c r="B297" s="447" t="str">
        <f>IN_Anagrafica!$B$9</f>
        <v>NO</v>
      </c>
      <c r="C297" s="369" t="str">
        <f t="shared" si="3"/>
        <v>NO</v>
      </c>
      <c r="D297" s="1028" t="s">
        <v>8217</v>
      </c>
      <c r="E297" s="1030" t="s">
        <v>312</v>
      </c>
      <c r="F297" s="1031" t="s">
        <v>8520</v>
      </c>
      <c r="G297" s="1031" t="s">
        <v>5741</v>
      </c>
      <c r="H297" s="88">
        <f>INDEX(Import_CO_Comuni!$A$4:$AAA$324,MATCH($G297,Import_CO_Comuni!$A$4:$A$324,0),MATCH(H$1,Import_CO_Comuni!$A$4:$AAA$4,0))</f>
        <v>0</v>
      </c>
      <c r="I297" s="88">
        <f>INDEX(Import_CO_Comuni!$A$4:$AAA$324,MATCH($G297,Import_CO_Comuni!$A$4:$A$324,0),MATCH(I$1,Import_CO_Comuni!$A$4:$AAA$4,0))</f>
        <v>0</v>
      </c>
      <c r="J297" s="88">
        <f>INDEX(Import_CO_Comuni!$A$4:$AAA$324,MATCH($G297,Import_CO_Comuni!$A$4:$A$324,0),MATCH(J$1,Import_CO_Comuni!$A$4:$AAA$4,0))</f>
        <v>0</v>
      </c>
    </row>
    <row r="298" spans="1:10" x14ac:dyDescent="0.2">
      <c r="A298" s="86" t="s">
        <v>7327</v>
      </c>
      <c r="B298" s="447" t="str">
        <f>IN_Anagrafica!$B$9</f>
        <v>NO</v>
      </c>
      <c r="C298" s="369" t="str">
        <f t="shared" si="3"/>
        <v>NO</v>
      </c>
      <c r="D298" s="1028" t="s">
        <v>8217</v>
      </c>
      <c r="E298" s="1030" t="s">
        <v>318</v>
      </c>
      <c r="F298" s="1031" t="s">
        <v>8520</v>
      </c>
      <c r="G298" s="1031" t="s">
        <v>5747</v>
      </c>
      <c r="H298" s="88">
        <f>INDEX(Import_CO_Comuni!$A$4:$AAA$324,MATCH($G298,Import_CO_Comuni!$A$4:$A$324,0),MATCH(H$1,Import_CO_Comuni!$A$4:$AAA$4,0))</f>
        <v>0</v>
      </c>
      <c r="I298" s="88">
        <f>INDEX(Import_CO_Comuni!$A$4:$AAA$324,MATCH($G298,Import_CO_Comuni!$A$4:$A$324,0),MATCH(I$1,Import_CO_Comuni!$A$4:$AAA$4,0))</f>
        <v>0</v>
      </c>
      <c r="J298" s="88">
        <f>INDEX(Import_CO_Comuni!$A$4:$AAA$324,MATCH($G298,Import_CO_Comuni!$A$4:$A$324,0),MATCH(J$1,Import_CO_Comuni!$A$4:$AAA$4,0))</f>
        <v>0</v>
      </c>
    </row>
    <row r="299" spans="1:10" x14ac:dyDescent="0.2">
      <c r="A299" s="86" t="s">
        <v>7328</v>
      </c>
      <c r="B299" s="447" t="str">
        <f>IN_Anagrafica!$B$9</f>
        <v>NO</v>
      </c>
      <c r="C299" s="369" t="str">
        <f t="shared" si="3"/>
        <v>NO</v>
      </c>
      <c r="D299" s="1028" t="s">
        <v>8217</v>
      </c>
      <c r="E299" s="1030" t="s">
        <v>323</v>
      </c>
      <c r="F299" s="1031" t="s">
        <v>8520</v>
      </c>
      <c r="G299" s="1031" t="s">
        <v>5753</v>
      </c>
      <c r="H299" s="88">
        <f>INDEX(Import_CO_Comuni!$A$4:$AAA$324,MATCH($G299,Import_CO_Comuni!$A$4:$A$324,0),MATCH(H$1,Import_CO_Comuni!$A$4:$AAA$4,0))</f>
        <v>0</v>
      </c>
      <c r="I299" s="88">
        <f>INDEX(Import_CO_Comuni!$A$4:$AAA$324,MATCH($G299,Import_CO_Comuni!$A$4:$A$324,0),MATCH(I$1,Import_CO_Comuni!$A$4:$AAA$4,0))</f>
        <v>0</v>
      </c>
      <c r="J299" s="88">
        <f>INDEX(Import_CO_Comuni!$A$4:$AAA$324,MATCH($G299,Import_CO_Comuni!$A$4:$A$324,0),MATCH(J$1,Import_CO_Comuni!$A$4:$AAA$4,0))</f>
        <v>0</v>
      </c>
    </row>
    <row r="300" spans="1:10" x14ac:dyDescent="0.2">
      <c r="A300" s="86" t="s">
        <v>7329</v>
      </c>
      <c r="B300" s="447" t="str">
        <f>IN_Anagrafica!$B$9</f>
        <v>NO</v>
      </c>
      <c r="C300" s="369" t="str">
        <f t="shared" si="3"/>
        <v>NO</v>
      </c>
      <c r="D300" s="1028" t="s">
        <v>8217</v>
      </c>
      <c r="E300" s="1030" t="s">
        <v>326</v>
      </c>
      <c r="F300" s="1031" t="s">
        <v>8520</v>
      </c>
      <c r="G300" s="1031" t="s">
        <v>5759</v>
      </c>
      <c r="H300" s="88">
        <f>INDEX(Import_CO_Comuni!$A$4:$AAA$324,MATCH($G300,Import_CO_Comuni!$A$4:$A$324,0),MATCH(H$1,Import_CO_Comuni!$A$4:$AAA$4,0))</f>
        <v>0</v>
      </c>
      <c r="I300" s="88">
        <f>INDEX(Import_CO_Comuni!$A$4:$AAA$324,MATCH($G300,Import_CO_Comuni!$A$4:$A$324,0),MATCH(I$1,Import_CO_Comuni!$A$4:$AAA$4,0))</f>
        <v>0</v>
      </c>
      <c r="J300" s="88">
        <f>INDEX(Import_CO_Comuni!$A$4:$AAA$324,MATCH($G300,Import_CO_Comuni!$A$4:$A$324,0),MATCH(J$1,Import_CO_Comuni!$A$4:$AAA$4,0))</f>
        <v>0</v>
      </c>
    </row>
    <row r="301" spans="1:10" x14ac:dyDescent="0.2">
      <c r="A301" s="86" t="s">
        <v>7330</v>
      </c>
      <c r="B301" s="447" t="str">
        <f>IN_Anagrafica!$B$9</f>
        <v>NO</v>
      </c>
      <c r="C301" s="369" t="str">
        <f t="shared" si="3"/>
        <v>NO</v>
      </c>
      <c r="D301" s="1028" t="s">
        <v>8217</v>
      </c>
      <c r="E301" s="1030" t="s">
        <v>330</v>
      </c>
      <c r="F301" s="1031" t="s">
        <v>8520</v>
      </c>
      <c r="G301" s="1031" t="s">
        <v>5765</v>
      </c>
      <c r="H301" s="88">
        <f>INDEX(Import_CO_Comuni!$A$4:$AAA$324,MATCH($G301,Import_CO_Comuni!$A$4:$A$324,0),MATCH(H$1,Import_CO_Comuni!$A$4:$AAA$4,0))</f>
        <v>0</v>
      </c>
      <c r="I301" s="88">
        <f>INDEX(Import_CO_Comuni!$A$4:$AAA$324,MATCH($G301,Import_CO_Comuni!$A$4:$A$324,0),MATCH(I$1,Import_CO_Comuni!$A$4:$AAA$4,0))</f>
        <v>0</v>
      </c>
      <c r="J301" s="88">
        <f>INDEX(Import_CO_Comuni!$A$4:$AAA$324,MATCH($G301,Import_CO_Comuni!$A$4:$A$324,0),MATCH(J$1,Import_CO_Comuni!$A$4:$AAA$4,0))</f>
        <v>0</v>
      </c>
    </row>
    <row r="302" spans="1:10" x14ac:dyDescent="0.2">
      <c r="A302" s="86" t="s">
        <v>7331</v>
      </c>
      <c r="B302" s="447" t="str">
        <f>IN_Anagrafica!$B$9</f>
        <v>NO</v>
      </c>
      <c r="C302" s="369" t="str">
        <f t="shared" si="3"/>
        <v>NO</v>
      </c>
      <c r="D302" s="1028" t="s">
        <v>8217</v>
      </c>
      <c r="E302" s="1030" t="s">
        <v>333</v>
      </c>
      <c r="F302" s="1031" t="s">
        <v>8520</v>
      </c>
      <c r="G302" s="1031" t="s">
        <v>5771</v>
      </c>
      <c r="H302" s="88">
        <f>INDEX(Import_CO_Comuni!$A$4:$AAA$324,MATCH($G302,Import_CO_Comuni!$A$4:$A$324,0),MATCH(H$1,Import_CO_Comuni!$A$4:$AAA$4,0))</f>
        <v>0</v>
      </c>
      <c r="I302" s="88">
        <f>INDEX(Import_CO_Comuni!$A$4:$AAA$324,MATCH($G302,Import_CO_Comuni!$A$4:$A$324,0),MATCH(I$1,Import_CO_Comuni!$A$4:$AAA$4,0))</f>
        <v>0</v>
      </c>
      <c r="J302" s="88">
        <f>INDEX(Import_CO_Comuni!$A$4:$AAA$324,MATCH($G302,Import_CO_Comuni!$A$4:$A$324,0),MATCH(J$1,Import_CO_Comuni!$A$4:$AAA$4,0))</f>
        <v>0</v>
      </c>
    </row>
    <row r="303" spans="1:10" x14ac:dyDescent="0.2">
      <c r="A303" s="86" t="s">
        <v>7332</v>
      </c>
      <c r="B303" s="447" t="str">
        <f>IN_Anagrafica!$B$9</f>
        <v>NO</v>
      </c>
      <c r="C303" s="369" t="str">
        <f t="shared" si="3"/>
        <v>NO</v>
      </c>
      <c r="D303" s="1028" t="s">
        <v>8217</v>
      </c>
      <c r="E303" s="1030" t="s">
        <v>303</v>
      </c>
      <c r="F303" s="1031" t="s">
        <v>8520</v>
      </c>
      <c r="G303" s="1031" t="s">
        <v>5724</v>
      </c>
      <c r="H303" s="88">
        <f>INDEX(Import_CO_Comuni!$A$4:$AAA$324,MATCH($G303,Import_CO_Comuni!$A$4:$A$324,0),MATCH(H$1,Import_CO_Comuni!$A$4:$AAA$4,0))</f>
        <v>0</v>
      </c>
      <c r="I303" s="88">
        <f>INDEX(Import_CO_Comuni!$A$4:$AAA$324,MATCH($G303,Import_CO_Comuni!$A$4:$A$324,0),MATCH(I$1,Import_CO_Comuni!$A$4:$AAA$4,0))</f>
        <v>0</v>
      </c>
      <c r="J303" s="88">
        <f>INDEX(Import_CO_Comuni!$A$4:$AAA$324,MATCH($G303,Import_CO_Comuni!$A$4:$A$324,0),MATCH(J$1,Import_CO_Comuni!$A$4:$AAA$4,0))</f>
        <v>0</v>
      </c>
    </row>
    <row r="304" spans="1:10" x14ac:dyDescent="0.2">
      <c r="A304" s="86" t="s">
        <v>7333</v>
      </c>
      <c r="B304" s="447" t="str">
        <f>IN_Anagrafica!$B$9</f>
        <v>NO</v>
      </c>
      <c r="C304" s="369" t="str">
        <f t="shared" si="3"/>
        <v>NO</v>
      </c>
      <c r="D304" s="1028" t="s">
        <v>8217</v>
      </c>
      <c r="E304" s="1030" t="s">
        <v>313</v>
      </c>
      <c r="F304" s="1031" t="s">
        <v>8520</v>
      </c>
      <c r="G304" s="1031" t="s">
        <v>5742</v>
      </c>
      <c r="H304" s="88">
        <f>INDEX(Import_CO_Comuni!$A$4:$AAA$324,MATCH($G304,Import_CO_Comuni!$A$4:$A$324,0),MATCH(H$1,Import_CO_Comuni!$A$4:$AAA$4,0))</f>
        <v>0</v>
      </c>
      <c r="I304" s="88">
        <f>INDEX(Import_CO_Comuni!$A$4:$AAA$324,MATCH($G304,Import_CO_Comuni!$A$4:$A$324,0),MATCH(I$1,Import_CO_Comuni!$A$4:$AAA$4,0))</f>
        <v>0</v>
      </c>
      <c r="J304" s="88">
        <f>INDEX(Import_CO_Comuni!$A$4:$AAA$324,MATCH($G304,Import_CO_Comuni!$A$4:$A$324,0),MATCH(J$1,Import_CO_Comuni!$A$4:$AAA$4,0))</f>
        <v>0</v>
      </c>
    </row>
    <row r="305" spans="1:10" x14ac:dyDescent="0.2">
      <c r="A305" s="86" t="s">
        <v>7334</v>
      </c>
      <c r="B305" s="447" t="str">
        <f>IN_Anagrafica!$B$9</f>
        <v>NO</v>
      </c>
      <c r="C305" s="369" t="str">
        <f t="shared" si="3"/>
        <v>NO</v>
      </c>
      <c r="D305" s="1028" t="s">
        <v>8217</v>
      </c>
      <c r="E305" s="1030" t="s">
        <v>319</v>
      </c>
      <c r="F305" s="1031" t="s">
        <v>8520</v>
      </c>
      <c r="G305" s="1031" t="s">
        <v>5748</v>
      </c>
      <c r="H305" s="88">
        <f>INDEX(Import_CO_Comuni!$A$4:$AAA$324,MATCH($G305,Import_CO_Comuni!$A$4:$A$324,0),MATCH(H$1,Import_CO_Comuni!$A$4:$AAA$4,0))</f>
        <v>0</v>
      </c>
      <c r="I305" s="88">
        <f>INDEX(Import_CO_Comuni!$A$4:$AAA$324,MATCH($G305,Import_CO_Comuni!$A$4:$A$324,0),MATCH(I$1,Import_CO_Comuni!$A$4:$AAA$4,0))</f>
        <v>0</v>
      </c>
      <c r="J305" s="88">
        <f>INDEX(Import_CO_Comuni!$A$4:$AAA$324,MATCH($G305,Import_CO_Comuni!$A$4:$A$324,0),MATCH(J$1,Import_CO_Comuni!$A$4:$AAA$4,0))</f>
        <v>0</v>
      </c>
    </row>
    <row r="306" spans="1:10" x14ac:dyDescent="0.2">
      <c r="A306" s="86" t="s">
        <v>7335</v>
      </c>
      <c r="B306" s="447" t="str">
        <f>IN_Anagrafica!$B$9</f>
        <v>NO</v>
      </c>
      <c r="C306" s="369" t="str">
        <f t="shared" si="3"/>
        <v>NO</v>
      </c>
      <c r="D306" s="1028" t="s">
        <v>8217</v>
      </c>
      <c r="E306" s="1030" t="s">
        <v>324</v>
      </c>
      <c r="F306" s="1031" t="s">
        <v>8520</v>
      </c>
      <c r="G306" s="1031" t="s">
        <v>5754</v>
      </c>
      <c r="H306" s="88">
        <f>INDEX(Import_CO_Comuni!$A$4:$AAA$324,MATCH($G306,Import_CO_Comuni!$A$4:$A$324,0),MATCH(H$1,Import_CO_Comuni!$A$4:$AAA$4,0))</f>
        <v>0</v>
      </c>
      <c r="I306" s="88">
        <f>INDEX(Import_CO_Comuni!$A$4:$AAA$324,MATCH($G306,Import_CO_Comuni!$A$4:$A$324,0),MATCH(I$1,Import_CO_Comuni!$A$4:$AAA$4,0))</f>
        <v>0</v>
      </c>
      <c r="J306" s="88">
        <f>INDEX(Import_CO_Comuni!$A$4:$AAA$324,MATCH($G306,Import_CO_Comuni!$A$4:$A$324,0),MATCH(J$1,Import_CO_Comuni!$A$4:$AAA$4,0))</f>
        <v>0</v>
      </c>
    </row>
    <row r="307" spans="1:10" x14ac:dyDescent="0.2">
      <c r="A307" s="86" t="s">
        <v>7336</v>
      </c>
      <c r="B307" s="447" t="str">
        <f>IN_Anagrafica!$B$9</f>
        <v>NO</v>
      </c>
      <c r="C307" s="369" t="str">
        <f t="shared" si="3"/>
        <v>NO</v>
      </c>
      <c r="D307" s="1028" t="s">
        <v>8217</v>
      </c>
      <c r="E307" s="1030" t="s">
        <v>327</v>
      </c>
      <c r="F307" s="1031" t="s">
        <v>8520</v>
      </c>
      <c r="G307" s="1031" t="s">
        <v>5760</v>
      </c>
      <c r="H307" s="88">
        <f>INDEX(Import_CO_Comuni!$A$4:$AAA$324,MATCH($G307,Import_CO_Comuni!$A$4:$A$324,0),MATCH(H$1,Import_CO_Comuni!$A$4:$AAA$4,0))</f>
        <v>0</v>
      </c>
      <c r="I307" s="88">
        <f>INDEX(Import_CO_Comuni!$A$4:$AAA$324,MATCH($G307,Import_CO_Comuni!$A$4:$A$324,0),MATCH(I$1,Import_CO_Comuni!$A$4:$AAA$4,0))</f>
        <v>0</v>
      </c>
      <c r="J307" s="88">
        <f>INDEX(Import_CO_Comuni!$A$4:$AAA$324,MATCH($G307,Import_CO_Comuni!$A$4:$A$324,0),MATCH(J$1,Import_CO_Comuni!$A$4:$AAA$4,0))</f>
        <v>0</v>
      </c>
    </row>
    <row r="308" spans="1:10" x14ac:dyDescent="0.2">
      <c r="A308" s="86" t="s">
        <v>7337</v>
      </c>
      <c r="B308" s="447" t="str">
        <f>IN_Anagrafica!$B$9</f>
        <v>NO</v>
      </c>
      <c r="C308" s="369" t="str">
        <f t="shared" si="3"/>
        <v>NO</v>
      </c>
      <c r="D308" s="1028" t="s">
        <v>8217</v>
      </c>
      <c r="E308" s="1030" t="s">
        <v>331</v>
      </c>
      <c r="F308" s="1031" t="s">
        <v>8520</v>
      </c>
      <c r="G308" s="1031" t="s">
        <v>5766</v>
      </c>
      <c r="H308" s="88">
        <f>INDEX(Import_CO_Comuni!$A$4:$AAA$324,MATCH($G308,Import_CO_Comuni!$A$4:$A$324,0),MATCH(H$1,Import_CO_Comuni!$A$4:$AAA$4,0))</f>
        <v>0</v>
      </c>
      <c r="I308" s="88">
        <f>INDEX(Import_CO_Comuni!$A$4:$AAA$324,MATCH($G308,Import_CO_Comuni!$A$4:$A$324,0),MATCH(I$1,Import_CO_Comuni!$A$4:$AAA$4,0))</f>
        <v>0</v>
      </c>
      <c r="J308" s="88">
        <f>INDEX(Import_CO_Comuni!$A$4:$AAA$324,MATCH($G308,Import_CO_Comuni!$A$4:$A$324,0),MATCH(J$1,Import_CO_Comuni!$A$4:$AAA$4,0))</f>
        <v>0</v>
      </c>
    </row>
    <row r="309" spans="1:10" x14ac:dyDescent="0.2">
      <c r="A309" s="86" t="s">
        <v>7338</v>
      </c>
      <c r="B309" s="447" t="str">
        <f>IN_Anagrafica!$B$9</f>
        <v>NO</v>
      </c>
      <c r="C309" s="369" t="str">
        <f t="shared" si="3"/>
        <v>NO</v>
      </c>
      <c r="D309" s="1028" t="s">
        <v>8217</v>
      </c>
      <c r="E309" s="1030" t="s">
        <v>334</v>
      </c>
      <c r="F309" s="1031" t="s">
        <v>8520</v>
      </c>
      <c r="G309" s="1031" t="s">
        <v>5772</v>
      </c>
      <c r="H309" s="88">
        <f>INDEX(Import_CO_Comuni!$A$4:$AAA$324,MATCH($G309,Import_CO_Comuni!$A$4:$A$324,0),MATCH(H$1,Import_CO_Comuni!$A$4:$AAA$4,0))</f>
        <v>0</v>
      </c>
      <c r="I309" s="88">
        <f>INDEX(Import_CO_Comuni!$A$4:$AAA$324,MATCH($G309,Import_CO_Comuni!$A$4:$A$324,0),MATCH(I$1,Import_CO_Comuni!$A$4:$AAA$4,0))</f>
        <v>0</v>
      </c>
      <c r="J309" s="88">
        <f>INDEX(Import_CO_Comuni!$A$4:$AAA$324,MATCH($G309,Import_CO_Comuni!$A$4:$A$324,0),MATCH(J$1,Import_CO_Comuni!$A$4:$AAA$4,0))</f>
        <v>0</v>
      </c>
    </row>
    <row r="310" spans="1:10" x14ac:dyDescent="0.2">
      <c r="A310" s="86" t="s">
        <v>7339</v>
      </c>
      <c r="B310" s="447" t="str">
        <f>IN_Anagrafica!$B$9</f>
        <v>NO</v>
      </c>
      <c r="C310" s="369" t="str">
        <f t="shared" si="3"/>
        <v>NO</v>
      </c>
      <c r="D310" s="1028" t="s">
        <v>8217</v>
      </c>
      <c r="E310" s="1030" t="s">
        <v>304</v>
      </c>
      <c r="F310" s="1031" t="s">
        <v>8520</v>
      </c>
      <c r="G310" s="1031" t="s">
        <v>5725</v>
      </c>
      <c r="H310" s="88">
        <f>INDEX(Import_CO_Comuni!$A$4:$AAA$324,MATCH($G310,Import_CO_Comuni!$A$4:$A$324,0),MATCH(H$1,Import_CO_Comuni!$A$4:$AAA$4,0))</f>
        <v>0</v>
      </c>
      <c r="I310" s="88">
        <f>INDEX(Import_CO_Comuni!$A$4:$AAA$324,MATCH($G310,Import_CO_Comuni!$A$4:$A$324,0),MATCH(I$1,Import_CO_Comuni!$A$4:$AAA$4,0))</f>
        <v>0</v>
      </c>
      <c r="J310" s="88">
        <f>INDEX(Import_CO_Comuni!$A$4:$AAA$324,MATCH($G310,Import_CO_Comuni!$A$4:$A$324,0),MATCH(J$1,Import_CO_Comuni!$A$4:$AAA$4,0))</f>
        <v>0</v>
      </c>
    </row>
    <row r="311" spans="1:10" x14ac:dyDescent="0.2">
      <c r="A311" s="86" t="s">
        <v>7340</v>
      </c>
      <c r="B311" s="447" t="str">
        <f>IN_Anagrafica!$B$9</f>
        <v>NO</v>
      </c>
      <c r="C311" s="369" t="str">
        <f t="shared" si="3"/>
        <v>NO</v>
      </c>
      <c r="D311" s="1028" t="s">
        <v>8217</v>
      </c>
      <c r="E311" s="1030" t="s">
        <v>306</v>
      </c>
      <c r="F311" s="1031" t="s">
        <v>8520</v>
      </c>
      <c r="G311" s="1031" t="s">
        <v>5731</v>
      </c>
      <c r="H311" s="88">
        <f>INDEX(Import_CO_Comuni!$A$4:$AAA$324,MATCH($G311,Import_CO_Comuni!$A$4:$A$324,0),MATCH(H$1,Import_CO_Comuni!$A$4:$AAA$4,0))</f>
        <v>0</v>
      </c>
      <c r="I311" s="88">
        <f>INDEX(Import_CO_Comuni!$A$4:$AAA$324,MATCH($G311,Import_CO_Comuni!$A$4:$A$324,0),MATCH(I$1,Import_CO_Comuni!$A$4:$AAA$4,0))</f>
        <v>0</v>
      </c>
      <c r="J311" s="88">
        <f>INDEX(Import_CO_Comuni!$A$4:$AAA$324,MATCH($G311,Import_CO_Comuni!$A$4:$A$324,0),MATCH(J$1,Import_CO_Comuni!$A$4:$AAA$4,0))</f>
        <v>0</v>
      </c>
    </row>
    <row r="312" spans="1:10" x14ac:dyDescent="0.2">
      <c r="A312" s="86" t="s">
        <v>7341</v>
      </c>
      <c r="B312" s="447" t="str">
        <f>IN_Anagrafica!$B$9</f>
        <v>NO</v>
      </c>
      <c r="C312" s="369" t="str">
        <f t="shared" si="3"/>
        <v>NO</v>
      </c>
      <c r="D312" s="1028" t="s">
        <v>8217</v>
      </c>
      <c r="E312" s="1030" t="s">
        <v>310</v>
      </c>
      <c r="F312" s="1031" t="s">
        <v>8520</v>
      </c>
      <c r="G312" s="1031" t="s">
        <v>5737</v>
      </c>
      <c r="H312" s="88">
        <f>INDEX(Import_CO_Comuni!$A$4:$AAA$324,MATCH($G312,Import_CO_Comuni!$A$4:$A$324,0),MATCH(H$1,Import_CO_Comuni!$A$4:$AAA$4,0))</f>
        <v>0</v>
      </c>
      <c r="I312" s="88">
        <f>INDEX(Import_CO_Comuni!$A$4:$AAA$324,MATCH($G312,Import_CO_Comuni!$A$4:$A$324,0),MATCH(I$1,Import_CO_Comuni!$A$4:$AAA$4,0))</f>
        <v>0</v>
      </c>
      <c r="J312" s="88">
        <f>INDEX(Import_CO_Comuni!$A$4:$AAA$324,MATCH($G312,Import_CO_Comuni!$A$4:$A$324,0),MATCH(J$1,Import_CO_Comuni!$A$4:$AAA$4,0))</f>
        <v>0</v>
      </c>
    </row>
    <row r="313" spans="1:10" x14ac:dyDescent="0.2">
      <c r="A313" s="86" t="s">
        <v>7342</v>
      </c>
      <c r="B313" s="447" t="str">
        <f>IN_Anagrafica!$B$9</f>
        <v>NO</v>
      </c>
      <c r="C313" s="369" t="str">
        <f t="shared" si="3"/>
        <v>NO</v>
      </c>
      <c r="D313" s="1028" t="s">
        <v>8217</v>
      </c>
      <c r="E313" s="1030" t="s">
        <v>314</v>
      </c>
      <c r="F313" s="1031" t="s">
        <v>8520</v>
      </c>
      <c r="G313" s="1031" t="s">
        <v>5743</v>
      </c>
      <c r="H313" s="88">
        <f>INDEX(Import_CO_Comuni!$A$4:$AAA$324,MATCH($G313,Import_CO_Comuni!$A$4:$A$324,0),MATCH(H$1,Import_CO_Comuni!$A$4:$AAA$4,0))</f>
        <v>0</v>
      </c>
      <c r="I313" s="88">
        <f>INDEX(Import_CO_Comuni!$A$4:$AAA$324,MATCH($G313,Import_CO_Comuni!$A$4:$A$324,0),MATCH(I$1,Import_CO_Comuni!$A$4:$AAA$4,0))</f>
        <v>0</v>
      </c>
      <c r="J313" s="88">
        <f>INDEX(Import_CO_Comuni!$A$4:$AAA$324,MATCH($G313,Import_CO_Comuni!$A$4:$A$324,0),MATCH(J$1,Import_CO_Comuni!$A$4:$AAA$4,0))</f>
        <v>0</v>
      </c>
    </row>
    <row r="314" spans="1:10" x14ac:dyDescent="0.2">
      <c r="A314" s="86" t="s">
        <v>7343</v>
      </c>
      <c r="B314" s="447" t="str">
        <f>IN_Anagrafica!$B$9</f>
        <v>NO</v>
      </c>
      <c r="C314" s="369" t="str">
        <f t="shared" si="3"/>
        <v>NO</v>
      </c>
      <c r="D314" s="1028" t="s">
        <v>8217</v>
      </c>
      <c r="E314" s="1030" t="s">
        <v>320</v>
      </c>
      <c r="F314" s="1031" t="s">
        <v>8520</v>
      </c>
      <c r="G314" s="1031" t="s">
        <v>5749</v>
      </c>
      <c r="H314" s="88">
        <f>INDEX(Import_CO_Comuni!$A$4:$AAA$324,MATCH($G314,Import_CO_Comuni!$A$4:$A$324,0),MATCH(H$1,Import_CO_Comuni!$A$4:$AAA$4,0))</f>
        <v>0</v>
      </c>
      <c r="I314" s="88">
        <f>INDEX(Import_CO_Comuni!$A$4:$AAA$324,MATCH($G314,Import_CO_Comuni!$A$4:$A$324,0),MATCH(I$1,Import_CO_Comuni!$A$4:$AAA$4,0))</f>
        <v>0</v>
      </c>
      <c r="J314" s="88">
        <f>INDEX(Import_CO_Comuni!$A$4:$AAA$324,MATCH($G314,Import_CO_Comuni!$A$4:$A$324,0),MATCH(J$1,Import_CO_Comuni!$A$4:$AAA$4,0))</f>
        <v>0</v>
      </c>
    </row>
    <row r="315" spans="1:10" x14ac:dyDescent="0.2">
      <c r="A315" s="86" t="s">
        <v>7344</v>
      </c>
      <c r="B315" s="447" t="str">
        <f>IN_Anagrafica!$B$9</f>
        <v>NO</v>
      </c>
      <c r="C315" s="369" t="str">
        <f t="shared" si="3"/>
        <v>NO</v>
      </c>
      <c r="D315" s="1028" t="s">
        <v>8217</v>
      </c>
      <c r="E315" s="1030" t="s">
        <v>325</v>
      </c>
      <c r="F315" s="1031" t="s">
        <v>8520</v>
      </c>
      <c r="G315" s="1031" t="s">
        <v>5755</v>
      </c>
      <c r="H315" s="88">
        <f>INDEX(Import_CO_Comuni!$A$4:$AAA$324,MATCH($G315,Import_CO_Comuni!$A$4:$A$324,0),MATCH(H$1,Import_CO_Comuni!$A$4:$AAA$4,0))</f>
        <v>0</v>
      </c>
      <c r="I315" s="88">
        <f>INDEX(Import_CO_Comuni!$A$4:$AAA$324,MATCH($G315,Import_CO_Comuni!$A$4:$A$324,0),MATCH(I$1,Import_CO_Comuni!$A$4:$AAA$4,0))</f>
        <v>0</v>
      </c>
      <c r="J315" s="88">
        <f>INDEX(Import_CO_Comuni!$A$4:$AAA$324,MATCH($G315,Import_CO_Comuni!$A$4:$A$324,0),MATCH(J$1,Import_CO_Comuni!$A$4:$AAA$4,0))</f>
        <v>0</v>
      </c>
    </row>
    <row r="316" spans="1:10" x14ac:dyDescent="0.2">
      <c r="A316" s="86" t="s">
        <v>7345</v>
      </c>
      <c r="B316" s="447" t="str">
        <f>IN_Anagrafica!$B$9</f>
        <v>NO</v>
      </c>
      <c r="C316" s="369" t="str">
        <f t="shared" si="3"/>
        <v>NO</v>
      </c>
      <c r="D316" s="1028" t="s">
        <v>8217</v>
      </c>
      <c r="E316" s="1030" t="s">
        <v>328</v>
      </c>
      <c r="F316" s="1031" t="s">
        <v>8520</v>
      </c>
      <c r="G316" s="1031" t="s">
        <v>5761</v>
      </c>
      <c r="H316" s="88">
        <f>INDEX(Import_CO_Comuni!$A$4:$AAA$324,MATCH($G316,Import_CO_Comuni!$A$4:$A$324,0),MATCH(H$1,Import_CO_Comuni!$A$4:$AAA$4,0))</f>
        <v>0</v>
      </c>
      <c r="I316" s="88">
        <f>INDEX(Import_CO_Comuni!$A$4:$AAA$324,MATCH($G316,Import_CO_Comuni!$A$4:$A$324,0),MATCH(I$1,Import_CO_Comuni!$A$4:$AAA$4,0))</f>
        <v>0</v>
      </c>
      <c r="J316" s="88">
        <f>INDEX(Import_CO_Comuni!$A$4:$AAA$324,MATCH($G316,Import_CO_Comuni!$A$4:$A$324,0),MATCH(J$1,Import_CO_Comuni!$A$4:$AAA$4,0))</f>
        <v>0</v>
      </c>
    </row>
    <row r="317" spans="1:10" x14ac:dyDescent="0.2">
      <c r="A317" s="86" t="s">
        <v>7346</v>
      </c>
      <c r="B317" s="447" t="str">
        <f>IN_Anagrafica!$B$9</f>
        <v>NO</v>
      </c>
      <c r="C317" s="369" t="str">
        <f t="shared" si="3"/>
        <v>NO</v>
      </c>
      <c r="D317" s="1028" t="s">
        <v>8217</v>
      </c>
      <c r="E317" s="1030" t="s">
        <v>332</v>
      </c>
      <c r="F317" s="1031" t="s">
        <v>8520</v>
      </c>
      <c r="G317" s="1031" t="s">
        <v>5767</v>
      </c>
      <c r="H317" s="88">
        <f>INDEX(Import_CO_Comuni!$A$4:$AAA$324,MATCH($G317,Import_CO_Comuni!$A$4:$A$324,0),MATCH(H$1,Import_CO_Comuni!$A$4:$AAA$4,0))</f>
        <v>0</v>
      </c>
      <c r="I317" s="88">
        <f>INDEX(Import_CO_Comuni!$A$4:$AAA$324,MATCH($G317,Import_CO_Comuni!$A$4:$A$324,0),MATCH(I$1,Import_CO_Comuni!$A$4:$AAA$4,0))</f>
        <v>0</v>
      </c>
      <c r="J317" s="88">
        <f>INDEX(Import_CO_Comuni!$A$4:$AAA$324,MATCH($G317,Import_CO_Comuni!$A$4:$A$324,0),MATCH(J$1,Import_CO_Comuni!$A$4:$AAA$4,0))</f>
        <v>0</v>
      </c>
    </row>
    <row r="318" spans="1:10" x14ac:dyDescent="0.2">
      <c r="A318" s="86" t="s">
        <v>7347</v>
      </c>
      <c r="B318" s="447" t="str">
        <f>IN_Anagrafica!$B$9</f>
        <v>NO</v>
      </c>
      <c r="C318" s="369" t="str">
        <f t="shared" si="3"/>
        <v>NO</v>
      </c>
      <c r="D318" s="1028" t="s">
        <v>8217</v>
      </c>
      <c r="E318" s="1030" t="s">
        <v>335</v>
      </c>
      <c r="F318" s="1031" t="s">
        <v>8520</v>
      </c>
      <c r="G318" s="1031" t="s">
        <v>5773</v>
      </c>
      <c r="H318" s="88">
        <f>INDEX(Import_CO_Comuni!$A$4:$AAA$324,MATCH($G318,Import_CO_Comuni!$A$4:$A$324,0),MATCH(H$1,Import_CO_Comuni!$A$4:$AAA$4,0))</f>
        <v>0</v>
      </c>
      <c r="I318" s="88">
        <f>INDEX(Import_CO_Comuni!$A$4:$AAA$324,MATCH($G318,Import_CO_Comuni!$A$4:$A$324,0),MATCH(I$1,Import_CO_Comuni!$A$4:$AAA$4,0))</f>
        <v>0</v>
      </c>
      <c r="J318" s="88">
        <f>INDEX(Import_CO_Comuni!$A$4:$AAA$324,MATCH($G318,Import_CO_Comuni!$A$4:$A$324,0),MATCH(J$1,Import_CO_Comuni!$A$4:$AAA$4,0))</f>
        <v>0</v>
      </c>
    </row>
    <row r="319" spans="1:10" x14ac:dyDescent="0.2">
      <c r="A319" s="86" t="s">
        <v>7348</v>
      </c>
      <c r="B319" s="447" t="str">
        <f>IN_Anagrafica!$B$9</f>
        <v>NO</v>
      </c>
      <c r="C319" s="369" t="str">
        <f t="shared" si="3"/>
        <v>NO</v>
      </c>
      <c r="D319" s="1028" t="s">
        <v>8217</v>
      </c>
      <c r="E319" s="1030" t="s">
        <v>675</v>
      </c>
      <c r="F319" s="1031" t="s">
        <v>8520</v>
      </c>
      <c r="G319" s="1031" t="s">
        <v>5726</v>
      </c>
      <c r="H319" s="88">
        <f>INDEX(Import_CO_Comuni!$A$4:$AAA$324,MATCH($G319,Import_CO_Comuni!$A$4:$A$324,0),MATCH(H$1,Import_CO_Comuni!$A$4:$AAA$4,0))</f>
        <v>0</v>
      </c>
      <c r="I319" s="88">
        <f>INDEX(Import_CO_Comuni!$A$4:$AAA$324,MATCH($G319,Import_CO_Comuni!$A$4:$A$324,0),MATCH(I$1,Import_CO_Comuni!$A$4:$AAA$4,0))</f>
        <v>0</v>
      </c>
      <c r="J319" s="88">
        <f>INDEX(Import_CO_Comuni!$A$4:$AAA$324,MATCH($G319,Import_CO_Comuni!$A$4:$A$324,0),MATCH(J$1,Import_CO_Comuni!$A$4:$AAA$4,0))</f>
        <v>0</v>
      </c>
    </row>
    <row r="320" spans="1:10" x14ac:dyDescent="0.2">
      <c r="A320" s="86" t="s">
        <v>7349</v>
      </c>
      <c r="B320" s="447" t="str">
        <f>IN_Anagrafica!$B$9</f>
        <v>NO</v>
      </c>
      <c r="C320" s="369" t="str">
        <f t="shared" si="3"/>
        <v>NO</v>
      </c>
      <c r="D320" s="1028" t="s">
        <v>8217</v>
      </c>
      <c r="E320" s="1030" t="s">
        <v>8190</v>
      </c>
      <c r="F320" s="1031" t="s">
        <v>8520</v>
      </c>
      <c r="G320" s="1031" t="s">
        <v>5732</v>
      </c>
      <c r="H320" s="88">
        <f>INDEX(Import_CO_Comuni!$A$4:$AAA$324,MATCH($G320,Import_CO_Comuni!$A$4:$A$324,0),MATCH(H$1,Import_CO_Comuni!$A$4:$AAA$4,0))</f>
        <v>0</v>
      </c>
      <c r="I320" s="88">
        <f>INDEX(Import_CO_Comuni!$A$4:$AAA$324,MATCH($G320,Import_CO_Comuni!$A$4:$A$324,0),MATCH(I$1,Import_CO_Comuni!$A$4:$AAA$4,0))</f>
        <v>0</v>
      </c>
      <c r="J320" s="88">
        <f>INDEX(Import_CO_Comuni!$A$4:$AAA$324,MATCH($G320,Import_CO_Comuni!$A$4:$A$324,0),MATCH(J$1,Import_CO_Comuni!$A$4:$AAA$4,0))</f>
        <v>0</v>
      </c>
    </row>
    <row r="321" spans="1:10" x14ac:dyDescent="0.2">
      <c r="A321" s="86" t="s">
        <v>7350</v>
      </c>
      <c r="B321" s="447" t="str">
        <f>IN_Anagrafica!$B$9</f>
        <v>NO</v>
      </c>
      <c r="C321" s="369" t="str">
        <f t="shared" si="3"/>
        <v>NO</v>
      </c>
      <c r="D321" s="1028" t="s">
        <v>8217</v>
      </c>
      <c r="E321" s="1030" t="s">
        <v>8191</v>
      </c>
      <c r="F321" s="1031" t="s">
        <v>8520</v>
      </c>
      <c r="G321" s="1031" t="s">
        <v>5738</v>
      </c>
      <c r="H321" s="88">
        <f>INDEX(Import_CO_Comuni!$A$4:$AAA$324,MATCH($G321,Import_CO_Comuni!$A$4:$A$324,0),MATCH(H$1,Import_CO_Comuni!$A$4:$AAA$4,0))</f>
        <v>0</v>
      </c>
      <c r="I321" s="88">
        <f>INDEX(Import_CO_Comuni!$A$4:$AAA$324,MATCH($G321,Import_CO_Comuni!$A$4:$A$324,0),MATCH(I$1,Import_CO_Comuni!$A$4:$AAA$4,0))</f>
        <v>0</v>
      </c>
      <c r="J321" s="88">
        <f>INDEX(Import_CO_Comuni!$A$4:$AAA$324,MATCH($G321,Import_CO_Comuni!$A$4:$A$324,0),MATCH(J$1,Import_CO_Comuni!$A$4:$AAA$4,0))</f>
        <v>0</v>
      </c>
    </row>
    <row r="322" spans="1:10" x14ac:dyDescent="0.2">
      <c r="A322" s="86" t="s">
        <v>7351</v>
      </c>
      <c r="B322" s="447" t="str">
        <f>IN_Anagrafica!$B$9</f>
        <v>NO</v>
      </c>
      <c r="C322" s="369" t="str">
        <f t="shared" si="3"/>
        <v>NO</v>
      </c>
      <c r="D322" s="1028" t="s">
        <v>8217</v>
      </c>
      <c r="E322" s="1030" t="s">
        <v>677</v>
      </c>
      <c r="F322" s="1031" t="s">
        <v>8520</v>
      </c>
      <c r="G322" s="1031" t="s">
        <v>5744</v>
      </c>
      <c r="H322" s="88">
        <f>INDEX(Import_CO_Comuni!$A$4:$AAA$324,MATCH($G322,Import_CO_Comuni!$A$4:$A$324,0),MATCH(H$1,Import_CO_Comuni!$A$4:$AAA$4,0))</f>
        <v>0</v>
      </c>
      <c r="I322" s="88">
        <f>INDEX(Import_CO_Comuni!$A$4:$AAA$324,MATCH($G322,Import_CO_Comuni!$A$4:$A$324,0),MATCH(I$1,Import_CO_Comuni!$A$4:$AAA$4,0))</f>
        <v>0</v>
      </c>
      <c r="J322" s="88">
        <f>INDEX(Import_CO_Comuni!$A$4:$AAA$324,MATCH($G322,Import_CO_Comuni!$A$4:$A$324,0),MATCH(J$1,Import_CO_Comuni!$A$4:$AAA$4,0))</f>
        <v>0</v>
      </c>
    </row>
    <row r="323" spans="1:10" x14ac:dyDescent="0.2">
      <c r="A323" s="86" t="s">
        <v>7352</v>
      </c>
      <c r="B323" s="447" t="str">
        <f>IN_Anagrafica!$B$9</f>
        <v>NO</v>
      </c>
      <c r="C323" s="369" t="str">
        <f t="shared" si="3"/>
        <v>NO</v>
      </c>
      <c r="D323" s="1028" t="s">
        <v>8217</v>
      </c>
      <c r="E323" s="1030" t="s">
        <v>680</v>
      </c>
      <c r="F323" s="1031" t="s">
        <v>8520</v>
      </c>
      <c r="G323" s="1031" t="s">
        <v>5750</v>
      </c>
      <c r="H323" s="88">
        <f>INDEX(Import_CO_Comuni!$A$4:$AAA$324,MATCH($G323,Import_CO_Comuni!$A$4:$A$324,0),MATCH(H$1,Import_CO_Comuni!$A$4:$AAA$4,0))</f>
        <v>0</v>
      </c>
      <c r="I323" s="88">
        <f>INDEX(Import_CO_Comuni!$A$4:$AAA$324,MATCH($G323,Import_CO_Comuni!$A$4:$A$324,0),MATCH(I$1,Import_CO_Comuni!$A$4:$AAA$4,0))</f>
        <v>0</v>
      </c>
      <c r="J323" s="88">
        <f>INDEX(Import_CO_Comuni!$A$4:$AAA$324,MATCH($G323,Import_CO_Comuni!$A$4:$A$324,0),MATCH(J$1,Import_CO_Comuni!$A$4:$AAA$4,0))</f>
        <v>0</v>
      </c>
    </row>
    <row r="324" spans="1:10" x14ac:dyDescent="0.2">
      <c r="A324" s="86" t="s">
        <v>7353</v>
      </c>
      <c r="B324" s="447" t="str">
        <f>IN_Anagrafica!$B$9</f>
        <v>NO</v>
      </c>
      <c r="C324" s="369" t="str">
        <f t="shared" si="3"/>
        <v>NO</v>
      </c>
      <c r="D324" s="1028" t="s">
        <v>8217</v>
      </c>
      <c r="E324" s="1030" t="s">
        <v>8192</v>
      </c>
      <c r="F324" s="1031" t="s">
        <v>8520</v>
      </c>
      <c r="G324" s="1031" t="s">
        <v>5756</v>
      </c>
      <c r="H324" s="88">
        <f>INDEX(Import_CO_Comuni!$A$4:$AAA$324,MATCH($G324,Import_CO_Comuni!$A$4:$A$324,0),MATCH(H$1,Import_CO_Comuni!$A$4:$AAA$4,0))</f>
        <v>0</v>
      </c>
      <c r="I324" s="88">
        <f>INDEX(Import_CO_Comuni!$A$4:$AAA$324,MATCH($G324,Import_CO_Comuni!$A$4:$A$324,0),MATCH(I$1,Import_CO_Comuni!$A$4:$AAA$4,0))</f>
        <v>0</v>
      </c>
      <c r="J324" s="88">
        <f>INDEX(Import_CO_Comuni!$A$4:$AAA$324,MATCH($G324,Import_CO_Comuni!$A$4:$A$324,0),MATCH(J$1,Import_CO_Comuni!$A$4:$AAA$4,0))</f>
        <v>0</v>
      </c>
    </row>
    <row r="325" spans="1:10" x14ac:dyDescent="0.2">
      <c r="A325" s="86" t="s">
        <v>7354</v>
      </c>
      <c r="B325" s="447" t="str">
        <f>IN_Anagrafica!$B$9</f>
        <v>NO</v>
      </c>
      <c r="C325" s="369" t="str">
        <f t="shared" si="3"/>
        <v>NO</v>
      </c>
      <c r="D325" s="1028" t="s">
        <v>8217</v>
      </c>
      <c r="E325" s="1030" t="s">
        <v>8193</v>
      </c>
      <c r="F325" s="1031" t="s">
        <v>8520</v>
      </c>
      <c r="G325" s="1031" t="s">
        <v>5762</v>
      </c>
      <c r="H325" s="88">
        <f>INDEX(Import_CO_Comuni!$A$4:$AAA$324,MATCH($G325,Import_CO_Comuni!$A$4:$A$324,0),MATCH(H$1,Import_CO_Comuni!$A$4:$AAA$4,0))</f>
        <v>0</v>
      </c>
      <c r="I325" s="88">
        <f>INDEX(Import_CO_Comuni!$A$4:$AAA$324,MATCH($G325,Import_CO_Comuni!$A$4:$A$324,0),MATCH(I$1,Import_CO_Comuni!$A$4:$AAA$4,0))</f>
        <v>0</v>
      </c>
      <c r="J325" s="88">
        <f>INDEX(Import_CO_Comuni!$A$4:$AAA$324,MATCH($G325,Import_CO_Comuni!$A$4:$A$324,0),MATCH(J$1,Import_CO_Comuni!$A$4:$AAA$4,0))</f>
        <v>0</v>
      </c>
    </row>
    <row r="326" spans="1:10" x14ac:dyDescent="0.2">
      <c r="A326" s="86" t="s">
        <v>7355</v>
      </c>
      <c r="B326" s="447" t="str">
        <f>IN_Anagrafica!$B$9</f>
        <v>NO</v>
      </c>
      <c r="C326" s="369" t="str">
        <f t="shared" si="3"/>
        <v>NO</v>
      </c>
      <c r="D326" s="1028" t="s">
        <v>8217</v>
      </c>
      <c r="E326" s="1030" t="s">
        <v>682</v>
      </c>
      <c r="F326" s="1031" t="s">
        <v>8520</v>
      </c>
      <c r="G326" s="1031" t="s">
        <v>5768</v>
      </c>
      <c r="H326" s="88">
        <f>INDEX(Import_CO_Comuni!$A$4:$AAA$324,MATCH($G326,Import_CO_Comuni!$A$4:$A$324,0),MATCH(H$1,Import_CO_Comuni!$A$4:$AAA$4,0))</f>
        <v>0</v>
      </c>
      <c r="I326" s="88">
        <f>INDEX(Import_CO_Comuni!$A$4:$AAA$324,MATCH($G326,Import_CO_Comuni!$A$4:$A$324,0),MATCH(I$1,Import_CO_Comuni!$A$4:$AAA$4,0))</f>
        <v>0</v>
      </c>
      <c r="J326" s="88">
        <f>INDEX(Import_CO_Comuni!$A$4:$AAA$324,MATCH($G326,Import_CO_Comuni!$A$4:$A$324,0),MATCH(J$1,Import_CO_Comuni!$A$4:$AAA$4,0))</f>
        <v>0</v>
      </c>
    </row>
    <row r="327" spans="1:10" x14ac:dyDescent="0.2">
      <c r="A327" s="86" t="s">
        <v>7356</v>
      </c>
      <c r="B327" s="447" t="str">
        <f>IN_Anagrafica!$B$9</f>
        <v>NO</v>
      </c>
      <c r="C327" s="369" t="str">
        <f t="shared" si="3"/>
        <v>NO</v>
      </c>
      <c r="D327" s="1028" t="s">
        <v>8217</v>
      </c>
      <c r="E327" s="1030" t="s">
        <v>8194</v>
      </c>
      <c r="F327" s="1031" t="s">
        <v>8520</v>
      </c>
      <c r="G327" s="1031" t="s">
        <v>5774</v>
      </c>
      <c r="H327" s="88">
        <f>INDEX(Import_CO_Comuni!$A$4:$AAA$324,MATCH($G327,Import_CO_Comuni!$A$4:$A$324,0),MATCH(H$1,Import_CO_Comuni!$A$4:$AAA$4,0))</f>
        <v>0</v>
      </c>
      <c r="I327" s="88">
        <f>INDEX(Import_CO_Comuni!$A$4:$AAA$324,MATCH($G327,Import_CO_Comuni!$A$4:$A$324,0),MATCH(I$1,Import_CO_Comuni!$A$4:$AAA$4,0))</f>
        <v>0</v>
      </c>
      <c r="J327" s="88">
        <f>INDEX(Import_CO_Comuni!$A$4:$AAA$324,MATCH($G327,Import_CO_Comuni!$A$4:$A$324,0),MATCH(J$1,Import_CO_Comuni!$A$4:$AAA$4,0))</f>
        <v>0</v>
      </c>
    </row>
    <row r="328" spans="1:10" x14ac:dyDescent="0.2">
      <c r="A328" s="86" t="s">
        <v>7357</v>
      </c>
      <c r="B328" s="447" t="str">
        <f>IN_Anagrafica!$B$9</f>
        <v>NO</v>
      </c>
      <c r="C328" s="369" t="str">
        <f t="shared" si="3"/>
        <v>NO</v>
      </c>
      <c r="D328" s="1028" t="s">
        <v>8217</v>
      </c>
      <c r="E328" s="1030" t="s">
        <v>676</v>
      </c>
      <c r="F328" s="1031" t="s">
        <v>8520</v>
      </c>
      <c r="G328" s="1031" t="s">
        <v>5727</v>
      </c>
      <c r="H328" s="88">
        <f>INDEX(Import_CO_Comuni!$A$4:$AAA$324,MATCH($G328,Import_CO_Comuni!$A$4:$A$324,0),MATCH(H$1,Import_CO_Comuni!$A$4:$AAA$4,0))</f>
        <v>0</v>
      </c>
      <c r="I328" s="88">
        <f>INDEX(Import_CO_Comuni!$A$4:$AAA$324,MATCH($G328,Import_CO_Comuni!$A$4:$A$324,0),MATCH(I$1,Import_CO_Comuni!$A$4:$AAA$4,0))</f>
        <v>0</v>
      </c>
      <c r="J328" s="88">
        <f>INDEX(Import_CO_Comuni!$A$4:$AAA$324,MATCH($G328,Import_CO_Comuni!$A$4:$A$324,0),MATCH(J$1,Import_CO_Comuni!$A$4:$AAA$4,0))</f>
        <v>0</v>
      </c>
    </row>
    <row r="329" spans="1:10" x14ac:dyDescent="0.2">
      <c r="A329" s="86" t="s">
        <v>7358</v>
      </c>
      <c r="B329" s="447" t="str">
        <f>IN_Anagrafica!$B$9</f>
        <v>NO</v>
      </c>
      <c r="C329" s="369" t="str">
        <f t="shared" si="3"/>
        <v>NO</v>
      </c>
      <c r="D329" s="1028" t="s">
        <v>8217</v>
      </c>
      <c r="E329" s="1030" t="s">
        <v>8195</v>
      </c>
      <c r="F329" s="1031" t="s">
        <v>8520</v>
      </c>
      <c r="G329" s="1031" t="s">
        <v>5733</v>
      </c>
      <c r="H329" s="88">
        <f>INDEX(Import_CO_Comuni!$A$4:$AAA$324,MATCH($G329,Import_CO_Comuni!$A$4:$A$324,0),MATCH(H$1,Import_CO_Comuni!$A$4:$AAA$4,0))</f>
        <v>0</v>
      </c>
      <c r="I329" s="88">
        <f>INDEX(Import_CO_Comuni!$A$4:$AAA$324,MATCH($G329,Import_CO_Comuni!$A$4:$A$324,0),MATCH(I$1,Import_CO_Comuni!$A$4:$AAA$4,0))</f>
        <v>0</v>
      </c>
      <c r="J329" s="88">
        <f>INDEX(Import_CO_Comuni!$A$4:$AAA$324,MATCH($G329,Import_CO_Comuni!$A$4:$A$324,0),MATCH(J$1,Import_CO_Comuni!$A$4:$AAA$4,0))</f>
        <v>0</v>
      </c>
    </row>
    <row r="330" spans="1:10" x14ac:dyDescent="0.2">
      <c r="A330" s="86" t="s">
        <v>7359</v>
      </c>
      <c r="B330" s="447" t="str">
        <f>IN_Anagrafica!$B$9</f>
        <v>NO</v>
      </c>
      <c r="C330" s="369" t="str">
        <f t="shared" si="3"/>
        <v>NO</v>
      </c>
      <c r="D330" s="1028" t="s">
        <v>8217</v>
      </c>
      <c r="E330" s="1030" t="s">
        <v>8196</v>
      </c>
      <c r="F330" s="1031" t="s">
        <v>8520</v>
      </c>
      <c r="G330" s="1031" t="s">
        <v>5739</v>
      </c>
      <c r="H330" s="88">
        <f>INDEX(Import_CO_Comuni!$A$4:$AAA$324,MATCH($G330,Import_CO_Comuni!$A$4:$A$324,0),MATCH(H$1,Import_CO_Comuni!$A$4:$AAA$4,0))</f>
        <v>0</v>
      </c>
      <c r="I330" s="88">
        <f>INDEX(Import_CO_Comuni!$A$4:$AAA$324,MATCH($G330,Import_CO_Comuni!$A$4:$A$324,0),MATCH(I$1,Import_CO_Comuni!$A$4:$AAA$4,0))</f>
        <v>0</v>
      </c>
      <c r="J330" s="88">
        <f>INDEX(Import_CO_Comuni!$A$4:$AAA$324,MATCH($G330,Import_CO_Comuni!$A$4:$A$324,0),MATCH(J$1,Import_CO_Comuni!$A$4:$AAA$4,0))</f>
        <v>0</v>
      </c>
    </row>
    <row r="331" spans="1:10" x14ac:dyDescent="0.2">
      <c r="A331" s="86" t="s">
        <v>7360</v>
      </c>
      <c r="B331" s="447" t="str">
        <f>IN_Anagrafica!$B$9</f>
        <v>NO</v>
      </c>
      <c r="C331" s="369" t="str">
        <f t="shared" si="3"/>
        <v>NO</v>
      </c>
      <c r="D331" s="1028" t="s">
        <v>8217</v>
      </c>
      <c r="E331" s="1030" t="s">
        <v>678</v>
      </c>
      <c r="F331" s="1031" t="s">
        <v>8520</v>
      </c>
      <c r="G331" s="1031" t="s">
        <v>5745</v>
      </c>
      <c r="H331" s="88">
        <f>INDEX(Import_CO_Comuni!$A$4:$AAA$324,MATCH($G331,Import_CO_Comuni!$A$4:$A$324,0),MATCH(H$1,Import_CO_Comuni!$A$4:$AAA$4,0))</f>
        <v>0</v>
      </c>
      <c r="I331" s="88">
        <f>INDEX(Import_CO_Comuni!$A$4:$AAA$324,MATCH($G331,Import_CO_Comuni!$A$4:$A$324,0),MATCH(I$1,Import_CO_Comuni!$A$4:$AAA$4,0))</f>
        <v>0</v>
      </c>
      <c r="J331" s="88">
        <f>INDEX(Import_CO_Comuni!$A$4:$AAA$324,MATCH($G331,Import_CO_Comuni!$A$4:$A$324,0),MATCH(J$1,Import_CO_Comuni!$A$4:$AAA$4,0))</f>
        <v>0</v>
      </c>
    </row>
    <row r="332" spans="1:10" x14ac:dyDescent="0.2">
      <c r="A332" s="86" t="s">
        <v>7361</v>
      </c>
      <c r="B332" s="447" t="str">
        <f>IN_Anagrafica!$B$9</f>
        <v>NO</v>
      </c>
      <c r="C332" s="369" t="str">
        <f t="shared" si="3"/>
        <v>NO</v>
      </c>
      <c r="D332" s="1028" t="s">
        <v>8217</v>
      </c>
      <c r="E332" s="1030" t="s">
        <v>681</v>
      </c>
      <c r="F332" s="1031" t="s">
        <v>8520</v>
      </c>
      <c r="G332" s="1031" t="s">
        <v>5751</v>
      </c>
      <c r="H332" s="88">
        <f>INDEX(Import_CO_Comuni!$A$4:$AAA$324,MATCH($G332,Import_CO_Comuni!$A$4:$A$324,0),MATCH(H$1,Import_CO_Comuni!$A$4:$AAA$4,0))</f>
        <v>0</v>
      </c>
      <c r="I332" s="88">
        <f>INDEX(Import_CO_Comuni!$A$4:$AAA$324,MATCH($G332,Import_CO_Comuni!$A$4:$A$324,0),MATCH(I$1,Import_CO_Comuni!$A$4:$AAA$4,0))</f>
        <v>0</v>
      </c>
      <c r="J332" s="88">
        <f>INDEX(Import_CO_Comuni!$A$4:$AAA$324,MATCH($G332,Import_CO_Comuni!$A$4:$A$324,0),MATCH(J$1,Import_CO_Comuni!$A$4:$AAA$4,0))</f>
        <v>0</v>
      </c>
    </row>
    <row r="333" spans="1:10" x14ac:dyDescent="0.2">
      <c r="A333" s="86" t="s">
        <v>7362</v>
      </c>
      <c r="B333" s="447" t="str">
        <f>IN_Anagrafica!$B$9</f>
        <v>NO</v>
      </c>
      <c r="C333" s="369" t="str">
        <f t="shared" si="3"/>
        <v>NO</v>
      </c>
      <c r="D333" s="1028" t="s">
        <v>8217</v>
      </c>
      <c r="E333" s="1030" t="s">
        <v>8197</v>
      </c>
      <c r="F333" s="1031" t="s">
        <v>8520</v>
      </c>
      <c r="G333" s="1031" t="s">
        <v>5757</v>
      </c>
      <c r="H333" s="88">
        <f>INDEX(Import_CO_Comuni!$A$4:$AAA$324,MATCH($G333,Import_CO_Comuni!$A$4:$A$324,0),MATCH(H$1,Import_CO_Comuni!$A$4:$AAA$4,0))</f>
        <v>0</v>
      </c>
      <c r="I333" s="88">
        <f>INDEX(Import_CO_Comuni!$A$4:$AAA$324,MATCH($G333,Import_CO_Comuni!$A$4:$A$324,0),MATCH(I$1,Import_CO_Comuni!$A$4:$AAA$4,0))</f>
        <v>0</v>
      </c>
      <c r="J333" s="88">
        <f>INDEX(Import_CO_Comuni!$A$4:$AAA$324,MATCH($G333,Import_CO_Comuni!$A$4:$A$324,0),MATCH(J$1,Import_CO_Comuni!$A$4:$AAA$4,0))</f>
        <v>0</v>
      </c>
    </row>
    <row r="334" spans="1:10" x14ac:dyDescent="0.2">
      <c r="A334" s="86" t="s">
        <v>7363</v>
      </c>
      <c r="B334" s="447" t="str">
        <f>IN_Anagrafica!$B$9</f>
        <v>NO</v>
      </c>
      <c r="C334" s="369" t="str">
        <f t="shared" si="3"/>
        <v>NO</v>
      </c>
      <c r="D334" s="1028" t="s">
        <v>8217</v>
      </c>
      <c r="E334" s="1030" t="s">
        <v>8198</v>
      </c>
      <c r="F334" s="1031" t="s">
        <v>8520</v>
      </c>
      <c r="G334" s="1031" t="s">
        <v>5763</v>
      </c>
      <c r="H334" s="88">
        <f>INDEX(Import_CO_Comuni!$A$4:$AAA$324,MATCH($G334,Import_CO_Comuni!$A$4:$A$324,0),MATCH(H$1,Import_CO_Comuni!$A$4:$AAA$4,0))</f>
        <v>0</v>
      </c>
      <c r="I334" s="88">
        <f>INDEX(Import_CO_Comuni!$A$4:$AAA$324,MATCH($G334,Import_CO_Comuni!$A$4:$A$324,0),MATCH(I$1,Import_CO_Comuni!$A$4:$AAA$4,0))</f>
        <v>0</v>
      </c>
      <c r="J334" s="88">
        <f>INDEX(Import_CO_Comuni!$A$4:$AAA$324,MATCH($G334,Import_CO_Comuni!$A$4:$A$324,0),MATCH(J$1,Import_CO_Comuni!$A$4:$AAA$4,0))</f>
        <v>0</v>
      </c>
    </row>
    <row r="335" spans="1:10" x14ac:dyDescent="0.2">
      <c r="A335" s="86" t="s">
        <v>7364</v>
      </c>
      <c r="B335" s="447" t="str">
        <f>IN_Anagrafica!$B$9</f>
        <v>NO</v>
      </c>
      <c r="C335" s="369" t="str">
        <f t="shared" si="3"/>
        <v>NO</v>
      </c>
      <c r="D335" s="1028" t="s">
        <v>8217</v>
      </c>
      <c r="E335" s="1030" t="s">
        <v>683</v>
      </c>
      <c r="F335" s="1031" t="s">
        <v>8520</v>
      </c>
      <c r="G335" s="1031" t="s">
        <v>5769</v>
      </c>
      <c r="H335" s="88">
        <f>INDEX(Import_CO_Comuni!$A$4:$AAA$324,MATCH($G335,Import_CO_Comuni!$A$4:$A$324,0),MATCH(H$1,Import_CO_Comuni!$A$4:$AAA$4,0))</f>
        <v>0</v>
      </c>
      <c r="I335" s="88">
        <f>INDEX(Import_CO_Comuni!$A$4:$AAA$324,MATCH($G335,Import_CO_Comuni!$A$4:$A$324,0),MATCH(I$1,Import_CO_Comuni!$A$4:$AAA$4,0))</f>
        <v>0</v>
      </c>
      <c r="J335" s="88">
        <f>INDEX(Import_CO_Comuni!$A$4:$AAA$324,MATCH($G335,Import_CO_Comuni!$A$4:$A$324,0),MATCH(J$1,Import_CO_Comuni!$A$4:$AAA$4,0))</f>
        <v>0</v>
      </c>
    </row>
    <row r="336" spans="1:10" x14ac:dyDescent="0.2">
      <c r="A336" s="86" t="s">
        <v>7365</v>
      </c>
      <c r="B336" s="447" t="str">
        <f>IN_Anagrafica!$B$9</f>
        <v>NO</v>
      </c>
      <c r="C336" s="369" t="str">
        <f t="shared" si="3"/>
        <v>NO</v>
      </c>
      <c r="D336" s="1028" t="s">
        <v>8217</v>
      </c>
      <c r="E336" s="1030" t="s">
        <v>8199</v>
      </c>
      <c r="F336" s="1031" t="s">
        <v>8520</v>
      </c>
      <c r="G336" s="1031" t="s">
        <v>5775</v>
      </c>
      <c r="H336" s="88">
        <f>INDEX(Import_CO_Comuni!$A$4:$AAA$324,MATCH($G336,Import_CO_Comuni!$A$4:$A$324,0),MATCH(H$1,Import_CO_Comuni!$A$4:$AAA$4,0))</f>
        <v>0</v>
      </c>
      <c r="I336" s="88">
        <f>INDEX(Import_CO_Comuni!$A$4:$AAA$324,MATCH($G336,Import_CO_Comuni!$A$4:$A$324,0),MATCH(I$1,Import_CO_Comuni!$A$4:$AAA$4,0))</f>
        <v>0</v>
      </c>
      <c r="J336" s="88">
        <f>INDEX(Import_CO_Comuni!$A$4:$AAA$324,MATCH($G336,Import_CO_Comuni!$A$4:$A$324,0),MATCH(J$1,Import_CO_Comuni!$A$4:$AAA$4,0))</f>
        <v>0</v>
      </c>
    </row>
    <row r="337" spans="1:10" x14ac:dyDescent="0.2">
      <c r="A337" s="86" t="s">
        <v>7366</v>
      </c>
      <c r="B337" s="447" t="str">
        <f>IN_Anagrafica!$B$9</f>
        <v>NO</v>
      </c>
      <c r="C337" s="369" t="str">
        <f t="shared" si="3"/>
        <v>NO</v>
      </c>
      <c r="D337" s="1028" t="s">
        <v>8217</v>
      </c>
      <c r="E337" s="1030" t="s">
        <v>367</v>
      </c>
      <c r="F337" s="1031" t="s">
        <v>8520</v>
      </c>
      <c r="G337" s="1031" t="s">
        <v>5728</v>
      </c>
      <c r="H337" s="88">
        <f>INDEX(Import_CO_Comuni!$A$4:$AAA$324,MATCH($G337,Import_CO_Comuni!$A$4:$A$324,0),MATCH(H$1,Import_CO_Comuni!$A$4:$AAA$4,0))</f>
        <v>0</v>
      </c>
      <c r="I337" s="88">
        <f>INDEX(Import_CO_Comuni!$A$4:$AAA$324,MATCH($G337,Import_CO_Comuni!$A$4:$A$324,0),MATCH(I$1,Import_CO_Comuni!$A$4:$AAA$4,0))</f>
        <v>0</v>
      </c>
      <c r="J337" s="88">
        <f>INDEX(Import_CO_Comuni!$A$4:$AAA$324,MATCH($G337,Import_CO_Comuni!$A$4:$A$324,0),MATCH(J$1,Import_CO_Comuni!$A$4:$AAA$4,0))</f>
        <v>0</v>
      </c>
    </row>
    <row r="338" spans="1:10" x14ac:dyDescent="0.2">
      <c r="A338" s="86" t="s">
        <v>7367</v>
      </c>
      <c r="B338" s="447" t="str">
        <f>IN_Anagrafica!$B$9</f>
        <v>NO</v>
      </c>
      <c r="C338" s="369" t="str">
        <f t="shared" si="3"/>
        <v>NO</v>
      </c>
      <c r="D338" s="1028" t="s">
        <v>8217</v>
      </c>
      <c r="E338" s="1030" t="s">
        <v>8200</v>
      </c>
      <c r="F338" s="1031" t="s">
        <v>8520</v>
      </c>
      <c r="G338" s="1031" t="s">
        <v>5734</v>
      </c>
      <c r="H338" s="88">
        <f>INDEX(Import_CO_Comuni!$A$4:$AAA$324,MATCH($G338,Import_CO_Comuni!$A$4:$A$324,0),MATCH(H$1,Import_CO_Comuni!$A$4:$AAA$4,0))</f>
        <v>0</v>
      </c>
      <c r="I338" s="88">
        <f>INDEX(Import_CO_Comuni!$A$4:$AAA$324,MATCH($G338,Import_CO_Comuni!$A$4:$A$324,0),MATCH(I$1,Import_CO_Comuni!$A$4:$AAA$4,0))</f>
        <v>0</v>
      </c>
      <c r="J338" s="88">
        <f>INDEX(Import_CO_Comuni!$A$4:$AAA$324,MATCH($G338,Import_CO_Comuni!$A$4:$A$324,0),MATCH(J$1,Import_CO_Comuni!$A$4:$AAA$4,0))</f>
        <v>0</v>
      </c>
    </row>
    <row r="339" spans="1:10" x14ac:dyDescent="0.2">
      <c r="A339" s="86" t="s">
        <v>7368</v>
      </c>
      <c r="B339" s="447" t="str">
        <f>IN_Anagrafica!$B$9</f>
        <v>NO</v>
      </c>
      <c r="C339" s="369" t="str">
        <f t="shared" si="3"/>
        <v>NO</v>
      </c>
      <c r="D339" s="1028" t="s">
        <v>8217</v>
      </c>
      <c r="E339" s="1030" t="s">
        <v>8201</v>
      </c>
      <c r="F339" s="1031" t="s">
        <v>8520</v>
      </c>
      <c r="G339" s="1031" t="s">
        <v>5740</v>
      </c>
      <c r="H339" s="88">
        <f>INDEX(Import_CO_Comuni!$A$4:$AAA$324,MATCH($G339,Import_CO_Comuni!$A$4:$A$324,0),MATCH(H$1,Import_CO_Comuni!$A$4:$AAA$4,0))</f>
        <v>0</v>
      </c>
      <c r="I339" s="88">
        <f>INDEX(Import_CO_Comuni!$A$4:$AAA$324,MATCH($G339,Import_CO_Comuni!$A$4:$A$324,0),MATCH(I$1,Import_CO_Comuni!$A$4:$AAA$4,0))</f>
        <v>0</v>
      </c>
      <c r="J339" s="88">
        <f>INDEX(Import_CO_Comuni!$A$4:$AAA$324,MATCH($G339,Import_CO_Comuni!$A$4:$A$324,0),MATCH(J$1,Import_CO_Comuni!$A$4:$AAA$4,0))</f>
        <v>0</v>
      </c>
    </row>
    <row r="340" spans="1:10" x14ac:dyDescent="0.2">
      <c r="A340" s="86" t="s">
        <v>7369</v>
      </c>
      <c r="B340" s="447" t="str">
        <f>IN_Anagrafica!$B$9</f>
        <v>NO</v>
      </c>
      <c r="C340" s="369" t="str">
        <f t="shared" si="3"/>
        <v>NO</v>
      </c>
      <c r="D340" s="1028" t="s">
        <v>8217</v>
      </c>
      <c r="E340" s="1030" t="s">
        <v>679</v>
      </c>
      <c r="F340" s="1031" t="s">
        <v>8520</v>
      </c>
      <c r="G340" s="1031" t="s">
        <v>5746</v>
      </c>
      <c r="H340" s="88">
        <f>INDEX(Import_CO_Comuni!$A$4:$AAA$324,MATCH($G340,Import_CO_Comuni!$A$4:$A$324,0),MATCH(H$1,Import_CO_Comuni!$A$4:$AAA$4,0))</f>
        <v>0</v>
      </c>
      <c r="I340" s="88">
        <f>INDEX(Import_CO_Comuni!$A$4:$AAA$324,MATCH($G340,Import_CO_Comuni!$A$4:$A$324,0),MATCH(I$1,Import_CO_Comuni!$A$4:$AAA$4,0))</f>
        <v>0</v>
      </c>
      <c r="J340" s="88">
        <f>INDEX(Import_CO_Comuni!$A$4:$AAA$324,MATCH($G340,Import_CO_Comuni!$A$4:$A$324,0),MATCH(J$1,Import_CO_Comuni!$A$4:$AAA$4,0))</f>
        <v>0</v>
      </c>
    </row>
    <row r="341" spans="1:10" x14ac:dyDescent="0.2">
      <c r="A341" s="86" t="s">
        <v>7370</v>
      </c>
      <c r="B341" s="447" t="str">
        <f>IN_Anagrafica!$B$9</f>
        <v>NO</v>
      </c>
      <c r="C341" s="369" t="str">
        <f t="shared" si="3"/>
        <v>NO</v>
      </c>
      <c r="D341" s="1028" t="s">
        <v>8217</v>
      </c>
      <c r="E341" s="1030" t="s">
        <v>368</v>
      </c>
      <c r="F341" s="1031" t="s">
        <v>8520</v>
      </c>
      <c r="G341" s="1031" t="s">
        <v>5752</v>
      </c>
      <c r="H341" s="88">
        <f>INDEX(Import_CO_Comuni!$A$4:$AAA$324,MATCH($G341,Import_CO_Comuni!$A$4:$A$324,0),MATCH(H$1,Import_CO_Comuni!$A$4:$AAA$4,0))</f>
        <v>0</v>
      </c>
      <c r="I341" s="88">
        <f>INDEX(Import_CO_Comuni!$A$4:$AAA$324,MATCH($G341,Import_CO_Comuni!$A$4:$A$324,0),MATCH(I$1,Import_CO_Comuni!$A$4:$AAA$4,0))</f>
        <v>0</v>
      </c>
      <c r="J341" s="88">
        <f>INDEX(Import_CO_Comuni!$A$4:$AAA$324,MATCH($G341,Import_CO_Comuni!$A$4:$A$324,0),MATCH(J$1,Import_CO_Comuni!$A$4:$AAA$4,0))</f>
        <v>0</v>
      </c>
    </row>
    <row r="342" spans="1:10" x14ac:dyDescent="0.2">
      <c r="A342" s="86" t="s">
        <v>7371</v>
      </c>
      <c r="B342" s="447" t="str">
        <f>IN_Anagrafica!$B$9</f>
        <v>NO</v>
      </c>
      <c r="C342" s="369" t="str">
        <f t="shared" si="3"/>
        <v>NO</v>
      </c>
      <c r="D342" s="1028" t="s">
        <v>8217</v>
      </c>
      <c r="E342" s="1030" t="s">
        <v>8202</v>
      </c>
      <c r="F342" s="1031" t="s">
        <v>8520</v>
      </c>
      <c r="G342" s="1031" t="s">
        <v>5758</v>
      </c>
      <c r="H342" s="88">
        <f>INDEX(Import_CO_Comuni!$A$4:$AAA$324,MATCH($G342,Import_CO_Comuni!$A$4:$A$324,0),MATCH(H$1,Import_CO_Comuni!$A$4:$AAA$4,0))</f>
        <v>0</v>
      </c>
      <c r="I342" s="88">
        <f>INDEX(Import_CO_Comuni!$A$4:$AAA$324,MATCH($G342,Import_CO_Comuni!$A$4:$A$324,0),MATCH(I$1,Import_CO_Comuni!$A$4:$AAA$4,0))</f>
        <v>0</v>
      </c>
      <c r="J342" s="88">
        <f>INDEX(Import_CO_Comuni!$A$4:$AAA$324,MATCH($G342,Import_CO_Comuni!$A$4:$A$324,0),MATCH(J$1,Import_CO_Comuni!$A$4:$AAA$4,0))</f>
        <v>0</v>
      </c>
    </row>
    <row r="343" spans="1:10" x14ac:dyDescent="0.2">
      <c r="A343" s="86" t="s">
        <v>7372</v>
      </c>
      <c r="B343" s="447" t="str">
        <f>IN_Anagrafica!$B$9</f>
        <v>NO</v>
      </c>
      <c r="C343" s="369" t="str">
        <f t="shared" si="3"/>
        <v>NO</v>
      </c>
      <c r="D343" s="1028" t="s">
        <v>8217</v>
      </c>
      <c r="E343" s="1030" t="s">
        <v>8203</v>
      </c>
      <c r="F343" s="1031" t="s">
        <v>8520</v>
      </c>
      <c r="G343" s="1031" t="s">
        <v>5764</v>
      </c>
      <c r="H343" s="88">
        <f>INDEX(Import_CO_Comuni!$A$4:$AAA$324,MATCH($G343,Import_CO_Comuni!$A$4:$A$324,0),MATCH(H$1,Import_CO_Comuni!$A$4:$AAA$4,0))</f>
        <v>0</v>
      </c>
      <c r="I343" s="88">
        <f>INDEX(Import_CO_Comuni!$A$4:$AAA$324,MATCH($G343,Import_CO_Comuni!$A$4:$A$324,0),MATCH(I$1,Import_CO_Comuni!$A$4:$AAA$4,0))</f>
        <v>0</v>
      </c>
      <c r="J343" s="88">
        <f>INDEX(Import_CO_Comuni!$A$4:$AAA$324,MATCH($G343,Import_CO_Comuni!$A$4:$A$324,0),MATCH(J$1,Import_CO_Comuni!$A$4:$AAA$4,0))</f>
        <v>0</v>
      </c>
    </row>
    <row r="344" spans="1:10" x14ac:dyDescent="0.2">
      <c r="A344" s="86" t="s">
        <v>7373</v>
      </c>
      <c r="B344" s="447" t="str">
        <f>IN_Anagrafica!$B$9</f>
        <v>NO</v>
      </c>
      <c r="C344" s="369" t="str">
        <f t="shared" si="3"/>
        <v>NO</v>
      </c>
      <c r="D344" s="1028" t="s">
        <v>8217</v>
      </c>
      <c r="E344" s="1030" t="s">
        <v>684</v>
      </c>
      <c r="F344" s="1031" t="s">
        <v>8520</v>
      </c>
      <c r="G344" s="1031" t="s">
        <v>5770</v>
      </c>
      <c r="H344" s="88">
        <f>INDEX(Import_CO_Comuni!$A$4:$AAA$324,MATCH($G344,Import_CO_Comuni!$A$4:$A$324,0),MATCH(H$1,Import_CO_Comuni!$A$4:$AAA$4,0))</f>
        <v>0</v>
      </c>
      <c r="I344" s="88">
        <f>INDEX(Import_CO_Comuni!$A$4:$AAA$324,MATCH($G344,Import_CO_Comuni!$A$4:$A$324,0),MATCH(I$1,Import_CO_Comuni!$A$4:$AAA$4,0))</f>
        <v>0</v>
      </c>
      <c r="J344" s="88">
        <f>INDEX(Import_CO_Comuni!$A$4:$AAA$324,MATCH($G344,Import_CO_Comuni!$A$4:$A$324,0),MATCH(J$1,Import_CO_Comuni!$A$4:$AAA$4,0))</f>
        <v>0</v>
      </c>
    </row>
    <row r="345" spans="1:10" x14ac:dyDescent="0.2">
      <c r="A345" s="86" t="s">
        <v>7374</v>
      </c>
      <c r="B345" s="447" t="str">
        <f>IN_Anagrafica!$B$9</f>
        <v>NO</v>
      </c>
      <c r="C345" s="369" t="str">
        <f t="shared" si="3"/>
        <v>NO</v>
      </c>
      <c r="D345" s="1028" t="s">
        <v>8217</v>
      </c>
      <c r="E345" s="1030" t="s">
        <v>8204</v>
      </c>
      <c r="F345" s="1031" t="s">
        <v>8520</v>
      </c>
      <c r="G345" s="1031" t="s">
        <v>5776</v>
      </c>
      <c r="H345" s="88">
        <f>INDEX(Import_CO_Comuni!$A$4:$AAA$324,MATCH($G345,Import_CO_Comuni!$A$4:$A$324,0),MATCH(H$1,Import_CO_Comuni!$A$4:$AAA$4,0))</f>
        <v>0</v>
      </c>
      <c r="I345" s="88">
        <f>INDEX(Import_CO_Comuni!$A$4:$AAA$324,MATCH($G345,Import_CO_Comuni!$A$4:$A$324,0),MATCH(I$1,Import_CO_Comuni!$A$4:$AAA$4,0))</f>
        <v>0</v>
      </c>
      <c r="J345" s="88">
        <f>INDEX(Import_CO_Comuni!$A$4:$AAA$324,MATCH($G345,Import_CO_Comuni!$A$4:$A$324,0),MATCH(J$1,Import_CO_Comuni!$A$4:$AAA$4,0))</f>
        <v>0</v>
      </c>
    </row>
    <row r="346" spans="1:10" x14ac:dyDescent="0.2">
      <c r="A346" s="86" t="s">
        <v>7375</v>
      </c>
      <c r="B346" s="447" t="str">
        <f>IN_Anagrafica!$B$9</f>
        <v>NO</v>
      </c>
      <c r="C346" s="369" t="str">
        <f t="shared" si="3"/>
        <v>NO</v>
      </c>
      <c r="D346" s="1028" t="s">
        <v>8217</v>
      </c>
      <c r="E346" s="1030" t="s">
        <v>8205</v>
      </c>
      <c r="F346" s="1031" t="s">
        <v>8520</v>
      </c>
      <c r="G346" s="1031" t="s">
        <v>5777</v>
      </c>
      <c r="H346" s="88">
        <f>INDEX(Import_CO_Comuni!$A$4:$AAA$324,MATCH($G346,Import_CO_Comuni!$A$4:$A$324,0),MATCH(H$1,Import_CO_Comuni!$A$4:$AAA$4,0))</f>
        <v>0</v>
      </c>
      <c r="I346" s="88">
        <f>INDEX(Import_CO_Comuni!$A$4:$AAA$324,MATCH($G346,Import_CO_Comuni!$A$4:$A$324,0),MATCH(I$1,Import_CO_Comuni!$A$4:$AAA$4,0))</f>
        <v>0</v>
      </c>
      <c r="J346" s="88">
        <f>INDEX(Import_CO_Comuni!$A$4:$AAA$324,MATCH($G346,Import_CO_Comuni!$A$4:$A$324,0),MATCH(J$1,Import_CO_Comuni!$A$4:$AAA$4,0))</f>
        <v>0</v>
      </c>
    </row>
    <row r="347" spans="1:10" x14ac:dyDescent="0.2">
      <c r="A347" s="86" t="s">
        <v>7376</v>
      </c>
      <c r="B347" s="447" t="str">
        <f>IN_Anagrafica!$B$9</f>
        <v>NO</v>
      </c>
      <c r="C347" s="369" t="str">
        <f t="shared" si="3"/>
        <v>NO</v>
      </c>
      <c r="D347" s="1028" t="s">
        <v>8217</v>
      </c>
      <c r="E347" s="1030" t="s">
        <v>402</v>
      </c>
      <c r="F347" s="1031" t="s">
        <v>8520</v>
      </c>
      <c r="G347" s="1031" t="s">
        <v>5778</v>
      </c>
      <c r="H347" s="88">
        <f>INDEX(Import_CO_Comuni!$A$4:$AAA$324,MATCH($G347,Import_CO_Comuni!$A$4:$A$324,0),MATCH(H$1,Import_CO_Comuni!$A$4:$AAA$4,0))</f>
        <v>0</v>
      </c>
      <c r="I347" s="88">
        <f>INDEX(Import_CO_Comuni!$A$4:$AAA$324,MATCH($G347,Import_CO_Comuni!$A$4:$A$324,0),MATCH(I$1,Import_CO_Comuni!$A$4:$AAA$4,0))</f>
        <v>0</v>
      </c>
      <c r="J347" s="88">
        <f>INDEX(Import_CO_Comuni!$A$4:$AAA$324,MATCH($G347,Import_CO_Comuni!$A$4:$A$324,0),MATCH(J$1,Import_CO_Comuni!$A$4:$AAA$4,0))</f>
        <v>0</v>
      </c>
    </row>
    <row r="348" spans="1:10" x14ac:dyDescent="0.2">
      <c r="A348" s="86" t="s">
        <v>7377</v>
      </c>
      <c r="B348" s="447" t="str">
        <f>IN_Anagrafica!$B$9</f>
        <v>NO</v>
      </c>
      <c r="C348" s="369" t="str">
        <f t="shared" ref="C348:C411" si="4">IF(B348="SI","SI","NO")</f>
        <v>NO</v>
      </c>
      <c r="D348" s="1028" t="s">
        <v>8217</v>
      </c>
      <c r="E348" s="1030" t="s">
        <v>8206</v>
      </c>
      <c r="F348" s="1031" t="s">
        <v>8520</v>
      </c>
      <c r="G348" s="1031" t="s">
        <v>5779</v>
      </c>
      <c r="H348" s="88">
        <f>INDEX(Import_CO_Comuni!$A$4:$AAA$324,MATCH($G348,Import_CO_Comuni!$A$4:$A$324,0),MATCH(H$1,Import_CO_Comuni!$A$4:$AAA$4,0))</f>
        <v>0</v>
      </c>
      <c r="I348" s="88">
        <f>INDEX(Import_CO_Comuni!$A$4:$AAA$324,MATCH($G348,Import_CO_Comuni!$A$4:$A$324,0),MATCH(I$1,Import_CO_Comuni!$A$4:$AAA$4,0))</f>
        <v>0</v>
      </c>
      <c r="J348" s="88">
        <f>INDEX(Import_CO_Comuni!$A$4:$AAA$324,MATCH($G348,Import_CO_Comuni!$A$4:$A$324,0),MATCH(J$1,Import_CO_Comuni!$A$4:$AAA$4,0))</f>
        <v>0</v>
      </c>
    </row>
    <row r="349" spans="1:10" x14ac:dyDescent="0.2">
      <c r="A349" s="86" t="s">
        <v>7378</v>
      </c>
      <c r="B349" s="447" t="str">
        <f>IN_Anagrafica!$B$9</f>
        <v>NO</v>
      </c>
      <c r="C349" s="369" t="str">
        <f t="shared" si="4"/>
        <v>NO</v>
      </c>
      <c r="D349" s="1028" t="s">
        <v>8217</v>
      </c>
      <c r="E349" s="1030" t="s">
        <v>8207</v>
      </c>
      <c r="F349" s="1031" t="s">
        <v>8520</v>
      </c>
      <c r="G349" s="1031" t="s">
        <v>5780</v>
      </c>
      <c r="H349" s="88">
        <f>INDEX(Import_CO_Comuni!$A$4:$AAA$324,MATCH($G349,Import_CO_Comuni!$A$4:$A$324,0),MATCH(H$1,Import_CO_Comuni!$A$4:$AAA$4,0))</f>
        <v>0</v>
      </c>
      <c r="I349" s="88">
        <f>INDEX(Import_CO_Comuni!$A$4:$AAA$324,MATCH($G349,Import_CO_Comuni!$A$4:$A$324,0),MATCH(I$1,Import_CO_Comuni!$A$4:$AAA$4,0))</f>
        <v>0</v>
      </c>
      <c r="J349" s="88">
        <f>INDEX(Import_CO_Comuni!$A$4:$AAA$324,MATCH($G349,Import_CO_Comuni!$A$4:$A$324,0),MATCH(J$1,Import_CO_Comuni!$A$4:$AAA$4,0))</f>
        <v>0</v>
      </c>
    </row>
    <row r="350" spans="1:10" x14ac:dyDescent="0.2">
      <c r="A350" s="86" t="s">
        <v>7379</v>
      </c>
      <c r="B350" s="447" t="str">
        <f>IN_Anagrafica!$B$9</f>
        <v>NO</v>
      </c>
      <c r="C350" s="369" t="str">
        <f t="shared" si="4"/>
        <v>NO</v>
      </c>
      <c r="D350" s="1028" t="s">
        <v>8217</v>
      </c>
      <c r="E350" s="1030" t="s">
        <v>8208</v>
      </c>
      <c r="F350" s="1031" t="s">
        <v>8520</v>
      </c>
      <c r="G350" s="1031" t="s">
        <v>5781</v>
      </c>
      <c r="H350" s="88">
        <f>INDEX(Import_CO_Comuni!$A$4:$AAA$324,MATCH($G350,Import_CO_Comuni!$A$4:$A$324,0),MATCH(H$1,Import_CO_Comuni!$A$4:$AAA$4,0))</f>
        <v>0</v>
      </c>
      <c r="I350" s="88">
        <f>INDEX(Import_CO_Comuni!$A$4:$AAA$324,MATCH($G350,Import_CO_Comuni!$A$4:$A$324,0),MATCH(I$1,Import_CO_Comuni!$A$4:$AAA$4,0))</f>
        <v>0</v>
      </c>
      <c r="J350" s="88">
        <f>INDEX(Import_CO_Comuni!$A$4:$AAA$324,MATCH($G350,Import_CO_Comuni!$A$4:$A$324,0),MATCH(J$1,Import_CO_Comuni!$A$4:$AAA$4,0))</f>
        <v>0</v>
      </c>
    </row>
    <row r="351" spans="1:10" x14ac:dyDescent="0.2">
      <c r="A351" s="86" t="s">
        <v>7380</v>
      </c>
      <c r="B351" s="447" t="str">
        <f>IN_Anagrafica!$B$9</f>
        <v>NO</v>
      </c>
      <c r="C351" s="369" t="str">
        <f t="shared" si="4"/>
        <v>NO</v>
      </c>
      <c r="D351" s="1028" t="s">
        <v>8217</v>
      </c>
      <c r="E351" s="1030" t="s">
        <v>722</v>
      </c>
      <c r="F351" s="1031" t="s">
        <v>8520</v>
      </c>
      <c r="G351" s="1031" t="s">
        <v>5782</v>
      </c>
      <c r="H351" s="88">
        <f>INDEX(Import_CO_Comuni!$A$4:$AAA$324,MATCH($G351,Import_CO_Comuni!$A$4:$A$324,0),MATCH(H$1,Import_CO_Comuni!$A$4:$AAA$4,0))</f>
        <v>0</v>
      </c>
      <c r="I351" s="88">
        <f>INDEX(Import_CO_Comuni!$A$4:$AAA$324,MATCH($G351,Import_CO_Comuni!$A$4:$A$324,0),MATCH(I$1,Import_CO_Comuni!$A$4:$AAA$4,0))</f>
        <v>0</v>
      </c>
      <c r="J351" s="88">
        <f>INDEX(Import_CO_Comuni!$A$4:$AAA$324,MATCH($G351,Import_CO_Comuni!$A$4:$A$324,0),MATCH(J$1,Import_CO_Comuni!$A$4:$AAA$4,0))</f>
        <v>0</v>
      </c>
    </row>
    <row r="352" spans="1:10" x14ac:dyDescent="0.2">
      <c r="A352" s="86" t="s">
        <v>7381</v>
      </c>
      <c r="B352" s="447" t="str">
        <f>IN_Anagrafica!$B$9</f>
        <v>NO</v>
      </c>
      <c r="C352" s="369" t="str">
        <f t="shared" si="4"/>
        <v>NO</v>
      </c>
      <c r="D352" s="1028" t="s">
        <v>8217</v>
      </c>
      <c r="E352" s="1030" t="s">
        <v>8209</v>
      </c>
      <c r="F352" s="1031" t="s">
        <v>8520</v>
      </c>
      <c r="G352" s="1031" t="s">
        <v>5783</v>
      </c>
      <c r="H352" s="88">
        <f>INDEX(Import_CO_Comuni!$A$4:$AAA$324,MATCH($G352,Import_CO_Comuni!$A$4:$A$324,0),MATCH(H$1,Import_CO_Comuni!$A$4:$AAA$4,0))</f>
        <v>0</v>
      </c>
      <c r="I352" s="88">
        <f>INDEX(Import_CO_Comuni!$A$4:$AAA$324,MATCH($G352,Import_CO_Comuni!$A$4:$A$324,0),MATCH(I$1,Import_CO_Comuni!$A$4:$AAA$4,0))</f>
        <v>0</v>
      </c>
      <c r="J352" s="88">
        <f>INDEX(Import_CO_Comuni!$A$4:$AAA$324,MATCH($G352,Import_CO_Comuni!$A$4:$A$324,0),MATCH(J$1,Import_CO_Comuni!$A$4:$AAA$4,0))</f>
        <v>0</v>
      </c>
    </row>
    <row r="353" spans="1:10" x14ac:dyDescent="0.2">
      <c r="A353" s="86" t="s">
        <v>7382</v>
      </c>
      <c r="B353" s="447" t="str">
        <f>IN_Anagrafica!$B$9</f>
        <v>NO</v>
      </c>
      <c r="C353" s="369" t="str">
        <f t="shared" si="4"/>
        <v>NO</v>
      </c>
      <c r="D353" s="1028" t="s">
        <v>8217</v>
      </c>
      <c r="E353" s="1030" t="s">
        <v>8210</v>
      </c>
      <c r="F353" s="1031" t="s">
        <v>8520</v>
      </c>
      <c r="G353" s="1031" t="s">
        <v>5784</v>
      </c>
      <c r="H353" s="88">
        <f>INDEX(Import_CO_Comuni!$A$4:$AAA$324,MATCH($G353,Import_CO_Comuni!$A$4:$A$324,0),MATCH(H$1,Import_CO_Comuni!$A$4:$AAA$4,0))</f>
        <v>0</v>
      </c>
      <c r="I353" s="88">
        <f>INDEX(Import_CO_Comuni!$A$4:$AAA$324,MATCH($G353,Import_CO_Comuni!$A$4:$A$324,0),MATCH(I$1,Import_CO_Comuni!$A$4:$AAA$4,0))</f>
        <v>0</v>
      </c>
      <c r="J353" s="88">
        <f>INDEX(Import_CO_Comuni!$A$4:$AAA$324,MATCH($G353,Import_CO_Comuni!$A$4:$A$324,0),MATCH(J$1,Import_CO_Comuni!$A$4:$AAA$4,0))</f>
        <v>0</v>
      </c>
    </row>
    <row r="354" spans="1:10" x14ac:dyDescent="0.2">
      <c r="A354" s="86" t="s">
        <v>7383</v>
      </c>
      <c r="B354" s="447" t="str">
        <f>IN_Anagrafica!$B$9</f>
        <v>NO</v>
      </c>
      <c r="C354" s="369" t="str">
        <f t="shared" si="4"/>
        <v>NO</v>
      </c>
      <c r="D354" s="1028" t="s">
        <v>8217</v>
      </c>
      <c r="E354" s="1030" t="s">
        <v>8211</v>
      </c>
      <c r="F354" s="1031" t="s">
        <v>8520</v>
      </c>
      <c r="G354" s="1031" t="s">
        <v>5785</v>
      </c>
      <c r="H354" s="88">
        <f>INDEX(Import_CO_Comuni!$A$4:$AAA$324,MATCH($G354,Import_CO_Comuni!$A$4:$A$324,0),MATCH(H$1,Import_CO_Comuni!$A$4:$AAA$4,0))</f>
        <v>0</v>
      </c>
      <c r="I354" s="88">
        <f>INDEX(Import_CO_Comuni!$A$4:$AAA$324,MATCH($G354,Import_CO_Comuni!$A$4:$A$324,0),MATCH(I$1,Import_CO_Comuni!$A$4:$AAA$4,0))</f>
        <v>0</v>
      </c>
      <c r="J354" s="88">
        <f>INDEX(Import_CO_Comuni!$A$4:$AAA$324,MATCH($G354,Import_CO_Comuni!$A$4:$A$324,0),MATCH(J$1,Import_CO_Comuni!$A$4:$AAA$4,0))</f>
        <v>0</v>
      </c>
    </row>
    <row r="355" spans="1:10" x14ac:dyDescent="0.2">
      <c r="A355" s="86" t="s">
        <v>7384</v>
      </c>
      <c r="B355" s="447" t="str">
        <f>IN_Anagrafica!$B$9</f>
        <v>NO</v>
      </c>
      <c r="C355" s="369" t="str">
        <f t="shared" si="4"/>
        <v>NO</v>
      </c>
      <c r="D355" s="1028" t="s">
        <v>8217</v>
      </c>
      <c r="E355" s="1030" t="s">
        <v>749</v>
      </c>
      <c r="F355" s="1031" t="s">
        <v>8520</v>
      </c>
      <c r="G355" s="1031" t="s">
        <v>5786</v>
      </c>
      <c r="H355" s="88">
        <f>INDEX(Import_CO_Comuni!$A$4:$AAA$324,MATCH($G355,Import_CO_Comuni!$A$4:$A$324,0),MATCH(H$1,Import_CO_Comuni!$A$4:$AAA$4,0))</f>
        <v>0</v>
      </c>
      <c r="I355" s="88">
        <f>INDEX(Import_CO_Comuni!$A$4:$AAA$324,MATCH($G355,Import_CO_Comuni!$A$4:$A$324,0),MATCH(I$1,Import_CO_Comuni!$A$4:$AAA$4,0))</f>
        <v>0</v>
      </c>
      <c r="J355" s="88">
        <f>INDEX(Import_CO_Comuni!$A$4:$AAA$324,MATCH($G355,Import_CO_Comuni!$A$4:$A$324,0),MATCH(J$1,Import_CO_Comuni!$A$4:$AAA$4,0))</f>
        <v>0</v>
      </c>
    </row>
    <row r="356" spans="1:10" x14ac:dyDescent="0.2">
      <c r="A356" s="86" t="s">
        <v>7385</v>
      </c>
      <c r="B356" s="447" t="str">
        <f>IN_Anagrafica!$B$9</f>
        <v>NO</v>
      </c>
      <c r="C356" s="369" t="str">
        <f t="shared" si="4"/>
        <v>NO</v>
      </c>
      <c r="D356" s="1028" t="s">
        <v>8217</v>
      </c>
      <c r="E356" s="1030" t="s">
        <v>8212</v>
      </c>
      <c r="F356" s="1031" t="s">
        <v>8520</v>
      </c>
      <c r="G356" s="1031" t="s">
        <v>5787</v>
      </c>
      <c r="H356" s="88">
        <f>INDEX(Import_CO_Comuni!$A$4:$AAA$324,MATCH($G356,Import_CO_Comuni!$A$4:$A$324,0),MATCH(H$1,Import_CO_Comuni!$A$4:$AAA$4,0))</f>
        <v>0</v>
      </c>
      <c r="I356" s="88">
        <f>INDEX(Import_CO_Comuni!$A$4:$AAA$324,MATCH($G356,Import_CO_Comuni!$A$4:$A$324,0),MATCH(I$1,Import_CO_Comuni!$A$4:$AAA$4,0))</f>
        <v>0</v>
      </c>
      <c r="J356" s="88">
        <f>INDEX(Import_CO_Comuni!$A$4:$AAA$324,MATCH($G356,Import_CO_Comuni!$A$4:$A$324,0),MATCH(J$1,Import_CO_Comuni!$A$4:$AAA$4,0))</f>
        <v>0</v>
      </c>
    </row>
    <row r="357" spans="1:10" x14ac:dyDescent="0.2">
      <c r="A357" s="86" t="s">
        <v>7386</v>
      </c>
      <c r="B357" s="447" t="str">
        <f>IN_Anagrafica!$B$9</f>
        <v>NO</v>
      </c>
      <c r="C357" s="369" t="str">
        <f t="shared" si="4"/>
        <v>NO</v>
      </c>
      <c r="D357" s="1028" t="s">
        <v>8217</v>
      </c>
      <c r="E357" s="1030" t="s">
        <v>8213</v>
      </c>
      <c r="F357" s="1031" t="s">
        <v>8520</v>
      </c>
      <c r="G357" s="1031" t="s">
        <v>5788</v>
      </c>
      <c r="H357" s="88">
        <f>INDEX(Import_CO_Comuni!$A$4:$AAA$324,MATCH($G357,Import_CO_Comuni!$A$4:$A$324,0),MATCH(H$1,Import_CO_Comuni!$A$4:$AAA$4,0))</f>
        <v>0</v>
      </c>
      <c r="I357" s="88">
        <f>INDEX(Import_CO_Comuni!$A$4:$AAA$324,MATCH($G357,Import_CO_Comuni!$A$4:$A$324,0),MATCH(I$1,Import_CO_Comuni!$A$4:$AAA$4,0))</f>
        <v>0</v>
      </c>
      <c r="J357" s="88">
        <f>INDEX(Import_CO_Comuni!$A$4:$AAA$324,MATCH($G357,Import_CO_Comuni!$A$4:$A$324,0),MATCH(J$1,Import_CO_Comuni!$A$4:$AAA$4,0))</f>
        <v>0</v>
      </c>
    </row>
    <row r="358" spans="1:10" x14ac:dyDescent="0.2">
      <c r="A358" s="86" t="s">
        <v>7387</v>
      </c>
      <c r="B358" s="447" t="str">
        <f>IN_Anagrafica!$B$9</f>
        <v>NO</v>
      </c>
      <c r="C358" s="369" t="str">
        <f t="shared" si="4"/>
        <v>NO</v>
      </c>
      <c r="D358" s="1028" t="s">
        <v>8217</v>
      </c>
      <c r="E358" s="1030" t="s">
        <v>341</v>
      </c>
      <c r="F358" s="1033" t="s">
        <v>105</v>
      </c>
      <c r="G358" s="1033" t="s">
        <v>105</v>
      </c>
      <c r="H358" s="997"/>
      <c r="I358" s="997"/>
      <c r="J358" s="997"/>
    </row>
    <row r="359" spans="1:10" x14ac:dyDescent="0.2">
      <c r="A359" s="86" t="s">
        <v>7388</v>
      </c>
      <c r="B359" s="447" t="str">
        <f>IN_Anagrafica!$B$9</f>
        <v>NO</v>
      </c>
      <c r="C359" s="369" t="str">
        <f t="shared" si="4"/>
        <v>NO</v>
      </c>
      <c r="D359" s="1028" t="s">
        <v>8217</v>
      </c>
      <c r="E359" s="1030" t="s">
        <v>342</v>
      </c>
      <c r="F359" s="1031" t="s">
        <v>8520</v>
      </c>
      <c r="G359" s="1031" t="s">
        <v>5789</v>
      </c>
      <c r="H359" s="88">
        <f>INDEX(Import_CO_Comuni!$A$4:$AAA$324,MATCH($G359,Import_CO_Comuni!$A$4:$A$324,0),MATCH(H$1,Import_CO_Comuni!$A$4:$AAA$4,0))</f>
        <v>0</v>
      </c>
      <c r="I359" s="88">
        <f>INDEX(Import_CO_Comuni!$A$4:$AAA$324,MATCH($G359,Import_CO_Comuni!$A$4:$A$324,0),MATCH(I$1,Import_CO_Comuni!$A$4:$AAA$4,0))</f>
        <v>0</v>
      </c>
      <c r="J359" s="88">
        <f>INDEX(Import_CO_Comuni!$A$4:$AAA$324,MATCH($G359,Import_CO_Comuni!$A$4:$A$324,0),MATCH(J$1,Import_CO_Comuni!$A$4:$AAA$4,0))</f>
        <v>0</v>
      </c>
    </row>
    <row r="360" spans="1:10" x14ac:dyDescent="0.2">
      <c r="A360" s="86" t="s">
        <v>7389</v>
      </c>
      <c r="B360" s="447" t="str">
        <f>IN_Anagrafica!$B$9</f>
        <v>NO</v>
      </c>
      <c r="C360" s="369" t="str">
        <f t="shared" si="4"/>
        <v>NO</v>
      </c>
      <c r="D360" s="1028" t="s">
        <v>8217</v>
      </c>
      <c r="E360" s="1030" t="s">
        <v>343</v>
      </c>
      <c r="F360" s="1031" t="s">
        <v>8520</v>
      </c>
      <c r="G360" s="1031" t="s">
        <v>5790</v>
      </c>
      <c r="H360" s="88">
        <f>INDEX(Import_CO_Comuni!$A$4:$AAA$324,MATCH($G360,Import_CO_Comuni!$A$4:$A$324,0),MATCH(H$1,Import_CO_Comuni!$A$4:$AAA$4,0))</f>
        <v>0</v>
      </c>
      <c r="I360" s="88">
        <f>INDEX(Import_CO_Comuni!$A$4:$AAA$324,MATCH($G360,Import_CO_Comuni!$A$4:$A$324,0),MATCH(I$1,Import_CO_Comuni!$A$4:$AAA$4,0))</f>
        <v>0</v>
      </c>
      <c r="J360" s="88">
        <f>INDEX(Import_CO_Comuni!$A$4:$AAA$324,MATCH($G360,Import_CO_Comuni!$A$4:$A$324,0),MATCH(J$1,Import_CO_Comuni!$A$4:$AAA$4,0))</f>
        <v>0</v>
      </c>
    </row>
    <row r="361" spans="1:10" x14ac:dyDescent="0.2">
      <c r="A361" s="86" t="s">
        <v>7390</v>
      </c>
      <c r="B361" s="447" t="str">
        <f>IN_Anagrafica!$B$9</f>
        <v>NO</v>
      </c>
      <c r="C361" s="369" t="str">
        <f t="shared" si="4"/>
        <v>NO</v>
      </c>
      <c r="D361" s="1028" t="s">
        <v>8217</v>
      </c>
      <c r="E361" s="1030" t="s">
        <v>351</v>
      </c>
      <c r="F361" s="1031" t="s">
        <v>8520</v>
      </c>
      <c r="G361" s="1031" t="s">
        <v>5798</v>
      </c>
      <c r="H361" s="88">
        <f>INDEX(Import_CO_Comuni!$A$4:$AAA$324,MATCH($G361,Import_CO_Comuni!$A$4:$A$324,0),MATCH(H$1,Import_CO_Comuni!$A$4:$AAA$4,0))</f>
        <v>0</v>
      </c>
      <c r="I361" s="88">
        <f>INDEX(Import_CO_Comuni!$A$4:$AAA$324,MATCH($G361,Import_CO_Comuni!$A$4:$A$324,0),MATCH(I$1,Import_CO_Comuni!$A$4:$AAA$4,0))</f>
        <v>0</v>
      </c>
      <c r="J361" s="88">
        <f>INDEX(Import_CO_Comuni!$A$4:$AAA$324,MATCH($G361,Import_CO_Comuni!$A$4:$A$324,0),MATCH(J$1,Import_CO_Comuni!$A$4:$AAA$4,0))</f>
        <v>0</v>
      </c>
    </row>
    <row r="362" spans="1:10" x14ac:dyDescent="0.2">
      <c r="A362" s="86" t="s">
        <v>7391</v>
      </c>
      <c r="B362" s="447" t="str">
        <f>IN_Anagrafica!$B$9</f>
        <v>NO</v>
      </c>
      <c r="C362" s="369" t="str">
        <f t="shared" si="4"/>
        <v>NO</v>
      </c>
      <c r="D362" s="1028" t="s">
        <v>8217</v>
      </c>
      <c r="E362" s="1030" t="s">
        <v>344</v>
      </c>
      <c r="F362" s="1031" t="s">
        <v>8520</v>
      </c>
      <c r="G362" s="1031" t="s">
        <v>5791</v>
      </c>
      <c r="H362" s="88">
        <f>INDEX(Import_CO_Comuni!$A$4:$AAA$324,MATCH($G362,Import_CO_Comuni!$A$4:$A$324,0),MATCH(H$1,Import_CO_Comuni!$A$4:$AAA$4,0))</f>
        <v>0</v>
      </c>
      <c r="I362" s="88">
        <f>INDEX(Import_CO_Comuni!$A$4:$AAA$324,MATCH($G362,Import_CO_Comuni!$A$4:$A$324,0),MATCH(I$1,Import_CO_Comuni!$A$4:$AAA$4,0))</f>
        <v>0</v>
      </c>
      <c r="J362" s="88">
        <f>INDEX(Import_CO_Comuni!$A$4:$AAA$324,MATCH($G362,Import_CO_Comuni!$A$4:$A$324,0),MATCH(J$1,Import_CO_Comuni!$A$4:$AAA$4,0))</f>
        <v>0</v>
      </c>
    </row>
    <row r="363" spans="1:10" x14ac:dyDescent="0.2">
      <c r="A363" s="86" t="s">
        <v>7392</v>
      </c>
      <c r="B363" s="447" t="str">
        <f>IN_Anagrafica!$B$9</f>
        <v>NO</v>
      </c>
      <c r="C363" s="369" t="str">
        <f t="shared" si="4"/>
        <v>NO</v>
      </c>
      <c r="D363" s="1028" t="s">
        <v>8217</v>
      </c>
      <c r="E363" s="1030" t="s">
        <v>352</v>
      </c>
      <c r="F363" s="1031" t="s">
        <v>8520</v>
      </c>
      <c r="G363" s="1031" t="s">
        <v>5799</v>
      </c>
      <c r="H363" s="88">
        <f>INDEX(Import_CO_Comuni!$A$4:$AAA$324,MATCH($G363,Import_CO_Comuni!$A$4:$A$324,0),MATCH(H$1,Import_CO_Comuni!$A$4:$AAA$4,0))</f>
        <v>0</v>
      </c>
      <c r="I363" s="88">
        <f>INDEX(Import_CO_Comuni!$A$4:$AAA$324,MATCH($G363,Import_CO_Comuni!$A$4:$A$324,0),MATCH(I$1,Import_CO_Comuni!$A$4:$AAA$4,0))</f>
        <v>0</v>
      </c>
      <c r="J363" s="88">
        <f>INDEX(Import_CO_Comuni!$A$4:$AAA$324,MATCH($G363,Import_CO_Comuni!$A$4:$A$324,0),MATCH(J$1,Import_CO_Comuni!$A$4:$AAA$4,0))</f>
        <v>0</v>
      </c>
    </row>
    <row r="364" spans="1:10" x14ac:dyDescent="0.2">
      <c r="A364" s="86" t="s">
        <v>7393</v>
      </c>
      <c r="B364" s="447" t="str">
        <f>IN_Anagrafica!$B$9</f>
        <v>NO</v>
      </c>
      <c r="C364" s="369" t="str">
        <f t="shared" si="4"/>
        <v>NO</v>
      </c>
      <c r="D364" s="1028" t="s">
        <v>8217</v>
      </c>
      <c r="E364" s="1030" t="s">
        <v>345</v>
      </c>
      <c r="F364" s="1031" t="s">
        <v>8520</v>
      </c>
      <c r="G364" s="1031" t="s">
        <v>5792</v>
      </c>
      <c r="H364" s="88">
        <f>INDEX(Import_CO_Comuni!$A$4:$AAA$324,MATCH($G364,Import_CO_Comuni!$A$4:$A$324,0),MATCH(H$1,Import_CO_Comuni!$A$4:$AAA$4,0))</f>
        <v>0</v>
      </c>
      <c r="I364" s="88">
        <f>INDEX(Import_CO_Comuni!$A$4:$AAA$324,MATCH($G364,Import_CO_Comuni!$A$4:$A$324,0),MATCH(I$1,Import_CO_Comuni!$A$4:$AAA$4,0))</f>
        <v>0</v>
      </c>
      <c r="J364" s="88">
        <f>INDEX(Import_CO_Comuni!$A$4:$AAA$324,MATCH($G364,Import_CO_Comuni!$A$4:$A$324,0),MATCH(J$1,Import_CO_Comuni!$A$4:$AAA$4,0))</f>
        <v>0</v>
      </c>
    </row>
    <row r="365" spans="1:10" x14ac:dyDescent="0.2">
      <c r="A365" s="86" t="s">
        <v>7394</v>
      </c>
      <c r="B365" s="447" t="str">
        <f>IN_Anagrafica!$B$9</f>
        <v>NO</v>
      </c>
      <c r="C365" s="369" t="str">
        <f t="shared" si="4"/>
        <v>NO</v>
      </c>
      <c r="D365" s="1028" t="s">
        <v>8217</v>
      </c>
      <c r="E365" s="1030" t="s">
        <v>353</v>
      </c>
      <c r="F365" s="1031" t="s">
        <v>8520</v>
      </c>
      <c r="G365" s="1031" t="s">
        <v>5800</v>
      </c>
      <c r="H365" s="88">
        <f>INDEX(Import_CO_Comuni!$A$4:$AAA$324,MATCH($G365,Import_CO_Comuni!$A$4:$A$324,0),MATCH(H$1,Import_CO_Comuni!$A$4:$AAA$4,0))</f>
        <v>0</v>
      </c>
      <c r="I365" s="88">
        <f>INDEX(Import_CO_Comuni!$A$4:$AAA$324,MATCH($G365,Import_CO_Comuni!$A$4:$A$324,0),MATCH(I$1,Import_CO_Comuni!$A$4:$AAA$4,0))</f>
        <v>0</v>
      </c>
      <c r="J365" s="88">
        <f>INDEX(Import_CO_Comuni!$A$4:$AAA$324,MATCH($G365,Import_CO_Comuni!$A$4:$A$324,0),MATCH(J$1,Import_CO_Comuni!$A$4:$AAA$4,0))</f>
        <v>0</v>
      </c>
    </row>
    <row r="366" spans="1:10" x14ac:dyDescent="0.2">
      <c r="A366" s="86" t="s">
        <v>7395</v>
      </c>
      <c r="B366" s="447" t="str">
        <f>IN_Anagrafica!$B$9</f>
        <v>NO</v>
      </c>
      <c r="C366" s="369" t="str">
        <f t="shared" si="4"/>
        <v>NO</v>
      </c>
      <c r="D366" s="1028" t="s">
        <v>8217</v>
      </c>
      <c r="E366" s="1030" t="s">
        <v>346</v>
      </c>
      <c r="F366" s="1031" t="s">
        <v>8520</v>
      </c>
      <c r="G366" s="1031" t="s">
        <v>5793</v>
      </c>
      <c r="H366" s="88">
        <f>INDEX(Import_CO_Comuni!$A$4:$AAA$324,MATCH($G366,Import_CO_Comuni!$A$4:$A$324,0),MATCH(H$1,Import_CO_Comuni!$A$4:$AAA$4,0))</f>
        <v>0</v>
      </c>
      <c r="I366" s="88">
        <f>INDEX(Import_CO_Comuni!$A$4:$AAA$324,MATCH($G366,Import_CO_Comuni!$A$4:$A$324,0),MATCH(I$1,Import_CO_Comuni!$A$4:$AAA$4,0))</f>
        <v>0</v>
      </c>
      <c r="J366" s="88">
        <f>INDEX(Import_CO_Comuni!$A$4:$AAA$324,MATCH($G366,Import_CO_Comuni!$A$4:$A$324,0),MATCH(J$1,Import_CO_Comuni!$A$4:$AAA$4,0))</f>
        <v>0</v>
      </c>
    </row>
    <row r="367" spans="1:10" x14ac:dyDescent="0.2">
      <c r="A367" s="86" t="s">
        <v>7396</v>
      </c>
      <c r="B367" s="447" t="str">
        <f>IN_Anagrafica!$B$9</f>
        <v>NO</v>
      </c>
      <c r="C367" s="369" t="str">
        <f t="shared" si="4"/>
        <v>NO</v>
      </c>
      <c r="D367" s="1028" t="s">
        <v>8217</v>
      </c>
      <c r="E367" s="1030" t="s">
        <v>289</v>
      </c>
      <c r="F367" s="1031" t="s">
        <v>8520</v>
      </c>
      <c r="G367" s="1031" t="s">
        <v>5801</v>
      </c>
      <c r="H367" s="88">
        <f>INDEX(Import_CO_Comuni!$A$4:$AAA$324,MATCH($G367,Import_CO_Comuni!$A$4:$A$324,0),MATCH(H$1,Import_CO_Comuni!$A$4:$AAA$4,0))</f>
        <v>0</v>
      </c>
      <c r="I367" s="88">
        <f>INDEX(Import_CO_Comuni!$A$4:$AAA$324,MATCH($G367,Import_CO_Comuni!$A$4:$A$324,0),MATCH(I$1,Import_CO_Comuni!$A$4:$AAA$4,0))</f>
        <v>0</v>
      </c>
      <c r="J367" s="88">
        <f>INDEX(Import_CO_Comuni!$A$4:$AAA$324,MATCH($G367,Import_CO_Comuni!$A$4:$A$324,0),MATCH(J$1,Import_CO_Comuni!$A$4:$AAA$4,0))</f>
        <v>0</v>
      </c>
    </row>
    <row r="368" spans="1:10" x14ac:dyDescent="0.2">
      <c r="A368" s="86" t="s">
        <v>7397</v>
      </c>
      <c r="B368" s="447" t="str">
        <f>IN_Anagrafica!$B$9</f>
        <v>NO</v>
      </c>
      <c r="C368" s="369" t="str">
        <f t="shared" si="4"/>
        <v>NO</v>
      </c>
      <c r="D368" s="1028" t="s">
        <v>8217</v>
      </c>
      <c r="E368" s="1030" t="s">
        <v>347</v>
      </c>
      <c r="F368" s="1031" t="s">
        <v>8520</v>
      </c>
      <c r="G368" s="1031" t="s">
        <v>5794</v>
      </c>
      <c r="H368" s="88">
        <f>INDEX(Import_CO_Comuni!$A$4:$AAA$324,MATCH($G368,Import_CO_Comuni!$A$4:$A$324,0),MATCH(H$1,Import_CO_Comuni!$A$4:$AAA$4,0))</f>
        <v>0</v>
      </c>
      <c r="I368" s="88">
        <f>INDEX(Import_CO_Comuni!$A$4:$AAA$324,MATCH($G368,Import_CO_Comuni!$A$4:$A$324,0),MATCH(I$1,Import_CO_Comuni!$A$4:$AAA$4,0))</f>
        <v>0</v>
      </c>
      <c r="J368" s="88">
        <f>INDEX(Import_CO_Comuni!$A$4:$AAA$324,MATCH($G368,Import_CO_Comuni!$A$4:$A$324,0),MATCH(J$1,Import_CO_Comuni!$A$4:$AAA$4,0))</f>
        <v>0</v>
      </c>
    </row>
    <row r="369" spans="1:10" x14ac:dyDescent="0.2">
      <c r="A369" s="86" t="s">
        <v>7398</v>
      </c>
      <c r="B369" s="447" t="str">
        <f>IN_Anagrafica!$B$9</f>
        <v>NO</v>
      </c>
      <c r="C369" s="369" t="str">
        <f t="shared" si="4"/>
        <v>NO</v>
      </c>
      <c r="D369" s="1028" t="s">
        <v>8217</v>
      </c>
      <c r="E369" s="1030" t="s">
        <v>348</v>
      </c>
      <c r="F369" s="1031" t="s">
        <v>8520</v>
      </c>
      <c r="G369" s="1031" t="s">
        <v>5795</v>
      </c>
      <c r="H369" s="88">
        <f>INDEX(Import_CO_Comuni!$A$4:$AAA$324,MATCH($G369,Import_CO_Comuni!$A$4:$A$324,0),MATCH(H$1,Import_CO_Comuni!$A$4:$AAA$4,0))</f>
        <v>0</v>
      </c>
      <c r="I369" s="88">
        <f>INDEX(Import_CO_Comuni!$A$4:$AAA$324,MATCH($G369,Import_CO_Comuni!$A$4:$A$324,0),MATCH(I$1,Import_CO_Comuni!$A$4:$AAA$4,0))</f>
        <v>0</v>
      </c>
      <c r="J369" s="88">
        <f>INDEX(Import_CO_Comuni!$A$4:$AAA$324,MATCH($G369,Import_CO_Comuni!$A$4:$A$324,0),MATCH(J$1,Import_CO_Comuni!$A$4:$AAA$4,0))</f>
        <v>0</v>
      </c>
    </row>
    <row r="370" spans="1:10" x14ac:dyDescent="0.2">
      <c r="A370" s="86" t="s">
        <v>7399</v>
      </c>
      <c r="B370" s="447" t="str">
        <f>IN_Anagrafica!$B$9</f>
        <v>NO</v>
      </c>
      <c r="C370" s="369" t="str">
        <f t="shared" si="4"/>
        <v>NO</v>
      </c>
      <c r="D370" s="1028" t="s">
        <v>8217</v>
      </c>
      <c r="E370" s="1030" t="s">
        <v>349</v>
      </c>
      <c r="F370" s="1031" t="s">
        <v>8520</v>
      </c>
      <c r="G370" s="1031" t="s">
        <v>5796</v>
      </c>
      <c r="H370" s="88">
        <f>INDEX(Import_CO_Comuni!$A$4:$AAA$324,MATCH($G370,Import_CO_Comuni!$A$4:$A$324,0),MATCH(H$1,Import_CO_Comuni!$A$4:$AAA$4,0))</f>
        <v>0</v>
      </c>
      <c r="I370" s="88">
        <f>INDEX(Import_CO_Comuni!$A$4:$AAA$324,MATCH($G370,Import_CO_Comuni!$A$4:$A$324,0),MATCH(I$1,Import_CO_Comuni!$A$4:$AAA$4,0))</f>
        <v>0</v>
      </c>
      <c r="J370" s="88">
        <f>INDEX(Import_CO_Comuni!$A$4:$AAA$324,MATCH($G370,Import_CO_Comuni!$A$4:$A$324,0),MATCH(J$1,Import_CO_Comuni!$A$4:$AAA$4,0))</f>
        <v>0</v>
      </c>
    </row>
    <row r="371" spans="1:10" x14ac:dyDescent="0.2">
      <c r="A371" s="86" t="s">
        <v>7400</v>
      </c>
      <c r="B371" s="447" t="str">
        <f>IN_Anagrafica!$B$9</f>
        <v>NO</v>
      </c>
      <c r="C371" s="369" t="str">
        <f t="shared" si="4"/>
        <v>NO</v>
      </c>
      <c r="D371" s="1028" t="s">
        <v>8217</v>
      </c>
      <c r="E371" s="1030" t="s">
        <v>350</v>
      </c>
      <c r="F371" s="1031" t="s">
        <v>8520</v>
      </c>
      <c r="G371" s="1031" t="s">
        <v>5797</v>
      </c>
      <c r="H371" s="88">
        <f>INDEX(Import_CO_Comuni!$A$4:$AAA$324,MATCH($G371,Import_CO_Comuni!$A$4:$A$324,0),MATCH(H$1,Import_CO_Comuni!$A$4:$AAA$4,0))</f>
        <v>0</v>
      </c>
      <c r="I371" s="88">
        <f>INDEX(Import_CO_Comuni!$A$4:$AAA$324,MATCH($G371,Import_CO_Comuni!$A$4:$A$324,0),MATCH(I$1,Import_CO_Comuni!$A$4:$AAA$4,0))</f>
        <v>0</v>
      </c>
      <c r="J371" s="88">
        <f>INDEX(Import_CO_Comuni!$A$4:$AAA$324,MATCH($G371,Import_CO_Comuni!$A$4:$A$324,0),MATCH(J$1,Import_CO_Comuni!$A$4:$AAA$4,0))</f>
        <v>0</v>
      </c>
    </row>
    <row r="372" spans="1:10" x14ac:dyDescent="0.2">
      <c r="A372" s="86" t="s">
        <v>7401</v>
      </c>
      <c r="B372" s="447" t="str">
        <f>IN_Anagrafica!$B$9</f>
        <v>NO</v>
      </c>
      <c r="C372" s="369" t="str">
        <f t="shared" si="4"/>
        <v>NO</v>
      </c>
      <c r="D372" s="1028" t="s">
        <v>8217</v>
      </c>
      <c r="E372" s="1030" t="s">
        <v>8214</v>
      </c>
      <c r="F372" s="1031" t="s">
        <v>8520</v>
      </c>
      <c r="G372" s="1031" t="s">
        <v>5802</v>
      </c>
      <c r="H372" s="88">
        <f>INDEX(Import_CO_Comuni!$A$4:$AAA$324,MATCH($G372,Import_CO_Comuni!$A$4:$A$324,0),MATCH(H$1,Import_CO_Comuni!$A$4:$AAA$4,0))</f>
        <v>0</v>
      </c>
      <c r="I372" s="88">
        <f>INDEX(Import_CO_Comuni!$A$4:$AAA$324,MATCH($G372,Import_CO_Comuni!$A$4:$A$324,0),MATCH(I$1,Import_CO_Comuni!$A$4:$AAA$4,0))</f>
        <v>0</v>
      </c>
      <c r="J372" s="88">
        <f>INDEX(Import_CO_Comuni!$A$4:$AAA$324,MATCH($G372,Import_CO_Comuni!$A$4:$A$324,0),MATCH(J$1,Import_CO_Comuni!$A$4:$AAA$4,0))</f>
        <v>0</v>
      </c>
    </row>
    <row r="373" spans="1:10" x14ac:dyDescent="0.2">
      <c r="A373" s="86" t="s">
        <v>7402</v>
      </c>
      <c r="B373" s="447" t="str">
        <f>IN_Anagrafica!$B$9</f>
        <v>NO</v>
      </c>
      <c r="C373" s="369" t="str">
        <f t="shared" si="4"/>
        <v>NO</v>
      </c>
      <c r="D373" s="1028" t="s">
        <v>8217</v>
      </c>
      <c r="E373" s="1030" t="s">
        <v>8215</v>
      </c>
      <c r="F373" s="1031" t="s">
        <v>8520</v>
      </c>
      <c r="G373" s="1031" t="s">
        <v>5803</v>
      </c>
      <c r="H373" s="88">
        <f>INDEX(Import_CO_Comuni!$A$4:$AAA$324,MATCH($G373,Import_CO_Comuni!$A$4:$A$324,0),MATCH(H$1,Import_CO_Comuni!$A$4:$AAA$4,0))</f>
        <v>0</v>
      </c>
      <c r="I373" s="88">
        <f>INDEX(Import_CO_Comuni!$A$4:$AAA$324,MATCH($G373,Import_CO_Comuni!$A$4:$A$324,0),MATCH(I$1,Import_CO_Comuni!$A$4:$AAA$4,0))</f>
        <v>0</v>
      </c>
      <c r="J373" s="88">
        <f>INDEX(Import_CO_Comuni!$A$4:$AAA$324,MATCH($G373,Import_CO_Comuni!$A$4:$A$324,0),MATCH(J$1,Import_CO_Comuni!$A$4:$AAA$4,0))</f>
        <v>0</v>
      </c>
    </row>
    <row r="374" spans="1:10" x14ac:dyDescent="0.2">
      <c r="A374" s="86" t="s">
        <v>7403</v>
      </c>
      <c r="B374" s="447" t="str">
        <f>IN_Anagrafica!$B$9</f>
        <v>NO</v>
      </c>
      <c r="C374" s="369" t="str">
        <f t="shared" si="4"/>
        <v>NO</v>
      </c>
      <c r="D374" s="1028" t="s">
        <v>8217</v>
      </c>
      <c r="E374" s="1030" t="s">
        <v>354</v>
      </c>
      <c r="F374" s="1031" t="s">
        <v>8520</v>
      </c>
      <c r="G374" s="1031" t="s">
        <v>5804</v>
      </c>
      <c r="H374" s="88">
        <f>INDEX(Import_CO_Comuni!$A$4:$AAA$324,MATCH($G374,Import_CO_Comuni!$A$4:$A$324,0),MATCH(H$1,Import_CO_Comuni!$A$4:$AAA$4,0))</f>
        <v>0</v>
      </c>
      <c r="I374" s="88">
        <f>INDEX(Import_CO_Comuni!$A$4:$AAA$324,MATCH($G374,Import_CO_Comuni!$A$4:$A$324,0),MATCH(I$1,Import_CO_Comuni!$A$4:$AAA$4,0))</f>
        <v>0</v>
      </c>
      <c r="J374" s="88">
        <f>INDEX(Import_CO_Comuni!$A$4:$AAA$324,MATCH($G374,Import_CO_Comuni!$A$4:$A$324,0),MATCH(J$1,Import_CO_Comuni!$A$4:$AAA$4,0))</f>
        <v>0</v>
      </c>
    </row>
    <row r="375" spans="1:10" x14ac:dyDescent="0.2">
      <c r="A375" s="86" t="s">
        <v>7404</v>
      </c>
      <c r="B375" s="447" t="str">
        <f>IN_Anagrafica!$B$9</f>
        <v>NO</v>
      </c>
      <c r="C375" s="369" t="str">
        <f t="shared" si="4"/>
        <v>NO</v>
      </c>
      <c r="D375" s="1028" t="s">
        <v>8217</v>
      </c>
      <c r="E375" s="1030" t="s">
        <v>355</v>
      </c>
      <c r="F375" s="1031" t="s">
        <v>8520</v>
      </c>
      <c r="G375" s="1031" t="s">
        <v>5805</v>
      </c>
      <c r="H375" s="88">
        <f>INDEX(Import_CO_Comuni!$A$4:$AAA$324,MATCH($G375,Import_CO_Comuni!$A$4:$A$324,0),MATCH(H$1,Import_CO_Comuni!$A$4:$AAA$4,0))</f>
        <v>0</v>
      </c>
      <c r="I375" s="88">
        <f>INDEX(Import_CO_Comuni!$A$4:$AAA$324,MATCH($G375,Import_CO_Comuni!$A$4:$A$324,0),MATCH(I$1,Import_CO_Comuni!$A$4:$AAA$4,0))</f>
        <v>0</v>
      </c>
      <c r="J375" s="88">
        <f>INDEX(Import_CO_Comuni!$A$4:$AAA$324,MATCH($G375,Import_CO_Comuni!$A$4:$A$324,0),MATCH(J$1,Import_CO_Comuni!$A$4:$AAA$4,0))</f>
        <v>0</v>
      </c>
    </row>
    <row r="376" spans="1:10" x14ac:dyDescent="0.2">
      <c r="A376" s="86" t="s">
        <v>7405</v>
      </c>
      <c r="B376" s="447" t="str">
        <f>IN_Anagrafica!$B$9</f>
        <v>NO</v>
      </c>
      <c r="C376" s="369" t="str">
        <f t="shared" si="4"/>
        <v>NO</v>
      </c>
      <c r="D376" s="1028" t="s">
        <v>8217</v>
      </c>
      <c r="E376" s="1030" t="s">
        <v>356</v>
      </c>
      <c r="F376" s="1031" t="s">
        <v>8520</v>
      </c>
      <c r="G376" s="1031" t="s">
        <v>5806</v>
      </c>
      <c r="H376" s="88">
        <f>INDEX(Import_CO_Comuni!$A$4:$AAA$324,MATCH($G376,Import_CO_Comuni!$A$4:$A$324,0),MATCH(H$1,Import_CO_Comuni!$A$4:$AAA$4,0))</f>
        <v>0</v>
      </c>
      <c r="I376" s="88">
        <f>INDEX(Import_CO_Comuni!$A$4:$AAA$324,MATCH($G376,Import_CO_Comuni!$A$4:$A$324,0),MATCH(I$1,Import_CO_Comuni!$A$4:$AAA$4,0))</f>
        <v>0</v>
      </c>
      <c r="J376" s="88">
        <f>INDEX(Import_CO_Comuni!$A$4:$AAA$324,MATCH($G376,Import_CO_Comuni!$A$4:$A$324,0),MATCH(J$1,Import_CO_Comuni!$A$4:$AAA$4,0))</f>
        <v>0</v>
      </c>
    </row>
    <row r="377" spans="1:10" x14ac:dyDescent="0.2">
      <c r="A377" s="86" t="s">
        <v>7406</v>
      </c>
      <c r="B377" s="447" t="str">
        <f>IN_Anagrafica!$B$9</f>
        <v>NO</v>
      </c>
      <c r="C377" s="369" t="str">
        <f t="shared" si="4"/>
        <v>NO</v>
      </c>
      <c r="D377" s="1028" t="s">
        <v>8218</v>
      </c>
      <c r="E377" s="1030" t="s">
        <v>295</v>
      </c>
      <c r="F377" s="1031" t="s">
        <v>8520</v>
      </c>
      <c r="G377" s="1031" t="s">
        <v>5807</v>
      </c>
      <c r="H377" s="88">
        <f>INDEX(Import_CO_Comuni!$A$4:$AAA$324,MATCH($G377,Import_CO_Comuni!$A$4:$A$324,0),MATCH(H$1,Import_CO_Comuni!$A$4:$AAA$4,0))</f>
        <v>0</v>
      </c>
      <c r="I377" s="88">
        <f>INDEX(Import_CO_Comuni!$A$4:$AAA$324,MATCH($G377,Import_CO_Comuni!$A$4:$A$324,0),MATCH(I$1,Import_CO_Comuni!$A$4:$AAA$4,0))</f>
        <v>0</v>
      </c>
      <c r="J377" s="88">
        <f>INDEX(Import_CO_Comuni!$A$4:$AAA$324,MATCH($G377,Import_CO_Comuni!$A$4:$A$324,0),MATCH(J$1,Import_CO_Comuni!$A$4:$AAA$4,0))</f>
        <v>0</v>
      </c>
    </row>
    <row r="378" spans="1:10" x14ac:dyDescent="0.2">
      <c r="A378" s="86" t="s">
        <v>7407</v>
      </c>
      <c r="B378" s="447" t="str">
        <f>IN_Anagrafica!$B$9</f>
        <v>NO</v>
      </c>
      <c r="C378" s="369" t="str">
        <f t="shared" si="4"/>
        <v>NO</v>
      </c>
      <c r="D378" s="1028" t="s">
        <v>8218</v>
      </c>
      <c r="E378" s="1030" t="s">
        <v>297</v>
      </c>
      <c r="F378" s="1031" t="s">
        <v>8520</v>
      </c>
      <c r="G378" s="1031" t="s">
        <v>5808</v>
      </c>
      <c r="H378" s="88">
        <f>INDEX(Import_CO_Comuni!$A$4:$AAA$324,MATCH($G378,Import_CO_Comuni!$A$4:$A$324,0),MATCH(H$1,Import_CO_Comuni!$A$4:$AAA$4,0))</f>
        <v>0</v>
      </c>
      <c r="I378" s="88">
        <f>INDEX(Import_CO_Comuni!$A$4:$AAA$324,MATCH($G378,Import_CO_Comuni!$A$4:$A$324,0),MATCH(I$1,Import_CO_Comuni!$A$4:$AAA$4,0))</f>
        <v>0</v>
      </c>
      <c r="J378" s="88">
        <f>INDEX(Import_CO_Comuni!$A$4:$AAA$324,MATCH($G378,Import_CO_Comuni!$A$4:$A$324,0),MATCH(J$1,Import_CO_Comuni!$A$4:$AAA$4,0))</f>
        <v>0</v>
      </c>
    </row>
    <row r="379" spans="1:10" x14ac:dyDescent="0.2">
      <c r="A379" s="86" t="s">
        <v>7408</v>
      </c>
      <c r="B379" s="447" t="str">
        <f>IN_Anagrafica!$B$9</f>
        <v>NO</v>
      </c>
      <c r="C379" s="369" t="str">
        <f t="shared" si="4"/>
        <v>NO</v>
      </c>
      <c r="D379" s="1028" t="s">
        <v>8218</v>
      </c>
      <c r="E379" s="1030" t="s">
        <v>287</v>
      </c>
      <c r="F379" s="1033" t="s">
        <v>105</v>
      </c>
      <c r="G379" s="1033" t="s">
        <v>105</v>
      </c>
      <c r="H379" s="997"/>
      <c r="I379" s="997"/>
      <c r="J379" s="997"/>
    </row>
    <row r="380" spans="1:10" x14ac:dyDescent="0.2">
      <c r="A380" s="86" t="s">
        <v>7409</v>
      </c>
      <c r="B380" s="447" t="str">
        <f>IN_Anagrafica!$B$9</f>
        <v>NO</v>
      </c>
      <c r="C380" s="369" t="str">
        <f t="shared" si="4"/>
        <v>NO</v>
      </c>
      <c r="D380" s="1028" t="s">
        <v>8218</v>
      </c>
      <c r="E380" s="1030" t="s">
        <v>709</v>
      </c>
      <c r="F380" s="1031" t="s">
        <v>8520</v>
      </c>
      <c r="G380" s="1031" t="s">
        <v>5809</v>
      </c>
      <c r="H380" s="88">
        <f>INDEX(Import_CO_Comuni!$A$4:$AAA$324,MATCH($G380,Import_CO_Comuni!$A$4:$A$324,0),MATCH(H$1,Import_CO_Comuni!$A$4:$AAA$4,0))</f>
        <v>0</v>
      </c>
      <c r="I380" s="88">
        <f>INDEX(Import_CO_Comuni!$A$4:$AAA$324,MATCH($G380,Import_CO_Comuni!$A$4:$A$324,0),MATCH(I$1,Import_CO_Comuni!$A$4:$AAA$4,0))</f>
        <v>0</v>
      </c>
      <c r="J380" s="88">
        <f>INDEX(Import_CO_Comuni!$A$4:$AAA$324,MATCH($G380,Import_CO_Comuni!$A$4:$A$324,0),MATCH(J$1,Import_CO_Comuni!$A$4:$AAA$4,0))</f>
        <v>0</v>
      </c>
    </row>
    <row r="381" spans="1:10" x14ac:dyDescent="0.2">
      <c r="A381" s="86" t="s">
        <v>7410</v>
      </c>
      <c r="B381" s="447" t="str">
        <f>IN_Anagrafica!$B$9</f>
        <v>NO</v>
      </c>
      <c r="C381" s="369" t="str">
        <f t="shared" si="4"/>
        <v>NO</v>
      </c>
      <c r="D381" s="1028" t="s">
        <v>8218</v>
      </c>
      <c r="E381" s="1030" t="s">
        <v>288</v>
      </c>
      <c r="F381" s="1033" t="s">
        <v>105</v>
      </c>
      <c r="G381" s="1033" t="s">
        <v>105</v>
      </c>
      <c r="H381" s="997"/>
      <c r="I381" s="997"/>
      <c r="J381" s="997"/>
    </row>
    <row r="382" spans="1:10" x14ac:dyDescent="0.2">
      <c r="A382" s="86" t="s">
        <v>7411</v>
      </c>
      <c r="B382" s="447" t="str">
        <f>IN_Anagrafica!$B$9</f>
        <v>NO</v>
      </c>
      <c r="C382" s="369" t="str">
        <f t="shared" si="4"/>
        <v>NO</v>
      </c>
      <c r="D382" s="1028" t="s">
        <v>8218</v>
      </c>
      <c r="E382" s="1030" t="s">
        <v>359</v>
      </c>
      <c r="F382" s="1031" t="s">
        <v>8520</v>
      </c>
      <c r="G382" s="1031" t="s">
        <v>5810</v>
      </c>
      <c r="H382" s="88">
        <f>INDEX(Import_CO_Comuni!$A$4:$AAA$324,MATCH($G382,Import_CO_Comuni!$A$4:$A$324,0),MATCH(H$1,Import_CO_Comuni!$A$4:$AAA$4,0))</f>
        <v>0</v>
      </c>
      <c r="I382" s="88">
        <f>INDEX(Import_CO_Comuni!$A$4:$AAA$324,MATCH($G382,Import_CO_Comuni!$A$4:$A$324,0),MATCH(I$1,Import_CO_Comuni!$A$4:$AAA$4,0))</f>
        <v>0</v>
      </c>
      <c r="J382" s="88">
        <f>INDEX(Import_CO_Comuni!$A$4:$AAA$324,MATCH($G382,Import_CO_Comuni!$A$4:$A$324,0),MATCH(J$1,Import_CO_Comuni!$A$4:$AAA$4,0))</f>
        <v>0</v>
      </c>
    </row>
    <row r="383" spans="1:10" x14ac:dyDescent="0.2">
      <c r="A383" s="86" t="s">
        <v>7412</v>
      </c>
      <c r="B383" s="447" t="str">
        <f>IN_Anagrafica!$B$9</f>
        <v>NO</v>
      </c>
      <c r="C383" s="369" t="str">
        <f t="shared" si="4"/>
        <v>NO</v>
      </c>
      <c r="D383" s="1028" t="s">
        <v>8218</v>
      </c>
      <c r="E383" s="1030" t="s">
        <v>8187</v>
      </c>
      <c r="F383" s="1033" t="s">
        <v>105</v>
      </c>
      <c r="G383" s="1033" t="s">
        <v>105</v>
      </c>
      <c r="H383" s="997"/>
      <c r="I383" s="997"/>
      <c r="J383" s="997"/>
    </row>
    <row r="384" spans="1:10" x14ac:dyDescent="0.2">
      <c r="A384" s="86" t="s">
        <v>7413</v>
      </c>
      <c r="B384" s="447" t="str">
        <f>IN_Anagrafica!$B$9</f>
        <v>NO</v>
      </c>
      <c r="C384" s="369" t="str">
        <f t="shared" si="4"/>
        <v>NO</v>
      </c>
      <c r="D384" s="1028" t="s">
        <v>8218</v>
      </c>
      <c r="E384" s="1030" t="s">
        <v>360</v>
      </c>
      <c r="F384" s="1031" t="s">
        <v>8520</v>
      </c>
      <c r="G384" s="1031" t="s">
        <v>5661</v>
      </c>
      <c r="H384" s="88">
        <f>INDEX(Import_CO_Comuni!$A$4:$AAA$324,MATCH($G384,Import_CO_Comuni!$A$4:$A$324,0),MATCH(H$1,Import_CO_Comuni!$A$4:$AAA$4,0))</f>
        <v>0</v>
      </c>
      <c r="I384" s="88">
        <f>INDEX(Import_CO_Comuni!$A$4:$AAA$324,MATCH($G384,Import_CO_Comuni!$A$4:$A$324,0),MATCH(I$1,Import_CO_Comuni!$A$4:$AAA$4,0))</f>
        <v>0</v>
      </c>
      <c r="J384" s="88">
        <f>INDEX(Import_CO_Comuni!$A$4:$AAA$324,MATCH($G384,Import_CO_Comuni!$A$4:$A$324,0),MATCH(J$1,Import_CO_Comuni!$A$4:$AAA$4,0))</f>
        <v>0</v>
      </c>
    </row>
    <row r="385" spans="1:10" x14ac:dyDescent="0.2">
      <c r="A385" s="86" t="s">
        <v>7414</v>
      </c>
      <c r="B385" s="447" t="str">
        <f>IN_Anagrafica!$B$9</f>
        <v>NO</v>
      </c>
      <c r="C385" s="369" t="str">
        <f t="shared" si="4"/>
        <v>NO</v>
      </c>
      <c r="D385" s="1028" t="s">
        <v>8218</v>
      </c>
      <c r="E385" s="1030" t="s">
        <v>8188</v>
      </c>
      <c r="F385" s="1033" t="s">
        <v>105</v>
      </c>
      <c r="G385" s="1033" t="s">
        <v>105</v>
      </c>
      <c r="H385" s="997"/>
      <c r="I385" s="997"/>
      <c r="J385" s="997"/>
    </row>
    <row r="386" spans="1:10" x14ac:dyDescent="0.2">
      <c r="A386" s="86" t="s">
        <v>7322</v>
      </c>
      <c r="B386" s="447" t="str">
        <f>IN_Anagrafica!$B$9</f>
        <v>NO</v>
      </c>
      <c r="C386" s="369" t="str">
        <f t="shared" si="4"/>
        <v>NO</v>
      </c>
      <c r="D386" s="1028" t="s">
        <v>8218</v>
      </c>
      <c r="E386" s="1030" t="s">
        <v>8189</v>
      </c>
      <c r="F386" s="1031" t="s">
        <v>656</v>
      </c>
      <c r="G386" s="1031" t="s">
        <v>6748</v>
      </c>
      <c r="H386" s="88" t="str">
        <f>+IN_Anagrafica!$B$3</f>
        <v>-</v>
      </c>
      <c r="I386" s="88" t="str">
        <f>+IN_Anagrafica!$B$3</f>
        <v>-</v>
      </c>
      <c r="J386" s="88" t="str">
        <f>+IN_Anagrafica!$B$3</f>
        <v>-</v>
      </c>
    </row>
    <row r="387" spans="1:10" x14ac:dyDescent="0.2">
      <c r="A387" s="86" t="s">
        <v>7415</v>
      </c>
      <c r="B387" s="447" t="str">
        <f>IN_Anagrafica!$B$9</f>
        <v>NO</v>
      </c>
      <c r="C387" s="369" t="str">
        <f t="shared" si="4"/>
        <v>NO</v>
      </c>
      <c r="D387" s="1028" t="s">
        <v>8218</v>
      </c>
      <c r="E387" s="1030" t="s">
        <v>302</v>
      </c>
      <c r="F387" s="1031" t="s">
        <v>8520</v>
      </c>
      <c r="G387" s="1031" t="s">
        <v>5811</v>
      </c>
      <c r="H387" s="88">
        <f>INDEX(Import_CO_Comuni!$A$4:$AAA$324,MATCH($G387,Import_CO_Comuni!$A$4:$A$324,0),MATCH(H$1,Import_CO_Comuni!$A$4:$AAA$4,0))</f>
        <v>0</v>
      </c>
      <c r="I387" s="88">
        <f>INDEX(Import_CO_Comuni!$A$4:$AAA$324,MATCH($G387,Import_CO_Comuni!$A$4:$A$324,0),MATCH(I$1,Import_CO_Comuni!$A$4:$AAA$4,0))</f>
        <v>0</v>
      </c>
      <c r="J387" s="88">
        <f>INDEX(Import_CO_Comuni!$A$4:$AAA$324,MATCH($G387,Import_CO_Comuni!$A$4:$A$324,0),MATCH(J$1,Import_CO_Comuni!$A$4:$AAA$4,0))</f>
        <v>0</v>
      </c>
    </row>
    <row r="388" spans="1:10" x14ac:dyDescent="0.2">
      <c r="A388" s="86" t="s">
        <v>7416</v>
      </c>
      <c r="B388" s="447" t="str">
        <f>IN_Anagrafica!$B$9</f>
        <v>NO</v>
      </c>
      <c r="C388" s="369" t="str">
        <f t="shared" si="4"/>
        <v>NO</v>
      </c>
      <c r="D388" s="1028" t="s">
        <v>8218</v>
      </c>
      <c r="E388" s="1030" t="s">
        <v>305</v>
      </c>
      <c r="F388" s="1031" t="s">
        <v>8520</v>
      </c>
      <c r="G388" s="1031" t="s">
        <v>5817</v>
      </c>
      <c r="H388" s="88">
        <f>INDEX(Import_CO_Comuni!$A$4:$AAA$324,MATCH($G388,Import_CO_Comuni!$A$4:$A$324,0),MATCH(H$1,Import_CO_Comuni!$A$4:$AAA$4,0))</f>
        <v>0</v>
      </c>
      <c r="I388" s="88">
        <f>INDEX(Import_CO_Comuni!$A$4:$AAA$324,MATCH($G388,Import_CO_Comuni!$A$4:$A$324,0),MATCH(I$1,Import_CO_Comuni!$A$4:$AAA$4,0))</f>
        <v>0</v>
      </c>
      <c r="J388" s="88">
        <f>INDEX(Import_CO_Comuni!$A$4:$AAA$324,MATCH($G388,Import_CO_Comuni!$A$4:$A$324,0),MATCH(J$1,Import_CO_Comuni!$A$4:$AAA$4,0))</f>
        <v>0</v>
      </c>
    </row>
    <row r="389" spans="1:10" x14ac:dyDescent="0.2">
      <c r="A389" s="86" t="s">
        <v>7417</v>
      </c>
      <c r="B389" s="447" t="str">
        <f>IN_Anagrafica!$B$9</f>
        <v>NO</v>
      </c>
      <c r="C389" s="369" t="str">
        <f t="shared" si="4"/>
        <v>NO</v>
      </c>
      <c r="D389" s="1028" t="s">
        <v>8218</v>
      </c>
      <c r="E389" s="1030" t="s">
        <v>308</v>
      </c>
      <c r="F389" s="1031" t="s">
        <v>8520</v>
      </c>
      <c r="G389" s="1031" t="s">
        <v>5823</v>
      </c>
      <c r="H389" s="88">
        <f>INDEX(Import_CO_Comuni!$A$4:$AAA$324,MATCH($G389,Import_CO_Comuni!$A$4:$A$324,0),MATCH(H$1,Import_CO_Comuni!$A$4:$AAA$4,0))</f>
        <v>0</v>
      </c>
      <c r="I389" s="88">
        <f>INDEX(Import_CO_Comuni!$A$4:$AAA$324,MATCH($G389,Import_CO_Comuni!$A$4:$A$324,0),MATCH(I$1,Import_CO_Comuni!$A$4:$AAA$4,0))</f>
        <v>0</v>
      </c>
      <c r="J389" s="88">
        <f>INDEX(Import_CO_Comuni!$A$4:$AAA$324,MATCH($G389,Import_CO_Comuni!$A$4:$A$324,0),MATCH(J$1,Import_CO_Comuni!$A$4:$AAA$4,0))</f>
        <v>0</v>
      </c>
    </row>
    <row r="390" spans="1:10" x14ac:dyDescent="0.2">
      <c r="A390" s="86" t="s">
        <v>7418</v>
      </c>
      <c r="B390" s="447" t="str">
        <f>IN_Anagrafica!$B$9</f>
        <v>NO</v>
      </c>
      <c r="C390" s="369" t="str">
        <f t="shared" si="4"/>
        <v>NO</v>
      </c>
      <c r="D390" s="1028" t="s">
        <v>8218</v>
      </c>
      <c r="E390" s="1030" t="s">
        <v>312</v>
      </c>
      <c r="F390" s="1031" t="s">
        <v>8520</v>
      </c>
      <c r="G390" s="1031" t="s">
        <v>5829</v>
      </c>
      <c r="H390" s="88">
        <f>INDEX(Import_CO_Comuni!$A$4:$AAA$324,MATCH($G390,Import_CO_Comuni!$A$4:$A$324,0),MATCH(H$1,Import_CO_Comuni!$A$4:$AAA$4,0))</f>
        <v>0</v>
      </c>
      <c r="I390" s="88">
        <f>INDEX(Import_CO_Comuni!$A$4:$AAA$324,MATCH($G390,Import_CO_Comuni!$A$4:$A$324,0),MATCH(I$1,Import_CO_Comuni!$A$4:$AAA$4,0))</f>
        <v>0</v>
      </c>
      <c r="J390" s="88">
        <f>INDEX(Import_CO_Comuni!$A$4:$AAA$324,MATCH($G390,Import_CO_Comuni!$A$4:$A$324,0),MATCH(J$1,Import_CO_Comuni!$A$4:$AAA$4,0))</f>
        <v>0</v>
      </c>
    </row>
    <row r="391" spans="1:10" x14ac:dyDescent="0.2">
      <c r="A391" s="86" t="s">
        <v>7419</v>
      </c>
      <c r="B391" s="447" t="str">
        <f>IN_Anagrafica!$B$9</f>
        <v>NO</v>
      </c>
      <c r="C391" s="369" t="str">
        <f t="shared" si="4"/>
        <v>NO</v>
      </c>
      <c r="D391" s="1028" t="s">
        <v>8218</v>
      </c>
      <c r="E391" s="1030" t="s">
        <v>318</v>
      </c>
      <c r="F391" s="1031" t="s">
        <v>8520</v>
      </c>
      <c r="G391" s="1031" t="s">
        <v>5835</v>
      </c>
      <c r="H391" s="88">
        <f>INDEX(Import_CO_Comuni!$A$4:$AAA$324,MATCH($G391,Import_CO_Comuni!$A$4:$A$324,0),MATCH(H$1,Import_CO_Comuni!$A$4:$AAA$4,0))</f>
        <v>0</v>
      </c>
      <c r="I391" s="88">
        <f>INDEX(Import_CO_Comuni!$A$4:$AAA$324,MATCH($G391,Import_CO_Comuni!$A$4:$A$324,0),MATCH(I$1,Import_CO_Comuni!$A$4:$AAA$4,0))</f>
        <v>0</v>
      </c>
      <c r="J391" s="88">
        <f>INDEX(Import_CO_Comuni!$A$4:$AAA$324,MATCH($G391,Import_CO_Comuni!$A$4:$A$324,0),MATCH(J$1,Import_CO_Comuni!$A$4:$AAA$4,0))</f>
        <v>0</v>
      </c>
    </row>
    <row r="392" spans="1:10" x14ac:dyDescent="0.2">
      <c r="A392" s="86" t="s">
        <v>7420</v>
      </c>
      <c r="B392" s="447" t="str">
        <f>IN_Anagrafica!$B$9</f>
        <v>NO</v>
      </c>
      <c r="C392" s="369" t="str">
        <f t="shared" si="4"/>
        <v>NO</v>
      </c>
      <c r="D392" s="1028" t="s">
        <v>8218</v>
      </c>
      <c r="E392" s="1030" t="s">
        <v>323</v>
      </c>
      <c r="F392" s="1031" t="s">
        <v>8520</v>
      </c>
      <c r="G392" s="1031" t="s">
        <v>5841</v>
      </c>
      <c r="H392" s="88">
        <f>INDEX(Import_CO_Comuni!$A$4:$AAA$324,MATCH($G392,Import_CO_Comuni!$A$4:$A$324,0),MATCH(H$1,Import_CO_Comuni!$A$4:$AAA$4,0))</f>
        <v>0</v>
      </c>
      <c r="I392" s="88">
        <f>INDEX(Import_CO_Comuni!$A$4:$AAA$324,MATCH($G392,Import_CO_Comuni!$A$4:$A$324,0),MATCH(I$1,Import_CO_Comuni!$A$4:$AAA$4,0))</f>
        <v>0</v>
      </c>
      <c r="J392" s="88">
        <f>INDEX(Import_CO_Comuni!$A$4:$AAA$324,MATCH($G392,Import_CO_Comuni!$A$4:$A$324,0),MATCH(J$1,Import_CO_Comuni!$A$4:$AAA$4,0))</f>
        <v>0</v>
      </c>
    </row>
    <row r="393" spans="1:10" x14ac:dyDescent="0.2">
      <c r="A393" s="86" t="s">
        <v>7421</v>
      </c>
      <c r="B393" s="447" t="str">
        <f>IN_Anagrafica!$B$9</f>
        <v>NO</v>
      </c>
      <c r="C393" s="369" t="str">
        <f t="shared" si="4"/>
        <v>NO</v>
      </c>
      <c r="D393" s="1028" t="s">
        <v>8218</v>
      </c>
      <c r="E393" s="1030" t="s">
        <v>326</v>
      </c>
      <c r="F393" s="1031" t="s">
        <v>8520</v>
      </c>
      <c r="G393" s="1031" t="s">
        <v>5847</v>
      </c>
      <c r="H393" s="88">
        <f>INDEX(Import_CO_Comuni!$A$4:$AAA$324,MATCH($G393,Import_CO_Comuni!$A$4:$A$324,0),MATCH(H$1,Import_CO_Comuni!$A$4:$AAA$4,0))</f>
        <v>0</v>
      </c>
      <c r="I393" s="88">
        <f>INDEX(Import_CO_Comuni!$A$4:$AAA$324,MATCH($G393,Import_CO_Comuni!$A$4:$A$324,0),MATCH(I$1,Import_CO_Comuni!$A$4:$AAA$4,0))</f>
        <v>0</v>
      </c>
      <c r="J393" s="88">
        <f>INDEX(Import_CO_Comuni!$A$4:$AAA$324,MATCH($G393,Import_CO_Comuni!$A$4:$A$324,0),MATCH(J$1,Import_CO_Comuni!$A$4:$AAA$4,0))</f>
        <v>0</v>
      </c>
    </row>
    <row r="394" spans="1:10" x14ac:dyDescent="0.2">
      <c r="A394" s="86" t="s">
        <v>7422</v>
      </c>
      <c r="B394" s="447" t="str">
        <f>IN_Anagrafica!$B$9</f>
        <v>NO</v>
      </c>
      <c r="C394" s="369" t="str">
        <f t="shared" si="4"/>
        <v>NO</v>
      </c>
      <c r="D394" s="1028" t="s">
        <v>8218</v>
      </c>
      <c r="E394" s="1030" t="s">
        <v>330</v>
      </c>
      <c r="F394" s="1031" t="s">
        <v>8520</v>
      </c>
      <c r="G394" s="1031" t="s">
        <v>5853</v>
      </c>
      <c r="H394" s="88">
        <f>INDEX(Import_CO_Comuni!$A$4:$AAA$324,MATCH($G394,Import_CO_Comuni!$A$4:$A$324,0),MATCH(H$1,Import_CO_Comuni!$A$4:$AAA$4,0))</f>
        <v>0</v>
      </c>
      <c r="I394" s="88">
        <f>INDEX(Import_CO_Comuni!$A$4:$AAA$324,MATCH($G394,Import_CO_Comuni!$A$4:$A$324,0),MATCH(I$1,Import_CO_Comuni!$A$4:$AAA$4,0))</f>
        <v>0</v>
      </c>
      <c r="J394" s="88">
        <f>INDEX(Import_CO_Comuni!$A$4:$AAA$324,MATCH($G394,Import_CO_Comuni!$A$4:$A$324,0),MATCH(J$1,Import_CO_Comuni!$A$4:$AAA$4,0))</f>
        <v>0</v>
      </c>
    </row>
    <row r="395" spans="1:10" x14ac:dyDescent="0.2">
      <c r="A395" s="86" t="s">
        <v>7423</v>
      </c>
      <c r="B395" s="447" t="str">
        <f>IN_Anagrafica!$B$9</f>
        <v>NO</v>
      </c>
      <c r="C395" s="369" t="str">
        <f t="shared" si="4"/>
        <v>NO</v>
      </c>
      <c r="D395" s="1028" t="s">
        <v>8218</v>
      </c>
      <c r="E395" s="1030" t="s">
        <v>333</v>
      </c>
      <c r="F395" s="1031" t="s">
        <v>8520</v>
      </c>
      <c r="G395" s="1031" t="s">
        <v>5859</v>
      </c>
      <c r="H395" s="88">
        <f>INDEX(Import_CO_Comuni!$A$4:$AAA$324,MATCH($G395,Import_CO_Comuni!$A$4:$A$324,0),MATCH(H$1,Import_CO_Comuni!$A$4:$AAA$4,0))</f>
        <v>0</v>
      </c>
      <c r="I395" s="88">
        <f>INDEX(Import_CO_Comuni!$A$4:$AAA$324,MATCH($G395,Import_CO_Comuni!$A$4:$A$324,0),MATCH(I$1,Import_CO_Comuni!$A$4:$AAA$4,0))</f>
        <v>0</v>
      </c>
      <c r="J395" s="88">
        <f>INDEX(Import_CO_Comuni!$A$4:$AAA$324,MATCH($G395,Import_CO_Comuni!$A$4:$A$324,0),MATCH(J$1,Import_CO_Comuni!$A$4:$AAA$4,0))</f>
        <v>0</v>
      </c>
    </row>
    <row r="396" spans="1:10" x14ac:dyDescent="0.2">
      <c r="A396" s="86" t="s">
        <v>7424</v>
      </c>
      <c r="B396" s="447" t="str">
        <f>IN_Anagrafica!$B$9</f>
        <v>NO</v>
      </c>
      <c r="C396" s="369" t="str">
        <f t="shared" si="4"/>
        <v>NO</v>
      </c>
      <c r="D396" s="1028" t="s">
        <v>8218</v>
      </c>
      <c r="E396" s="1030" t="s">
        <v>303</v>
      </c>
      <c r="F396" s="1031" t="s">
        <v>8520</v>
      </c>
      <c r="G396" s="1031" t="s">
        <v>5812</v>
      </c>
      <c r="H396" s="88">
        <f>INDEX(Import_CO_Comuni!$A$4:$AAA$324,MATCH($G396,Import_CO_Comuni!$A$4:$A$324,0),MATCH(H$1,Import_CO_Comuni!$A$4:$AAA$4,0))</f>
        <v>0</v>
      </c>
      <c r="I396" s="88">
        <f>INDEX(Import_CO_Comuni!$A$4:$AAA$324,MATCH($G396,Import_CO_Comuni!$A$4:$A$324,0),MATCH(I$1,Import_CO_Comuni!$A$4:$AAA$4,0))</f>
        <v>0</v>
      </c>
      <c r="J396" s="88">
        <f>INDEX(Import_CO_Comuni!$A$4:$AAA$324,MATCH($G396,Import_CO_Comuni!$A$4:$A$324,0),MATCH(J$1,Import_CO_Comuni!$A$4:$AAA$4,0))</f>
        <v>0</v>
      </c>
    </row>
    <row r="397" spans="1:10" x14ac:dyDescent="0.2">
      <c r="A397" s="86" t="s">
        <v>7425</v>
      </c>
      <c r="B397" s="447" t="str">
        <f>IN_Anagrafica!$B$9</f>
        <v>NO</v>
      </c>
      <c r="C397" s="369" t="str">
        <f t="shared" si="4"/>
        <v>NO</v>
      </c>
      <c r="D397" s="1028" t="s">
        <v>8218</v>
      </c>
      <c r="E397" s="1030" t="s">
        <v>313</v>
      </c>
      <c r="F397" s="1031" t="s">
        <v>8520</v>
      </c>
      <c r="G397" s="1031" t="s">
        <v>5830</v>
      </c>
      <c r="H397" s="88">
        <f>INDEX(Import_CO_Comuni!$A$4:$AAA$324,MATCH($G397,Import_CO_Comuni!$A$4:$A$324,0),MATCH(H$1,Import_CO_Comuni!$A$4:$AAA$4,0))</f>
        <v>0</v>
      </c>
      <c r="I397" s="88">
        <f>INDEX(Import_CO_Comuni!$A$4:$AAA$324,MATCH($G397,Import_CO_Comuni!$A$4:$A$324,0),MATCH(I$1,Import_CO_Comuni!$A$4:$AAA$4,0))</f>
        <v>0</v>
      </c>
      <c r="J397" s="88">
        <f>INDEX(Import_CO_Comuni!$A$4:$AAA$324,MATCH($G397,Import_CO_Comuni!$A$4:$A$324,0),MATCH(J$1,Import_CO_Comuni!$A$4:$AAA$4,0))</f>
        <v>0</v>
      </c>
    </row>
    <row r="398" spans="1:10" x14ac:dyDescent="0.2">
      <c r="A398" s="86" t="s">
        <v>7426</v>
      </c>
      <c r="B398" s="447" t="str">
        <f>IN_Anagrafica!$B$9</f>
        <v>NO</v>
      </c>
      <c r="C398" s="369" t="str">
        <f t="shared" si="4"/>
        <v>NO</v>
      </c>
      <c r="D398" s="1028" t="s">
        <v>8218</v>
      </c>
      <c r="E398" s="1030" t="s">
        <v>319</v>
      </c>
      <c r="F398" s="1031" t="s">
        <v>8520</v>
      </c>
      <c r="G398" s="1031" t="s">
        <v>5836</v>
      </c>
      <c r="H398" s="88">
        <f>INDEX(Import_CO_Comuni!$A$4:$AAA$324,MATCH($G398,Import_CO_Comuni!$A$4:$A$324,0),MATCH(H$1,Import_CO_Comuni!$A$4:$AAA$4,0))</f>
        <v>0</v>
      </c>
      <c r="I398" s="88">
        <f>INDEX(Import_CO_Comuni!$A$4:$AAA$324,MATCH($G398,Import_CO_Comuni!$A$4:$A$324,0),MATCH(I$1,Import_CO_Comuni!$A$4:$AAA$4,0))</f>
        <v>0</v>
      </c>
      <c r="J398" s="88">
        <f>INDEX(Import_CO_Comuni!$A$4:$AAA$324,MATCH($G398,Import_CO_Comuni!$A$4:$A$324,0),MATCH(J$1,Import_CO_Comuni!$A$4:$AAA$4,0))</f>
        <v>0</v>
      </c>
    </row>
    <row r="399" spans="1:10" x14ac:dyDescent="0.2">
      <c r="A399" s="86" t="s">
        <v>7427</v>
      </c>
      <c r="B399" s="447" t="str">
        <f>IN_Anagrafica!$B$9</f>
        <v>NO</v>
      </c>
      <c r="C399" s="369" t="str">
        <f t="shared" si="4"/>
        <v>NO</v>
      </c>
      <c r="D399" s="1028" t="s">
        <v>8218</v>
      </c>
      <c r="E399" s="1030" t="s">
        <v>324</v>
      </c>
      <c r="F399" s="1031" t="s">
        <v>8520</v>
      </c>
      <c r="G399" s="1031" t="s">
        <v>5842</v>
      </c>
      <c r="H399" s="88">
        <f>INDEX(Import_CO_Comuni!$A$4:$AAA$324,MATCH($G399,Import_CO_Comuni!$A$4:$A$324,0),MATCH(H$1,Import_CO_Comuni!$A$4:$AAA$4,0))</f>
        <v>0</v>
      </c>
      <c r="I399" s="88">
        <f>INDEX(Import_CO_Comuni!$A$4:$AAA$324,MATCH($G399,Import_CO_Comuni!$A$4:$A$324,0),MATCH(I$1,Import_CO_Comuni!$A$4:$AAA$4,0))</f>
        <v>0</v>
      </c>
      <c r="J399" s="88">
        <f>INDEX(Import_CO_Comuni!$A$4:$AAA$324,MATCH($G399,Import_CO_Comuni!$A$4:$A$324,0),MATCH(J$1,Import_CO_Comuni!$A$4:$AAA$4,0))</f>
        <v>0</v>
      </c>
    </row>
    <row r="400" spans="1:10" x14ac:dyDescent="0.2">
      <c r="A400" s="86" t="s">
        <v>7428</v>
      </c>
      <c r="B400" s="447" t="str">
        <f>IN_Anagrafica!$B$9</f>
        <v>NO</v>
      </c>
      <c r="C400" s="369" t="str">
        <f t="shared" si="4"/>
        <v>NO</v>
      </c>
      <c r="D400" s="1028" t="s">
        <v>8218</v>
      </c>
      <c r="E400" s="1030" t="s">
        <v>327</v>
      </c>
      <c r="F400" s="1031" t="s">
        <v>8520</v>
      </c>
      <c r="G400" s="1031" t="s">
        <v>5848</v>
      </c>
      <c r="H400" s="88">
        <f>INDEX(Import_CO_Comuni!$A$4:$AAA$324,MATCH($G400,Import_CO_Comuni!$A$4:$A$324,0),MATCH(H$1,Import_CO_Comuni!$A$4:$AAA$4,0))</f>
        <v>0</v>
      </c>
      <c r="I400" s="88">
        <f>INDEX(Import_CO_Comuni!$A$4:$AAA$324,MATCH($G400,Import_CO_Comuni!$A$4:$A$324,0),MATCH(I$1,Import_CO_Comuni!$A$4:$AAA$4,0))</f>
        <v>0</v>
      </c>
      <c r="J400" s="88">
        <f>INDEX(Import_CO_Comuni!$A$4:$AAA$324,MATCH($G400,Import_CO_Comuni!$A$4:$A$324,0),MATCH(J$1,Import_CO_Comuni!$A$4:$AAA$4,0))</f>
        <v>0</v>
      </c>
    </row>
    <row r="401" spans="1:10" x14ac:dyDescent="0.2">
      <c r="A401" s="86" t="s">
        <v>7429</v>
      </c>
      <c r="B401" s="447" t="str">
        <f>IN_Anagrafica!$B$9</f>
        <v>NO</v>
      </c>
      <c r="C401" s="369" t="str">
        <f t="shared" si="4"/>
        <v>NO</v>
      </c>
      <c r="D401" s="1028" t="s">
        <v>8218</v>
      </c>
      <c r="E401" s="1030" t="s">
        <v>331</v>
      </c>
      <c r="F401" s="1031" t="s">
        <v>8520</v>
      </c>
      <c r="G401" s="1031" t="s">
        <v>5854</v>
      </c>
      <c r="H401" s="88">
        <f>INDEX(Import_CO_Comuni!$A$4:$AAA$324,MATCH($G401,Import_CO_Comuni!$A$4:$A$324,0),MATCH(H$1,Import_CO_Comuni!$A$4:$AAA$4,0))</f>
        <v>0</v>
      </c>
      <c r="I401" s="88">
        <f>INDEX(Import_CO_Comuni!$A$4:$AAA$324,MATCH($G401,Import_CO_Comuni!$A$4:$A$324,0),MATCH(I$1,Import_CO_Comuni!$A$4:$AAA$4,0))</f>
        <v>0</v>
      </c>
      <c r="J401" s="88">
        <f>INDEX(Import_CO_Comuni!$A$4:$AAA$324,MATCH($G401,Import_CO_Comuni!$A$4:$A$324,0),MATCH(J$1,Import_CO_Comuni!$A$4:$AAA$4,0))</f>
        <v>0</v>
      </c>
    </row>
    <row r="402" spans="1:10" x14ac:dyDescent="0.2">
      <c r="A402" s="86" t="s">
        <v>7430</v>
      </c>
      <c r="B402" s="447" t="str">
        <f>IN_Anagrafica!$B$9</f>
        <v>NO</v>
      </c>
      <c r="C402" s="369" t="str">
        <f t="shared" si="4"/>
        <v>NO</v>
      </c>
      <c r="D402" s="1028" t="s">
        <v>8218</v>
      </c>
      <c r="E402" s="1030" t="s">
        <v>334</v>
      </c>
      <c r="F402" s="1031" t="s">
        <v>8520</v>
      </c>
      <c r="G402" s="1031" t="s">
        <v>5860</v>
      </c>
      <c r="H402" s="88">
        <f>INDEX(Import_CO_Comuni!$A$4:$AAA$324,MATCH($G402,Import_CO_Comuni!$A$4:$A$324,0),MATCH(H$1,Import_CO_Comuni!$A$4:$AAA$4,0))</f>
        <v>0</v>
      </c>
      <c r="I402" s="88">
        <f>INDEX(Import_CO_Comuni!$A$4:$AAA$324,MATCH($G402,Import_CO_Comuni!$A$4:$A$324,0),MATCH(I$1,Import_CO_Comuni!$A$4:$AAA$4,0))</f>
        <v>0</v>
      </c>
      <c r="J402" s="88">
        <f>INDEX(Import_CO_Comuni!$A$4:$AAA$324,MATCH($G402,Import_CO_Comuni!$A$4:$A$324,0),MATCH(J$1,Import_CO_Comuni!$A$4:$AAA$4,0))</f>
        <v>0</v>
      </c>
    </row>
    <row r="403" spans="1:10" x14ac:dyDescent="0.2">
      <c r="A403" s="86" t="s">
        <v>7431</v>
      </c>
      <c r="B403" s="447" t="str">
        <f>IN_Anagrafica!$B$9</f>
        <v>NO</v>
      </c>
      <c r="C403" s="369" t="str">
        <f t="shared" si="4"/>
        <v>NO</v>
      </c>
      <c r="D403" s="1028" t="s">
        <v>8218</v>
      </c>
      <c r="E403" s="1030" t="s">
        <v>304</v>
      </c>
      <c r="F403" s="1031" t="s">
        <v>8520</v>
      </c>
      <c r="G403" s="1031" t="s">
        <v>5813</v>
      </c>
      <c r="H403" s="88">
        <f>INDEX(Import_CO_Comuni!$A$4:$AAA$324,MATCH($G403,Import_CO_Comuni!$A$4:$A$324,0),MATCH(H$1,Import_CO_Comuni!$A$4:$AAA$4,0))</f>
        <v>0</v>
      </c>
      <c r="I403" s="88">
        <f>INDEX(Import_CO_Comuni!$A$4:$AAA$324,MATCH($G403,Import_CO_Comuni!$A$4:$A$324,0),MATCH(I$1,Import_CO_Comuni!$A$4:$AAA$4,0))</f>
        <v>0</v>
      </c>
      <c r="J403" s="88">
        <f>INDEX(Import_CO_Comuni!$A$4:$AAA$324,MATCH($G403,Import_CO_Comuni!$A$4:$A$324,0),MATCH(J$1,Import_CO_Comuni!$A$4:$AAA$4,0))</f>
        <v>0</v>
      </c>
    </row>
    <row r="404" spans="1:10" x14ac:dyDescent="0.2">
      <c r="A404" s="86" t="s">
        <v>7432</v>
      </c>
      <c r="B404" s="447" t="str">
        <f>IN_Anagrafica!$B$9</f>
        <v>NO</v>
      </c>
      <c r="C404" s="369" t="str">
        <f t="shared" si="4"/>
        <v>NO</v>
      </c>
      <c r="D404" s="1028" t="s">
        <v>8218</v>
      </c>
      <c r="E404" s="1030" t="s">
        <v>306</v>
      </c>
      <c r="F404" s="1031" t="s">
        <v>8520</v>
      </c>
      <c r="G404" s="1031" t="s">
        <v>5819</v>
      </c>
      <c r="H404" s="88">
        <f>INDEX(Import_CO_Comuni!$A$4:$AAA$324,MATCH($G404,Import_CO_Comuni!$A$4:$A$324,0),MATCH(H$1,Import_CO_Comuni!$A$4:$AAA$4,0))</f>
        <v>0</v>
      </c>
      <c r="I404" s="88">
        <f>INDEX(Import_CO_Comuni!$A$4:$AAA$324,MATCH($G404,Import_CO_Comuni!$A$4:$A$324,0),MATCH(I$1,Import_CO_Comuni!$A$4:$AAA$4,0))</f>
        <v>0</v>
      </c>
      <c r="J404" s="88">
        <f>INDEX(Import_CO_Comuni!$A$4:$AAA$324,MATCH($G404,Import_CO_Comuni!$A$4:$A$324,0),MATCH(J$1,Import_CO_Comuni!$A$4:$AAA$4,0))</f>
        <v>0</v>
      </c>
    </row>
    <row r="405" spans="1:10" x14ac:dyDescent="0.2">
      <c r="A405" s="86" t="s">
        <v>7433</v>
      </c>
      <c r="B405" s="447" t="str">
        <f>IN_Anagrafica!$B$9</f>
        <v>NO</v>
      </c>
      <c r="C405" s="369" t="str">
        <f t="shared" si="4"/>
        <v>NO</v>
      </c>
      <c r="D405" s="1028" t="s">
        <v>8218</v>
      </c>
      <c r="E405" s="1030" t="s">
        <v>310</v>
      </c>
      <c r="F405" s="1031" t="s">
        <v>8520</v>
      </c>
      <c r="G405" s="1031" t="s">
        <v>5825</v>
      </c>
      <c r="H405" s="88">
        <f>INDEX(Import_CO_Comuni!$A$4:$AAA$324,MATCH($G405,Import_CO_Comuni!$A$4:$A$324,0),MATCH(H$1,Import_CO_Comuni!$A$4:$AAA$4,0))</f>
        <v>0</v>
      </c>
      <c r="I405" s="88">
        <f>INDEX(Import_CO_Comuni!$A$4:$AAA$324,MATCH($G405,Import_CO_Comuni!$A$4:$A$324,0),MATCH(I$1,Import_CO_Comuni!$A$4:$AAA$4,0))</f>
        <v>0</v>
      </c>
      <c r="J405" s="88">
        <f>INDEX(Import_CO_Comuni!$A$4:$AAA$324,MATCH($G405,Import_CO_Comuni!$A$4:$A$324,0),MATCH(J$1,Import_CO_Comuni!$A$4:$AAA$4,0))</f>
        <v>0</v>
      </c>
    </row>
    <row r="406" spans="1:10" x14ac:dyDescent="0.2">
      <c r="A406" s="86" t="s">
        <v>7434</v>
      </c>
      <c r="B406" s="447" t="str">
        <f>IN_Anagrafica!$B$9</f>
        <v>NO</v>
      </c>
      <c r="C406" s="369" t="str">
        <f t="shared" si="4"/>
        <v>NO</v>
      </c>
      <c r="D406" s="1028" t="s">
        <v>8218</v>
      </c>
      <c r="E406" s="1030" t="s">
        <v>314</v>
      </c>
      <c r="F406" s="1031" t="s">
        <v>8520</v>
      </c>
      <c r="G406" s="1031" t="s">
        <v>5831</v>
      </c>
      <c r="H406" s="88">
        <f>INDEX(Import_CO_Comuni!$A$4:$AAA$324,MATCH($G406,Import_CO_Comuni!$A$4:$A$324,0),MATCH(H$1,Import_CO_Comuni!$A$4:$AAA$4,0))</f>
        <v>0</v>
      </c>
      <c r="I406" s="88">
        <f>INDEX(Import_CO_Comuni!$A$4:$AAA$324,MATCH($G406,Import_CO_Comuni!$A$4:$A$324,0),MATCH(I$1,Import_CO_Comuni!$A$4:$AAA$4,0))</f>
        <v>0</v>
      </c>
      <c r="J406" s="88">
        <f>INDEX(Import_CO_Comuni!$A$4:$AAA$324,MATCH($G406,Import_CO_Comuni!$A$4:$A$324,0),MATCH(J$1,Import_CO_Comuni!$A$4:$AAA$4,0))</f>
        <v>0</v>
      </c>
    </row>
    <row r="407" spans="1:10" x14ac:dyDescent="0.2">
      <c r="A407" s="86" t="s">
        <v>7435</v>
      </c>
      <c r="B407" s="447" t="str">
        <f>IN_Anagrafica!$B$9</f>
        <v>NO</v>
      </c>
      <c r="C407" s="369" t="str">
        <f t="shared" si="4"/>
        <v>NO</v>
      </c>
      <c r="D407" s="1028" t="s">
        <v>8218</v>
      </c>
      <c r="E407" s="1030" t="s">
        <v>320</v>
      </c>
      <c r="F407" s="1031" t="s">
        <v>8520</v>
      </c>
      <c r="G407" s="1031" t="s">
        <v>5837</v>
      </c>
      <c r="H407" s="88">
        <f>INDEX(Import_CO_Comuni!$A$4:$AAA$324,MATCH($G407,Import_CO_Comuni!$A$4:$A$324,0),MATCH(H$1,Import_CO_Comuni!$A$4:$AAA$4,0))</f>
        <v>0</v>
      </c>
      <c r="I407" s="88">
        <f>INDEX(Import_CO_Comuni!$A$4:$AAA$324,MATCH($G407,Import_CO_Comuni!$A$4:$A$324,0),MATCH(I$1,Import_CO_Comuni!$A$4:$AAA$4,0))</f>
        <v>0</v>
      </c>
      <c r="J407" s="88">
        <f>INDEX(Import_CO_Comuni!$A$4:$AAA$324,MATCH($G407,Import_CO_Comuni!$A$4:$A$324,0),MATCH(J$1,Import_CO_Comuni!$A$4:$AAA$4,0))</f>
        <v>0</v>
      </c>
    </row>
    <row r="408" spans="1:10" x14ac:dyDescent="0.2">
      <c r="A408" s="86" t="s">
        <v>7436</v>
      </c>
      <c r="B408" s="447" t="str">
        <f>IN_Anagrafica!$B$9</f>
        <v>NO</v>
      </c>
      <c r="C408" s="369" t="str">
        <f t="shared" si="4"/>
        <v>NO</v>
      </c>
      <c r="D408" s="1028" t="s">
        <v>8218</v>
      </c>
      <c r="E408" s="1030" t="s">
        <v>325</v>
      </c>
      <c r="F408" s="1031" t="s">
        <v>8520</v>
      </c>
      <c r="G408" s="1031" t="s">
        <v>5843</v>
      </c>
      <c r="H408" s="88">
        <f>INDEX(Import_CO_Comuni!$A$4:$AAA$324,MATCH($G408,Import_CO_Comuni!$A$4:$A$324,0),MATCH(H$1,Import_CO_Comuni!$A$4:$AAA$4,0))</f>
        <v>0</v>
      </c>
      <c r="I408" s="88">
        <f>INDEX(Import_CO_Comuni!$A$4:$AAA$324,MATCH($G408,Import_CO_Comuni!$A$4:$A$324,0),MATCH(I$1,Import_CO_Comuni!$A$4:$AAA$4,0))</f>
        <v>0</v>
      </c>
      <c r="J408" s="88">
        <f>INDEX(Import_CO_Comuni!$A$4:$AAA$324,MATCH($G408,Import_CO_Comuni!$A$4:$A$324,0),MATCH(J$1,Import_CO_Comuni!$A$4:$AAA$4,0))</f>
        <v>0</v>
      </c>
    </row>
    <row r="409" spans="1:10" x14ac:dyDescent="0.2">
      <c r="A409" s="86" t="s">
        <v>7437</v>
      </c>
      <c r="B409" s="447" t="str">
        <f>IN_Anagrafica!$B$9</f>
        <v>NO</v>
      </c>
      <c r="C409" s="369" t="str">
        <f t="shared" si="4"/>
        <v>NO</v>
      </c>
      <c r="D409" s="1028" t="s">
        <v>8218</v>
      </c>
      <c r="E409" s="1030" t="s">
        <v>328</v>
      </c>
      <c r="F409" s="1031" t="s">
        <v>8520</v>
      </c>
      <c r="G409" s="1031" t="s">
        <v>5849</v>
      </c>
      <c r="H409" s="88">
        <f>INDEX(Import_CO_Comuni!$A$4:$AAA$324,MATCH($G409,Import_CO_Comuni!$A$4:$A$324,0),MATCH(H$1,Import_CO_Comuni!$A$4:$AAA$4,0))</f>
        <v>0</v>
      </c>
      <c r="I409" s="88">
        <f>INDEX(Import_CO_Comuni!$A$4:$AAA$324,MATCH($G409,Import_CO_Comuni!$A$4:$A$324,0),MATCH(I$1,Import_CO_Comuni!$A$4:$AAA$4,0))</f>
        <v>0</v>
      </c>
      <c r="J409" s="88">
        <f>INDEX(Import_CO_Comuni!$A$4:$AAA$324,MATCH($G409,Import_CO_Comuni!$A$4:$A$324,0),MATCH(J$1,Import_CO_Comuni!$A$4:$AAA$4,0))</f>
        <v>0</v>
      </c>
    </row>
    <row r="410" spans="1:10" x14ac:dyDescent="0.2">
      <c r="A410" s="86" t="s">
        <v>7438</v>
      </c>
      <c r="B410" s="447" t="str">
        <f>IN_Anagrafica!$B$9</f>
        <v>NO</v>
      </c>
      <c r="C410" s="369" t="str">
        <f t="shared" si="4"/>
        <v>NO</v>
      </c>
      <c r="D410" s="1028" t="s">
        <v>8218</v>
      </c>
      <c r="E410" s="1030" t="s">
        <v>332</v>
      </c>
      <c r="F410" s="1031" t="s">
        <v>8520</v>
      </c>
      <c r="G410" s="1031" t="s">
        <v>5855</v>
      </c>
      <c r="H410" s="88">
        <f>INDEX(Import_CO_Comuni!$A$4:$AAA$324,MATCH($G410,Import_CO_Comuni!$A$4:$A$324,0),MATCH(H$1,Import_CO_Comuni!$A$4:$AAA$4,0))</f>
        <v>0</v>
      </c>
      <c r="I410" s="88">
        <f>INDEX(Import_CO_Comuni!$A$4:$AAA$324,MATCH($G410,Import_CO_Comuni!$A$4:$A$324,0),MATCH(I$1,Import_CO_Comuni!$A$4:$AAA$4,0))</f>
        <v>0</v>
      </c>
      <c r="J410" s="88">
        <f>INDEX(Import_CO_Comuni!$A$4:$AAA$324,MATCH($G410,Import_CO_Comuni!$A$4:$A$324,0),MATCH(J$1,Import_CO_Comuni!$A$4:$AAA$4,0))</f>
        <v>0</v>
      </c>
    </row>
    <row r="411" spans="1:10" x14ac:dyDescent="0.2">
      <c r="A411" s="86" t="s">
        <v>7439</v>
      </c>
      <c r="B411" s="447" t="str">
        <f>IN_Anagrafica!$B$9</f>
        <v>NO</v>
      </c>
      <c r="C411" s="369" t="str">
        <f t="shared" si="4"/>
        <v>NO</v>
      </c>
      <c r="D411" s="1028" t="s">
        <v>8218</v>
      </c>
      <c r="E411" s="1030" t="s">
        <v>335</v>
      </c>
      <c r="F411" s="1031" t="s">
        <v>8520</v>
      </c>
      <c r="G411" s="1031" t="s">
        <v>5861</v>
      </c>
      <c r="H411" s="88">
        <f>INDEX(Import_CO_Comuni!$A$4:$AAA$324,MATCH($G411,Import_CO_Comuni!$A$4:$A$324,0),MATCH(H$1,Import_CO_Comuni!$A$4:$AAA$4,0))</f>
        <v>0</v>
      </c>
      <c r="I411" s="88">
        <f>INDEX(Import_CO_Comuni!$A$4:$AAA$324,MATCH($G411,Import_CO_Comuni!$A$4:$A$324,0),MATCH(I$1,Import_CO_Comuni!$A$4:$AAA$4,0))</f>
        <v>0</v>
      </c>
      <c r="J411" s="88">
        <f>INDEX(Import_CO_Comuni!$A$4:$AAA$324,MATCH($G411,Import_CO_Comuni!$A$4:$A$324,0),MATCH(J$1,Import_CO_Comuni!$A$4:$AAA$4,0))</f>
        <v>0</v>
      </c>
    </row>
    <row r="412" spans="1:10" x14ac:dyDescent="0.2">
      <c r="A412" s="86" t="s">
        <v>7440</v>
      </c>
      <c r="B412" s="447" t="str">
        <f>IN_Anagrafica!$B$9</f>
        <v>NO</v>
      </c>
      <c r="C412" s="369" t="str">
        <f t="shared" ref="C412:C469" si="5">IF(B412="SI","SI","NO")</f>
        <v>NO</v>
      </c>
      <c r="D412" s="1028" t="s">
        <v>8218</v>
      </c>
      <c r="E412" s="1030" t="s">
        <v>675</v>
      </c>
      <c r="F412" s="1031" t="s">
        <v>8520</v>
      </c>
      <c r="G412" s="1031" t="s">
        <v>5814</v>
      </c>
      <c r="H412" s="88">
        <f>INDEX(Import_CO_Comuni!$A$4:$AAA$324,MATCH($G412,Import_CO_Comuni!$A$4:$A$324,0),MATCH(H$1,Import_CO_Comuni!$A$4:$AAA$4,0))</f>
        <v>0</v>
      </c>
      <c r="I412" s="88">
        <f>INDEX(Import_CO_Comuni!$A$4:$AAA$324,MATCH($G412,Import_CO_Comuni!$A$4:$A$324,0),MATCH(I$1,Import_CO_Comuni!$A$4:$AAA$4,0))</f>
        <v>0</v>
      </c>
      <c r="J412" s="88">
        <f>INDEX(Import_CO_Comuni!$A$4:$AAA$324,MATCH($G412,Import_CO_Comuni!$A$4:$A$324,0),MATCH(J$1,Import_CO_Comuni!$A$4:$AAA$4,0))</f>
        <v>0</v>
      </c>
    </row>
    <row r="413" spans="1:10" x14ac:dyDescent="0.2">
      <c r="A413" s="86" t="s">
        <v>7441</v>
      </c>
      <c r="B413" s="447" t="str">
        <f>IN_Anagrafica!$B$9</f>
        <v>NO</v>
      </c>
      <c r="C413" s="369" t="str">
        <f t="shared" si="5"/>
        <v>NO</v>
      </c>
      <c r="D413" s="1028" t="s">
        <v>8218</v>
      </c>
      <c r="E413" s="1030" t="s">
        <v>8190</v>
      </c>
      <c r="F413" s="1031" t="s">
        <v>8520</v>
      </c>
      <c r="G413" s="1031" t="s">
        <v>5820</v>
      </c>
      <c r="H413" s="88">
        <f>INDEX(Import_CO_Comuni!$A$4:$AAA$324,MATCH($G413,Import_CO_Comuni!$A$4:$A$324,0),MATCH(H$1,Import_CO_Comuni!$A$4:$AAA$4,0))</f>
        <v>0</v>
      </c>
      <c r="I413" s="88">
        <f>INDEX(Import_CO_Comuni!$A$4:$AAA$324,MATCH($G413,Import_CO_Comuni!$A$4:$A$324,0),MATCH(I$1,Import_CO_Comuni!$A$4:$AAA$4,0))</f>
        <v>0</v>
      </c>
      <c r="J413" s="88">
        <f>INDEX(Import_CO_Comuni!$A$4:$AAA$324,MATCH($G413,Import_CO_Comuni!$A$4:$A$324,0),MATCH(J$1,Import_CO_Comuni!$A$4:$AAA$4,0))</f>
        <v>0</v>
      </c>
    </row>
    <row r="414" spans="1:10" x14ac:dyDescent="0.2">
      <c r="A414" s="86" t="s">
        <v>7442</v>
      </c>
      <c r="B414" s="447" t="str">
        <f>IN_Anagrafica!$B$9</f>
        <v>NO</v>
      </c>
      <c r="C414" s="369" t="str">
        <f t="shared" si="5"/>
        <v>NO</v>
      </c>
      <c r="D414" s="1028" t="s">
        <v>8218</v>
      </c>
      <c r="E414" s="1030" t="s">
        <v>8191</v>
      </c>
      <c r="F414" s="1031" t="s">
        <v>8520</v>
      </c>
      <c r="G414" s="1031" t="s">
        <v>5826</v>
      </c>
      <c r="H414" s="88">
        <f>INDEX(Import_CO_Comuni!$A$4:$AAA$324,MATCH($G414,Import_CO_Comuni!$A$4:$A$324,0),MATCH(H$1,Import_CO_Comuni!$A$4:$AAA$4,0))</f>
        <v>0</v>
      </c>
      <c r="I414" s="88">
        <f>INDEX(Import_CO_Comuni!$A$4:$AAA$324,MATCH($G414,Import_CO_Comuni!$A$4:$A$324,0),MATCH(I$1,Import_CO_Comuni!$A$4:$AAA$4,0))</f>
        <v>0</v>
      </c>
      <c r="J414" s="88">
        <f>INDEX(Import_CO_Comuni!$A$4:$AAA$324,MATCH($G414,Import_CO_Comuni!$A$4:$A$324,0),MATCH(J$1,Import_CO_Comuni!$A$4:$AAA$4,0))</f>
        <v>0</v>
      </c>
    </row>
    <row r="415" spans="1:10" x14ac:dyDescent="0.2">
      <c r="A415" s="86" t="s">
        <v>7443</v>
      </c>
      <c r="B415" s="447" t="str">
        <f>IN_Anagrafica!$B$9</f>
        <v>NO</v>
      </c>
      <c r="C415" s="369" t="str">
        <f t="shared" si="5"/>
        <v>NO</v>
      </c>
      <c r="D415" s="1028" t="s">
        <v>8218</v>
      </c>
      <c r="E415" s="1030" t="s">
        <v>677</v>
      </c>
      <c r="F415" s="1031" t="s">
        <v>8520</v>
      </c>
      <c r="G415" s="1031" t="s">
        <v>5832</v>
      </c>
      <c r="H415" s="88">
        <f>INDEX(Import_CO_Comuni!$A$4:$AAA$324,MATCH($G415,Import_CO_Comuni!$A$4:$A$324,0),MATCH(H$1,Import_CO_Comuni!$A$4:$AAA$4,0))</f>
        <v>0</v>
      </c>
      <c r="I415" s="88">
        <f>INDEX(Import_CO_Comuni!$A$4:$AAA$324,MATCH($G415,Import_CO_Comuni!$A$4:$A$324,0),MATCH(I$1,Import_CO_Comuni!$A$4:$AAA$4,0))</f>
        <v>0</v>
      </c>
      <c r="J415" s="88">
        <f>INDEX(Import_CO_Comuni!$A$4:$AAA$324,MATCH($G415,Import_CO_Comuni!$A$4:$A$324,0),MATCH(J$1,Import_CO_Comuni!$A$4:$AAA$4,0))</f>
        <v>0</v>
      </c>
    </row>
    <row r="416" spans="1:10" x14ac:dyDescent="0.2">
      <c r="A416" s="86" t="s">
        <v>7444</v>
      </c>
      <c r="B416" s="447" t="str">
        <f>IN_Anagrafica!$B$9</f>
        <v>NO</v>
      </c>
      <c r="C416" s="369" t="str">
        <f t="shared" si="5"/>
        <v>NO</v>
      </c>
      <c r="D416" s="1028" t="s">
        <v>8218</v>
      </c>
      <c r="E416" s="1030" t="s">
        <v>680</v>
      </c>
      <c r="F416" s="1031" t="s">
        <v>8520</v>
      </c>
      <c r="G416" s="1031" t="s">
        <v>5838</v>
      </c>
      <c r="H416" s="88">
        <f>INDEX(Import_CO_Comuni!$A$4:$AAA$324,MATCH($G416,Import_CO_Comuni!$A$4:$A$324,0),MATCH(H$1,Import_CO_Comuni!$A$4:$AAA$4,0))</f>
        <v>0</v>
      </c>
      <c r="I416" s="88">
        <f>INDEX(Import_CO_Comuni!$A$4:$AAA$324,MATCH($G416,Import_CO_Comuni!$A$4:$A$324,0),MATCH(I$1,Import_CO_Comuni!$A$4:$AAA$4,0))</f>
        <v>0</v>
      </c>
      <c r="J416" s="88">
        <f>INDEX(Import_CO_Comuni!$A$4:$AAA$324,MATCH($G416,Import_CO_Comuni!$A$4:$A$324,0),MATCH(J$1,Import_CO_Comuni!$A$4:$AAA$4,0))</f>
        <v>0</v>
      </c>
    </row>
    <row r="417" spans="1:10" x14ac:dyDescent="0.2">
      <c r="A417" s="86" t="s">
        <v>7445</v>
      </c>
      <c r="B417" s="447" t="str">
        <f>IN_Anagrafica!$B$9</f>
        <v>NO</v>
      </c>
      <c r="C417" s="369" t="str">
        <f t="shared" si="5"/>
        <v>NO</v>
      </c>
      <c r="D417" s="1028" t="s">
        <v>8218</v>
      </c>
      <c r="E417" s="1030" t="s">
        <v>8192</v>
      </c>
      <c r="F417" s="1031" t="s">
        <v>8520</v>
      </c>
      <c r="G417" s="1031" t="s">
        <v>5844</v>
      </c>
      <c r="H417" s="88">
        <f>INDEX(Import_CO_Comuni!$A$4:$AAA$324,MATCH($G417,Import_CO_Comuni!$A$4:$A$324,0),MATCH(H$1,Import_CO_Comuni!$A$4:$AAA$4,0))</f>
        <v>0</v>
      </c>
      <c r="I417" s="88">
        <f>INDEX(Import_CO_Comuni!$A$4:$AAA$324,MATCH($G417,Import_CO_Comuni!$A$4:$A$324,0),MATCH(I$1,Import_CO_Comuni!$A$4:$AAA$4,0))</f>
        <v>0</v>
      </c>
      <c r="J417" s="88">
        <f>INDEX(Import_CO_Comuni!$A$4:$AAA$324,MATCH($G417,Import_CO_Comuni!$A$4:$A$324,0),MATCH(J$1,Import_CO_Comuni!$A$4:$AAA$4,0))</f>
        <v>0</v>
      </c>
    </row>
    <row r="418" spans="1:10" x14ac:dyDescent="0.2">
      <c r="A418" s="86" t="s">
        <v>7446</v>
      </c>
      <c r="B418" s="447" t="str">
        <f>IN_Anagrafica!$B$9</f>
        <v>NO</v>
      </c>
      <c r="C418" s="369" t="str">
        <f t="shared" si="5"/>
        <v>NO</v>
      </c>
      <c r="D418" s="1028" t="s">
        <v>8218</v>
      </c>
      <c r="E418" s="1030" t="s">
        <v>8193</v>
      </c>
      <c r="F418" s="1031" t="s">
        <v>8520</v>
      </c>
      <c r="G418" s="1031" t="s">
        <v>5850</v>
      </c>
      <c r="H418" s="88">
        <f>INDEX(Import_CO_Comuni!$A$4:$AAA$324,MATCH($G418,Import_CO_Comuni!$A$4:$A$324,0),MATCH(H$1,Import_CO_Comuni!$A$4:$AAA$4,0))</f>
        <v>0</v>
      </c>
      <c r="I418" s="88">
        <f>INDEX(Import_CO_Comuni!$A$4:$AAA$324,MATCH($G418,Import_CO_Comuni!$A$4:$A$324,0),MATCH(I$1,Import_CO_Comuni!$A$4:$AAA$4,0))</f>
        <v>0</v>
      </c>
      <c r="J418" s="88">
        <f>INDEX(Import_CO_Comuni!$A$4:$AAA$324,MATCH($G418,Import_CO_Comuni!$A$4:$A$324,0),MATCH(J$1,Import_CO_Comuni!$A$4:$AAA$4,0))</f>
        <v>0</v>
      </c>
    </row>
    <row r="419" spans="1:10" x14ac:dyDescent="0.2">
      <c r="A419" s="86" t="s">
        <v>7447</v>
      </c>
      <c r="B419" s="447" t="str">
        <f>IN_Anagrafica!$B$9</f>
        <v>NO</v>
      </c>
      <c r="C419" s="369" t="str">
        <f t="shared" si="5"/>
        <v>NO</v>
      </c>
      <c r="D419" s="1028" t="s">
        <v>8218</v>
      </c>
      <c r="E419" s="1030" t="s">
        <v>682</v>
      </c>
      <c r="F419" s="1031" t="s">
        <v>8520</v>
      </c>
      <c r="G419" s="1031" t="s">
        <v>5856</v>
      </c>
      <c r="H419" s="88">
        <f>INDEX(Import_CO_Comuni!$A$4:$AAA$324,MATCH($G419,Import_CO_Comuni!$A$4:$A$324,0),MATCH(H$1,Import_CO_Comuni!$A$4:$AAA$4,0))</f>
        <v>0</v>
      </c>
      <c r="I419" s="88">
        <f>INDEX(Import_CO_Comuni!$A$4:$AAA$324,MATCH($G419,Import_CO_Comuni!$A$4:$A$324,0),MATCH(I$1,Import_CO_Comuni!$A$4:$AAA$4,0))</f>
        <v>0</v>
      </c>
      <c r="J419" s="88">
        <f>INDEX(Import_CO_Comuni!$A$4:$AAA$324,MATCH($G419,Import_CO_Comuni!$A$4:$A$324,0),MATCH(J$1,Import_CO_Comuni!$A$4:$AAA$4,0))</f>
        <v>0</v>
      </c>
    </row>
    <row r="420" spans="1:10" x14ac:dyDescent="0.2">
      <c r="A420" s="86" t="s">
        <v>7448</v>
      </c>
      <c r="B420" s="447" t="str">
        <f>IN_Anagrafica!$B$9</f>
        <v>NO</v>
      </c>
      <c r="C420" s="369" t="str">
        <f t="shared" si="5"/>
        <v>NO</v>
      </c>
      <c r="D420" s="1028" t="s">
        <v>8218</v>
      </c>
      <c r="E420" s="1030" t="s">
        <v>8194</v>
      </c>
      <c r="F420" s="1031" t="s">
        <v>8520</v>
      </c>
      <c r="G420" s="1031" t="s">
        <v>5862</v>
      </c>
      <c r="H420" s="88">
        <f>INDEX(Import_CO_Comuni!$A$4:$AAA$324,MATCH($G420,Import_CO_Comuni!$A$4:$A$324,0),MATCH(H$1,Import_CO_Comuni!$A$4:$AAA$4,0))</f>
        <v>0</v>
      </c>
      <c r="I420" s="88">
        <f>INDEX(Import_CO_Comuni!$A$4:$AAA$324,MATCH($G420,Import_CO_Comuni!$A$4:$A$324,0),MATCH(I$1,Import_CO_Comuni!$A$4:$AAA$4,0))</f>
        <v>0</v>
      </c>
      <c r="J420" s="88">
        <f>INDEX(Import_CO_Comuni!$A$4:$AAA$324,MATCH($G420,Import_CO_Comuni!$A$4:$A$324,0),MATCH(J$1,Import_CO_Comuni!$A$4:$AAA$4,0))</f>
        <v>0</v>
      </c>
    </row>
    <row r="421" spans="1:10" x14ac:dyDescent="0.2">
      <c r="A421" s="86" t="s">
        <v>7449</v>
      </c>
      <c r="B421" s="447" t="str">
        <f>IN_Anagrafica!$B$9</f>
        <v>NO</v>
      </c>
      <c r="C421" s="369" t="str">
        <f t="shared" si="5"/>
        <v>NO</v>
      </c>
      <c r="D421" s="1028" t="s">
        <v>8218</v>
      </c>
      <c r="E421" s="1030" t="s">
        <v>676</v>
      </c>
      <c r="F421" s="1031" t="s">
        <v>8520</v>
      </c>
      <c r="G421" s="1031" t="s">
        <v>5815</v>
      </c>
      <c r="H421" s="88">
        <f>INDEX(Import_CO_Comuni!$A$4:$AAA$324,MATCH($G421,Import_CO_Comuni!$A$4:$A$324,0),MATCH(H$1,Import_CO_Comuni!$A$4:$AAA$4,0))</f>
        <v>0</v>
      </c>
      <c r="I421" s="88">
        <f>INDEX(Import_CO_Comuni!$A$4:$AAA$324,MATCH($G421,Import_CO_Comuni!$A$4:$A$324,0),MATCH(I$1,Import_CO_Comuni!$A$4:$AAA$4,0))</f>
        <v>0</v>
      </c>
      <c r="J421" s="88">
        <f>INDEX(Import_CO_Comuni!$A$4:$AAA$324,MATCH($G421,Import_CO_Comuni!$A$4:$A$324,0),MATCH(J$1,Import_CO_Comuni!$A$4:$AAA$4,0))</f>
        <v>0</v>
      </c>
    </row>
    <row r="422" spans="1:10" x14ac:dyDescent="0.2">
      <c r="A422" s="86" t="s">
        <v>7450</v>
      </c>
      <c r="B422" s="447" t="str">
        <f>IN_Anagrafica!$B$9</f>
        <v>NO</v>
      </c>
      <c r="C422" s="369" t="str">
        <f t="shared" si="5"/>
        <v>NO</v>
      </c>
      <c r="D422" s="1028" t="s">
        <v>8218</v>
      </c>
      <c r="E422" s="1030" t="s">
        <v>8195</v>
      </c>
      <c r="F422" s="1031" t="s">
        <v>8520</v>
      </c>
      <c r="G422" s="1031" t="s">
        <v>5821</v>
      </c>
      <c r="H422" s="88">
        <f>INDEX(Import_CO_Comuni!$A$4:$AAA$324,MATCH($G422,Import_CO_Comuni!$A$4:$A$324,0),MATCH(H$1,Import_CO_Comuni!$A$4:$AAA$4,0))</f>
        <v>0</v>
      </c>
      <c r="I422" s="88">
        <f>INDEX(Import_CO_Comuni!$A$4:$AAA$324,MATCH($G422,Import_CO_Comuni!$A$4:$A$324,0),MATCH(I$1,Import_CO_Comuni!$A$4:$AAA$4,0))</f>
        <v>0</v>
      </c>
      <c r="J422" s="88">
        <f>INDEX(Import_CO_Comuni!$A$4:$AAA$324,MATCH($G422,Import_CO_Comuni!$A$4:$A$324,0),MATCH(J$1,Import_CO_Comuni!$A$4:$AAA$4,0))</f>
        <v>0</v>
      </c>
    </row>
    <row r="423" spans="1:10" x14ac:dyDescent="0.2">
      <c r="A423" s="86" t="s">
        <v>7451</v>
      </c>
      <c r="B423" s="447" t="str">
        <f>IN_Anagrafica!$B$9</f>
        <v>NO</v>
      </c>
      <c r="C423" s="369" t="str">
        <f t="shared" si="5"/>
        <v>NO</v>
      </c>
      <c r="D423" s="1028" t="s">
        <v>8218</v>
      </c>
      <c r="E423" s="1030" t="s">
        <v>8196</v>
      </c>
      <c r="F423" s="1031" t="s">
        <v>8520</v>
      </c>
      <c r="G423" s="1031" t="s">
        <v>5827</v>
      </c>
      <c r="H423" s="88">
        <f>INDEX(Import_CO_Comuni!$A$4:$AAA$324,MATCH($G423,Import_CO_Comuni!$A$4:$A$324,0),MATCH(H$1,Import_CO_Comuni!$A$4:$AAA$4,0))</f>
        <v>0</v>
      </c>
      <c r="I423" s="88">
        <f>INDEX(Import_CO_Comuni!$A$4:$AAA$324,MATCH($G423,Import_CO_Comuni!$A$4:$A$324,0),MATCH(I$1,Import_CO_Comuni!$A$4:$AAA$4,0))</f>
        <v>0</v>
      </c>
      <c r="J423" s="88">
        <f>INDEX(Import_CO_Comuni!$A$4:$AAA$324,MATCH($G423,Import_CO_Comuni!$A$4:$A$324,0),MATCH(J$1,Import_CO_Comuni!$A$4:$AAA$4,0))</f>
        <v>0</v>
      </c>
    </row>
    <row r="424" spans="1:10" x14ac:dyDescent="0.2">
      <c r="A424" s="86" t="s">
        <v>7452</v>
      </c>
      <c r="B424" s="447" t="str">
        <f>IN_Anagrafica!$B$9</f>
        <v>NO</v>
      </c>
      <c r="C424" s="369" t="str">
        <f t="shared" si="5"/>
        <v>NO</v>
      </c>
      <c r="D424" s="1028" t="s">
        <v>8218</v>
      </c>
      <c r="E424" s="1030" t="s">
        <v>678</v>
      </c>
      <c r="F424" s="1031" t="s">
        <v>8520</v>
      </c>
      <c r="G424" s="1031" t="s">
        <v>5833</v>
      </c>
      <c r="H424" s="88">
        <f>INDEX(Import_CO_Comuni!$A$4:$AAA$324,MATCH($G424,Import_CO_Comuni!$A$4:$A$324,0),MATCH(H$1,Import_CO_Comuni!$A$4:$AAA$4,0))</f>
        <v>0</v>
      </c>
      <c r="I424" s="88">
        <f>INDEX(Import_CO_Comuni!$A$4:$AAA$324,MATCH($G424,Import_CO_Comuni!$A$4:$A$324,0),MATCH(I$1,Import_CO_Comuni!$A$4:$AAA$4,0))</f>
        <v>0</v>
      </c>
      <c r="J424" s="88">
        <f>INDEX(Import_CO_Comuni!$A$4:$AAA$324,MATCH($G424,Import_CO_Comuni!$A$4:$A$324,0),MATCH(J$1,Import_CO_Comuni!$A$4:$AAA$4,0))</f>
        <v>0</v>
      </c>
    </row>
    <row r="425" spans="1:10" x14ac:dyDescent="0.2">
      <c r="A425" s="86" t="s">
        <v>7453</v>
      </c>
      <c r="B425" s="447" t="str">
        <f>IN_Anagrafica!$B$9</f>
        <v>NO</v>
      </c>
      <c r="C425" s="369" t="str">
        <f t="shared" si="5"/>
        <v>NO</v>
      </c>
      <c r="D425" s="1028" t="s">
        <v>8218</v>
      </c>
      <c r="E425" s="1030" t="s">
        <v>681</v>
      </c>
      <c r="F425" s="1031" t="s">
        <v>8520</v>
      </c>
      <c r="G425" s="1031" t="s">
        <v>5839</v>
      </c>
      <c r="H425" s="88">
        <f>INDEX(Import_CO_Comuni!$A$4:$AAA$324,MATCH($G425,Import_CO_Comuni!$A$4:$A$324,0),MATCH(H$1,Import_CO_Comuni!$A$4:$AAA$4,0))</f>
        <v>0</v>
      </c>
      <c r="I425" s="88">
        <f>INDEX(Import_CO_Comuni!$A$4:$AAA$324,MATCH($G425,Import_CO_Comuni!$A$4:$A$324,0),MATCH(I$1,Import_CO_Comuni!$A$4:$AAA$4,0))</f>
        <v>0</v>
      </c>
      <c r="J425" s="88">
        <f>INDEX(Import_CO_Comuni!$A$4:$AAA$324,MATCH($G425,Import_CO_Comuni!$A$4:$A$324,0),MATCH(J$1,Import_CO_Comuni!$A$4:$AAA$4,0))</f>
        <v>0</v>
      </c>
    </row>
    <row r="426" spans="1:10" x14ac:dyDescent="0.2">
      <c r="A426" s="86" t="s">
        <v>7454</v>
      </c>
      <c r="B426" s="447" t="str">
        <f>IN_Anagrafica!$B$9</f>
        <v>NO</v>
      </c>
      <c r="C426" s="369" t="str">
        <f t="shared" si="5"/>
        <v>NO</v>
      </c>
      <c r="D426" s="1028" t="s">
        <v>8218</v>
      </c>
      <c r="E426" s="1030" t="s">
        <v>8197</v>
      </c>
      <c r="F426" s="1031" t="s">
        <v>8520</v>
      </c>
      <c r="G426" s="1031" t="s">
        <v>5845</v>
      </c>
      <c r="H426" s="88">
        <f>INDEX(Import_CO_Comuni!$A$4:$AAA$324,MATCH($G426,Import_CO_Comuni!$A$4:$A$324,0),MATCH(H$1,Import_CO_Comuni!$A$4:$AAA$4,0))</f>
        <v>0</v>
      </c>
      <c r="I426" s="88">
        <f>INDEX(Import_CO_Comuni!$A$4:$AAA$324,MATCH($G426,Import_CO_Comuni!$A$4:$A$324,0),MATCH(I$1,Import_CO_Comuni!$A$4:$AAA$4,0))</f>
        <v>0</v>
      </c>
      <c r="J426" s="88">
        <f>INDEX(Import_CO_Comuni!$A$4:$AAA$324,MATCH($G426,Import_CO_Comuni!$A$4:$A$324,0),MATCH(J$1,Import_CO_Comuni!$A$4:$AAA$4,0))</f>
        <v>0</v>
      </c>
    </row>
    <row r="427" spans="1:10" x14ac:dyDescent="0.2">
      <c r="A427" s="86" t="s">
        <v>7455</v>
      </c>
      <c r="B427" s="447" t="str">
        <f>IN_Anagrafica!$B$9</f>
        <v>NO</v>
      </c>
      <c r="C427" s="369" t="str">
        <f t="shared" si="5"/>
        <v>NO</v>
      </c>
      <c r="D427" s="1028" t="s">
        <v>8218</v>
      </c>
      <c r="E427" s="1030" t="s">
        <v>8198</v>
      </c>
      <c r="F427" s="1031" t="s">
        <v>8520</v>
      </c>
      <c r="G427" s="1031" t="s">
        <v>5851</v>
      </c>
      <c r="H427" s="88">
        <f>INDEX(Import_CO_Comuni!$A$4:$AAA$324,MATCH($G427,Import_CO_Comuni!$A$4:$A$324,0),MATCH(H$1,Import_CO_Comuni!$A$4:$AAA$4,0))</f>
        <v>0</v>
      </c>
      <c r="I427" s="88">
        <f>INDEX(Import_CO_Comuni!$A$4:$AAA$324,MATCH($G427,Import_CO_Comuni!$A$4:$A$324,0),MATCH(I$1,Import_CO_Comuni!$A$4:$AAA$4,0))</f>
        <v>0</v>
      </c>
      <c r="J427" s="88">
        <f>INDEX(Import_CO_Comuni!$A$4:$AAA$324,MATCH($G427,Import_CO_Comuni!$A$4:$A$324,0),MATCH(J$1,Import_CO_Comuni!$A$4:$AAA$4,0))</f>
        <v>0</v>
      </c>
    </row>
    <row r="428" spans="1:10" x14ac:dyDescent="0.2">
      <c r="A428" s="86" t="s">
        <v>7456</v>
      </c>
      <c r="B428" s="447" t="str">
        <f>IN_Anagrafica!$B$9</f>
        <v>NO</v>
      </c>
      <c r="C428" s="369" t="str">
        <f t="shared" si="5"/>
        <v>NO</v>
      </c>
      <c r="D428" s="1028" t="s">
        <v>8218</v>
      </c>
      <c r="E428" s="1030" t="s">
        <v>683</v>
      </c>
      <c r="F428" s="1031" t="s">
        <v>8520</v>
      </c>
      <c r="G428" s="1031" t="s">
        <v>5857</v>
      </c>
      <c r="H428" s="88">
        <f>INDEX(Import_CO_Comuni!$A$4:$AAA$324,MATCH($G428,Import_CO_Comuni!$A$4:$A$324,0),MATCH(H$1,Import_CO_Comuni!$A$4:$AAA$4,0))</f>
        <v>0</v>
      </c>
      <c r="I428" s="88">
        <f>INDEX(Import_CO_Comuni!$A$4:$AAA$324,MATCH($G428,Import_CO_Comuni!$A$4:$A$324,0),MATCH(I$1,Import_CO_Comuni!$A$4:$AAA$4,0))</f>
        <v>0</v>
      </c>
      <c r="J428" s="88">
        <f>INDEX(Import_CO_Comuni!$A$4:$AAA$324,MATCH($G428,Import_CO_Comuni!$A$4:$A$324,0),MATCH(J$1,Import_CO_Comuni!$A$4:$AAA$4,0))</f>
        <v>0</v>
      </c>
    </row>
    <row r="429" spans="1:10" x14ac:dyDescent="0.2">
      <c r="A429" s="86" t="s">
        <v>7457</v>
      </c>
      <c r="B429" s="447" t="str">
        <f>IN_Anagrafica!$B$9</f>
        <v>NO</v>
      </c>
      <c r="C429" s="369" t="str">
        <f t="shared" si="5"/>
        <v>NO</v>
      </c>
      <c r="D429" s="1028" t="s">
        <v>8218</v>
      </c>
      <c r="E429" s="1030" t="s">
        <v>8199</v>
      </c>
      <c r="F429" s="1031" t="s">
        <v>8520</v>
      </c>
      <c r="G429" s="1031" t="s">
        <v>5863</v>
      </c>
      <c r="H429" s="88">
        <f>INDEX(Import_CO_Comuni!$A$4:$AAA$324,MATCH($G429,Import_CO_Comuni!$A$4:$A$324,0),MATCH(H$1,Import_CO_Comuni!$A$4:$AAA$4,0))</f>
        <v>0</v>
      </c>
      <c r="I429" s="88">
        <f>INDEX(Import_CO_Comuni!$A$4:$AAA$324,MATCH($G429,Import_CO_Comuni!$A$4:$A$324,0),MATCH(I$1,Import_CO_Comuni!$A$4:$AAA$4,0))</f>
        <v>0</v>
      </c>
      <c r="J429" s="88">
        <f>INDEX(Import_CO_Comuni!$A$4:$AAA$324,MATCH($G429,Import_CO_Comuni!$A$4:$A$324,0),MATCH(J$1,Import_CO_Comuni!$A$4:$AAA$4,0))</f>
        <v>0</v>
      </c>
    </row>
    <row r="430" spans="1:10" x14ac:dyDescent="0.2">
      <c r="A430" s="86" t="s">
        <v>7458</v>
      </c>
      <c r="B430" s="447" t="str">
        <f>IN_Anagrafica!$B$9</f>
        <v>NO</v>
      </c>
      <c r="C430" s="369" t="str">
        <f t="shared" si="5"/>
        <v>NO</v>
      </c>
      <c r="D430" s="1028" t="s">
        <v>8218</v>
      </c>
      <c r="E430" s="1030" t="s">
        <v>367</v>
      </c>
      <c r="F430" s="1031" t="s">
        <v>8520</v>
      </c>
      <c r="G430" s="1031" t="s">
        <v>5816</v>
      </c>
      <c r="H430" s="88">
        <f>INDEX(Import_CO_Comuni!$A$4:$AAA$324,MATCH($G430,Import_CO_Comuni!$A$4:$A$324,0),MATCH(H$1,Import_CO_Comuni!$A$4:$AAA$4,0))</f>
        <v>0</v>
      </c>
      <c r="I430" s="88">
        <f>INDEX(Import_CO_Comuni!$A$4:$AAA$324,MATCH($G430,Import_CO_Comuni!$A$4:$A$324,0),MATCH(I$1,Import_CO_Comuni!$A$4:$AAA$4,0))</f>
        <v>0</v>
      </c>
      <c r="J430" s="88">
        <f>INDEX(Import_CO_Comuni!$A$4:$AAA$324,MATCH($G430,Import_CO_Comuni!$A$4:$A$324,0),MATCH(J$1,Import_CO_Comuni!$A$4:$AAA$4,0))</f>
        <v>0</v>
      </c>
    </row>
    <row r="431" spans="1:10" x14ac:dyDescent="0.2">
      <c r="A431" s="86" t="s">
        <v>7459</v>
      </c>
      <c r="B431" s="447" t="str">
        <f>IN_Anagrafica!$B$9</f>
        <v>NO</v>
      </c>
      <c r="C431" s="369" t="str">
        <f t="shared" si="5"/>
        <v>NO</v>
      </c>
      <c r="D431" s="1028" t="s">
        <v>8218</v>
      </c>
      <c r="E431" s="1030" t="s">
        <v>8200</v>
      </c>
      <c r="F431" s="1031" t="s">
        <v>8520</v>
      </c>
      <c r="G431" s="1031" t="s">
        <v>5822</v>
      </c>
      <c r="H431" s="88">
        <f>INDEX(Import_CO_Comuni!$A$4:$AAA$324,MATCH($G431,Import_CO_Comuni!$A$4:$A$324,0),MATCH(H$1,Import_CO_Comuni!$A$4:$AAA$4,0))</f>
        <v>0</v>
      </c>
      <c r="I431" s="88">
        <f>INDEX(Import_CO_Comuni!$A$4:$AAA$324,MATCH($G431,Import_CO_Comuni!$A$4:$A$324,0),MATCH(I$1,Import_CO_Comuni!$A$4:$AAA$4,0))</f>
        <v>0</v>
      </c>
      <c r="J431" s="88">
        <f>INDEX(Import_CO_Comuni!$A$4:$AAA$324,MATCH($G431,Import_CO_Comuni!$A$4:$A$324,0),MATCH(J$1,Import_CO_Comuni!$A$4:$AAA$4,0))</f>
        <v>0</v>
      </c>
    </row>
    <row r="432" spans="1:10" x14ac:dyDescent="0.2">
      <c r="A432" s="86" t="s">
        <v>7460</v>
      </c>
      <c r="B432" s="447" t="str">
        <f>IN_Anagrafica!$B$9</f>
        <v>NO</v>
      </c>
      <c r="C432" s="369" t="str">
        <f t="shared" si="5"/>
        <v>NO</v>
      </c>
      <c r="D432" s="1028" t="s">
        <v>8218</v>
      </c>
      <c r="E432" s="1030" t="s">
        <v>8201</v>
      </c>
      <c r="F432" s="1031" t="s">
        <v>8520</v>
      </c>
      <c r="G432" s="1031" t="s">
        <v>5828</v>
      </c>
      <c r="H432" s="88">
        <f>INDEX(Import_CO_Comuni!$A$4:$AAA$324,MATCH($G432,Import_CO_Comuni!$A$4:$A$324,0),MATCH(H$1,Import_CO_Comuni!$A$4:$AAA$4,0))</f>
        <v>0</v>
      </c>
      <c r="I432" s="88">
        <f>INDEX(Import_CO_Comuni!$A$4:$AAA$324,MATCH($G432,Import_CO_Comuni!$A$4:$A$324,0),MATCH(I$1,Import_CO_Comuni!$A$4:$AAA$4,0))</f>
        <v>0</v>
      </c>
      <c r="J432" s="88">
        <f>INDEX(Import_CO_Comuni!$A$4:$AAA$324,MATCH($G432,Import_CO_Comuni!$A$4:$A$324,0),MATCH(J$1,Import_CO_Comuni!$A$4:$AAA$4,0))</f>
        <v>0</v>
      </c>
    </row>
    <row r="433" spans="1:10" x14ac:dyDescent="0.2">
      <c r="A433" s="86" t="s">
        <v>7461</v>
      </c>
      <c r="B433" s="447" t="str">
        <f>IN_Anagrafica!$B$9</f>
        <v>NO</v>
      </c>
      <c r="C433" s="369" t="str">
        <f t="shared" si="5"/>
        <v>NO</v>
      </c>
      <c r="D433" s="1028" t="s">
        <v>8218</v>
      </c>
      <c r="E433" s="1030" t="s">
        <v>679</v>
      </c>
      <c r="F433" s="1031" t="s">
        <v>8520</v>
      </c>
      <c r="G433" s="1031" t="s">
        <v>5834</v>
      </c>
      <c r="H433" s="88">
        <f>INDEX(Import_CO_Comuni!$A$4:$AAA$324,MATCH($G433,Import_CO_Comuni!$A$4:$A$324,0),MATCH(H$1,Import_CO_Comuni!$A$4:$AAA$4,0))</f>
        <v>0</v>
      </c>
      <c r="I433" s="88">
        <f>INDEX(Import_CO_Comuni!$A$4:$AAA$324,MATCH($G433,Import_CO_Comuni!$A$4:$A$324,0),MATCH(I$1,Import_CO_Comuni!$A$4:$AAA$4,0))</f>
        <v>0</v>
      </c>
      <c r="J433" s="88">
        <f>INDEX(Import_CO_Comuni!$A$4:$AAA$324,MATCH($G433,Import_CO_Comuni!$A$4:$A$324,0),MATCH(J$1,Import_CO_Comuni!$A$4:$AAA$4,0))</f>
        <v>0</v>
      </c>
    </row>
    <row r="434" spans="1:10" x14ac:dyDescent="0.2">
      <c r="A434" s="86" t="s">
        <v>7462</v>
      </c>
      <c r="B434" s="447" t="str">
        <f>IN_Anagrafica!$B$9</f>
        <v>NO</v>
      </c>
      <c r="C434" s="369" t="str">
        <f t="shared" si="5"/>
        <v>NO</v>
      </c>
      <c r="D434" s="1028" t="s">
        <v>8218</v>
      </c>
      <c r="E434" s="1030" t="s">
        <v>368</v>
      </c>
      <c r="F434" s="1031" t="s">
        <v>8520</v>
      </c>
      <c r="G434" s="1031" t="s">
        <v>5840</v>
      </c>
      <c r="H434" s="88">
        <f>INDEX(Import_CO_Comuni!$A$4:$AAA$324,MATCH($G434,Import_CO_Comuni!$A$4:$A$324,0),MATCH(H$1,Import_CO_Comuni!$A$4:$AAA$4,0))</f>
        <v>0</v>
      </c>
      <c r="I434" s="88">
        <f>INDEX(Import_CO_Comuni!$A$4:$AAA$324,MATCH($G434,Import_CO_Comuni!$A$4:$A$324,0),MATCH(I$1,Import_CO_Comuni!$A$4:$AAA$4,0))</f>
        <v>0</v>
      </c>
      <c r="J434" s="88">
        <f>INDEX(Import_CO_Comuni!$A$4:$AAA$324,MATCH($G434,Import_CO_Comuni!$A$4:$A$324,0),MATCH(J$1,Import_CO_Comuni!$A$4:$AAA$4,0))</f>
        <v>0</v>
      </c>
    </row>
    <row r="435" spans="1:10" x14ac:dyDescent="0.2">
      <c r="A435" s="86" t="s">
        <v>7463</v>
      </c>
      <c r="B435" s="447" t="str">
        <f>IN_Anagrafica!$B$9</f>
        <v>NO</v>
      </c>
      <c r="C435" s="369" t="str">
        <f t="shared" si="5"/>
        <v>NO</v>
      </c>
      <c r="D435" s="1028" t="s">
        <v>8218</v>
      </c>
      <c r="E435" s="1030" t="s">
        <v>8202</v>
      </c>
      <c r="F435" s="1031" t="s">
        <v>8520</v>
      </c>
      <c r="G435" s="1031" t="s">
        <v>5846</v>
      </c>
      <c r="H435" s="88">
        <f>INDEX(Import_CO_Comuni!$A$4:$AAA$324,MATCH($G435,Import_CO_Comuni!$A$4:$A$324,0),MATCH(H$1,Import_CO_Comuni!$A$4:$AAA$4,0))</f>
        <v>0</v>
      </c>
      <c r="I435" s="88">
        <f>INDEX(Import_CO_Comuni!$A$4:$AAA$324,MATCH($G435,Import_CO_Comuni!$A$4:$A$324,0),MATCH(I$1,Import_CO_Comuni!$A$4:$AAA$4,0))</f>
        <v>0</v>
      </c>
      <c r="J435" s="88">
        <f>INDEX(Import_CO_Comuni!$A$4:$AAA$324,MATCH($G435,Import_CO_Comuni!$A$4:$A$324,0),MATCH(J$1,Import_CO_Comuni!$A$4:$AAA$4,0))</f>
        <v>0</v>
      </c>
    </row>
    <row r="436" spans="1:10" x14ac:dyDescent="0.2">
      <c r="A436" s="86" t="s">
        <v>7464</v>
      </c>
      <c r="B436" s="447" t="str">
        <f>IN_Anagrafica!$B$9</f>
        <v>NO</v>
      </c>
      <c r="C436" s="369" t="str">
        <f t="shared" si="5"/>
        <v>NO</v>
      </c>
      <c r="D436" s="1028" t="s">
        <v>8218</v>
      </c>
      <c r="E436" s="1030" t="s">
        <v>8203</v>
      </c>
      <c r="F436" s="1031" t="s">
        <v>8520</v>
      </c>
      <c r="G436" s="1031" t="s">
        <v>5852</v>
      </c>
      <c r="H436" s="88">
        <f>INDEX(Import_CO_Comuni!$A$4:$AAA$324,MATCH($G436,Import_CO_Comuni!$A$4:$A$324,0),MATCH(H$1,Import_CO_Comuni!$A$4:$AAA$4,0))</f>
        <v>0</v>
      </c>
      <c r="I436" s="88">
        <f>INDEX(Import_CO_Comuni!$A$4:$AAA$324,MATCH($G436,Import_CO_Comuni!$A$4:$A$324,0),MATCH(I$1,Import_CO_Comuni!$A$4:$AAA$4,0))</f>
        <v>0</v>
      </c>
      <c r="J436" s="88">
        <f>INDEX(Import_CO_Comuni!$A$4:$AAA$324,MATCH($G436,Import_CO_Comuni!$A$4:$A$324,0),MATCH(J$1,Import_CO_Comuni!$A$4:$AAA$4,0))</f>
        <v>0</v>
      </c>
    </row>
    <row r="437" spans="1:10" x14ac:dyDescent="0.2">
      <c r="A437" s="86" t="s">
        <v>7465</v>
      </c>
      <c r="B437" s="447" t="str">
        <f>IN_Anagrafica!$B$9</f>
        <v>NO</v>
      </c>
      <c r="C437" s="369" t="str">
        <f t="shared" si="5"/>
        <v>NO</v>
      </c>
      <c r="D437" s="1028" t="s">
        <v>8218</v>
      </c>
      <c r="E437" s="1030" t="s">
        <v>684</v>
      </c>
      <c r="F437" s="1031" t="s">
        <v>8520</v>
      </c>
      <c r="G437" s="1031" t="s">
        <v>5858</v>
      </c>
      <c r="H437" s="88">
        <f>INDEX(Import_CO_Comuni!$A$4:$AAA$324,MATCH($G437,Import_CO_Comuni!$A$4:$A$324,0),MATCH(H$1,Import_CO_Comuni!$A$4:$AAA$4,0))</f>
        <v>0</v>
      </c>
      <c r="I437" s="88">
        <f>INDEX(Import_CO_Comuni!$A$4:$AAA$324,MATCH($G437,Import_CO_Comuni!$A$4:$A$324,0),MATCH(I$1,Import_CO_Comuni!$A$4:$AAA$4,0))</f>
        <v>0</v>
      </c>
      <c r="J437" s="88">
        <f>INDEX(Import_CO_Comuni!$A$4:$AAA$324,MATCH($G437,Import_CO_Comuni!$A$4:$A$324,0),MATCH(J$1,Import_CO_Comuni!$A$4:$AAA$4,0))</f>
        <v>0</v>
      </c>
    </row>
    <row r="438" spans="1:10" x14ac:dyDescent="0.2">
      <c r="A438" s="86" t="s">
        <v>7466</v>
      </c>
      <c r="B438" s="447" t="str">
        <f>IN_Anagrafica!$B$9</f>
        <v>NO</v>
      </c>
      <c r="C438" s="369" t="str">
        <f t="shared" si="5"/>
        <v>NO</v>
      </c>
      <c r="D438" s="1028" t="s">
        <v>8218</v>
      </c>
      <c r="E438" s="1030" t="s">
        <v>8204</v>
      </c>
      <c r="F438" s="1031" t="s">
        <v>8520</v>
      </c>
      <c r="G438" s="1031" t="s">
        <v>5864</v>
      </c>
      <c r="H438" s="88">
        <f>INDEX(Import_CO_Comuni!$A$4:$AAA$324,MATCH($G438,Import_CO_Comuni!$A$4:$A$324,0),MATCH(H$1,Import_CO_Comuni!$A$4:$AAA$4,0))</f>
        <v>0</v>
      </c>
      <c r="I438" s="88">
        <f>INDEX(Import_CO_Comuni!$A$4:$AAA$324,MATCH($G438,Import_CO_Comuni!$A$4:$A$324,0),MATCH(I$1,Import_CO_Comuni!$A$4:$AAA$4,0))</f>
        <v>0</v>
      </c>
      <c r="J438" s="88">
        <f>INDEX(Import_CO_Comuni!$A$4:$AAA$324,MATCH($G438,Import_CO_Comuni!$A$4:$A$324,0),MATCH(J$1,Import_CO_Comuni!$A$4:$AAA$4,0))</f>
        <v>0</v>
      </c>
    </row>
    <row r="439" spans="1:10" x14ac:dyDescent="0.2">
      <c r="A439" s="86" t="s">
        <v>7467</v>
      </c>
      <c r="B439" s="447" t="str">
        <f>IN_Anagrafica!$B$9</f>
        <v>NO</v>
      </c>
      <c r="C439" s="369" t="str">
        <f t="shared" si="5"/>
        <v>NO</v>
      </c>
      <c r="D439" s="1028" t="s">
        <v>8218</v>
      </c>
      <c r="E439" s="1030" t="s">
        <v>8205</v>
      </c>
      <c r="F439" s="1031" t="s">
        <v>8520</v>
      </c>
      <c r="G439" s="1031" t="s">
        <v>5865</v>
      </c>
      <c r="H439" s="88">
        <f>INDEX(Import_CO_Comuni!$A$4:$AAA$324,MATCH($G439,Import_CO_Comuni!$A$4:$A$324,0),MATCH(H$1,Import_CO_Comuni!$A$4:$AAA$4,0))</f>
        <v>0</v>
      </c>
      <c r="I439" s="88">
        <f>INDEX(Import_CO_Comuni!$A$4:$AAA$324,MATCH($G439,Import_CO_Comuni!$A$4:$A$324,0),MATCH(I$1,Import_CO_Comuni!$A$4:$AAA$4,0))</f>
        <v>0</v>
      </c>
      <c r="J439" s="88">
        <f>INDEX(Import_CO_Comuni!$A$4:$AAA$324,MATCH($G439,Import_CO_Comuni!$A$4:$A$324,0),MATCH(J$1,Import_CO_Comuni!$A$4:$AAA$4,0))</f>
        <v>0</v>
      </c>
    </row>
    <row r="440" spans="1:10" x14ac:dyDescent="0.2">
      <c r="A440" s="86" t="s">
        <v>7468</v>
      </c>
      <c r="B440" s="447" t="str">
        <f>IN_Anagrafica!$B$9</f>
        <v>NO</v>
      </c>
      <c r="C440" s="369" t="str">
        <f t="shared" si="5"/>
        <v>NO</v>
      </c>
      <c r="D440" s="1028" t="s">
        <v>8218</v>
      </c>
      <c r="E440" s="1030" t="s">
        <v>402</v>
      </c>
      <c r="F440" s="1031" t="s">
        <v>8520</v>
      </c>
      <c r="G440" s="1031" t="s">
        <v>5866</v>
      </c>
      <c r="H440" s="88">
        <f>INDEX(Import_CO_Comuni!$A$4:$AAA$324,MATCH($G440,Import_CO_Comuni!$A$4:$A$324,0),MATCH(H$1,Import_CO_Comuni!$A$4:$AAA$4,0))</f>
        <v>0</v>
      </c>
      <c r="I440" s="88">
        <f>INDEX(Import_CO_Comuni!$A$4:$AAA$324,MATCH($G440,Import_CO_Comuni!$A$4:$A$324,0),MATCH(I$1,Import_CO_Comuni!$A$4:$AAA$4,0))</f>
        <v>0</v>
      </c>
      <c r="J440" s="88">
        <f>INDEX(Import_CO_Comuni!$A$4:$AAA$324,MATCH($G440,Import_CO_Comuni!$A$4:$A$324,0),MATCH(J$1,Import_CO_Comuni!$A$4:$AAA$4,0))</f>
        <v>0</v>
      </c>
    </row>
    <row r="441" spans="1:10" x14ac:dyDescent="0.2">
      <c r="A441" s="86" t="s">
        <v>7469</v>
      </c>
      <c r="B441" s="447" t="str">
        <f>IN_Anagrafica!$B$9</f>
        <v>NO</v>
      </c>
      <c r="C441" s="369" t="str">
        <f t="shared" si="5"/>
        <v>NO</v>
      </c>
      <c r="D441" s="1028" t="s">
        <v>8218</v>
      </c>
      <c r="E441" s="1030" t="s">
        <v>8206</v>
      </c>
      <c r="F441" s="1031" t="s">
        <v>8520</v>
      </c>
      <c r="G441" s="1031" t="s">
        <v>5867</v>
      </c>
      <c r="H441" s="88">
        <f>INDEX(Import_CO_Comuni!$A$4:$AAA$324,MATCH($G441,Import_CO_Comuni!$A$4:$A$324,0),MATCH(H$1,Import_CO_Comuni!$A$4:$AAA$4,0))</f>
        <v>0</v>
      </c>
      <c r="I441" s="88">
        <f>INDEX(Import_CO_Comuni!$A$4:$AAA$324,MATCH($G441,Import_CO_Comuni!$A$4:$A$324,0),MATCH(I$1,Import_CO_Comuni!$A$4:$AAA$4,0))</f>
        <v>0</v>
      </c>
      <c r="J441" s="88">
        <f>INDEX(Import_CO_Comuni!$A$4:$AAA$324,MATCH($G441,Import_CO_Comuni!$A$4:$A$324,0),MATCH(J$1,Import_CO_Comuni!$A$4:$AAA$4,0))</f>
        <v>0</v>
      </c>
    </row>
    <row r="442" spans="1:10" x14ac:dyDescent="0.2">
      <c r="A442" s="86" t="s">
        <v>7470</v>
      </c>
      <c r="B442" s="447" t="str">
        <f>IN_Anagrafica!$B$9</f>
        <v>NO</v>
      </c>
      <c r="C442" s="369" t="str">
        <f t="shared" si="5"/>
        <v>NO</v>
      </c>
      <c r="D442" s="1028" t="s">
        <v>8218</v>
      </c>
      <c r="E442" s="1030" t="s">
        <v>8207</v>
      </c>
      <c r="F442" s="1031" t="s">
        <v>8520</v>
      </c>
      <c r="G442" s="1031" t="s">
        <v>5868</v>
      </c>
      <c r="H442" s="88">
        <f>INDEX(Import_CO_Comuni!$A$4:$AAA$324,MATCH($G442,Import_CO_Comuni!$A$4:$A$324,0),MATCH(H$1,Import_CO_Comuni!$A$4:$AAA$4,0))</f>
        <v>0</v>
      </c>
      <c r="I442" s="88">
        <f>INDEX(Import_CO_Comuni!$A$4:$AAA$324,MATCH($G442,Import_CO_Comuni!$A$4:$A$324,0),MATCH(I$1,Import_CO_Comuni!$A$4:$AAA$4,0))</f>
        <v>0</v>
      </c>
      <c r="J442" s="88">
        <f>INDEX(Import_CO_Comuni!$A$4:$AAA$324,MATCH($G442,Import_CO_Comuni!$A$4:$A$324,0),MATCH(J$1,Import_CO_Comuni!$A$4:$AAA$4,0))</f>
        <v>0</v>
      </c>
    </row>
    <row r="443" spans="1:10" x14ac:dyDescent="0.2">
      <c r="A443" s="86" t="s">
        <v>7471</v>
      </c>
      <c r="B443" s="447" t="str">
        <f>IN_Anagrafica!$B$9</f>
        <v>NO</v>
      </c>
      <c r="C443" s="369" t="str">
        <f t="shared" si="5"/>
        <v>NO</v>
      </c>
      <c r="D443" s="1028" t="s">
        <v>8218</v>
      </c>
      <c r="E443" s="1030" t="s">
        <v>8208</v>
      </c>
      <c r="F443" s="1031" t="s">
        <v>8520</v>
      </c>
      <c r="G443" s="1031" t="s">
        <v>5869</v>
      </c>
      <c r="H443" s="88">
        <f>INDEX(Import_CO_Comuni!$A$4:$AAA$324,MATCH($G443,Import_CO_Comuni!$A$4:$A$324,0),MATCH(H$1,Import_CO_Comuni!$A$4:$AAA$4,0))</f>
        <v>0</v>
      </c>
      <c r="I443" s="88">
        <f>INDEX(Import_CO_Comuni!$A$4:$AAA$324,MATCH($G443,Import_CO_Comuni!$A$4:$A$324,0),MATCH(I$1,Import_CO_Comuni!$A$4:$AAA$4,0))</f>
        <v>0</v>
      </c>
      <c r="J443" s="88">
        <f>INDEX(Import_CO_Comuni!$A$4:$AAA$324,MATCH($G443,Import_CO_Comuni!$A$4:$A$324,0),MATCH(J$1,Import_CO_Comuni!$A$4:$AAA$4,0))</f>
        <v>0</v>
      </c>
    </row>
    <row r="444" spans="1:10" x14ac:dyDescent="0.2">
      <c r="A444" s="86" t="s">
        <v>7472</v>
      </c>
      <c r="B444" s="447" t="str">
        <f>IN_Anagrafica!$B$9</f>
        <v>NO</v>
      </c>
      <c r="C444" s="369" t="str">
        <f t="shared" si="5"/>
        <v>NO</v>
      </c>
      <c r="D444" s="1028" t="s">
        <v>8218</v>
      </c>
      <c r="E444" s="1030" t="s">
        <v>722</v>
      </c>
      <c r="F444" s="1031" t="s">
        <v>8520</v>
      </c>
      <c r="G444" s="1031" t="s">
        <v>5870</v>
      </c>
      <c r="H444" s="88">
        <f>INDEX(Import_CO_Comuni!$A$4:$AAA$324,MATCH($G444,Import_CO_Comuni!$A$4:$A$324,0),MATCH(H$1,Import_CO_Comuni!$A$4:$AAA$4,0))</f>
        <v>0</v>
      </c>
      <c r="I444" s="88">
        <f>INDEX(Import_CO_Comuni!$A$4:$AAA$324,MATCH($G444,Import_CO_Comuni!$A$4:$A$324,0),MATCH(I$1,Import_CO_Comuni!$A$4:$AAA$4,0))</f>
        <v>0</v>
      </c>
      <c r="J444" s="88">
        <f>INDEX(Import_CO_Comuni!$A$4:$AAA$324,MATCH($G444,Import_CO_Comuni!$A$4:$A$324,0),MATCH(J$1,Import_CO_Comuni!$A$4:$AAA$4,0))</f>
        <v>0</v>
      </c>
    </row>
    <row r="445" spans="1:10" x14ac:dyDescent="0.2">
      <c r="A445" s="86" t="s">
        <v>7473</v>
      </c>
      <c r="B445" s="447" t="str">
        <f>IN_Anagrafica!$B$9</f>
        <v>NO</v>
      </c>
      <c r="C445" s="369" t="str">
        <f t="shared" si="5"/>
        <v>NO</v>
      </c>
      <c r="D445" s="1028" t="s">
        <v>8218</v>
      </c>
      <c r="E445" s="1030" t="s">
        <v>8209</v>
      </c>
      <c r="F445" s="1031" t="s">
        <v>8520</v>
      </c>
      <c r="G445" s="1031" t="s">
        <v>5871</v>
      </c>
      <c r="H445" s="88">
        <f>INDEX(Import_CO_Comuni!$A$4:$AAA$324,MATCH($G445,Import_CO_Comuni!$A$4:$A$324,0),MATCH(H$1,Import_CO_Comuni!$A$4:$AAA$4,0))</f>
        <v>0</v>
      </c>
      <c r="I445" s="88">
        <f>INDEX(Import_CO_Comuni!$A$4:$AAA$324,MATCH($G445,Import_CO_Comuni!$A$4:$A$324,0),MATCH(I$1,Import_CO_Comuni!$A$4:$AAA$4,0))</f>
        <v>0</v>
      </c>
      <c r="J445" s="88">
        <f>INDEX(Import_CO_Comuni!$A$4:$AAA$324,MATCH($G445,Import_CO_Comuni!$A$4:$A$324,0),MATCH(J$1,Import_CO_Comuni!$A$4:$AAA$4,0))</f>
        <v>0</v>
      </c>
    </row>
    <row r="446" spans="1:10" x14ac:dyDescent="0.2">
      <c r="A446" s="86" t="s">
        <v>7474</v>
      </c>
      <c r="B446" s="447" t="str">
        <f>IN_Anagrafica!$B$9</f>
        <v>NO</v>
      </c>
      <c r="C446" s="369" t="str">
        <f t="shared" si="5"/>
        <v>NO</v>
      </c>
      <c r="D446" s="1028" t="s">
        <v>8218</v>
      </c>
      <c r="E446" s="1030" t="s">
        <v>8210</v>
      </c>
      <c r="F446" s="1031" t="s">
        <v>8520</v>
      </c>
      <c r="G446" s="1031" t="s">
        <v>5872</v>
      </c>
      <c r="H446" s="88">
        <f>INDEX(Import_CO_Comuni!$A$4:$AAA$324,MATCH($G446,Import_CO_Comuni!$A$4:$A$324,0),MATCH(H$1,Import_CO_Comuni!$A$4:$AAA$4,0))</f>
        <v>0</v>
      </c>
      <c r="I446" s="88">
        <f>INDEX(Import_CO_Comuni!$A$4:$AAA$324,MATCH($G446,Import_CO_Comuni!$A$4:$A$324,0),MATCH(I$1,Import_CO_Comuni!$A$4:$AAA$4,0))</f>
        <v>0</v>
      </c>
      <c r="J446" s="88">
        <f>INDEX(Import_CO_Comuni!$A$4:$AAA$324,MATCH($G446,Import_CO_Comuni!$A$4:$A$324,0),MATCH(J$1,Import_CO_Comuni!$A$4:$AAA$4,0))</f>
        <v>0</v>
      </c>
    </row>
    <row r="447" spans="1:10" x14ac:dyDescent="0.2">
      <c r="A447" s="86" t="s">
        <v>7475</v>
      </c>
      <c r="B447" s="447" t="str">
        <f>IN_Anagrafica!$B$9</f>
        <v>NO</v>
      </c>
      <c r="C447" s="369" t="str">
        <f t="shared" si="5"/>
        <v>NO</v>
      </c>
      <c r="D447" s="1028" t="s">
        <v>8218</v>
      </c>
      <c r="E447" s="1030" t="s">
        <v>8211</v>
      </c>
      <c r="F447" s="1031" t="s">
        <v>8520</v>
      </c>
      <c r="G447" s="1031" t="s">
        <v>5873</v>
      </c>
      <c r="H447" s="88">
        <f>INDEX(Import_CO_Comuni!$A$4:$AAA$324,MATCH($G447,Import_CO_Comuni!$A$4:$A$324,0),MATCH(H$1,Import_CO_Comuni!$A$4:$AAA$4,0))</f>
        <v>0</v>
      </c>
      <c r="I447" s="88">
        <f>INDEX(Import_CO_Comuni!$A$4:$AAA$324,MATCH($G447,Import_CO_Comuni!$A$4:$A$324,0),MATCH(I$1,Import_CO_Comuni!$A$4:$AAA$4,0))</f>
        <v>0</v>
      </c>
      <c r="J447" s="88">
        <f>INDEX(Import_CO_Comuni!$A$4:$AAA$324,MATCH($G447,Import_CO_Comuni!$A$4:$A$324,0),MATCH(J$1,Import_CO_Comuni!$A$4:$AAA$4,0))</f>
        <v>0</v>
      </c>
    </row>
    <row r="448" spans="1:10" x14ac:dyDescent="0.2">
      <c r="A448" s="86" t="s">
        <v>7476</v>
      </c>
      <c r="B448" s="447" t="str">
        <f>IN_Anagrafica!$B$9</f>
        <v>NO</v>
      </c>
      <c r="C448" s="369" t="str">
        <f t="shared" si="5"/>
        <v>NO</v>
      </c>
      <c r="D448" s="1028" t="s">
        <v>8218</v>
      </c>
      <c r="E448" s="1030" t="s">
        <v>749</v>
      </c>
      <c r="F448" s="1031" t="s">
        <v>8520</v>
      </c>
      <c r="G448" s="1031" t="s">
        <v>5874</v>
      </c>
      <c r="H448" s="88">
        <f>INDEX(Import_CO_Comuni!$A$4:$AAA$324,MATCH($G448,Import_CO_Comuni!$A$4:$A$324,0),MATCH(H$1,Import_CO_Comuni!$A$4:$AAA$4,0))</f>
        <v>0</v>
      </c>
      <c r="I448" s="88">
        <f>INDEX(Import_CO_Comuni!$A$4:$AAA$324,MATCH($G448,Import_CO_Comuni!$A$4:$A$324,0),MATCH(I$1,Import_CO_Comuni!$A$4:$AAA$4,0))</f>
        <v>0</v>
      </c>
      <c r="J448" s="88">
        <f>INDEX(Import_CO_Comuni!$A$4:$AAA$324,MATCH($G448,Import_CO_Comuni!$A$4:$A$324,0),MATCH(J$1,Import_CO_Comuni!$A$4:$AAA$4,0))</f>
        <v>0</v>
      </c>
    </row>
    <row r="449" spans="1:10" x14ac:dyDescent="0.2">
      <c r="A449" s="86" t="s">
        <v>7477</v>
      </c>
      <c r="B449" s="447" t="str">
        <f>IN_Anagrafica!$B$9</f>
        <v>NO</v>
      </c>
      <c r="C449" s="369" t="str">
        <f t="shared" si="5"/>
        <v>NO</v>
      </c>
      <c r="D449" s="1028" t="s">
        <v>8218</v>
      </c>
      <c r="E449" s="1030" t="s">
        <v>8212</v>
      </c>
      <c r="F449" s="1031" t="s">
        <v>8520</v>
      </c>
      <c r="G449" s="1031" t="s">
        <v>5875</v>
      </c>
      <c r="H449" s="88">
        <f>INDEX(Import_CO_Comuni!$A$4:$AAA$324,MATCH($G449,Import_CO_Comuni!$A$4:$A$324,0),MATCH(H$1,Import_CO_Comuni!$A$4:$AAA$4,0))</f>
        <v>0</v>
      </c>
      <c r="I449" s="88">
        <f>INDEX(Import_CO_Comuni!$A$4:$AAA$324,MATCH($G449,Import_CO_Comuni!$A$4:$A$324,0),MATCH(I$1,Import_CO_Comuni!$A$4:$AAA$4,0))</f>
        <v>0</v>
      </c>
      <c r="J449" s="88">
        <f>INDEX(Import_CO_Comuni!$A$4:$AAA$324,MATCH($G449,Import_CO_Comuni!$A$4:$A$324,0),MATCH(J$1,Import_CO_Comuni!$A$4:$AAA$4,0))</f>
        <v>0</v>
      </c>
    </row>
    <row r="450" spans="1:10" x14ac:dyDescent="0.2">
      <c r="A450" s="86" t="s">
        <v>7478</v>
      </c>
      <c r="B450" s="447" t="str">
        <f>IN_Anagrafica!$B$9</f>
        <v>NO</v>
      </c>
      <c r="C450" s="369" t="str">
        <f t="shared" si="5"/>
        <v>NO</v>
      </c>
      <c r="D450" s="1028" t="s">
        <v>8218</v>
      </c>
      <c r="E450" s="1030" t="s">
        <v>8213</v>
      </c>
      <c r="F450" s="1031" t="s">
        <v>8520</v>
      </c>
      <c r="G450" s="1031" t="s">
        <v>5876</v>
      </c>
      <c r="H450" s="88">
        <f>INDEX(Import_CO_Comuni!$A$4:$AAA$324,MATCH($G450,Import_CO_Comuni!$A$4:$A$324,0),MATCH(H$1,Import_CO_Comuni!$A$4:$AAA$4,0))</f>
        <v>0</v>
      </c>
      <c r="I450" s="88">
        <f>INDEX(Import_CO_Comuni!$A$4:$AAA$324,MATCH($G450,Import_CO_Comuni!$A$4:$A$324,0),MATCH(I$1,Import_CO_Comuni!$A$4:$AAA$4,0))</f>
        <v>0</v>
      </c>
      <c r="J450" s="88">
        <f>INDEX(Import_CO_Comuni!$A$4:$AAA$324,MATCH($G450,Import_CO_Comuni!$A$4:$A$324,0),MATCH(J$1,Import_CO_Comuni!$A$4:$AAA$4,0))</f>
        <v>0</v>
      </c>
    </row>
    <row r="451" spans="1:10" x14ac:dyDescent="0.2">
      <c r="A451" s="86" t="s">
        <v>7479</v>
      </c>
      <c r="B451" s="447" t="str">
        <f>IN_Anagrafica!$B$9</f>
        <v>NO</v>
      </c>
      <c r="C451" s="1060" t="s">
        <v>221</v>
      </c>
      <c r="D451" s="1028" t="s">
        <v>8218</v>
      </c>
      <c r="E451" s="1030" t="s">
        <v>341</v>
      </c>
      <c r="F451" s="1033" t="s">
        <v>105</v>
      </c>
      <c r="G451" s="1033" t="s">
        <v>105</v>
      </c>
      <c r="H451" s="997"/>
      <c r="I451" s="997"/>
      <c r="J451" s="997"/>
    </row>
    <row r="452" spans="1:10" x14ac:dyDescent="0.2">
      <c r="A452" s="86" t="s">
        <v>7480</v>
      </c>
      <c r="B452" s="447" t="str">
        <f>IN_Anagrafica!$B$9</f>
        <v>NO</v>
      </c>
      <c r="C452" s="369" t="str">
        <f t="shared" si="5"/>
        <v>NO</v>
      </c>
      <c r="D452" s="1028" t="s">
        <v>8218</v>
      </c>
      <c r="E452" s="1030" t="s">
        <v>342</v>
      </c>
      <c r="F452" s="1031" t="s">
        <v>8520</v>
      </c>
      <c r="G452" s="1031" t="s">
        <v>5877</v>
      </c>
      <c r="H452" s="88">
        <f>INDEX(Import_CO_Comuni!$A$4:$AAA$324,MATCH($G452,Import_CO_Comuni!$A$4:$A$324,0),MATCH(H$1,Import_CO_Comuni!$A$4:$AAA$4,0))</f>
        <v>0</v>
      </c>
      <c r="I452" s="88">
        <f>INDEX(Import_CO_Comuni!$A$4:$AAA$324,MATCH($G452,Import_CO_Comuni!$A$4:$A$324,0),MATCH(I$1,Import_CO_Comuni!$A$4:$AAA$4,0))</f>
        <v>0</v>
      </c>
      <c r="J452" s="88">
        <f>INDEX(Import_CO_Comuni!$A$4:$AAA$324,MATCH($G452,Import_CO_Comuni!$A$4:$A$324,0),MATCH(J$1,Import_CO_Comuni!$A$4:$AAA$4,0))</f>
        <v>0</v>
      </c>
    </row>
    <row r="453" spans="1:10" x14ac:dyDescent="0.2">
      <c r="A453" s="86" t="s">
        <v>7481</v>
      </c>
      <c r="B453" s="447" t="str">
        <f>IN_Anagrafica!$B$9</f>
        <v>NO</v>
      </c>
      <c r="C453" s="369" t="str">
        <f t="shared" si="5"/>
        <v>NO</v>
      </c>
      <c r="D453" s="1028" t="s">
        <v>8218</v>
      </c>
      <c r="E453" s="1030" t="s">
        <v>343</v>
      </c>
      <c r="F453" s="1031" t="s">
        <v>8520</v>
      </c>
      <c r="G453" s="1031" t="s">
        <v>5878</v>
      </c>
      <c r="H453" s="88">
        <f>INDEX(Import_CO_Comuni!$A$4:$AAA$324,MATCH($G453,Import_CO_Comuni!$A$4:$A$324,0),MATCH(H$1,Import_CO_Comuni!$A$4:$AAA$4,0))</f>
        <v>0</v>
      </c>
      <c r="I453" s="88">
        <f>INDEX(Import_CO_Comuni!$A$4:$AAA$324,MATCH($G453,Import_CO_Comuni!$A$4:$A$324,0),MATCH(I$1,Import_CO_Comuni!$A$4:$AAA$4,0))</f>
        <v>0</v>
      </c>
      <c r="J453" s="88">
        <f>INDEX(Import_CO_Comuni!$A$4:$AAA$324,MATCH($G453,Import_CO_Comuni!$A$4:$A$324,0),MATCH(J$1,Import_CO_Comuni!$A$4:$AAA$4,0))</f>
        <v>0</v>
      </c>
    </row>
    <row r="454" spans="1:10" x14ac:dyDescent="0.2">
      <c r="A454" s="86" t="s">
        <v>7482</v>
      </c>
      <c r="B454" s="447" t="str">
        <f>IN_Anagrafica!$B$9</f>
        <v>NO</v>
      </c>
      <c r="C454" s="369" t="str">
        <f t="shared" si="5"/>
        <v>NO</v>
      </c>
      <c r="D454" s="1028" t="s">
        <v>8218</v>
      </c>
      <c r="E454" s="1030" t="s">
        <v>351</v>
      </c>
      <c r="F454" s="1031" t="s">
        <v>8520</v>
      </c>
      <c r="G454" s="1031" t="s">
        <v>5886</v>
      </c>
      <c r="H454" s="88">
        <f>INDEX(Import_CO_Comuni!$A$4:$AAA$324,MATCH($G454,Import_CO_Comuni!$A$4:$A$324,0),MATCH(H$1,Import_CO_Comuni!$A$4:$AAA$4,0))</f>
        <v>0</v>
      </c>
      <c r="I454" s="88">
        <f>INDEX(Import_CO_Comuni!$A$4:$AAA$324,MATCH($G454,Import_CO_Comuni!$A$4:$A$324,0),MATCH(I$1,Import_CO_Comuni!$A$4:$AAA$4,0))</f>
        <v>0</v>
      </c>
      <c r="J454" s="88">
        <f>INDEX(Import_CO_Comuni!$A$4:$AAA$324,MATCH($G454,Import_CO_Comuni!$A$4:$A$324,0),MATCH(J$1,Import_CO_Comuni!$A$4:$AAA$4,0))</f>
        <v>0</v>
      </c>
    </row>
    <row r="455" spans="1:10" x14ac:dyDescent="0.2">
      <c r="A455" s="86" t="s">
        <v>7483</v>
      </c>
      <c r="B455" s="447" t="str">
        <f>IN_Anagrafica!$B$9</f>
        <v>NO</v>
      </c>
      <c r="C455" s="369" t="str">
        <f t="shared" si="5"/>
        <v>NO</v>
      </c>
      <c r="D455" s="1028" t="s">
        <v>8218</v>
      </c>
      <c r="E455" s="1030" t="s">
        <v>344</v>
      </c>
      <c r="F455" s="1031" t="s">
        <v>8520</v>
      </c>
      <c r="G455" s="1031" t="s">
        <v>5879</v>
      </c>
      <c r="H455" s="88">
        <f>INDEX(Import_CO_Comuni!$A$4:$AAA$324,MATCH($G455,Import_CO_Comuni!$A$4:$A$324,0),MATCH(H$1,Import_CO_Comuni!$A$4:$AAA$4,0))</f>
        <v>0</v>
      </c>
      <c r="I455" s="88">
        <f>INDEX(Import_CO_Comuni!$A$4:$AAA$324,MATCH($G455,Import_CO_Comuni!$A$4:$A$324,0),MATCH(I$1,Import_CO_Comuni!$A$4:$AAA$4,0))</f>
        <v>0</v>
      </c>
      <c r="J455" s="88">
        <f>INDEX(Import_CO_Comuni!$A$4:$AAA$324,MATCH($G455,Import_CO_Comuni!$A$4:$A$324,0),MATCH(J$1,Import_CO_Comuni!$A$4:$AAA$4,0))</f>
        <v>0</v>
      </c>
    </row>
    <row r="456" spans="1:10" x14ac:dyDescent="0.2">
      <c r="A456" s="86" t="s">
        <v>7484</v>
      </c>
      <c r="B456" s="447" t="str">
        <f>IN_Anagrafica!$B$9</f>
        <v>NO</v>
      </c>
      <c r="C456" s="369" t="str">
        <f t="shared" si="5"/>
        <v>NO</v>
      </c>
      <c r="D456" s="1028" t="s">
        <v>8218</v>
      </c>
      <c r="E456" s="1030" t="s">
        <v>352</v>
      </c>
      <c r="F456" s="1031" t="s">
        <v>8520</v>
      </c>
      <c r="G456" s="1031" t="s">
        <v>5887</v>
      </c>
      <c r="H456" s="88">
        <f>INDEX(Import_CO_Comuni!$A$4:$AAA$324,MATCH($G456,Import_CO_Comuni!$A$4:$A$324,0),MATCH(H$1,Import_CO_Comuni!$A$4:$AAA$4,0))</f>
        <v>0</v>
      </c>
      <c r="I456" s="88">
        <f>INDEX(Import_CO_Comuni!$A$4:$AAA$324,MATCH($G456,Import_CO_Comuni!$A$4:$A$324,0),MATCH(I$1,Import_CO_Comuni!$A$4:$AAA$4,0))</f>
        <v>0</v>
      </c>
      <c r="J456" s="88">
        <f>INDEX(Import_CO_Comuni!$A$4:$AAA$324,MATCH($G456,Import_CO_Comuni!$A$4:$A$324,0),MATCH(J$1,Import_CO_Comuni!$A$4:$AAA$4,0))</f>
        <v>0</v>
      </c>
    </row>
    <row r="457" spans="1:10" x14ac:dyDescent="0.2">
      <c r="A457" s="86" t="s">
        <v>7485</v>
      </c>
      <c r="B457" s="447" t="str">
        <f>IN_Anagrafica!$B$9</f>
        <v>NO</v>
      </c>
      <c r="C457" s="369" t="str">
        <f t="shared" si="5"/>
        <v>NO</v>
      </c>
      <c r="D457" s="1028" t="s">
        <v>8218</v>
      </c>
      <c r="E457" s="1030" t="s">
        <v>345</v>
      </c>
      <c r="F457" s="1031" t="s">
        <v>8520</v>
      </c>
      <c r="G457" s="1031" t="s">
        <v>5880</v>
      </c>
      <c r="H457" s="88">
        <f>INDEX(Import_CO_Comuni!$A$4:$AAA$324,MATCH($G457,Import_CO_Comuni!$A$4:$A$324,0),MATCH(H$1,Import_CO_Comuni!$A$4:$AAA$4,0))</f>
        <v>0</v>
      </c>
      <c r="I457" s="88">
        <f>INDEX(Import_CO_Comuni!$A$4:$AAA$324,MATCH($G457,Import_CO_Comuni!$A$4:$A$324,0),MATCH(I$1,Import_CO_Comuni!$A$4:$AAA$4,0))</f>
        <v>0</v>
      </c>
      <c r="J457" s="88">
        <f>INDEX(Import_CO_Comuni!$A$4:$AAA$324,MATCH($G457,Import_CO_Comuni!$A$4:$A$324,0),MATCH(J$1,Import_CO_Comuni!$A$4:$AAA$4,0))</f>
        <v>0</v>
      </c>
    </row>
    <row r="458" spans="1:10" x14ac:dyDescent="0.2">
      <c r="A458" s="86" t="s">
        <v>7486</v>
      </c>
      <c r="B458" s="447" t="str">
        <f>IN_Anagrafica!$B$9</f>
        <v>NO</v>
      </c>
      <c r="C458" s="369" t="str">
        <f t="shared" si="5"/>
        <v>NO</v>
      </c>
      <c r="D458" s="1028" t="s">
        <v>8218</v>
      </c>
      <c r="E458" s="1030" t="s">
        <v>353</v>
      </c>
      <c r="F458" s="1031" t="s">
        <v>8520</v>
      </c>
      <c r="G458" s="1031" t="s">
        <v>5888</v>
      </c>
      <c r="H458" s="88">
        <f>INDEX(Import_CO_Comuni!$A$4:$AAA$324,MATCH($G458,Import_CO_Comuni!$A$4:$A$324,0),MATCH(H$1,Import_CO_Comuni!$A$4:$AAA$4,0))</f>
        <v>0</v>
      </c>
      <c r="I458" s="88">
        <f>INDEX(Import_CO_Comuni!$A$4:$AAA$324,MATCH($G458,Import_CO_Comuni!$A$4:$A$324,0),MATCH(I$1,Import_CO_Comuni!$A$4:$AAA$4,0))</f>
        <v>0</v>
      </c>
      <c r="J458" s="88">
        <f>INDEX(Import_CO_Comuni!$A$4:$AAA$324,MATCH($G458,Import_CO_Comuni!$A$4:$A$324,0),MATCH(J$1,Import_CO_Comuni!$A$4:$AAA$4,0))</f>
        <v>0</v>
      </c>
    </row>
    <row r="459" spans="1:10" x14ac:dyDescent="0.2">
      <c r="A459" s="86" t="s">
        <v>7487</v>
      </c>
      <c r="B459" s="447" t="str">
        <f>IN_Anagrafica!$B$9</f>
        <v>NO</v>
      </c>
      <c r="C459" s="369" t="str">
        <f t="shared" si="5"/>
        <v>NO</v>
      </c>
      <c r="D459" s="1028" t="s">
        <v>8218</v>
      </c>
      <c r="E459" s="1030" t="s">
        <v>346</v>
      </c>
      <c r="F459" s="1031" t="s">
        <v>8520</v>
      </c>
      <c r="G459" s="1031" t="s">
        <v>5881</v>
      </c>
      <c r="H459" s="88">
        <f>INDEX(Import_CO_Comuni!$A$4:$AAA$324,MATCH($G459,Import_CO_Comuni!$A$4:$A$324,0),MATCH(H$1,Import_CO_Comuni!$A$4:$AAA$4,0))</f>
        <v>0</v>
      </c>
      <c r="I459" s="88">
        <f>INDEX(Import_CO_Comuni!$A$4:$AAA$324,MATCH($G459,Import_CO_Comuni!$A$4:$A$324,0),MATCH(I$1,Import_CO_Comuni!$A$4:$AAA$4,0))</f>
        <v>0</v>
      </c>
      <c r="J459" s="88">
        <f>INDEX(Import_CO_Comuni!$A$4:$AAA$324,MATCH($G459,Import_CO_Comuni!$A$4:$A$324,0),MATCH(J$1,Import_CO_Comuni!$A$4:$AAA$4,0))</f>
        <v>0</v>
      </c>
    </row>
    <row r="460" spans="1:10" x14ac:dyDescent="0.2">
      <c r="A460" s="86" t="s">
        <v>7488</v>
      </c>
      <c r="B460" s="447" t="str">
        <f>IN_Anagrafica!$B$9</f>
        <v>NO</v>
      </c>
      <c r="C460" s="369" t="str">
        <f t="shared" si="5"/>
        <v>NO</v>
      </c>
      <c r="D460" s="1028" t="s">
        <v>8218</v>
      </c>
      <c r="E460" s="1030" t="s">
        <v>289</v>
      </c>
      <c r="F460" s="1031" t="s">
        <v>8520</v>
      </c>
      <c r="G460" s="1031" t="s">
        <v>5889</v>
      </c>
      <c r="H460" s="88">
        <f>INDEX(Import_CO_Comuni!$A$4:$AAA$324,MATCH($G460,Import_CO_Comuni!$A$4:$A$324,0),MATCH(H$1,Import_CO_Comuni!$A$4:$AAA$4,0))</f>
        <v>0</v>
      </c>
      <c r="I460" s="88">
        <f>INDEX(Import_CO_Comuni!$A$4:$AAA$324,MATCH($G460,Import_CO_Comuni!$A$4:$A$324,0),MATCH(I$1,Import_CO_Comuni!$A$4:$AAA$4,0))</f>
        <v>0</v>
      </c>
      <c r="J460" s="88">
        <f>INDEX(Import_CO_Comuni!$A$4:$AAA$324,MATCH($G460,Import_CO_Comuni!$A$4:$A$324,0),MATCH(J$1,Import_CO_Comuni!$A$4:$AAA$4,0))</f>
        <v>0</v>
      </c>
    </row>
    <row r="461" spans="1:10" x14ac:dyDescent="0.2">
      <c r="A461" s="86" t="s">
        <v>7489</v>
      </c>
      <c r="B461" s="447" t="str">
        <f>IN_Anagrafica!$B$9</f>
        <v>NO</v>
      </c>
      <c r="C461" s="369" t="str">
        <f t="shared" si="5"/>
        <v>NO</v>
      </c>
      <c r="D461" s="1028" t="s">
        <v>8218</v>
      </c>
      <c r="E461" s="1030" t="s">
        <v>347</v>
      </c>
      <c r="F461" s="1031" t="s">
        <v>8520</v>
      </c>
      <c r="G461" s="1031" t="s">
        <v>5882</v>
      </c>
      <c r="H461" s="88">
        <f>INDEX(Import_CO_Comuni!$A$4:$AAA$324,MATCH($G461,Import_CO_Comuni!$A$4:$A$324,0),MATCH(H$1,Import_CO_Comuni!$A$4:$AAA$4,0))</f>
        <v>0</v>
      </c>
      <c r="I461" s="88">
        <f>INDEX(Import_CO_Comuni!$A$4:$AAA$324,MATCH($G461,Import_CO_Comuni!$A$4:$A$324,0),MATCH(I$1,Import_CO_Comuni!$A$4:$AAA$4,0))</f>
        <v>0</v>
      </c>
      <c r="J461" s="88">
        <f>INDEX(Import_CO_Comuni!$A$4:$AAA$324,MATCH($G461,Import_CO_Comuni!$A$4:$A$324,0),MATCH(J$1,Import_CO_Comuni!$A$4:$AAA$4,0))</f>
        <v>0</v>
      </c>
    </row>
    <row r="462" spans="1:10" x14ac:dyDescent="0.2">
      <c r="A462" s="86" t="s">
        <v>7490</v>
      </c>
      <c r="B462" s="447" t="str">
        <f>IN_Anagrafica!$B$9</f>
        <v>NO</v>
      </c>
      <c r="C462" s="369" t="str">
        <f t="shared" si="5"/>
        <v>NO</v>
      </c>
      <c r="D462" s="1028" t="s">
        <v>8218</v>
      </c>
      <c r="E462" s="1030" t="s">
        <v>348</v>
      </c>
      <c r="F462" s="1031" t="s">
        <v>8520</v>
      </c>
      <c r="G462" s="1031" t="s">
        <v>5883</v>
      </c>
      <c r="H462" s="88">
        <f>INDEX(Import_CO_Comuni!$A$4:$AAA$324,MATCH($G462,Import_CO_Comuni!$A$4:$A$324,0),MATCH(H$1,Import_CO_Comuni!$A$4:$AAA$4,0))</f>
        <v>0</v>
      </c>
      <c r="I462" s="88">
        <f>INDEX(Import_CO_Comuni!$A$4:$AAA$324,MATCH($G462,Import_CO_Comuni!$A$4:$A$324,0),MATCH(I$1,Import_CO_Comuni!$A$4:$AAA$4,0))</f>
        <v>0</v>
      </c>
      <c r="J462" s="88">
        <f>INDEX(Import_CO_Comuni!$A$4:$AAA$324,MATCH($G462,Import_CO_Comuni!$A$4:$A$324,0),MATCH(J$1,Import_CO_Comuni!$A$4:$AAA$4,0))</f>
        <v>0</v>
      </c>
    </row>
    <row r="463" spans="1:10" x14ac:dyDescent="0.2">
      <c r="A463" s="86" t="s">
        <v>7491</v>
      </c>
      <c r="B463" s="447" t="str">
        <f>IN_Anagrafica!$B$9</f>
        <v>NO</v>
      </c>
      <c r="C463" s="369" t="str">
        <f t="shared" si="5"/>
        <v>NO</v>
      </c>
      <c r="D463" s="1028" t="s">
        <v>8218</v>
      </c>
      <c r="E463" s="1030" t="s">
        <v>349</v>
      </c>
      <c r="F463" s="1031" t="s">
        <v>8520</v>
      </c>
      <c r="G463" s="1031" t="s">
        <v>5884</v>
      </c>
      <c r="H463" s="88">
        <f>INDEX(Import_CO_Comuni!$A$4:$AAA$324,MATCH($G463,Import_CO_Comuni!$A$4:$A$324,0),MATCH(H$1,Import_CO_Comuni!$A$4:$AAA$4,0))</f>
        <v>0</v>
      </c>
      <c r="I463" s="88">
        <f>INDEX(Import_CO_Comuni!$A$4:$AAA$324,MATCH($G463,Import_CO_Comuni!$A$4:$A$324,0),MATCH(I$1,Import_CO_Comuni!$A$4:$AAA$4,0))</f>
        <v>0</v>
      </c>
      <c r="J463" s="88">
        <f>INDEX(Import_CO_Comuni!$A$4:$AAA$324,MATCH($G463,Import_CO_Comuni!$A$4:$A$324,0),MATCH(J$1,Import_CO_Comuni!$A$4:$AAA$4,0))</f>
        <v>0</v>
      </c>
    </row>
    <row r="464" spans="1:10" x14ac:dyDescent="0.2">
      <c r="A464" s="86" t="s">
        <v>7492</v>
      </c>
      <c r="B464" s="447" t="str">
        <f>IN_Anagrafica!$B$9</f>
        <v>NO</v>
      </c>
      <c r="C464" s="369" t="str">
        <f t="shared" si="5"/>
        <v>NO</v>
      </c>
      <c r="D464" s="1028" t="s">
        <v>8218</v>
      </c>
      <c r="E464" s="1030" t="s">
        <v>350</v>
      </c>
      <c r="F464" s="1031" t="s">
        <v>8520</v>
      </c>
      <c r="G464" s="1031" t="s">
        <v>5885</v>
      </c>
      <c r="H464" s="88">
        <f>INDEX(Import_CO_Comuni!$A$4:$AAA$324,MATCH($G464,Import_CO_Comuni!$A$4:$A$324,0),MATCH(H$1,Import_CO_Comuni!$A$4:$AAA$4,0))</f>
        <v>0</v>
      </c>
      <c r="I464" s="88">
        <f>INDEX(Import_CO_Comuni!$A$4:$AAA$324,MATCH($G464,Import_CO_Comuni!$A$4:$A$324,0),MATCH(I$1,Import_CO_Comuni!$A$4:$AAA$4,0))</f>
        <v>0</v>
      </c>
      <c r="J464" s="88">
        <f>INDEX(Import_CO_Comuni!$A$4:$AAA$324,MATCH($G464,Import_CO_Comuni!$A$4:$A$324,0),MATCH(J$1,Import_CO_Comuni!$A$4:$AAA$4,0))</f>
        <v>0</v>
      </c>
    </row>
    <row r="465" spans="1:10" x14ac:dyDescent="0.2">
      <c r="A465" s="86" t="s">
        <v>7493</v>
      </c>
      <c r="B465" s="447" t="str">
        <f>IN_Anagrafica!$B$9</f>
        <v>NO</v>
      </c>
      <c r="C465" s="369" t="str">
        <f t="shared" si="5"/>
        <v>NO</v>
      </c>
      <c r="D465" s="1028" t="s">
        <v>8218</v>
      </c>
      <c r="E465" s="1030" t="s">
        <v>8214</v>
      </c>
      <c r="F465" s="1031" t="s">
        <v>8520</v>
      </c>
      <c r="G465" s="1031" t="s">
        <v>5890</v>
      </c>
      <c r="H465" s="88">
        <f>INDEX(Import_CO_Comuni!$A$4:$AAA$324,MATCH($G465,Import_CO_Comuni!$A$4:$A$324,0),MATCH(H$1,Import_CO_Comuni!$A$4:$AAA$4,0))</f>
        <v>0</v>
      </c>
      <c r="I465" s="88">
        <f>INDEX(Import_CO_Comuni!$A$4:$AAA$324,MATCH($G465,Import_CO_Comuni!$A$4:$A$324,0),MATCH(I$1,Import_CO_Comuni!$A$4:$AAA$4,0))</f>
        <v>0</v>
      </c>
      <c r="J465" s="88">
        <f>INDEX(Import_CO_Comuni!$A$4:$AAA$324,MATCH($G465,Import_CO_Comuni!$A$4:$A$324,0),MATCH(J$1,Import_CO_Comuni!$A$4:$AAA$4,0))</f>
        <v>0</v>
      </c>
    </row>
    <row r="466" spans="1:10" x14ac:dyDescent="0.2">
      <c r="A466" s="86" t="s">
        <v>7494</v>
      </c>
      <c r="B466" s="447" t="str">
        <f>IN_Anagrafica!$B$9</f>
        <v>NO</v>
      </c>
      <c r="C466" s="369" t="str">
        <f t="shared" si="5"/>
        <v>NO</v>
      </c>
      <c r="D466" s="1028" t="s">
        <v>8218</v>
      </c>
      <c r="E466" s="1030" t="s">
        <v>8215</v>
      </c>
      <c r="F466" s="1031" t="s">
        <v>8520</v>
      </c>
      <c r="G466" s="1031" t="s">
        <v>5891</v>
      </c>
      <c r="H466" s="88">
        <f>INDEX(Import_CO_Comuni!$A$4:$AAA$324,MATCH($G466,Import_CO_Comuni!$A$4:$A$324,0),MATCH(H$1,Import_CO_Comuni!$A$4:$AAA$4,0))</f>
        <v>0</v>
      </c>
      <c r="I466" s="88">
        <f>INDEX(Import_CO_Comuni!$A$4:$AAA$324,MATCH($G466,Import_CO_Comuni!$A$4:$A$324,0),MATCH(I$1,Import_CO_Comuni!$A$4:$AAA$4,0))</f>
        <v>0</v>
      </c>
      <c r="J466" s="88">
        <f>INDEX(Import_CO_Comuni!$A$4:$AAA$324,MATCH($G466,Import_CO_Comuni!$A$4:$A$324,0),MATCH(J$1,Import_CO_Comuni!$A$4:$AAA$4,0))</f>
        <v>0</v>
      </c>
    </row>
    <row r="467" spans="1:10" x14ac:dyDescent="0.2">
      <c r="A467" s="86" t="s">
        <v>7495</v>
      </c>
      <c r="B467" s="447" t="str">
        <f>IN_Anagrafica!$B$9</f>
        <v>NO</v>
      </c>
      <c r="C467" s="369" t="str">
        <f t="shared" si="5"/>
        <v>NO</v>
      </c>
      <c r="D467" s="1028" t="s">
        <v>8218</v>
      </c>
      <c r="E467" s="1030" t="s">
        <v>354</v>
      </c>
      <c r="F467" s="1031" t="s">
        <v>8520</v>
      </c>
      <c r="G467" s="1031" t="s">
        <v>5892</v>
      </c>
      <c r="H467" s="88">
        <f>INDEX(Import_CO_Comuni!$A$4:$AAA$324,MATCH($G467,Import_CO_Comuni!$A$4:$A$324,0),MATCH(H$1,Import_CO_Comuni!$A$4:$AAA$4,0))</f>
        <v>0</v>
      </c>
      <c r="I467" s="88">
        <f>INDEX(Import_CO_Comuni!$A$4:$AAA$324,MATCH($G467,Import_CO_Comuni!$A$4:$A$324,0),MATCH(I$1,Import_CO_Comuni!$A$4:$AAA$4,0))</f>
        <v>0</v>
      </c>
      <c r="J467" s="88">
        <f>INDEX(Import_CO_Comuni!$A$4:$AAA$324,MATCH($G467,Import_CO_Comuni!$A$4:$A$324,0),MATCH(J$1,Import_CO_Comuni!$A$4:$AAA$4,0))</f>
        <v>0</v>
      </c>
    </row>
    <row r="468" spans="1:10" x14ac:dyDescent="0.2">
      <c r="A468" s="86" t="s">
        <v>7496</v>
      </c>
      <c r="B468" s="447" t="str">
        <f>IN_Anagrafica!$B$9</f>
        <v>NO</v>
      </c>
      <c r="C468" s="369" t="str">
        <f t="shared" si="5"/>
        <v>NO</v>
      </c>
      <c r="D468" s="1028" t="s">
        <v>8218</v>
      </c>
      <c r="E468" s="1030" t="s">
        <v>355</v>
      </c>
      <c r="F468" s="1031" t="s">
        <v>8520</v>
      </c>
      <c r="G468" s="1031" t="s">
        <v>5893</v>
      </c>
      <c r="H468" s="88">
        <f>INDEX(Import_CO_Comuni!$A$4:$AAA$324,MATCH($G468,Import_CO_Comuni!$A$4:$A$324,0),MATCH(H$1,Import_CO_Comuni!$A$4:$AAA$4,0))</f>
        <v>0</v>
      </c>
      <c r="I468" s="88">
        <f>INDEX(Import_CO_Comuni!$A$4:$AAA$324,MATCH($G468,Import_CO_Comuni!$A$4:$A$324,0),MATCH(I$1,Import_CO_Comuni!$A$4:$AAA$4,0))</f>
        <v>0</v>
      </c>
      <c r="J468" s="88">
        <f>INDEX(Import_CO_Comuni!$A$4:$AAA$324,MATCH($G468,Import_CO_Comuni!$A$4:$A$324,0),MATCH(J$1,Import_CO_Comuni!$A$4:$AAA$4,0))</f>
        <v>0</v>
      </c>
    </row>
    <row r="469" spans="1:10" x14ac:dyDescent="0.2">
      <c r="A469" s="86" t="s">
        <v>7497</v>
      </c>
      <c r="B469" s="447" t="str">
        <f>IN_Anagrafica!$B$9</f>
        <v>NO</v>
      </c>
      <c r="C469" s="369" t="str">
        <f t="shared" si="5"/>
        <v>NO</v>
      </c>
      <c r="D469" s="1028" t="s">
        <v>8218</v>
      </c>
      <c r="E469" s="1030" t="s">
        <v>356</v>
      </c>
      <c r="F469" s="1031" t="s">
        <v>8520</v>
      </c>
      <c r="G469" s="1031" t="s">
        <v>5894</v>
      </c>
      <c r="H469" s="88">
        <f>INDEX(Import_CO_Comuni!$A$4:$AAA$324,MATCH($G469,Import_CO_Comuni!$A$4:$A$324,0),MATCH(H$1,Import_CO_Comuni!$A$4:$AAA$4,0))</f>
        <v>0</v>
      </c>
      <c r="I469" s="88">
        <f>INDEX(Import_CO_Comuni!$A$4:$AAA$324,MATCH($G469,Import_CO_Comuni!$A$4:$A$324,0),MATCH(I$1,Import_CO_Comuni!$A$4:$AAA$4,0))</f>
        <v>0</v>
      </c>
      <c r="J469" s="88">
        <f>INDEX(Import_CO_Comuni!$A$4:$AAA$324,MATCH($G469,Import_CO_Comuni!$A$4:$A$324,0),MATCH(J$1,Import_CO_Comuni!$A$4:$AAA$4,0))</f>
        <v>0</v>
      </c>
    </row>
    <row r="470" spans="1:10" x14ac:dyDescent="0.2">
      <c r="A470" s="86" t="s">
        <v>7498</v>
      </c>
      <c r="B470" s="1067" t="s">
        <v>105</v>
      </c>
      <c r="C470" s="1037" t="s">
        <v>219</v>
      </c>
      <c r="D470" s="1028" t="s">
        <v>744</v>
      </c>
      <c r="E470" s="1030" t="s">
        <v>358</v>
      </c>
      <c r="F470" s="1031" t="s">
        <v>744</v>
      </c>
      <c r="G470" s="1031" t="s">
        <v>1616</v>
      </c>
      <c r="H470" s="88">
        <f>INDEX(IN_CTS_CTR_RC!$A$3:$AAA$118,MATCH($G470,IN_CTS_CTR_RC!$A$3:$A$118,0),MATCH(H$1,IN_CTS_CTR_RC!$A$3:$AAA$3,0))</f>
        <v>0</v>
      </c>
      <c r="I470" s="88">
        <f>INDEX(IN_CTS_CTR_RC!$A$3:$AAA$118,MATCH($G470,IN_CTS_CTR_RC!$A$3:$A$118,0),MATCH(I$1,IN_CTS_CTR_RC!$A$3:$AAA$3,0))</f>
        <v>0</v>
      </c>
      <c r="J470" s="88">
        <f>INDEX(IN_CTS_CTR_RC!$A$3:$AAA$118,MATCH($G470,IN_CTS_CTR_RC!$A$3:$A$118,0),MATCH(J$1,IN_CTS_CTR_RC!$A$3:$AAA$3,0))</f>
        <v>0</v>
      </c>
    </row>
    <row r="471" spans="1:10" x14ac:dyDescent="0.2">
      <c r="A471" s="86" t="s">
        <v>7499</v>
      </c>
      <c r="B471" s="447" t="str">
        <f>IN_Anagrafica!$B$9</f>
        <v>NO</v>
      </c>
      <c r="C471" s="369" t="str">
        <f>IF(B471="SI","SI","NO")</f>
        <v>NO</v>
      </c>
      <c r="D471" s="1028" t="s">
        <v>744</v>
      </c>
      <c r="E471" s="1030" t="s">
        <v>662</v>
      </c>
      <c r="F471" s="1031" t="s">
        <v>744</v>
      </c>
      <c r="G471" s="1031" t="s">
        <v>1618</v>
      </c>
      <c r="H471" s="88">
        <f>INDEX(IN_CTS_CTR_RC!$A$3:$AAA$118,MATCH($G471,IN_CTS_CTR_RC!$A$3:$A$118,0),MATCH(H$1,IN_CTS_CTR_RC!$A$3:$AAA$3,0))</f>
        <v>0</v>
      </c>
      <c r="I471" s="88">
        <f>INDEX(IN_CTS_CTR_RC!$A$3:$AAA$118,MATCH($G471,IN_CTS_CTR_RC!$A$3:$A$118,0),MATCH(I$1,IN_CTS_CTR_RC!$A$3:$AAA$3,0))</f>
        <v>0</v>
      </c>
      <c r="J471" s="88">
        <f>INDEX(IN_CTS_CTR_RC!$A$3:$AAA$118,MATCH($G471,IN_CTS_CTR_RC!$A$3:$A$118,0),MATCH(J$1,IN_CTS_CTR_RC!$A$3:$AAA$3,0))</f>
        <v>0</v>
      </c>
    </row>
    <row r="472" spans="1:10" x14ac:dyDescent="0.2">
      <c r="A472" s="86" t="s">
        <v>7500</v>
      </c>
      <c r="B472" s="1067" t="s">
        <v>105</v>
      </c>
      <c r="C472" s="1037" t="s">
        <v>219</v>
      </c>
      <c r="D472" s="1028" t="s">
        <v>744</v>
      </c>
      <c r="E472" s="1030" t="s">
        <v>363</v>
      </c>
      <c r="F472" s="1031" t="s">
        <v>744</v>
      </c>
      <c r="G472" s="1031" t="s">
        <v>1624</v>
      </c>
      <c r="H472" s="88">
        <f>INDEX(IN_CTS_CTR_RC!$A$3:$AAA$118,MATCH($G472,IN_CTS_CTR_RC!$A$3:$A$118,0),MATCH(H$1,IN_CTS_CTR_RC!$A$3:$AAA$3,0))</f>
        <v>0</v>
      </c>
      <c r="I472" s="88">
        <f>INDEX(IN_CTS_CTR_RC!$A$3:$AAA$118,MATCH($G472,IN_CTS_CTR_RC!$A$3:$A$118,0),MATCH(I$1,IN_CTS_CTR_RC!$A$3:$AAA$3,0))</f>
        <v>0</v>
      </c>
      <c r="J472" s="88">
        <f>INDEX(IN_CTS_CTR_RC!$A$3:$AAA$118,MATCH($G472,IN_CTS_CTR_RC!$A$3:$A$118,0),MATCH(J$1,IN_CTS_CTR_RC!$A$3:$AAA$3,0))</f>
        <v>0</v>
      </c>
    </row>
    <row r="473" spans="1:10" x14ac:dyDescent="0.2">
      <c r="A473" s="86" t="s">
        <v>7501</v>
      </c>
      <c r="B473" s="447" t="str">
        <f>IN_Anagrafica!$B$9</f>
        <v>NO</v>
      </c>
      <c r="C473" s="369" t="str">
        <f>IF(B473="SI","SI","NO")</f>
        <v>NO</v>
      </c>
      <c r="D473" s="1028" t="s">
        <v>744</v>
      </c>
      <c r="E473" s="1030" t="s">
        <v>665</v>
      </c>
      <c r="F473" s="1031" t="s">
        <v>744</v>
      </c>
      <c r="G473" s="1031" t="s">
        <v>1626</v>
      </c>
      <c r="H473" s="88">
        <f>INDEX(IN_CTS_CTR_RC!$A$3:$AAA$118,MATCH($G473,IN_CTS_CTR_RC!$A$3:$A$118,0),MATCH(H$1,IN_CTS_CTR_RC!$A$3:$AAA$3,0))</f>
        <v>0</v>
      </c>
      <c r="I473" s="88">
        <f>INDEX(IN_CTS_CTR_RC!$A$3:$AAA$118,MATCH($G473,IN_CTS_CTR_RC!$A$3:$A$118,0),MATCH(I$1,IN_CTS_CTR_RC!$A$3:$AAA$3,0))</f>
        <v>0</v>
      </c>
      <c r="J473" s="88">
        <f>INDEX(IN_CTS_CTR_RC!$A$3:$AAA$118,MATCH($G473,IN_CTS_CTR_RC!$A$3:$A$118,0),MATCH(J$1,IN_CTS_CTR_RC!$A$3:$AAA$3,0))</f>
        <v>0</v>
      </c>
    </row>
    <row r="474" spans="1:10" x14ac:dyDescent="0.2">
      <c r="A474" s="86" t="s">
        <v>7502</v>
      </c>
      <c r="B474" s="1067" t="s">
        <v>105</v>
      </c>
      <c r="C474" s="1037" t="s">
        <v>219</v>
      </c>
      <c r="D474" s="1028" t="s">
        <v>744</v>
      </c>
      <c r="E474" s="1030" t="s">
        <v>667</v>
      </c>
      <c r="F474" s="1031" t="s">
        <v>744</v>
      </c>
      <c r="G474" s="1031" t="s">
        <v>1620</v>
      </c>
      <c r="H474" s="88">
        <f>INDEX(IN_CTS_CTR_RC!$A$3:$AAA$118,MATCH($G474,IN_CTS_CTR_RC!$A$3:$A$118,0),MATCH(H$1,IN_CTS_CTR_RC!$A$3:$AAA$3,0))</f>
        <v>0</v>
      </c>
      <c r="I474" s="88">
        <f>INDEX(IN_CTS_CTR_RC!$A$3:$AAA$118,MATCH($G474,IN_CTS_CTR_RC!$A$3:$A$118,0),MATCH(I$1,IN_CTS_CTR_RC!$A$3:$AAA$3,0))</f>
        <v>0</v>
      </c>
      <c r="J474" s="88">
        <f>INDEX(IN_CTS_CTR_RC!$A$3:$AAA$118,MATCH($G474,IN_CTS_CTR_RC!$A$3:$A$118,0),MATCH(J$1,IN_CTS_CTR_RC!$A$3:$AAA$3,0))</f>
        <v>0</v>
      </c>
    </row>
    <row r="475" spans="1:10" x14ac:dyDescent="0.2">
      <c r="A475" s="86" t="s">
        <v>7503</v>
      </c>
      <c r="B475" s="447" t="str">
        <f>IN_Anagrafica!$B$9</f>
        <v>NO</v>
      </c>
      <c r="C475" s="369" t="str">
        <f>IF(B475="SI","SI","NO")</f>
        <v>NO</v>
      </c>
      <c r="D475" s="1028" t="s">
        <v>744</v>
      </c>
      <c r="E475" s="1030" t="s">
        <v>670</v>
      </c>
      <c r="F475" s="1031" t="s">
        <v>744</v>
      </c>
      <c r="G475" s="1031" t="s">
        <v>1622</v>
      </c>
      <c r="H475" s="88">
        <f>INDEX(IN_CTS_CTR_RC!$A$3:$AAA$118,MATCH($G475,IN_CTS_CTR_RC!$A$3:$A$118,0),MATCH(H$1,IN_CTS_CTR_RC!$A$3:$AAA$3,0))</f>
        <v>0</v>
      </c>
      <c r="I475" s="88">
        <f>INDEX(IN_CTS_CTR_RC!$A$3:$AAA$118,MATCH($G475,IN_CTS_CTR_RC!$A$3:$A$118,0),MATCH(I$1,IN_CTS_CTR_RC!$A$3:$AAA$3,0))</f>
        <v>0</v>
      </c>
      <c r="J475" s="88">
        <f>INDEX(IN_CTS_CTR_RC!$A$3:$AAA$118,MATCH($G475,IN_CTS_CTR_RC!$A$3:$A$118,0),MATCH(J$1,IN_CTS_CTR_RC!$A$3:$AAA$3,0))</f>
        <v>0</v>
      </c>
    </row>
    <row r="476" spans="1:10" x14ac:dyDescent="0.2">
      <c r="A476" s="86" t="s">
        <v>7504</v>
      </c>
      <c r="B476" s="1067" t="s">
        <v>105</v>
      </c>
      <c r="C476" s="1037" t="s">
        <v>219</v>
      </c>
      <c r="D476" s="1028" t="s">
        <v>744</v>
      </c>
      <c r="E476" s="1030" t="s">
        <v>671</v>
      </c>
      <c r="F476" s="1031" t="s">
        <v>744</v>
      </c>
      <c r="G476" s="1031" t="s">
        <v>1628</v>
      </c>
      <c r="H476" s="88">
        <f>INDEX(IN_CTS_CTR_RC!$A$3:$AAA$118,MATCH($G476,IN_CTS_CTR_RC!$A$3:$A$118,0),MATCH(H$1,IN_CTS_CTR_RC!$A$3:$AAA$3,0))</f>
        <v>0</v>
      </c>
      <c r="I476" s="88">
        <f>INDEX(IN_CTS_CTR_RC!$A$3:$AAA$118,MATCH($G476,IN_CTS_CTR_RC!$A$3:$A$118,0),MATCH(I$1,IN_CTS_CTR_RC!$A$3:$AAA$3,0))</f>
        <v>0</v>
      </c>
      <c r="J476" s="88">
        <f>INDEX(IN_CTS_CTR_RC!$A$3:$AAA$118,MATCH($G476,IN_CTS_CTR_RC!$A$3:$A$118,0),MATCH(J$1,IN_CTS_CTR_RC!$A$3:$AAA$3,0))</f>
        <v>0</v>
      </c>
    </row>
    <row r="477" spans="1:10" x14ac:dyDescent="0.2">
      <c r="A477" s="86" t="s">
        <v>7505</v>
      </c>
      <c r="B477" s="447" t="str">
        <f>IN_Anagrafica!$B$9</f>
        <v>NO</v>
      </c>
      <c r="C477" s="369" t="str">
        <f>IF(B477="SI","SI","NO")</f>
        <v>NO</v>
      </c>
      <c r="D477" s="1028" t="s">
        <v>744</v>
      </c>
      <c r="E477" s="1030" t="s">
        <v>674</v>
      </c>
      <c r="F477" s="1031" t="s">
        <v>744</v>
      </c>
      <c r="G477" s="1031" t="s">
        <v>1630</v>
      </c>
      <c r="H477" s="88">
        <f>INDEX(IN_CTS_CTR_RC!$A$3:$AAA$118,MATCH($G477,IN_CTS_CTR_RC!$A$3:$A$118,0),MATCH(H$1,IN_CTS_CTR_RC!$A$3:$AAA$3,0))</f>
        <v>0</v>
      </c>
      <c r="I477" s="88">
        <f>INDEX(IN_CTS_CTR_RC!$A$3:$AAA$118,MATCH($G477,IN_CTS_CTR_RC!$A$3:$A$118,0),MATCH(I$1,IN_CTS_CTR_RC!$A$3:$AAA$3,0))</f>
        <v>0</v>
      </c>
      <c r="J477" s="88">
        <f>INDEX(IN_CTS_CTR_RC!$A$3:$AAA$118,MATCH($G477,IN_CTS_CTR_RC!$A$3:$A$118,0),MATCH(J$1,IN_CTS_CTR_RC!$A$3:$AAA$3,0))</f>
        <v>0</v>
      </c>
    </row>
    <row r="478" spans="1:10" x14ac:dyDescent="0.2">
      <c r="A478" s="86" t="s">
        <v>7506</v>
      </c>
      <c r="B478" s="1067" t="s">
        <v>105</v>
      </c>
      <c r="C478" s="1037" t="s">
        <v>219</v>
      </c>
      <c r="D478" s="1028" t="s">
        <v>744</v>
      </c>
      <c r="E478" s="1030" t="s">
        <v>367</v>
      </c>
      <c r="F478" s="1031" t="s">
        <v>744</v>
      </c>
      <c r="G478" s="1031" t="s">
        <v>6984</v>
      </c>
      <c r="H478" s="88">
        <f>INDEX(IN_CTS_CTR_RC!$A$3:$AAA$118,MATCH($G478,IN_CTS_CTR_RC!$A$3:$A$118,0),MATCH(H$1,IN_CTS_CTR_RC!$A$3:$AAA$3,0))</f>
        <v>1130438.7559999996</v>
      </c>
      <c r="I478" s="88">
        <f>INDEX(IN_CTS_CTR_RC!$A$3:$AAA$118,MATCH($G478,IN_CTS_CTR_RC!$A$3:$A$118,0),MATCH(I$1,IN_CTS_CTR_RC!$A$3:$AAA$3,0))</f>
        <v>184871.16799999995</v>
      </c>
      <c r="J478" s="88">
        <f>INDEX(IN_CTS_CTR_RC!$A$3:$AAA$118,MATCH($G478,IN_CTS_CTR_RC!$A$3:$A$118,0),MATCH(J$1,IN_CTS_CTR_RC!$A$3:$AAA$3,0))</f>
        <v>0</v>
      </c>
    </row>
    <row r="479" spans="1:10" x14ac:dyDescent="0.2">
      <c r="A479" s="86" t="s">
        <v>7507</v>
      </c>
      <c r="B479" s="447" t="str">
        <f>IN_Anagrafica!$B$9</f>
        <v>NO</v>
      </c>
      <c r="C479" s="369" t="str">
        <f>IF(B479="SI","SI","NO")</f>
        <v>NO</v>
      </c>
      <c r="D479" s="1028" t="s">
        <v>744</v>
      </c>
      <c r="E479" s="1030" t="s">
        <v>679</v>
      </c>
      <c r="F479" s="1031" t="s">
        <v>744</v>
      </c>
      <c r="G479" s="1031" t="s">
        <v>6985</v>
      </c>
      <c r="H479" s="88">
        <f>INDEX(IN_CTS_CTR_RC!$A$3:$AAA$118,MATCH($G479,IN_CTS_CTR_RC!$A$3:$A$118,0),MATCH(H$1,IN_CTS_CTR_RC!$A$3:$AAA$3,0))</f>
        <v>0</v>
      </c>
      <c r="I479" s="88">
        <f>INDEX(IN_CTS_CTR_RC!$A$3:$AAA$118,MATCH($G479,IN_CTS_CTR_RC!$A$3:$A$118,0),MATCH(I$1,IN_CTS_CTR_RC!$A$3:$AAA$3,0))</f>
        <v>0</v>
      </c>
      <c r="J479" s="88">
        <f>INDEX(IN_CTS_CTR_RC!$A$3:$AAA$118,MATCH($G479,IN_CTS_CTR_RC!$A$3:$A$118,0),MATCH(J$1,IN_CTS_CTR_RC!$A$3:$AAA$3,0))</f>
        <v>0</v>
      </c>
    </row>
    <row r="480" spans="1:10" x14ac:dyDescent="0.2">
      <c r="A480" s="86" t="s">
        <v>7508</v>
      </c>
      <c r="B480" s="1067" t="s">
        <v>105</v>
      </c>
      <c r="C480" s="1037" t="s">
        <v>219</v>
      </c>
      <c r="D480" s="1028" t="s">
        <v>744</v>
      </c>
      <c r="E480" s="1030" t="s">
        <v>368</v>
      </c>
      <c r="F480" s="1031" t="s">
        <v>744</v>
      </c>
      <c r="G480" s="1031" t="s">
        <v>6988</v>
      </c>
      <c r="H480" s="88">
        <f>INDEX(IN_CTS_CTR_RC!$A$3:$AAA$118,MATCH($G480,IN_CTS_CTR_RC!$A$3:$A$118,0),MATCH(H$1,IN_CTS_CTR_RC!$A$3:$AAA$3,0))</f>
        <v>832561.43600000045</v>
      </c>
      <c r="I480" s="88">
        <f>INDEX(IN_CTS_CTR_RC!$A$3:$AAA$118,MATCH($G480,IN_CTS_CTR_RC!$A$3:$A$118,0),MATCH(I$1,IN_CTS_CTR_RC!$A$3:$AAA$3,0))</f>
        <v>213445.10719999997</v>
      </c>
      <c r="J480" s="88">
        <f>INDEX(IN_CTS_CTR_RC!$A$3:$AAA$118,MATCH($G480,IN_CTS_CTR_RC!$A$3:$A$118,0),MATCH(J$1,IN_CTS_CTR_RC!$A$3:$AAA$3,0))</f>
        <v>-213795.71099999998</v>
      </c>
    </row>
    <row r="481" spans="1:10" x14ac:dyDescent="0.2">
      <c r="A481" s="86" t="s">
        <v>7509</v>
      </c>
      <c r="B481" s="447" t="str">
        <f>IN_Anagrafica!$B$9</f>
        <v>NO</v>
      </c>
      <c r="C481" s="369" t="str">
        <f>IF(B481="SI","SI","NO")</f>
        <v>NO</v>
      </c>
      <c r="D481" s="1028" t="s">
        <v>744</v>
      </c>
      <c r="E481" s="1030" t="s">
        <v>684</v>
      </c>
      <c r="F481" s="1031" t="s">
        <v>744</v>
      </c>
      <c r="G481" s="1031" t="s">
        <v>6990</v>
      </c>
      <c r="H481" s="88">
        <f>INDEX(IN_CTS_CTR_RC!$A$3:$AAA$118,MATCH($G481,IN_CTS_CTR_RC!$A$3:$A$118,0),MATCH(H$1,IN_CTS_CTR_RC!$A$3:$AAA$3,0))</f>
        <v>0</v>
      </c>
      <c r="I481" s="88">
        <f>INDEX(IN_CTS_CTR_RC!$A$3:$AAA$118,MATCH($G481,IN_CTS_CTR_RC!$A$3:$A$118,0),MATCH(I$1,IN_CTS_CTR_RC!$A$3:$AAA$3,0))</f>
        <v>0</v>
      </c>
      <c r="J481" s="88">
        <f>INDEX(IN_CTS_CTR_RC!$A$3:$AAA$118,MATCH($G481,IN_CTS_CTR_RC!$A$3:$A$118,0),MATCH(J$1,IN_CTS_CTR_RC!$A$3:$AAA$3,0))</f>
        <v>0</v>
      </c>
    </row>
    <row r="482" spans="1:10" x14ac:dyDescent="0.2">
      <c r="A482" s="86" t="s">
        <v>7510</v>
      </c>
      <c r="B482" s="1067" t="s">
        <v>105</v>
      </c>
      <c r="C482" s="1037" t="s">
        <v>219</v>
      </c>
      <c r="D482" s="1028" t="s">
        <v>744</v>
      </c>
      <c r="E482" s="1030" t="s">
        <v>338</v>
      </c>
      <c r="F482" s="1031" t="s">
        <v>744</v>
      </c>
      <c r="G482" s="1031" t="s">
        <v>6986</v>
      </c>
      <c r="H482" s="88">
        <f>INDEX(IN_CTS_CTR_RC!$A$3:$AAA$118,MATCH($G482,IN_CTS_CTR_RC!$A$3:$A$118,0),MATCH(H$1,IN_CTS_CTR_RC!$A$3:$AAA$3,0))</f>
        <v>0</v>
      </c>
      <c r="I482" s="88">
        <f>INDEX(IN_CTS_CTR_RC!$A$3:$AAA$118,MATCH($G482,IN_CTS_CTR_RC!$A$3:$A$118,0),MATCH(I$1,IN_CTS_CTR_RC!$A$3:$AAA$3,0))</f>
        <v>183.31</v>
      </c>
      <c r="J482" s="88">
        <f>INDEX(IN_CTS_CTR_RC!$A$3:$AAA$118,MATCH($G482,IN_CTS_CTR_RC!$A$3:$A$118,0),MATCH(J$1,IN_CTS_CTR_RC!$A$3:$AAA$3,0))</f>
        <v>0</v>
      </c>
    </row>
    <row r="483" spans="1:10" x14ac:dyDescent="0.2">
      <c r="A483" s="86" t="s">
        <v>7511</v>
      </c>
      <c r="B483" s="447" t="str">
        <f>IN_Anagrafica!$B$9</f>
        <v>NO</v>
      </c>
      <c r="C483" s="369" t="str">
        <f>IF(B483="SI","SI","NO")</f>
        <v>NO</v>
      </c>
      <c r="D483" s="1028" t="s">
        <v>744</v>
      </c>
      <c r="E483" s="1030" t="s">
        <v>340</v>
      </c>
      <c r="F483" s="1031" t="s">
        <v>744</v>
      </c>
      <c r="G483" s="1031" t="s">
        <v>6987</v>
      </c>
      <c r="H483" s="88">
        <f>INDEX(IN_CTS_CTR_RC!$A$3:$AAA$118,MATCH($G483,IN_CTS_CTR_RC!$A$3:$A$118,0),MATCH(H$1,IN_CTS_CTR_RC!$A$3:$AAA$3,0))</f>
        <v>0</v>
      </c>
      <c r="I483" s="88">
        <f>INDEX(IN_CTS_CTR_RC!$A$3:$AAA$118,MATCH($G483,IN_CTS_CTR_RC!$A$3:$A$118,0),MATCH(I$1,IN_CTS_CTR_RC!$A$3:$AAA$3,0))</f>
        <v>0</v>
      </c>
      <c r="J483" s="88">
        <f>INDEX(IN_CTS_CTR_RC!$A$3:$AAA$118,MATCH($G483,IN_CTS_CTR_RC!$A$3:$A$118,0),MATCH(J$1,IN_CTS_CTR_RC!$A$3:$AAA$3,0))</f>
        <v>0</v>
      </c>
    </row>
    <row r="484" spans="1:10" x14ac:dyDescent="0.2">
      <c r="A484" s="86" t="s">
        <v>7512</v>
      </c>
      <c r="B484" s="1067" t="s">
        <v>105</v>
      </c>
      <c r="C484" s="1037" t="s">
        <v>219</v>
      </c>
      <c r="D484" s="1028" t="s">
        <v>744</v>
      </c>
      <c r="E484" s="1030" t="s">
        <v>8219</v>
      </c>
      <c r="F484" s="1031" t="s">
        <v>744</v>
      </c>
      <c r="G484" s="1031" t="s">
        <v>6989</v>
      </c>
      <c r="H484" s="88">
        <f>INDEX(IN_CTS_CTR_RC!$A$3:$AAA$118,MATCH($G484,IN_CTS_CTR_RC!$A$3:$A$118,0),MATCH(H$1,IN_CTS_CTR_RC!$A$3:$AAA$3,0))</f>
        <v>0</v>
      </c>
      <c r="I484" s="88">
        <f>INDEX(IN_CTS_CTR_RC!$A$3:$AAA$118,MATCH($G484,IN_CTS_CTR_RC!$A$3:$A$118,0),MATCH(I$1,IN_CTS_CTR_RC!$A$3:$AAA$3,0))</f>
        <v>186.97620000000001</v>
      </c>
      <c r="J484" s="88">
        <f>INDEX(IN_CTS_CTR_RC!$A$3:$AAA$118,MATCH($G484,IN_CTS_CTR_RC!$A$3:$A$118,0),MATCH(J$1,IN_CTS_CTR_RC!$A$3:$AAA$3,0))</f>
        <v>188465.73</v>
      </c>
    </row>
    <row r="485" spans="1:10" x14ac:dyDescent="0.2">
      <c r="A485" s="86" t="s">
        <v>7513</v>
      </c>
      <c r="B485" s="447" t="str">
        <f>IN_Anagrafica!$B$9</f>
        <v>NO</v>
      </c>
      <c r="C485" s="369" t="str">
        <f>IF(B485="SI","SI","NO")</f>
        <v>NO</v>
      </c>
      <c r="D485" s="1028" t="s">
        <v>744</v>
      </c>
      <c r="E485" s="1030" t="s">
        <v>8220</v>
      </c>
      <c r="F485" s="1031" t="s">
        <v>744</v>
      </c>
      <c r="G485" s="1031" t="s">
        <v>6991</v>
      </c>
      <c r="H485" s="88">
        <f>INDEX(IN_CTS_CTR_RC!$A$3:$AAA$118,MATCH($G485,IN_CTS_CTR_RC!$A$3:$A$118,0),MATCH(H$1,IN_CTS_CTR_RC!$A$3:$AAA$3,0))</f>
        <v>0</v>
      </c>
      <c r="I485" s="88">
        <f>INDEX(IN_CTS_CTR_RC!$A$3:$AAA$118,MATCH($G485,IN_CTS_CTR_RC!$A$3:$A$118,0),MATCH(I$1,IN_CTS_CTR_RC!$A$3:$AAA$3,0))</f>
        <v>0</v>
      </c>
      <c r="J485" s="88">
        <f>INDEX(IN_CTS_CTR_RC!$A$3:$AAA$118,MATCH($G485,IN_CTS_CTR_RC!$A$3:$A$118,0),MATCH(J$1,IN_CTS_CTR_RC!$A$3:$AAA$3,0))</f>
        <v>0</v>
      </c>
    </row>
    <row r="486" spans="1:10" x14ac:dyDescent="0.2">
      <c r="A486" s="86" t="s">
        <v>7514</v>
      </c>
      <c r="B486" s="1067" t="s">
        <v>105</v>
      </c>
      <c r="C486" s="1037" t="s">
        <v>219</v>
      </c>
      <c r="D486" s="1028" t="s">
        <v>1705</v>
      </c>
      <c r="E486" s="1030" t="s">
        <v>358</v>
      </c>
      <c r="F486" s="1031" t="s">
        <v>1705</v>
      </c>
      <c r="G486" s="1031" t="s">
        <v>125</v>
      </c>
      <c r="H486" s="88">
        <f>INDEX(IN_RC_ANT!$A$3:$AAA$160,MATCH($G486,IN_RC_ANT!$A$3:$A$160,0),MATCH(H$1,IN_RC_ANT!$A$3:$AAA$3,0))</f>
        <v>0</v>
      </c>
      <c r="I486" s="88">
        <f>INDEX(IN_RC_ANT!$A$3:$AAA$160,MATCH($G486,IN_RC_ANT!$A$3:$A$160,0),MATCH(I$1,IN_RC_ANT!$A$3:$AAA$3,0))</f>
        <v>0</v>
      </c>
      <c r="J486" s="88">
        <f>INDEX(IN_RC_ANT!$A$3:$AAA$160,MATCH($G486,IN_RC_ANT!$A$3:$A$160,0),MATCH(J$1,IN_RC_ANT!$A$3:$AAA$3,0))</f>
        <v>0</v>
      </c>
    </row>
    <row r="487" spans="1:10" x14ac:dyDescent="0.2">
      <c r="A487" s="86" t="s">
        <v>7515</v>
      </c>
      <c r="B487" s="447" t="str">
        <f>IN_Anagrafica!$B$9</f>
        <v>NO</v>
      </c>
      <c r="C487" s="369" t="str">
        <f>IF(B487="SI","SI","NO")</f>
        <v>NO</v>
      </c>
      <c r="D487" s="1028" t="s">
        <v>1705</v>
      </c>
      <c r="E487" s="1030" t="s">
        <v>662</v>
      </c>
      <c r="F487" s="1031" t="s">
        <v>1705</v>
      </c>
      <c r="G487" s="1031" t="s">
        <v>126</v>
      </c>
      <c r="H487" s="88">
        <f>INDEX(IN_RC_ANT!$A$3:$AAA$160,MATCH($G487,IN_RC_ANT!$A$3:$A$160,0),MATCH(H$1,IN_RC_ANT!$A$3:$AAA$3,0))</f>
        <v>0</v>
      </c>
      <c r="I487" s="88">
        <f>INDEX(IN_RC_ANT!$A$3:$AAA$160,MATCH($G487,IN_RC_ANT!$A$3:$A$160,0),MATCH(I$1,IN_RC_ANT!$A$3:$AAA$3,0))</f>
        <v>0</v>
      </c>
      <c r="J487" s="88">
        <f>INDEX(IN_RC_ANT!$A$3:$AAA$160,MATCH($G487,IN_RC_ANT!$A$3:$A$160,0),MATCH(J$1,IN_RC_ANT!$A$3:$AAA$3,0))</f>
        <v>0</v>
      </c>
    </row>
    <row r="488" spans="1:10" x14ac:dyDescent="0.2">
      <c r="A488" s="86" t="s">
        <v>7516</v>
      </c>
      <c r="B488" s="1067" t="s">
        <v>105</v>
      </c>
      <c r="C488" s="1037" t="s">
        <v>219</v>
      </c>
      <c r="D488" s="1028" t="s">
        <v>1705</v>
      </c>
      <c r="E488" s="1030" t="s">
        <v>363</v>
      </c>
      <c r="F488" s="1031" t="s">
        <v>1705</v>
      </c>
      <c r="G488" s="1031" t="s">
        <v>129</v>
      </c>
      <c r="H488" s="88">
        <f>INDEX(IN_RC_ANT!$A$3:$AAA$160,MATCH($G488,IN_RC_ANT!$A$3:$A$160,0),MATCH(H$1,IN_RC_ANT!$A$3:$AAA$3,0))</f>
        <v>0</v>
      </c>
      <c r="I488" s="88">
        <f>INDEX(IN_RC_ANT!$A$3:$AAA$160,MATCH($G488,IN_RC_ANT!$A$3:$A$160,0),MATCH(I$1,IN_RC_ANT!$A$3:$AAA$3,0))</f>
        <v>0</v>
      </c>
      <c r="J488" s="88">
        <f>INDEX(IN_RC_ANT!$A$3:$AAA$160,MATCH($G488,IN_RC_ANT!$A$3:$A$160,0),MATCH(J$1,IN_RC_ANT!$A$3:$AAA$3,0))</f>
        <v>0</v>
      </c>
    </row>
    <row r="489" spans="1:10" x14ac:dyDescent="0.2">
      <c r="A489" s="86" t="s">
        <v>7517</v>
      </c>
      <c r="B489" s="447" t="str">
        <f>IN_Anagrafica!$B$9</f>
        <v>NO</v>
      </c>
      <c r="C489" s="369" t="str">
        <f>IF(B489="SI","SI","NO")</f>
        <v>NO</v>
      </c>
      <c r="D489" s="1028" t="s">
        <v>1705</v>
      </c>
      <c r="E489" s="1030" t="s">
        <v>665</v>
      </c>
      <c r="F489" s="1031" t="s">
        <v>1705</v>
      </c>
      <c r="G489" s="1031" t="s">
        <v>130</v>
      </c>
      <c r="H489" s="88">
        <f>INDEX(IN_RC_ANT!$A$3:$AAA$160,MATCH($G489,IN_RC_ANT!$A$3:$A$160,0),MATCH(H$1,IN_RC_ANT!$A$3:$AAA$3,0))</f>
        <v>0</v>
      </c>
      <c r="I489" s="88">
        <f>INDEX(IN_RC_ANT!$A$3:$AAA$160,MATCH($G489,IN_RC_ANT!$A$3:$A$160,0),MATCH(I$1,IN_RC_ANT!$A$3:$AAA$3,0))</f>
        <v>0</v>
      </c>
      <c r="J489" s="88">
        <f>INDEX(IN_RC_ANT!$A$3:$AAA$160,MATCH($G489,IN_RC_ANT!$A$3:$A$160,0),MATCH(J$1,IN_RC_ANT!$A$3:$AAA$3,0))</f>
        <v>0</v>
      </c>
    </row>
    <row r="490" spans="1:10" x14ac:dyDescent="0.2">
      <c r="A490" s="86" t="s">
        <v>7518</v>
      </c>
      <c r="B490" s="1067" t="s">
        <v>105</v>
      </c>
      <c r="C490" s="1037" t="s">
        <v>219</v>
      </c>
      <c r="D490" s="1028" t="s">
        <v>1705</v>
      </c>
      <c r="E490" s="1030" t="s">
        <v>296</v>
      </c>
      <c r="F490" s="1031" t="s">
        <v>1705</v>
      </c>
      <c r="G490" s="1031" t="s">
        <v>133</v>
      </c>
      <c r="H490" s="88">
        <f>INDEX(IN_RC_ANT!$A$3:$AAA$160,MATCH($G490,IN_RC_ANT!$A$3:$A$160,0),MATCH(H$1,IN_RC_ANT!$A$3:$AAA$3,0))</f>
        <v>0</v>
      </c>
      <c r="I490" s="88">
        <f>INDEX(IN_RC_ANT!$A$3:$AAA$160,MATCH($G490,IN_RC_ANT!$A$3:$A$160,0),MATCH(I$1,IN_RC_ANT!$A$3:$AAA$3,0))</f>
        <v>0</v>
      </c>
      <c r="J490" s="88">
        <f>INDEX(IN_RC_ANT!$A$3:$AAA$160,MATCH($G490,IN_RC_ANT!$A$3:$A$160,0),MATCH(J$1,IN_RC_ANT!$A$3:$AAA$3,0))</f>
        <v>0</v>
      </c>
    </row>
    <row r="491" spans="1:10" x14ac:dyDescent="0.2">
      <c r="A491" s="86" t="s">
        <v>7519</v>
      </c>
      <c r="B491" s="447" t="str">
        <f>IN_Anagrafica!$B$9</f>
        <v>NO</v>
      </c>
      <c r="C491" s="369" t="str">
        <f>IF(B491="SI","SI","NO")</f>
        <v>NO</v>
      </c>
      <c r="D491" s="1028" t="s">
        <v>1705</v>
      </c>
      <c r="E491" s="1030" t="s">
        <v>663</v>
      </c>
      <c r="F491" s="1031" t="s">
        <v>1705</v>
      </c>
      <c r="G491" s="1031" t="s">
        <v>134</v>
      </c>
      <c r="H491" s="88">
        <f>INDEX(IN_RC_ANT!$A$3:$AAA$160,MATCH($G491,IN_RC_ANT!$A$3:$A$160,0),MATCH(H$1,IN_RC_ANT!$A$3:$AAA$3,0))</f>
        <v>0</v>
      </c>
      <c r="I491" s="88">
        <f>INDEX(IN_RC_ANT!$A$3:$AAA$160,MATCH($G491,IN_RC_ANT!$A$3:$A$160,0),MATCH(I$1,IN_RC_ANT!$A$3:$AAA$3,0))</f>
        <v>0</v>
      </c>
      <c r="J491" s="88">
        <f>INDEX(IN_RC_ANT!$A$3:$AAA$160,MATCH($G491,IN_RC_ANT!$A$3:$A$160,0),MATCH(J$1,IN_RC_ANT!$A$3:$AAA$3,0))</f>
        <v>0</v>
      </c>
    </row>
    <row r="492" spans="1:10" x14ac:dyDescent="0.2">
      <c r="A492" s="86" t="s">
        <v>7520</v>
      </c>
      <c r="B492" s="1067" t="s">
        <v>105</v>
      </c>
      <c r="C492" s="1037" t="s">
        <v>219</v>
      </c>
      <c r="D492" s="1028" t="s">
        <v>1705</v>
      </c>
      <c r="E492" s="1030" t="s">
        <v>398</v>
      </c>
      <c r="F492" s="1031" t="s">
        <v>1705</v>
      </c>
      <c r="G492" s="1031" t="s">
        <v>137</v>
      </c>
      <c r="H492" s="88">
        <f>INDEX(IN_RC_ANT!$A$3:$AAA$160,MATCH($G492,IN_RC_ANT!$A$3:$A$160,0),MATCH(H$1,IN_RC_ANT!$A$3:$AAA$3,0))</f>
        <v>0</v>
      </c>
      <c r="I492" s="88">
        <f>INDEX(IN_RC_ANT!$A$3:$AAA$160,MATCH($G492,IN_RC_ANT!$A$3:$A$160,0),MATCH(I$1,IN_RC_ANT!$A$3:$AAA$3,0))</f>
        <v>0</v>
      </c>
      <c r="J492" s="88">
        <f>INDEX(IN_RC_ANT!$A$3:$AAA$160,MATCH($G492,IN_RC_ANT!$A$3:$A$160,0),MATCH(J$1,IN_RC_ANT!$A$3:$AAA$3,0))</f>
        <v>0</v>
      </c>
    </row>
    <row r="493" spans="1:10" x14ac:dyDescent="0.2">
      <c r="A493" s="86" t="s">
        <v>7521</v>
      </c>
      <c r="B493" s="447" t="str">
        <f>IN_Anagrafica!$B$9</f>
        <v>NO</v>
      </c>
      <c r="C493" s="369" t="str">
        <f>IF(B493="SI","SI","NO")</f>
        <v>NO</v>
      </c>
      <c r="D493" s="1028" t="s">
        <v>1705</v>
      </c>
      <c r="E493" s="1030" t="s">
        <v>666</v>
      </c>
      <c r="F493" s="1031" t="s">
        <v>1705</v>
      </c>
      <c r="G493" s="1031" t="s">
        <v>138</v>
      </c>
      <c r="H493" s="88">
        <f>INDEX(IN_RC_ANT!$A$3:$AAA$160,MATCH($G493,IN_RC_ANT!$A$3:$A$160,0),MATCH(H$1,IN_RC_ANT!$A$3:$AAA$3,0))</f>
        <v>0</v>
      </c>
      <c r="I493" s="88">
        <f>INDEX(IN_RC_ANT!$A$3:$AAA$160,MATCH($G493,IN_RC_ANT!$A$3:$A$160,0),MATCH(I$1,IN_RC_ANT!$A$3:$AAA$3,0))</f>
        <v>0</v>
      </c>
      <c r="J493" s="88">
        <f>INDEX(IN_RC_ANT!$A$3:$AAA$160,MATCH($G493,IN_RC_ANT!$A$3:$A$160,0),MATCH(J$1,IN_RC_ANT!$A$3:$AAA$3,0))</f>
        <v>0</v>
      </c>
    </row>
    <row r="494" spans="1:10" x14ac:dyDescent="0.2">
      <c r="A494" s="86" t="s">
        <v>7522</v>
      </c>
      <c r="B494" s="1067" t="s">
        <v>105</v>
      </c>
      <c r="C494" s="1037" t="s">
        <v>219</v>
      </c>
      <c r="D494" s="1028" t="s">
        <v>1705</v>
      </c>
      <c r="E494" s="1030" t="s">
        <v>667</v>
      </c>
      <c r="F494" s="1031" t="s">
        <v>1705</v>
      </c>
      <c r="G494" s="1031" t="s">
        <v>127</v>
      </c>
      <c r="H494" s="88">
        <f>INDEX(IN_RC_ANT!$A$3:$AAA$160,MATCH($G494,IN_RC_ANT!$A$3:$A$160,0),MATCH(H$1,IN_RC_ANT!$A$3:$AAA$3,0))</f>
        <v>0</v>
      </c>
      <c r="I494" s="88">
        <f>INDEX(IN_RC_ANT!$A$3:$AAA$160,MATCH($G494,IN_RC_ANT!$A$3:$A$160,0),MATCH(I$1,IN_RC_ANT!$A$3:$AAA$3,0))</f>
        <v>0</v>
      </c>
      <c r="J494" s="88">
        <f>INDEX(IN_RC_ANT!$A$3:$AAA$160,MATCH($G494,IN_RC_ANT!$A$3:$A$160,0),MATCH(J$1,IN_RC_ANT!$A$3:$AAA$3,0))</f>
        <v>0</v>
      </c>
    </row>
    <row r="495" spans="1:10" x14ac:dyDescent="0.2">
      <c r="A495" s="86" t="s">
        <v>7523</v>
      </c>
      <c r="B495" s="447" t="str">
        <f>IN_Anagrafica!$B$9</f>
        <v>NO</v>
      </c>
      <c r="C495" s="369" t="str">
        <f>IF(B495="SI","SI","NO")</f>
        <v>NO</v>
      </c>
      <c r="D495" s="1028" t="s">
        <v>1705</v>
      </c>
      <c r="E495" s="1030" t="s">
        <v>670</v>
      </c>
      <c r="F495" s="1031" t="s">
        <v>1705</v>
      </c>
      <c r="G495" s="1031" t="s">
        <v>128</v>
      </c>
      <c r="H495" s="88">
        <f>INDEX(IN_RC_ANT!$A$3:$AAA$160,MATCH($G495,IN_RC_ANT!$A$3:$A$160,0),MATCH(H$1,IN_RC_ANT!$A$3:$AAA$3,0))</f>
        <v>0</v>
      </c>
      <c r="I495" s="88">
        <f>INDEX(IN_RC_ANT!$A$3:$AAA$160,MATCH($G495,IN_RC_ANT!$A$3:$A$160,0),MATCH(I$1,IN_RC_ANT!$A$3:$AAA$3,0))</f>
        <v>0</v>
      </c>
      <c r="J495" s="88">
        <f>INDEX(IN_RC_ANT!$A$3:$AAA$160,MATCH($G495,IN_RC_ANT!$A$3:$A$160,0),MATCH(J$1,IN_RC_ANT!$A$3:$AAA$3,0))</f>
        <v>0</v>
      </c>
    </row>
    <row r="496" spans="1:10" x14ac:dyDescent="0.2">
      <c r="A496" s="86" t="s">
        <v>7524</v>
      </c>
      <c r="B496" s="1067" t="s">
        <v>105</v>
      </c>
      <c r="C496" s="1037" t="s">
        <v>219</v>
      </c>
      <c r="D496" s="1028" t="s">
        <v>1705</v>
      </c>
      <c r="E496" s="1030" t="s">
        <v>671</v>
      </c>
      <c r="F496" s="1031" t="s">
        <v>1705</v>
      </c>
      <c r="G496" s="1031" t="s">
        <v>131</v>
      </c>
      <c r="H496" s="88">
        <f>INDEX(IN_RC_ANT!$A$3:$AAA$160,MATCH($G496,IN_RC_ANT!$A$3:$A$160,0),MATCH(H$1,IN_RC_ANT!$A$3:$AAA$3,0))</f>
        <v>0</v>
      </c>
      <c r="I496" s="88">
        <f>INDEX(IN_RC_ANT!$A$3:$AAA$160,MATCH($G496,IN_RC_ANT!$A$3:$A$160,0),MATCH(I$1,IN_RC_ANT!$A$3:$AAA$3,0))</f>
        <v>0</v>
      </c>
      <c r="J496" s="88">
        <f>INDEX(IN_RC_ANT!$A$3:$AAA$160,MATCH($G496,IN_RC_ANT!$A$3:$A$160,0),MATCH(J$1,IN_RC_ANT!$A$3:$AAA$3,0))</f>
        <v>0</v>
      </c>
    </row>
    <row r="497" spans="1:10" x14ac:dyDescent="0.2">
      <c r="A497" s="86" t="s">
        <v>7525</v>
      </c>
      <c r="B497" s="447" t="str">
        <f>IN_Anagrafica!$B$9</f>
        <v>NO</v>
      </c>
      <c r="C497" s="369" t="str">
        <f>IF(B497="SI","SI","NO")</f>
        <v>NO</v>
      </c>
      <c r="D497" s="1028" t="s">
        <v>1705</v>
      </c>
      <c r="E497" s="1030" t="s">
        <v>674</v>
      </c>
      <c r="F497" s="1031" t="s">
        <v>1705</v>
      </c>
      <c r="G497" s="1031" t="s">
        <v>132</v>
      </c>
      <c r="H497" s="88">
        <f>INDEX(IN_RC_ANT!$A$3:$AAA$160,MATCH($G497,IN_RC_ANT!$A$3:$A$160,0),MATCH(H$1,IN_RC_ANT!$A$3:$AAA$3,0))</f>
        <v>0</v>
      </c>
      <c r="I497" s="88">
        <f>INDEX(IN_RC_ANT!$A$3:$AAA$160,MATCH($G497,IN_RC_ANT!$A$3:$A$160,0),MATCH(I$1,IN_RC_ANT!$A$3:$AAA$3,0))</f>
        <v>0</v>
      </c>
      <c r="J497" s="88">
        <f>INDEX(IN_RC_ANT!$A$3:$AAA$160,MATCH($G497,IN_RC_ANT!$A$3:$A$160,0),MATCH(J$1,IN_RC_ANT!$A$3:$AAA$3,0))</f>
        <v>0</v>
      </c>
    </row>
    <row r="498" spans="1:10" x14ac:dyDescent="0.2">
      <c r="A498" s="86" t="s">
        <v>7526</v>
      </c>
      <c r="B498" s="1067" t="s">
        <v>105</v>
      </c>
      <c r="C498" s="1037" t="s">
        <v>219</v>
      </c>
      <c r="D498" s="1028" t="s">
        <v>1705</v>
      </c>
      <c r="E498" s="1030" t="s">
        <v>8221</v>
      </c>
      <c r="F498" s="1031" t="s">
        <v>1705</v>
      </c>
      <c r="G498" s="1031" t="s">
        <v>135</v>
      </c>
      <c r="H498" s="88">
        <f>INDEX(IN_RC_ANT!$A$3:$AAA$160,MATCH($G498,IN_RC_ANT!$A$3:$A$160,0),MATCH(H$1,IN_RC_ANT!$A$3:$AAA$3,0))</f>
        <v>50000</v>
      </c>
      <c r="I498" s="88">
        <f>INDEX(IN_RC_ANT!$A$3:$AAA$160,MATCH($G498,IN_RC_ANT!$A$3:$A$160,0),MATCH(I$1,IN_RC_ANT!$A$3:$AAA$3,0))</f>
        <v>0</v>
      </c>
      <c r="J498" s="88">
        <f>INDEX(IN_RC_ANT!$A$3:$AAA$160,MATCH($G498,IN_RC_ANT!$A$3:$A$160,0),MATCH(J$1,IN_RC_ANT!$A$3:$AAA$3,0))</f>
        <v>0</v>
      </c>
    </row>
    <row r="499" spans="1:10" x14ac:dyDescent="0.2">
      <c r="A499" s="86" t="s">
        <v>7527</v>
      </c>
      <c r="B499" s="447" t="str">
        <f>IN_Anagrafica!$B$9</f>
        <v>NO</v>
      </c>
      <c r="C499" s="369" t="str">
        <f>IF(B499="SI","SI","NO")</f>
        <v>NO</v>
      </c>
      <c r="D499" s="1028" t="s">
        <v>1705</v>
      </c>
      <c r="E499" s="1030" t="s">
        <v>8222</v>
      </c>
      <c r="F499" s="1031" t="s">
        <v>1705</v>
      </c>
      <c r="G499" s="1031" t="s">
        <v>136</v>
      </c>
      <c r="H499" s="88">
        <f>INDEX(IN_RC_ANT!$A$3:$AAA$160,MATCH($G499,IN_RC_ANT!$A$3:$A$160,0),MATCH(H$1,IN_RC_ANT!$A$3:$AAA$3,0))</f>
        <v>0</v>
      </c>
      <c r="I499" s="88">
        <f>INDEX(IN_RC_ANT!$A$3:$AAA$160,MATCH($G499,IN_RC_ANT!$A$3:$A$160,0),MATCH(I$1,IN_RC_ANT!$A$3:$AAA$3,0))</f>
        <v>0</v>
      </c>
      <c r="J499" s="88">
        <f>INDEX(IN_RC_ANT!$A$3:$AAA$160,MATCH($G499,IN_RC_ANT!$A$3:$A$160,0),MATCH(J$1,IN_RC_ANT!$A$3:$AAA$3,0))</f>
        <v>0</v>
      </c>
    </row>
    <row r="500" spans="1:10" x14ac:dyDescent="0.2">
      <c r="A500" s="86" t="s">
        <v>7528</v>
      </c>
      <c r="B500" s="1067" t="s">
        <v>105</v>
      </c>
      <c r="C500" s="1037" t="s">
        <v>219</v>
      </c>
      <c r="D500" s="1028" t="s">
        <v>1705</v>
      </c>
      <c r="E500" s="1030" t="s">
        <v>8223</v>
      </c>
      <c r="F500" s="1031" t="s">
        <v>1705</v>
      </c>
      <c r="G500" s="1031" t="s">
        <v>139</v>
      </c>
      <c r="H500" s="88">
        <f>INDEX(IN_RC_ANT!$A$3:$AAA$160,MATCH($G500,IN_RC_ANT!$A$3:$A$160,0),MATCH(H$1,IN_RC_ANT!$A$3:$AAA$3,0))</f>
        <v>50000</v>
      </c>
      <c r="I500" s="88">
        <f>INDEX(IN_RC_ANT!$A$3:$AAA$160,MATCH($G500,IN_RC_ANT!$A$3:$A$160,0),MATCH(I$1,IN_RC_ANT!$A$3:$AAA$3,0))</f>
        <v>0</v>
      </c>
      <c r="J500" s="88">
        <f>INDEX(IN_RC_ANT!$A$3:$AAA$160,MATCH($G500,IN_RC_ANT!$A$3:$A$160,0),MATCH(J$1,IN_RC_ANT!$A$3:$AAA$3,0))</f>
        <v>0</v>
      </c>
    </row>
    <row r="501" spans="1:10" x14ac:dyDescent="0.2">
      <c r="A501" s="86" t="s">
        <v>7529</v>
      </c>
      <c r="B501" s="447" t="str">
        <f>IN_Anagrafica!$B$9</f>
        <v>NO</v>
      </c>
      <c r="C501" s="369" t="str">
        <f>IF(B501="SI","SI","NO")</f>
        <v>NO</v>
      </c>
      <c r="D501" s="1028" t="s">
        <v>1705</v>
      </c>
      <c r="E501" s="1030" t="s">
        <v>8224</v>
      </c>
      <c r="F501" s="1031" t="s">
        <v>1705</v>
      </c>
      <c r="G501" s="1031" t="s">
        <v>140</v>
      </c>
      <c r="H501" s="88">
        <f>INDEX(IN_RC_ANT!$A$3:$AAA$160,MATCH($G501,IN_RC_ANT!$A$3:$A$160,0),MATCH(H$1,IN_RC_ANT!$A$3:$AAA$3,0))</f>
        <v>0</v>
      </c>
      <c r="I501" s="88">
        <f>INDEX(IN_RC_ANT!$A$3:$AAA$160,MATCH($G501,IN_RC_ANT!$A$3:$A$160,0),MATCH(I$1,IN_RC_ANT!$A$3:$AAA$3,0))</f>
        <v>0</v>
      </c>
      <c r="J501" s="88">
        <f>INDEX(IN_RC_ANT!$A$3:$AAA$160,MATCH($G501,IN_RC_ANT!$A$3:$A$160,0),MATCH(J$1,IN_RC_ANT!$A$3:$AAA$3,0))</f>
        <v>0</v>
      </c>
    </row>
    <row r="502" spans="1:10" x14ac:dyDescent="0.2">
      <c r="A502" s="86" t="s">
        <v>7530</v>
      </c>
      <c r="B502" s="1067" t="s">
        <v>105</v>
      </c>
      <c r="C502" s="1037" t="s">
        <v>219</v>
      </c>
      <c r="D502" s="1028" t="s">
        <v>1705</v>
      </c>
      <c r="E502" s="1030" t="s">
        <v>303</v>
      </c>
      <c r="F502" s="1031" t="s">
        <v>1705</v>
      </c>
      <c r="G502" s="1031" t="s">
        <v>790</v>
      </c>
      <c r="H502" s="88">
        <f>INDEX(IN_RC_ANT!$A$3:$AAA$160,MATCH($G502,IN_RC_ANT!$A$3:$A$160,0),MATCH(H$1,IN_RC_ANT!$A$3:$AAA$3,0))</f>
        <v>0</v>
      </c>
      <c r="I502" s="88">
        <f>INDEX(IN_RC_ANT!$A$3:$AAA$160,MATCH($G502,IN_RC_ANT!$A$3:$A$160,0),MATCH(I$1,IN_RC_ANT!$A$3:$AAA$3,0))</f>
        <v>0</v>
      </c>
      <c r="J502" s="88">
        <f>INDEX(IN_RC_ANT!$A$3:$AAA$160,MATCH($G502,IN_RC_ANT!$A$3:$A$160,0),MATCH(J$1,IN_RC_ANT!$A$3:$AAA$3,0))</f>
        <v>0</v>
      </c>
    </row>
    <row r="503" spans="1:10" x14ac:dyDescent="0.2">
      <c r="A503" s="86" t="s">
        <v>7531</v>
      </c>
      <c r="B503" s="447" t="str">
        <f>IN_Anagrafica!$B$9</f>
        <v>NO</v>
      </c>
      <c r="C503" s="369" t="str">
        <f>IF(B503="SI","SI","NO")</f>
        <v>NO</v>
      </c>
      <c r="D503" s="1028" t="s">
        <v>1705</v>
      </c>
      <c r="E503" s="1030" t="s">
        <v>313</v>
      </c>
      <c r="F503" s="1031" t="s">
        <v>1705</v>
      </c>
      <c r="G503" s="1031" t="s">
        <v>1822</v>
      </c>
      <c r="H503" s="88">
        <f>INDEX(IN_RC_ANT!$A$3:$AAA$160,MATCH($G503,IN_RC_ANT!$A$3:$A$160,0),MATCH(H$1,IN_RC_ANT!$A$3:$AAA$3,0))</f>
        <v>0</v>
      </c>
      <c r="I503" s="88">
        <f>INDEX(IN_RC_ANT!$A$3:$AAA$160,MATCH($G503,IN_RC_ANT!$A$3:$A$160,0),MATCH(I$1,IN_RC_ANT!$A$3:$AAA$3,0))</f>
        <v>0</v>
      </c>
      <c r="J503" s="88">
        <f>INDEX(IN_RC_ANT!$A$3:$AAA$160,MATCH($G503,IN_RC_ANT!$A$3:$A$160,0),MATCH(J$1,IN_RC_ANT!$A$3:$AAA$3,0))</f>
        <v>0</v>
      </c>
    </row>
    <row r="504" spans="1:10" x14ac:dyDescent="0.2">
      <c r="A504" s="86" t="s">
        <v>7532</v>
      </c>
      <c r="B504" s="1067" t="s">
        <v>105</v>
      </c>
      <c r="C504" s="1037" t="s">
        <v>219</v>
      </c>
      <c r="D504" s="1028" t="s">
        <v>1705</v>
      </c>
      <c r="E504" s="1030" t="s">
        <v>319</v>
      </c>
      <c r="F504" s="1031" t="s">
        <v>1705</v>
      </c>
      <c r="G504" s="1031" t="s">
        <v>1762</v>
      </c>
      <c r="H504" s="88">
        <f>INDEX(IN_RC_ANT!$A$3:$AAA$160,MATCH($G504,IN_RC_ANT!$A$3:$A$160,0),MATCH(H$1,IN_RC_ANT!$A$3:$AAA$3,0))</f>
        <v>0</v>
      </c>
      <c r="I504" s="88">
        <f>INDEX(IN_RC_ANT!$A$3:$AAA$160,MATCH($G504,IN_RC_ANT!$A$3:$A$160,0),MATCH(I$1,IN_RC_ANT!$A$3:$AAA$3,0))</f>
        <v>0</v>
      </c>
      <c r="J504" s="88">
        <f>INDEX(IN_RC_ANT!$A$3:$AAA$160,MATCH($G504,IN_RC_ANT!$A$3:$A$160,0),MATCH(J$1,IN_RC_ANT!$A$3:$AAA$3,0))</f>
        <v>0</v>
      </c>
    </row>
    <row r="505" spans="1:10" x14ac:dyDescent="0.2">
      <c r="A505" s="86" t="s">
        <v>7533</v>
      </c>
      <c r="B505" s="447" t="str">
        <f>IN_Anagrafica!$B$9</f>
        <v>NO</v>
      </c>
      <c r="C505" s="369" t="str">
        <f>IF(B505="SI","SI","NO")</f>
        <v>NO</v>
      </c>
      <c r="D505" s="1028" t="s">
        <v>1705</v>
      </c>
      <c r="E505" s="1030" t="s">
        <v>331</v>
      </c>
      <c r="F505" s="1031" t="s">
        <v>1705</v>
      </c>
      <c r="G505" s="1031" t="s">
        <v>1843</v>
      </c>
      <c r="H505" s="88">
        <f>INDEX(IN_RC_ANT!$A$3:$AAA$160,MATCH($G505,IN_RC_ANT!$A$3:$A$160,0),MATCH(H$1,IN_RC_ANT!$A$3:$AAA$3,0))</f>
        <v>0</v>
      </c>
      <c r="I505" s="88">
        <f>INDEX(IN_RC_ANT!$A$3:$AAA$160,MATCH($G505,IN_RC_ANT!$A$3:$A$160,0),MATCH(I$1,IN_RC_ANT!$A$3:$AAA$3,0))</f>
        <v>0</v>
      </c>
      <c r="J505" s="88">
        <f>INDEX(IN_RC_ANT!$A$3:$AAA$160,MATCH($G505,IN_RC_ANT!$A$3:$A$160,0),MATCH(J$1,IN_RC_ANT!$A$3:$AAA$3,0))</f>
        <v>0</v>
      </c>
    </row>
    <row r="506" spans="1:10" x14ac:dyDescent="0.2">
      <c r="A506" s="86" t="s">
        <v>7534</v>
      </c>
      <c r="B506" s="1067" t="s">
        <v>105</v>
      </c>
      <c r="C506" s="1037" t="s">
        <v>219</v>
      </c>
      <c r="D506" s="1028" t="s">
        <v>1705</v>
      </c>
      <c r="E506" s="1030" t="s">
        <v>304</v>
      </c>
      <c r="F506" s="1031" t="s">
        <v>1705</v>
      </c>
      <c r="G506" s="1031" t="s">
        <v>788</v>
      </c>
      <c r="H506" s="88">
        <f>INDEX(IN_RC_ANT!$A$3:$AAA$160,MATCH($G506,IN_RC_ANT!$A$3:$A$160,0),MATCH(H$1,IN_RC_ANT!$A$3:$AAA$3,0))</f>
        <v>0</v>
      </c>
      <c r="I506" s="88">
        <f>INDEX(IN_RC_ANT!$A$3:$AAA$160,MATCH($G506,IN_RC_ANT!$A$3:$A$160,0),MATCH(I$1,IN_RC_ANT!$A$3:$AAA$3,0))</f>
        <v>0</v>
      </c>
      <c r="J506" s="88">
        <f>INDEX(IN_RC_ANT!$A$3:$AAA$160,MATCH($G506,IN_RC_ANT!$A$3:$A$160,0),MATCH(J$1,IN_RC_ANT!$A$3:$AAA$3,0))</f>
        <v>0</v>
      </c>
    </row>
    <row r="507" spans="1:10" x14ac:dyDescent="0.2">
      <c r="A507" s="86" t="s">
        <v>7535</v>
      </c>
      <c r="B507" s="447" t="str">
        <f>IN_Anagrafica!$B$9</f>
        <v>NO</v>
      </c>
      <c r="C507" s="369" t="str">
        <f>IF(B507="SI","SI","NO")</f>
        <v>NO</v>
      </c>
      <c r="D507" s="1028" t="s">
        <v>1705</v>
      </c>
      <c r="E507" s="1030" t="s">
        <v>314</v>
      </c>
      <c r="F507" s="1031" t="s">
        <v>1705</v>
      </c>
      <c r="G507" s="1031" t="s">
        <v>1722</v>
      </c>
      <c r="H507" s="88">
        <f>INDEX(IN_RC_ANT!$A$3:$AAA$160,MATCH($G507,IN_RC_ANT!$A$3:$A$160,0),MATCH(H$1,IN_RC_ANT!$A$3:$AAA$3,0))</f>
        <v>0</v>
      </c>
      <c r="I507" s="88">
        <f>INDEX(IN_RC_ANT!$A$3:$AAA$160,MATCH($G507,IN_RC_ANT!$A$3:$A$160,0),MATCH(I$1,IN_RC_ANT!$A$3:$AAA$3,0))</f>
        <v>0</v>
      </c>
      <c r="J507" s="88">
        <f>INDEX(IN_RC_ANT!$A$3:$AAA$160,MATCH($G507,IN_RC_ANT!$A$3:$A$160,0),MATCH(J$1,IN_RC_ANT!$A$3:$AAA$3,0))</f>
        <v>0</v>
      </c>
    </row>
    <row r="508" spans="1:10" x14ac:dyDescent="0.2">
      <c r="A508" s="86" t="s">
        <v>7536</v>
      </c>
      <c r="B508" s="1067" t="s">
        <v>105</v>
      </c>
      <c r="C508" s="1037" t="s">
        <v>219</v>
      </c>
      <c r="D508" s="1028" t="s">
        <v>1705</v>
      </c>
      <c r="E508" s="1030" t="s">
        <v>320</v>
      </c>
      <c r="F508" s="1031" t="s">
        <v>1705</v>
      </c>
      <c r="G508" s="1031" t="s">
        <v>1760</v>
      </c>
      <c r="H508" s="88">
        <f>INDEX(IN_RC_ANT!$A$3:$AAA$160,MATCH($G508,IN_RC_ANT!$A$3:$A$160,0),MATCH(H$1,IN_RC_ANT!$A$3:$AAA$3,0))</f>
        <v>0</v>
      </c>
      <c r="I508" s="88">
        <f>INDEX(IN_RC_ANT!$A$3:$AAA$160,MATCH($G508,IN_RC_ANT!$A$3:$A$160,0),MATCH(I$1,IN_RC_ANT!$A$3:$AAA$3,0))</f>
        <v>0</v>
      </c>
      <c r="J508" s="88">
        <f>INDEX(IN_RC_ANT!$A$3:$AAA$160,MATCH($G508,IN_RC_ANT!$A$3:$A$160,0),MATCH(J$1,IN_RC_ANT!$A$3:$AAA$3,0))</f>
        <v>0</v>
      </c>
    </row>
    <row r="509" spans="1:10" x14ac:dyDescent="0.2">
      <c r="A509" s="86" t="s">
        <v>7537</v>
      </c>
      <c r="B509" s="447" t="str">
        <f>IN_Anagrafica!$B$9</f>
        <v>NO</v>
      </c>
      <c r="C509" s="369" t="str">
        <f>IF(B509="SI","SI","NO")</f>
        <v>NO</v>
      </c>
      <c r="D509" s="1028" t="s">
        <v>1705</v>
      </c>
      <c r="E509" s="1030" t="s">
        <v>332</v>
      </c>
      <c r="F509" s="1031" t="s">
        <v>1705</v>
      </c>
      <c r="G509" s="1031" t="s">
        <v>1769</v>
      </c>
      <c r="H509" s="88">
        <f>INDEX(IN_RC_ANT!$A$3:$AAA$160,MATCH($G509,IN_RC_ANT!$A$3:$A$160,0),MATCH(H$1,IN_RC_ANT!$A$3:$AAA$3,0))</f>
        <v>0</v>
      </c>
      <c r="I509" s="88">
        <f>INDEX(IN_RC_ANT!$A$3:$AAA$160,MATCH($G509,IN_RC_ANT!$A$3:$A$160,0),MATCH(I$1,IN_RC_ANT!$A$3:$AAA$3,0))</f>
        <v>0</v>
      </c>
      <c r="J509" s="88">
        <f>INDEX(IN_RC_ANT!$A$3:$AAA$160,MATCH($G509,IN_RC_ANT!$A$3:$A$160,0),MATCH(J$1,IN_RC_ANT!$A$3:$AAA$3,0))</f>
        <v>0</v>
      </c>
    </row>
    <row r="510" spans="1:10" x14ac:dyDescent="0.2">
      <c r="A510" s="86" t="s">
        <v>7538</v>
      </c>
      <c r="B510" s="1067" t="s">
        <v>105</v>
      </c>
      <c r="C510" s="1037" t="s">
        <v>219</v>
      </c>
      <c r="D510" s="1028" t="s">
        <v>1705</v>
      </c>
      <c r="E510" s="1030" t="s">
        <v>337</v>
      </c>
      <c r="F510" s="1031" t="s">
        <v>1705</v>
      </c>
      <c r="G510" s="1031" t="s">
        <v>791</v>
      </c>
      <c r="H510" s="88">
        <f>INDEX(IN_RC_ANT!$A$3:$AAA$160,MATCH($G510,IN_RC_ANT!$A$3:$A$160,0),MATCH(H$1,IN_RC_ANT!$A$3:$AAA$3,0))</f>
        <v>0</v>
      </c>
      <c r="I510" s="88">
        <f>INDEX(IN_RC_ANT!$A$3:$AAA$160,MATCH($G510,IN_RC_ANT!$A$3:$A$160,0),MATCH(I$1,IN_RC_ANT!$A$3:$AAA$3,0))</f>
        <v>0</v>
      </c>
      <c r="J510" s="88">
        <f>INDEX(IN_RC_ANT!$A$3:$AAA$160,MATCH($G510,IN_RC_ANT!$A$3:$A$160,0),MATCH(J$1,IN_RC_ANT!$A$3:$AAA$3,0))</f>
        <v>0</v>
      </c>
    </row>
    <row r="511" spans="1:10" x14ac:dyDescent="0.2">
      <c r="A511" s="86" t="s">
        <v>7539</v>
      </c>
      <c r="B511" s="447" t="str">
        <f>IN_Anagrafica!$B$9</f>
        <v>NO</v>
      </c>
      <c r="C511" s="369" t="str">
        <f>IF(B511="SI","SI","NO")</f>
        <v>NO</v>
      </c>
      <c r="D511" s="1028" t="s">
        <v>1705</v>
      </c>
      <c r="E511" s="1030" t="s">
        <v>339</v>
      </c>
      <c r="F511" s="1031" t="s">
        <v>1705</v>
      </c>
      <c r="G511" s="1031" t="s">
        <v>1824</v>
      </c>
      <c r="H511" s="88">
        <f>INDEX(IN_RC_ANT!$A$3:$AAA$160,MATCH($G511,IN_RC_ANT!$A$3:$A$160,0),MATCH(H$1,IN_RC_ANT!$A$3:$AAA$3,0))</f>
        <v>0</v>
      </c>
      <c r="I511" s="88">
        <f>INDEX(IN_RC_ANT!$A$3:$AAA$160,MATCH($G511,IN_RC_ANT!$A$3:$A$160,0),MATCH(I$1,IN_RC_ANT!$A$3:$AAA$3,0))</f>
        <v>0</v>
      </c>
      <c r="J511" s="88">
        <f>INDEX(IN_RC_ANT!$A$3:$AAA$160,MATCH($G511,IN_RC_ANT!$A$3:$A$160,0),MATCH(J$1,IN_RC_ANT!$A$3:$AAA$3,0))</f>
        <v>0</v>
      </c>
    </row>
    <row r="512" spans="1:10" x14ac:dyDescent="0.2">
      <c r="A512" s="86" t="s">
        <v>7540</v>
      </c>
      <c r="B512" s="1067" t="s">
        <v>105</v>
      </c>
      <c r="C512" s="1037" t="s">
        <v>219</v>
      </c>
      <c r="D512" s="1028" t="s">
        <v>1705</v>
      </c>
      <c r="E512" s="1030" t="s">
        <v>8120</v>
      </c>
      <c r="F512" s="1031" t="s">
        <v>1705</v>
      </c>
      <c r="G512" s="1031" t="s">
        <v>1763</v>
      </c>
      <c r="H512" s="88">
        <f>INDEX(IN_RC_ANT!$A$3:$AAA$160,MATCH($G512,IN_RC_ANT!$A$3:$A$160,0),MATCH(H$1,IN_RC_ANT!$A$3:$AAA$3,0))</f>
        <v>0</v>
      </c>
      <c r="I512" s="88">
        <f>INDEX(IN_RC_ANT!$A$3:$AAA$160,MATCH($G512,IN_RC_ANT!$A$3:$A$160,0),MATCH(I$1,IN_RC_ANT!$A$3:$AAA$3,0))</f>
        <v>0</v>
      </c>
      <c r="J512" s="88">
        <f>INDEX(IN_RC_ANT!$A$3:$AAA$160,MATCH($G512,IN_RC_ANT!$A$3:$A$160,0),MATCH(J$1,IN_RC_ANT!$A$3:$AAA$3,0))</f>
        <v>0</v>
      </c>
    </row>
    <row r="513" spans="1:10" x14ac:dyDescent="0.2">
      <c r="A513" s="86" t="s">
        <v>7541</v>
      </c>
      <c r="B513" s="447" t="str">
        <f>IN_Anagrafica!$B$9</f>
        <v>NO</v>
      </c>
      <c r="C513" s="369" t="str">
        <f>IF(B513="SI","SI","NO")</f>
        <v>NO</v>
      </c>
      <c r="D513" s="1028" t="s">
        <v>1705</v>
      </c>
      <c r="E513" s="1030" t="s">
        <v>8123</v>
      </c>
      <c r="F513" s="1031" t="s">
        <v>1705</v>
      </c>
      <c r="G513" s="1031" t="s">
        <v>1845</v>
      </c>
      <c r="H513" s="88">
        <f>INDEX(IN_RC_ANT!$A$3:$AAA$160,MATCH($G513,IN_RC_ANT!$A$3:$A$160,0),MATCH(H$1,IN_RC_ANT!$A$3:$AAA$3,0))</f>
        <v>0</v>
      </c>
      <c r="I513" s="88">
        <f>INDEX(IN_RC_ANT!$A$3:$AAA$160,MATCH($G513,IN_RC_ANT!$A$3:$A$160,0),MATCH(I$1,IN_RC_ANT!$A$3:$AAA$3,0))</f>
        <v>0</v>
      </c>
      <c r="J513" s="88">
        <f>INDEX(IN_RC_ANT!$A$3:$AAA$160,MATCH($G513,IN_RC_ANT!$A$3:$A$160,0),MATCH(J$1,IN_RC_ANT!$A$3:$AAA$3,0))</f>
        <v>0</v>
      </c>
    </row>
    <row r="514" spans="1:10" x14ac:dyDescent="0.2">
      <c r="A514" s="86" t="s">
        <v>7542</v>
      </c>
      <c r="B514" s="1067" t="s">
        <v>105</v>
      </c>
      <c r="C514" s="1037" t="s">
        <v>219</v>
      </c>
      <c r="D514" s="1028" t="s">
        <v>1705</v>
      </c>
      <c r="E514" s="1030" t="s">
        <v>338</v>
      </c>
      <c r="F514" s="1031" t="s">
        <v>1705</v>
      </c>
      <c r="G514" s="1031" t="s">
        <v>789</v>
      </c>
      <c r="H514" s="88">
        <f>INDEX(IN_RC_ANT!$A$3:$AAA$160,MATCH($G514,IN_RC_ANT!$A$3:$A$160,0),MATCH(H$1,IN_RC_ANT!$A$3:$AAA$3,0))</f>
        <v>50000</v>
      </c>
      <c r="I514" s="88">
        <f>INDEX(IN_RC_ANT!$A$3:$AAA$160,MATCH($G514,IN_RC_ANT!$A$3:$A$160,0),MATCH(I$1,IN_RC_ANT!$A$3:$AAA$3,0))</f>
        <v>0</v>
      </c>
      <c r="J514" s="88">
        <f>INDEX(IN_RC_ANT!$A$3:$AAA$160,MATCH($G514,IN_RC_ANT!$A$3:$A$160,0),MATCH(J$1,IN_RC_ANT!$A$3:$AAA$3,0))</f>
        <v>0</v>
      </c>
    </row>
    <row r="515" spans="1:10" x14ac:dyDescent="0.2">
      <c r="A515" s="86" t="s">
        <v>7543</v>
      </c>
      <c r="B515" s="447" t="str">
        <f>IN_Anagrafica!$B$9</f>
        <v>NO</v>
      </c>
      <c r="C515" s="369" t="str">
        <f>IF(B515="SI","SI","NO")</f>
        <v>NO</v>
      </c>
      <c r="D515" s="1028" t="s">
        <v>1705</v>
      </c>
      <c r="E515" s="1030" t="s">
        <v>340</v>
      </c>
      <c r="F515" s="1031" t="s">
        <v>1705</v>
      </c>
      <c r="G515" s="1031" t="s">
        <v>1724</v>
      </c>
      <c r="H515" s="88">
        <f>INDEX(IN_RC_ANT!$A$3:$AAA$160,MATCH($G515,IN_RC_ANT!$A$3:$A$160,0),MATCH(H$1,IN_RC_ANT!$A$3:$AAA$3,0))</f>
        <v>0</v>
      </c>
      <c r="I515" s="88">
        <f>INDEX(IN_RC_ANT!$A$3:$AAA$160,MATCH($G515,IN_RC_ANT!$A$3:$A$160,0),MATCH(I$1,IN_RC_ANT!$A$3:$AAA$3,0))</f>
        <v>0</v>
      </c>
      <c r="J515" s="88">
        <f>INDEX(IN_RC_ANT!$A$3:$AAA$160,MATCH($G515,IN_RC_ANT!$A$3:$A$160,0),MATCH(J$1,IN_RC_ANT!$A$3:$AAA$3,0))</f>
        <v>0</v>
      </c>
    </row>
    <row r="516" spans="1:10" x14ac:dyDescent="0.2">
      <c r="A516" s="86" t="s">
        <v>7544</v>
      </c>
      <c r="B516" s="1067" t="s">
        <v>105</v>
      </c>
      <c r="C516" s="1037" t="s">
        <v>219</v>
      </c>
      <c r="D516" s="1028" t="s">
        <v>1705</v>
      </c>
      <c r="E516" s="1030" t="s">
        <v>8219</v>
      </c>
      <c r="F516" s="1031" t="s">
        <v>1705</v>
      </c>
      <c r="G516" s="1031" t="s">
        <v>1761</v>
      </c>
      <c r="H516" s="88">
        <f>INDEX(IN_RC_ANT!$A$3:$AAA$160,MATCH($G516,IN_RC_ANT!$A$3:$A$160,0),MATCH(H$1,IN_RC_ANT!$A$3:$AAA$3,0))</f>
        <v>0</v>
      </c>
      <c r="I516" s="88">
        <f>INDEX(IN_RC_ANT!$A$3:$AAA$160,MATCH($G516,IN_RC_ANT!$A$3:$A$160,0),MATCH(I$1,IN_RC_ANT!$A$3:$AAA$3,0))</f>
        <v>0</v>
      </c>
      <c r="J516" s="88">
        <f>INDEX(IN_RC_ANT!$A$3:$AAA$160,MATCH($G516,IN_RC_ANT!$A$3:$A$160,0),MATCH(J$1,IN_RC_ANT!$A$3:$AAA$3,0))</f>
        <v>0</v>
      </c>
    </row>
    <row r="517" spans="1:10" x14ac:dyDescent="0.2">
      <c r="A517" s="86" t="s">
        <v>7545</v>
      </c>
      <c r="B517" s="447" t="str">
        <f>IN_Anagrafica!$B$9</f>
        <v>NO</v>
      </c>
      <c r="C517" s="369" t="str">
        <f>IF(B517="SI","SI","NO")</f>
        <v>NO</v>
      </c>
      <c r="D517" s="1028" t="s">
        <v>1705</v>
      </c>
      <c r="E517" s="1030" t="s">
        <v>8220</v>
      </c>
      <c r="F517" s="1031" t="s">
        <v>1705</v>
      </c>
      <c r="G517" s="1031" t="s">
        <v>1771</v>
      </c>
      <c r="H517" s="88">
        <f>INDEX(IN_RC_ANT!$A$3:$AAA$160,MATCH($G517,IN_RC_ANT!$A$3:$A$160,0),MATCH(H$1,IN_RC_ANT!$A$3:$AAA$3,0))</f>
        <v>0</v>
      </c>
      <c r="I517" s="88">
        <f>INDEX(IN_RC_ANT!$A$3:$AAA$160,MATCH($G517,IN_RC_ANT!$A$3:$A$160,0),MATCH(I$1,IN_RC_ANT!$A$3:$AAA$3,0))</f>
        <v>0</v>
      </c>
      <c r="J517" s="88">
        <f>INDEX(IN_RC_ANT!$A$3:$AAA$160,MATCH($G517,IN_RC_ANT!$A$3:$A$160,0),MATCH(J$1,IN_RC_ANT!$A$3:$AAA$3,0))</f>
        <v>0</v>
      </c>
    </row>
    <row r="518" spans="1:10" x14ac:dyDescent="0.2">
      <c r="A518" s="86" t="s">
        <v>7546</v>
      </c>
      <c r="B518" s="1067" t="s">
        <v>105</v>
      </c>
      <c r="C518" s="1037" t="s">
        <v>219</v>
      </c>
      <c r="D518" s="1028" t="s">
        <v>1705</v>
      </c>
      <c r="E518" s="1030" t="s">
        <v>8225</v>
      </c>
      <c r="F518" s="1031" t="s">
        <v>1705</v>
      </c>
      <c r="G518" s="1031" t="s">
        <v>5225</v>
      </c>
      <c r="H518" s="88">
        <f>INDEX(IN_RC_ANT!$A$3:$AAA$160,MATCH($G518,IN_RC_ANT!$A$3:$A$160,0),MATCH(H$1,IN_RC_ANT!$A$3:$AAA$3,0))</f>
        <v>0</v>
      </c>
      <c r="I518" s="88">
        <f>INDEX(IN_RC_ANT!$A$3:$AAA$160,MATCH($G518,IN_RC_ANT!$A$3:$A$160,0),MATCH(I$1,IN_RC_ANT!$A$3:$AAA$3,0))</f>
        <v>0</v>
      </c>
      <c r="J518" s="88">
        <f>INDEX(IN_RC_ANT!$A$3:$AAA$160,MATCH($G518,IN_RC_ANT!$A$3:$A$160,0),MATCH(J$1,IN_RC_ANT!$A$3:$AAA$3,0))</f>
        <v>0</v>
      </c>
    </row>
    <row r="519" spans="1:10" x14ac:dyDescent="0.2">
      <c r="A519" s="86" t="s">
        <v>7547</v>
      </c>
      <c r="B519" s="447" t="str">
        <f>IN_Anagrafica!$B$9</f>
        <v>NO</v>
      </c>
      <c r="C519" s="369" t="str">
        <f>IF(B519="SI","SI","NO")</f>
        <v>NO</v>
      </c>
      <c r="D519" s="1028" t="s">
        <v>1705</v>
      </c>
      <c r="E519" s="1030" t="s">
        <v>8226</v>
      </c>
      <c r="F519" s="1031" t="s">
        <v>1705</v>
      </c>
      <c r="G519" s="1031" t="s">
        <v>5237</v>
      </c>
      <c r="H519" s="88">
        <f>INDEX(IN_RC_ANT!$A$3:$AAA$160,MATCH($G519,IN_RC_ANT!$A$3:$A$160,0),MATCH(H$1,IN_RC_ANT!$A$3:$AAA$3,0))</f>
        <v>0</v>
      </c>
      <c r="I519" s="88">
        <f>INDEX(IN_RC_ANT!$A$3:$AAA$160,MATCH($G519,IN_RC_ANT!$A$3:$A$160,0),MATCH(I$1,IN_RC_ANT!$A$3:$AAA$3,0))</f>
        <v>0</v>
      </c>
      <c r="J519" s="88">
        <f>INDEX(IN_RC_ANT!$A$3:$AAA$160,MATCH($G519,IN_RC_ANT!$A$3:$A$160,0),MATCH(J$1,IN_RC_ANT!$A$3:$AAA$3,0))</f>
        <v>0</v>
      </c>
    </row>
    <row r="520" spans="1:10" x14ac:dyDescent="0.2">
      <c r="A520" s="86" t="s">
        <v>7548</v>
      </c>
      <c r="B520" s="1067" t="s">
        <v>105</v>
      </c>
      <c r="C520" s="1037" t="s">
        <v>219</v>
      </c>
      <c r="D520" s="1028" t="s">
        <v>1705</v>
      </c>
      <c r="E520" s="1030" t="s">
        <v>8227</v>
      </c>
      <c r="F520" s="1031" t="s">
        <v>1705</v>
      </c>
      <c r="G520" s="1031" t="s">
        <v>5224</v>
      </c>
      <c r="H520" s="88">
        <f>INDEX(IN_RC_ANT!$A$3:$AAA$160,MATCH($G520,IN_RC_ANT!$A$3:$A$160,0),MATCH(H$1,IN_RC_ANT!$A$3:$AAA$3,0))</f>
        <v>0</v>
      </c>
      <c r="I520" s="88">
        <f>INDEX(IN_RC_ANT!$A$3:$AAA$160,MATCH($G520,IN_RC_ANT!$A$3:$A$160,0),MATCH(I$1,IN_RC_ANT!$A$3:$AAA$3,0))</f>
        <v>0</v>
      </c>
      <c r="J520" s="88">
        <f>INDEX(IN_RC_ANT!$A$3:$AAA$160,MATCH($G520,IN_RC_ANT!$A$3:$A$160,0),MATCH(J$1,IN_RC_ANT!$A$3:$AAA$3,0))</f>
        <v>0</v>
      </c>
    </row>
    <row r="521" spans="1:10" x14ac:dyDescent="0.2">
      <c r="A521" s="86" t="s">
        <v>7549</v>
      </c>
      <c r="B521" s="447" t="str">
        <f>IN_Anagrafica!$B$9</f>
        <v>NO</v>
      </c>
      <c r="C521" s="369" t="str">
        <f>IF(B521="SI","SI","NO")</f>
        <v>NO</v>
      </c>
      <c r="D521" s="1028" t="s">
        <v>1705</v>
      </c>
      <c r="E521" s="1030" t="s">
        <v>8228</v>
      </c>
      <c r="F521" s="1031" t="s">
        <v>1705</v>
      </c>
      <c r="G521" s="1031" t="s">
        <v>5236</v>
      </c>
      <c r="H521" s="88">
        <f>INDEX(IN_RC_ANT!$A$3:$AAA$160,MATCH($G521,IN_RC_ANT!$A$3:$A$160,0),MATCH(H$1,IN_RC_ANT!$A$3:$AAA$3,0))</f>
        <v>0</v>
      </c>
      <c r="I521" s="88">
        <f>INDEX(IN_RC_ANT!$A$3:$AAA$160,MATCH($G521,IN_RC_ANT!$A$3:$A$160,0),MATCH(I$1,IN_RC_ANT!$A$3:$AAA$3,0))</f>
        <v>0</v>
      </c>
      <c r="J521" s="88">
        <f>INDEX(IN_RC_ANT!$A$3:$AAA$160,MATCH($G521,IN_RC_ANT!$A$3:$A$160,0),MATCH(J$1,IN_RC_ANT!$A$3:$AAA$3,0))</f>
        <v>0</v>
      </c>
    </row>
    <row r="522" spans="1:10" x14ac:dyDescent="0.2">
      <c r="A522" s="86" t="s">
        <v>7550</v>
      </c>
      <c r="B522" s="1067" t="s">
        <v>105</v>
      </c>
      <c r="C522" s="1037" t="s">
        <v>219</v>
      </c>
      <c r="D522" s="1028" t="s">
        <v>1916</v>
      </c>
      <c r="E522" s="1030" t="s">
        <v>301</v>
      </c>
      <c r="F522" s="1031" t="s">
        <v>1916</v>
      </c>
      <c r="G522" s="1031" t="s">
        <v>5223</v>
      </c>
      <c r="H522" s="88">
        <f>INDEX(IN_RC_CO_INC!$A$3:$AAA$85,MATCH($G522,IN_RC_CO_INC!$A$3:$A$85,0),MATCH(H$1,IN_RC_CO_INC!$A$3:$AAA$3,0))</f>
        <v>0</v>
      </c>
      <c r="I522" s="88">
        <f>INDEX(IN_RC_CO_INC!$A$3:$AAA$85,MATCH($G522,IN_RC_CO_INC!$A$3:$A$85,0),MATCH(I$1,IN_RC_CO_INC!$A$3:$AAA$3,0))</f>
        <v>0</v>
      </c>
      <c r="J522" s="88">
        <f>INDEX(IN_RC_CO_INC!$A$3:$AAA$85,MATCH($G522,IN_RC_CO_INC!$A$3:$A$85,0),MATCH(J$1,IN_RC_CO_INC!$A$3:$AAA$3,0))</f>
        <v>0</v>
      </c>
    </row>
    <row r="523" spans="1:10" x14ac:dyDescent="0.2">
      <c r="A523" s="86" t="s">
        <v>7551</v>
      </c>
      <c r="B523" s="447" t="str">
        <f>IN_Anagrafica!$B$9</f>
        <v>NO</v>
      </c>
      <c r="C523" s="369" t="str">
        <f>IF(B523="SI","SI","NO")</f>
        <v>NO</v>
      </c>
      <c r="D523" s="1028" t="s">
        <v>1916</v>
      </c>
      <c r="E523" s="1030" t="s">
        <v>311</v>
      </c>
      <c r="F523" s="1031" t="s">
        <v>1916</v>
      </c>
      <c r="G523" s="1031" t="s">
        <v>5235</v>
      </c>
      <c r="H523" s="88">
        <f>INDEX(IN_RC_CO_INC!$A$3:$AAA$85,MATCH($G523,IN_RC_CO_INC!$A$3:$A$85,0),MATCH(H$1,IN_RC_CO_INC!$A$3:$AAA$3,0))</f>
        <v>0</v>
      </c>
      <c r="I523" s="88">
        <f>INDEX(IN_RC_CO_INC!$A$3:$AAA$85,MATCH($G523,IN_RC_CO_INC!$A$3:$A$85,0),MATCH(I$1,IN_RC_CO_INC!$A$3:$AAA$3,0))</f>
        <v>0</v>
      </c>
      <c r="J523" s="88">
        <f>INDEX(IN_RC_CO_INC!$A$3:$AAA$85,MATCH($G523,IN_RC_CO_INC!$A$3:$A$85,0),MATCH(J$1,IN_RC_CO_INC!$A$3:$AAA$3,0))</f>
        <v>0</v>
      </c>
    </row>
    <row r="524" spans="1:10" x14ac:dyDescent="0.2">
      <c r="A524" s="86" t="s">
        <v>7552</v>
      </c>
      <c r="B524" s="1067" t="s">
        <v>105</v>
      </c>
      <c r="C524" s="1037" t="s">
        <v>219</v>
      </c>
      <c r="D524" s="1028" t="s">
        <v>8229</v>
      </c>
      <c r="E524" s="1030" t="s">
        <v>8230</v>
      </c>
      <c r="F524" s="1031" t="s">
        <v>8523</v>
      </c>
      <c r="G524" s="1031" t="s">
        <v>5358</v>
      </c>
      <c r="H524" s="88">
        <f>INDEX(CK_GEST!$A$3:$AAA$159,MATCH($G524,CK_GEST!$A$3:$A$159,0),MATCH(H$1,CK_GEST!$A$3:$AAA$3,0))</f>
        <v>0</v>
      </c>
      <c r="I524" s="88">
        <f>INDEX(CK_GEST!$A$3:$AAA$159,MATCH($G524,CK_GEST!$A$3:$A$159,0),MATCH(I$1,CK_GEST!$A$3:$AAA$3,0))</f>
        <v>0</v>
      </c>
      <c r="J524" s="88">
        <f>INDEX(CK_GEST!$A$3:$AAA$159,MATCH($G524,CK_GEST!$A$3:$A$159,0),MATCH(J$1,CK_GEST!$A$3:$AAA$3,0))</f>
        <v>0</v>
      </c>
    </row>
    <row r="525" spans="1:10" x14ac:dyDescent="0.2">
      <c r="A525" s="86" t="s">
        <v>7553</v>
      </c>
      <c r="B525" s="1067" t="s">
        <v>105</v>
      </c>
      <c r="C525" s="1037" t="s">
        <v>219</v>
      </c>
      <c r="D525" s="1028" t="s">
        <v>8229</v>
      </c>
      <c r="E525" s="1030" t="s">
        <v>8231</v>
      </c>
      <c r="F525" s="1031" t="s">
        <v>8523</v>
      </c>
      <c r="G525" s="1031" t="s">
        <v>5393</v>
      </c>
      <c r="H525" s="88">
        <f>INDEX(CK_GEST!$A$3:$AAA$159,MATCH($G525,CK_GEST!$A$3:$A$159,0),MATCH(H$1,CK_GEST!$A$3:$AAA$3,0))</f>
        <v>0</v>
      </c>
      <c r="I525" s="88">
        <f>INDEX(CK_GEST!$A$3:$AAA$159,MATCH($G525,CK_GEST!$A$3:$A$159,0),MATCH(I$1,CK_GEST!$A$3:$AAA$3,0))</f>
        <v>0</v>
      </c>
      <c r="J525" s="88">
        <f>INDEX(CK_GEST!$A$3:$AAA$159,MATCH($G525,CK_GEST!$A$3:$A$159,0),MATCH(J$1,CK_GEST!$A$3:$AAA$3,0))</f>
        <v>0</v>
      </c>
    </row>
    <row r="526" spans="1:10" x14ac:dyDescent="0.2">
      <c r="A526" s="86" t="s">
        <v>7554</v>
      </c>
      <c r="B526" s="1067" t="s">
        <v>105</v>
      </c>
      <c r="C526" s="1037" t="s">
        <v>219</v>
      </c>
      <c r="D526" s="1028" t="s">
        <v>8229</v>
      </c>
      <c r="E526" s="1030" t="s">
        <v>8232</v>
      </c>
      <c r="F526" s="1031" t="s">
        <v>8523</v>
      </c>
      <c r="G526" s="1031" t="s">
        <v>7011</v>
      </c>
      <c r="H526" s="88">
        <f>INDEX(CK_GEST!$A$3:$AAA$159,MATCH($G526,CK_GEST!$A$3:$A$159,0),MATCH(H$1,CK_GEST!$A$3:$AAA$3,0))</f>
        <v>0</v>
      </c>
      <c r="I526" s="88">
        <f>INDEX(CK_GEST!$A$3:$AAA$159,MATCH($G526,CK_GEST!$A$3:$A$159,0),MATCH(I$1,CK_GEST!$A$3:$AAA$3,0))</f>
        <v>0</v>
      </c>
      <c r="J526" s="88">
        <f>INDEX(CK_GEST!$A$3:$AAA$159,MATCH($G526,CK_GEST!$A$3:$A$159,0),MATCH(J$1,CK_GEST!$A$3:$AAA$3,0))</f>
        <v>0</v>
      </c>
    </row>
    <row r="527" spans="1:10" x14ac:dyDescent="0.2">
      <c r="A527" s="86" t="s">
        <v>7555</v>
      </c>
      <c r="B527" s="1067" t="s">
        <v>105</v>
      </c>
      <c r="C527" s="1037" t="s">
        <v>219</v>
      </c>
      <c r="D527" s="1028" t="s">
        <v>8229</v>
      </c>
      <c r="E527" s="1030" t="s">
        <v>8233</v>
      </c>
      <c r="F527" s="1031" t="s">
        <v>8523</v>
      </c>
      <c r="G527" s="1031" t="s">
        <v>7015</v>
      </c>
      <c r="H527" s="88">
        <f>INDEX(CK_GEST!$A$3:$AAA$159,MATCH($G527,CK_GEST!$A$3:$A$159,0),MATCH(H$1,CK_GEST!$A$3:$AAA$3,0))</f>
        <v>0</v>
      </c>
      <c r="I527" s="88">
        <f>INDEX(CK_GEST!$A$3:$AAA$159,MATCH($G527,CK_GEST!$A$3:$A$159,0),MATCH(I$1,CK_GEST!$A$3:$AAA$3,0))</f>
        <v>0</v>
      </c>
      <c r="J527" s="88">
        <f>INDEX(CK_GEST!$A$3:$AAA$159,MATCH($G527,CK_GEST!$A$3:$A$159,0),MATCH(J$1,CK_GEST!$A$3:$AAA$3,0))</f>
        <v>0</v>
      </c>
    </row>
    <row r="528" spans="1:10" x14ac:dyDescent="0.2">
      <c r="A528" s="86" t="s">
        <v>7556</v>
      </c>
      <c r="B528" s="1067" t="s">
        <v>105</v>
      </c>
      <c r="C528" s="1037" t="s">
        <v>219</v>
      </c>
      <c r="D528" s="1028" t="s">
        <v>8229</v>
      </c>
      <c r="E528" s="1030" t="s">
        <v>8234</v>
      </c>
      <c r="F528" s="1031" t="s">
        <v>8523</v>
      </c>
      <c r="G528" s="1031" t="s">
        <v>5359</v>
      </c>
      <c r="H528" s="88">
        <f>INDEX(CK_GEST!$A$3:$AAA$159,MATCH($G528,CK_GEST!$A$3:$A$159,0),MATCH(H$1,CK_GEST!$A$3:$AAA$3,0))</f>
        <v>56545.7</v>
      </c>
      <c r="I528" s="88">
        <f>INDEX(CK_GEST!$A$3:$AAA$159,MATCH($G528,CK_GEST!$A$3:$A$159,0),MATCH(I$1,CK_GEST!$A$3:$AAA$3,0))</f>
        <v>0</v>
      </c>
      <c r="J528" s="88">
        <f>INDEX(CK_GEST!$A$3:$AAA$159,MATCH($G528,CK_GEST!$A$3:$A$159,0),MATCH(J$1,CK_GEST!$A$3:$AAA$3,0))</f>
        <v>0</v>
      </c>
    </row>
    <row r="529" spans="1:10" x14ac:dyDescent="0.2">
      <c r="A529" s="86" t="s">
        <v>7557</v>
      </c>
      <c r="B529" s="1067" t="s">
        <v>105</v>
      </c>
      <c r="C529" s="1037" t="s">
        <v>219</v>
      </c>
      <c r="D529" s="1028" t="s">
        <v>8229</v>
      </c>
      <c r="E529" s="1030" t="s">
        <v>8235</v>
      </c>
      <c r="F529" s="1031" t="s">
        <v>8524</v>
      </c>
      <c r="G529" s="1031" t="s">
        <v>736</v>
      </c>
      <c r="H529" s="1038">
        <f>'Parametri MTR-3'!$J$12</f>
        <v>3.4633333333333335E-2</v>
      </c>
      <c r="I529" s="1038">
        <f>'Parametri MTR-3'!$J$12</f>
        <v>3.4633333333333335E-2</v>
      </c>
      <c r="J529" s="1038">
        <f>'Parametri MTR-3'!$J$12</f>
        <v>3.4633333333333335E-2</v>
      </c>
    </row>
    <row r="530" spans="1:10" x14ac:dyDescent="0.2">
      <c r="A530" s="86" t="s">
        <v>7558</v>
      </c>
      <c r="B530" s="1067" t="s">
        <v>105</v>
      </c>
      <c r="C530" s="1037" t="s">
        <v>219</v>
      </c>
      <c r="D530" s="1028" t="s">
        <v>8229</v>
      </c>
      <c r="E530" s="1030" t="s">
        <v>694</v>
      </c>
      <c r="F530" s="1031" t="s">
        <v>8523</v>
      </c>
      <c r="G530" s="1031" t="s">
        <v>5395</v>
      </c>
      <c r="H530" s="88">
        <f>INDEX(CK_GEST!$A$3:$AAA$159,MATCH($G530,CK_GEST!$A$3:$A$159,0),MATCH(H$1,CK_GEST!$A$3:$AAA$3,0))</f>
        <v>0</v>
      </c>
      <c r="I530" s="88">
        <f>INDEX(CK_GEST!$A$3:$AAA$159,MATCH($G530,CK_GEST!$A$3:$A$159,0),MATCH(I$1,CK_GEST!$A$3:$AAA$3,0))</f>
        <v>0</v>
      </c>
      <c r="J530" s="88">
        <f>INDEX(CK_GEST!$A$3:$AAA$159,MATCH($G530,CK_GEST!$A$3:$A$159,0),MATCH(J$1,CK_GEST!$A$3:$AAA$3,0))</f>
        <v>0</v>
      </c>
    </row>
    <row r="531" spans="1:10" x14ac:dyDescent="0.2">
      <c r="A531" s="86" t="s">
        <v>7559</v>
      </c>
      <c r="B531" s="1067" t="s">
        <v>105</v>
      </c>
      <c r="C531" s="1037" t="s">
        <v>219</v>
      </c>
      <c r="D531" s="1028" t="s">
        <v>8229</v>
      </c>
      <c r="E531" s="1030" t="s">
        <v>8236</v>
      </c>
      <c r="F531" s="1031" t="s">
        <v>8524</v>
      </c>
      <c r="G531" s="1031" t="s">
        <v>736</v>
      </c>
      <c r="H531" s="1038">
        <f>'Parametri MTR-3'!$K$12</f>
        <v>3.4633333333333335E-2</v>
      </c>
      <c r="I531" s="1038">
        <f>'Parametri MTR-3'!$K$12</f>
        <v>3.4633333333333335E-2</v>
      </c>
      <c r="J531" s="1038">
        <f>'Parametri MTR-3'!$K$12</f>
        <v>3.4633333333333335E-2</v>
      </c>
    </row>
    <row r="532" spans="1:10" x14ac:dyDescent="0.2">
      <c r="A532" s="86" t="s">
        <v>7560</v>
      </c>
      <c r="B532" s="1067" t="s">
        <v>105</v>
      </c>
      <c r="C532" s="1037" t="s">
        <v>219</v>
      </c>
      <c r="D532" s="1028" t="s">
        <v>8229</v>
      </c>
      <c r="E532" s="1030" t="s">
        <v>696</v>
      </c>
      <c r="F532" s="1031" t="s">
        <v>8523</v>
      </c>
      <c r="G532" s="1031" t="s">
        <v>7012</v>
      </c>
      <c r="H532" s="88">
        <f>INDEX(CK_GEST!$A$3:$AAA$159,MATCH($G532,CK_GEST!$A$3:$A$159,0),MATCH(H$1,CK_GEST!$A$3:$AAA$3,0))</f>
        <v>0</v>
      </c>
      <c r="I532" s="88">
        <f>INDEX(CK_GEST!$A$3:$AAA$159,MATCH($G532,CK_GEST!$A$3:$A$159,0),MATCH(I$1,CK_GEST!$A$3:$AAA$3,0))</f>
        <v>0</v>
      </c>
      <c r="J532" s="88">
        <f>INDEX(CK_GEST!$A$3:$AAA$159,MATCH($G532,CK_GEST!$A$3:$A$159,0),MATCH(J$1,CK_GEST!$A$3:$AAA$3,0))</f>
        <v>0</v>
      </c>
    </row>
    <row r="533" spans="1:10" x14ac:dyDescent="0.2">
      <c r="A533" s="86" t="s">
        <v>7561</v>
      </c>
      <c r="B533" s="1067" t="s">
        <v>105</v>
      </c>
      <c r="C533" s="1037" t="s">
        <v>219</v>
      </c>
      <c r="D533" s="1028" t="s">
        <v>8229</v>
      </c>
      <c r="E533" s="1030" t="s">
        <v>8237</v>
      </c>
      <c r="F533" s="1031" t="s">
        <v>8524</v>
      </c>
      <c r="G533" s="1031" t="s">
        <v>736</v>
      </c>
      <c r="H533" s="1038">
        <f>'Parametri MTR-3'!$L$12</f>
        <v>3.4633333333333335E-2</v>
      </c>
      <c r="I533" s="1038">
        <f>'Parametri MTR-3'!$L$12</f>
        <v>3.4633333333333335E-2</v>
      </c>
      <c r="J533" s="1038">
        <f>'Parametri MTR-3'!$L$12</f>
        <v>3.4633333333333335E-2</v>
      </c>
    </row>
    <row r="534" spans="1:10" x14ac:dyDescent="0.2">
      <c r="A534" s="86" t="s">
        <v>7562</v>
      </c>
      <c r="B534" s="1067" t="s">
        <v>105</v>
      </c>
      <c r="C534" s="1037" t="s">
        <v>219</v>
      </c>
      <c r="D534" s="1028" t="s">
        <v>8229</v>
      </c>
      <c r="E534" s="1030" t="s">
        <v>8238</v>
      </c>
      <c r="F534" s="1031" t="s">
        <v>8523</v>
      </c>
      <c r="G534" s="1031" t="s">
        <v>7016</v>
      </c>
      <c r="H534" s="88">
        <f>INDEX(CK_GEST!$A$3:$AAA$159,MATCH($G534,CK_GEST!$A$3:$A$159,0),MATCH(H$1,CK_GEST!$A$3:$AAA$3,0))</f>
        <v>0</v>
      </c>
      <c r="I534" s="88">
        <f>INDEX(CK_GEST!$A$3:$AAA$159,MATCH($G534,CK_GEST!$A$3:$A$159,0),MATCH(I$1,CK_GEST!$A$3:$AAA$3,0))</f>
        <v>0</v>
      </c>
      <c r="J534" s="88">
        <f>INDEX(CK_GEST!$A$3:$AAA$159,MATCH($G534,CK_GEST!$A$3:$A$159,0),MATCH(J$1,CK_GEST!$A$3:$AAA$3,0))</f>
        <v>0</v>
      </c>
    </row>
    <row r="535" spans="1:10" x14ac:dyDescent="0.2">
      <c r="A535" s="86" t="s">
        <v>7563</v>
      </c>
      <c r="B535" s="1067" t="s">
        <v>105</v>
      </c>
      <c r="C535" s="1037" t="s">
        <v>219</v>
      </c>
      <c r="D535" s="1028" t="s">
        <v>8229</v>
      </c>
      <c r="E535" s="1030" t="s">
        <v>8239</v>
      </c>
      <c r="F535" s="1031" t="s">
        <v>8524</v>
      </c>
      <c r="G535" s="1031" t="s">
        <v>736</v>
      </c>
      <c r="H535" s="1038">
        <f>'Parametri MTR-3'!$M$12</f>
        <v>3.4633333333333335E-2</v>
      </c>
      <c r="I535" s="1038">
        <f>'Parametri MTR-3'!$M$12</f>
        <v>3.4633333333333335E-2</v>
      </c>
      <c r="J535" s="1038">
        <f>'Parametri MTR-3'!$M$12</f>
        <v>3.4633333333333335E-2</v>
      </c>
    </row>
    <row r="536" spans="1:10" x14ac:dyDescent="0.2">
      <c r="A536" s="86" t="s">
        <v>7564</v>
      </c>
      <c r="B536" s="1067" t="s">
        <v>105</v>
      </c>
      <c r="C536" s="1037" t="s">
        <v>219</v>
      </c>
      <c r="D536" s="1028" t="s">
        <v>8229</v>
      </c>
      <c r="E536" s="1030" t="s">
        <v>8240</v>
      </c>
      <c r="F536" s="1031" t="s">
        <v>8523</v>
      </c>
      <c r="G536" s="1031" t="s">
        <v>5360</v>
      </c>
      <c r="H536" s="88">
        <f>INDEX(CK_GEST!$A$3:$AAA$159,MATCH($G536,CK_GEST!$A$3:$A$159,0),MATCH(H$1,CK_GEST!$A$3:$AAA$3,0))</f>
        <v>116588.39</v>
      </c>
      <c r="I536" s="88">
        <f>INDEX(CK_GEST!$A$3:$AAA$159,MATCH($G536,CK_GEST!$A$3:$A$159,0),MATCH(I$1,CK_GEST!$A$3:$AAA$3,0))</f>
        <v>0</v>
      </c>
      <c r="J536" s="88">
        <f>INDEX(CK_GEST!$A$3:$AAA$159,MATCH($G536,CK_GEST!$A$3:$A$159,0),MATCH(J$1,CK_GEST!$A$3:$AAA$3,0))</f>
        <v>0</v>
      </c>
    </row>
    <row r="537" spans="1:10" x14ac:dyDescent="0.2">
      <c r="A537" s="86" t="s">
        <v>654</v>
      </c>
      <c r="B537" s="1067" t="s">
        <v>105</v>
      </c>
      <c r="C537" s="1037" t="s">
        <v>219</v>
      </c>
      <c r="D537" s="1028" t="s">
        <v>8229</v>
      </c>
      <c r="E537" s="1030" t="s">
        <v>661</v>
      </c>
      <c r="F537" s="1031" t="s">
        <v>8524</v>
      </c>
      <c r="G537" s="1031" t="s">
        <v>737</v>
      </c>
      <c r="H537" s="1038">
        <f>'Parametri MTR-3'!$J$13</f>
        <v>2.4266666666666669E-2</v>
      </c>
      <c r="I537" s="1038">
        <f>'Parametri MTR-3'!$J$13</f>
        <v>2.4266666666666669E-2</v>
      </c>
      <c r="J537" s="1038">
        <f>'Parametri MTR-3'!$J$13</f>
        <v>2.4266666666666669E-2</v>
      </c>
    </row>
    <row r="538" spans="1:10" x14ac:dyDescent="0.2">
      <c r="A538" s="86" t="s">
        <v>7565</v>
      </c>
      <c r="B538" s="1067" t="s">
        <v>105</v>
      </c>
      <c r="C538" s="1037" t="s">
        <v>219</v>
      </c>
      <c r="D538" s="1028" t="s">
        <v>8229</v>
      </c>
      <c r="E538" s="1030" t="s">
        <v>664</v>
      </c>
      <c r="F538" s="1031" t="s">
        <v>8523</v>
      </c>
      <c r="G538" s="1031" t="s">
        <v>5396</v>
      </c>
      <c r="H538" s="88">
        <f>INDEX(CK_GEST!$A$3:$AAA$159,MATCH($G538,CK_GEST!$A$3:$A$159,0),MATCH(H$1,CK_GEST!$A$3:$AAA$3,0))</f>
        <v>0</v>
      </c>
      <c r="I538" s="88">
        <f>INDEX(CK_GEST!$A$3:$AAA$159,MATCH($G538,CK_GEST!$A$3:$A$159,0),MATCH(I$1,CK_GEST!$A$3:$AAA$3,0))</f>
        <v>0</v>
      </c>
      <c r="J538" s="88">
        <f>INDEX(CK_GEST!$A$3:$AAA$159,MATCH($G538,CK_GEST!$A$3:$A$159,0),MATCH(J$1,CK_GEST!$A$3:$AAA$3,0))</f>
        <v>0</v>
      </c>
    </row>
    <row r="539" spans="1:10" x14ac:dyDescent="0.2">
      <c r="A539" s="86" t="s">
        <v>7557</v>
      </c>
      <c r="B539" s="1067" t="s">
        <v>105</v>
      </c>
      <c r="C539" s="1037" t="s">
        <v>219</v>
      </c>
      <c r="D539" s="1028" t="s">
        <v>8229</v>
      </c>
      <c r="E539" s="1030" t="s">
        <v>8241</v>
      </c>
      <c r="F539" s="1031" t="s">
        <v>8524</v>
      </c>
      <c r="G539" s="1031" t="s">
        <v>737</v>
      </c>
      <c r="H539" s="1038">
        <f>'Parametri MTR-3'!$K$13</f>
        <v>2.4266666666666669E-2</v>
      </c>
      <c r="I539" s="1038">
        <f>'Parametri MTR-3'!$K$13</f>
        <v>2.4266666666666669E-2</v>
      </c>
      <c r="J539" s="1038">
        <f>'Parametri MTR-3'!$K$13</f>
        <v>2.4266666666666669E-2</v>
      </c>
    </row>
    <row r="540" spans="1:10" x14ac:dyDescent="0.2">
      <c r="A540" s="86" t="s">
        <v>7566</v>
      </c>
      <c r="B540" s="1067" t="s">
        <v>105</v>
      </c>
      <c r="C540" s="1037" t="s">
        <v>219</v>
      </c>
      <c r="D540" s="1028" t="s">
        <v>8229</v>
      </c>
      <c r="E540" s="1030" t="s">
        <v>697</v>
      </c>
      <c r="F540" s="1031" t="s">
        <v>8523</v>
      </c>
      <c r="G540" s="1031" t="s">
        <v>7013</v>
      </c>
      <c r="H540" s="88">
        <f>INDEX(CK_GEST!$A$3:$AAA$159,MATCH($G540,CK_GEST!$A$3:$A$159,0),MATCH(H$1,CK_GEST!$A$3:$AAA$3,0))</f>
        <v>0</v>
      </c>
      <c r="I540" s="88">
        <f>INDEX(CK_GEST!$A$3:$AAA$159,MATCH($G540,CK_GEST!$A$3:$A$159,0),MATCH(I$1,CK_GEST!$A$3:$AAA$3,0))</f>
        <v>0</v>
      </c>
      <c r="J540" s="88">
        <f>INDEX(CK_GEST!$A$3:$AAA$159,MATCH($G540,CK_GEST!$A$3:$A$159,0),MATCH(J$1,CK_GEST!$A$3:$AAA$3,0))</f>
        <v>0</v>
      </c>
    </row>
    <row r="541" spans="1:10" x14ac:dyDescent="0.2">
      <c r="A541" s="86" t="s">
        <v>7559</v>
      </c>
      <c r="B541" s="1067" t="s">
        <v>105</v>
      </c>
      <c r="C541" s="1037" t="s">
        <v>219</v>
      </c>
      <c r="D541" s="1028" t="s">
        <v>8229</v>
      </c>
      <c r="E541" s="1030" t="s">
        <v>8242</v>
      </c>
      <c r="F541" s="1031" t="s">
        <v>8524</v>
      </c>
      <c r="G541" s="1031" t="s">
        <v>737</v>
      </c>
      <c r="H541" s="1038">
        <f>'Parametri MTR-3'!$L$13</f>
        <v>2.4266666666666669E-2</v>
      </c>
      <c r="I541" s="1038">
        <f>'Parametri MTR-3'!$L$13</f>
        <v>2.4266666666666669E-2</v>
      </c>
      <c r="J541" s="1038">
        <f>'Parametri MTR-3'!$L$13</f>
        <v>2.4266666666666669E-2</v>
      </c>
    </row>
    <row r="542" spans="1:10" x14ac:dyDescent="0.2">
      <c r="A542" s="86" t="s">
        <v>7567</v>
      </c>
      <c r="B542" s="1067" t="s">
        <v>105</v>
      </c>
      <c r="C542" s="1037" t="s">
        <v>219</v>
      </c>
      <c r="D542" s="1028" t="s">
        <v>8229</v>
      </c>
      <c r="E542" s="1030" t="s">
        <v>8243</v>
      </c>
      <c r="F542" s="1031" t="s">
        <v>8523</v>
      </c>
      <c r="G542" s="1031" t="s">
        <v>7017</v>
      </c>
      <c r="H542" s="88">
        <f>INDEX(CK_GEST!$A$3:$AAA$159,MATCH($G542,CK_GEST!$A$3:$A$159,0),MATCH(H$1,CK_GEST!$A$3:$AAA$3,0))</f>
        <v>0</v>
      </c>
      <c r="I542" s="88">
        <f>INDEX(CK_GEST!$A$3:$AAA$159,MATCH($G542,CK_GEST!$A$3:$A$159,0),MATCH(I$1,CK_GEST!$A$3:$AAA$3,0))</f>
        <v>0</v>
      </c>
      <c r="J542" s="88">
        <f>INDEX(CK_GEST!$A$3:$AAA$159,MATCH($G542,CK_GEST!$A$3:$A$159,0),MATCH(J$1,CK_GEST!$A$3:$AAA$3,0))</f>
        <v>0</v>
      </c>
    </row>
    <row r="543" spans="1:10" x14ac:dyDescent="0.2">
      <c r="A543" s="86" t="s">
        <v>7561</v>
      </c>
      <c r="B543" s="1067" t="s">
        <v>105</v>
      </c>
      <c r="C543" s="1037" t="s">
        <v>219</v>
      </c>
      <c r="D543" s="1028" t="s">
        <v>8229</v>
      </c>
      <c r="E543" s="1030" t="s">
        <v>8244</v>
      </c>
      <c r="F543" s="1031" t="s">
        <v>8524</v>
      </c>
      <c r="G543" s="1031" t="s">
        <v>737</v>
      </c>
      <c r="H543" s="1038">
        <f>'Parametri MTR-3'!$M$13</f>
        <v>2.4266666666666669E-2</v>
      </c>
      <c r="I543" s="1038">
        <f>'Parametri MTR-3'!$M$13</f>
        <v>2.4266666666666669E-2</v>
      </c>
      <c r="J543" s="1038">
        <f>'Parametri MTR-3'!$M$13</f>
        <v>2.4266666666666669E-2</v>
      </c>
    </row>
    <row r="544" spans="1:10" x14ac:dyDescent="0.2">
      <c r="A544" s="86" t="s">
        <v>7568</v>
      </c>
      <c r="B544" s="1067" t="s">
        <v>105</v>
      </c>
      <c r="C544" s="1037" t="s">
        <v>219</v>
      </c>
      <c r="D544" s="1028" t="s">
        <v>8229</v>
      </c>
      <c r="E544" s="1030" t="s">
        <v>8245</v>
      </c>
      <c r="F544" s="1031" t="s">
        <v>8523</v>
      </c>
      <c r="G544" s="1031" t="s">
        <v>5361</v>
      </c>
      <c r="H544" s="88">
        <f>INDEX(CK_GEST!$A$3:$AAA$159,MATCH($G544,CK_GEST!$A$3:$A$159,0),MATCH(H$1,CK_GEST!$A$3:$AAA$3,0))</f>
        <v>0</v>
      </c>
      <c r="I544" s="88">
        <f>INDEX(CK_GEST!$A$3:$AAA$159,MATCH($G544,CK_GEST!$A$3:$A$159,0),MATCH(I$1,CK_GEST!$A$3:$AAA$3,0))</f>
        <v>0</v>
      </c>
      <c r="J544" s="88">
        <f>INDEX(CK_GEST!$A$3:$AAA$159,MATCH($G544,CK_GEST!$A$3:$A$159,0),MATCH(J$1,CK_GEST!$A$3:$AAA$3,0))</f>
        <v>0</v>
      </c>
    </row>
    <row r="545" spans="1:10" x14ac:dyDescent="0.2">
      <c r="A545" s="86" t="s">
        <v>7569</v>
      </c>
      <c r="B545" s="1067" t="s">
        <v>105</v>
      </c>
      <c r="C545" s="1037" t="s">
        <v>219</v>
      </c>
      <c r="D545" s="1028" t="s">
        <v>8229</v>
      </c>
      <c r="E545" s="1030" t="s">
        <v>665</v>
      </c>
      <c r="F545" s="1031" t="s">
        <v>8523</v>
      </c>
      <c r="G545" s="1031" t="s">
        <v>5394</v>
      </c>
      <c r="H545" s="88">
        <f>INDEX(CK_GEST!$A$3:$AAA$159,MATCH($G545,CK_GEST!$A$3:$A$159,0),MATCH(H$1,CK_GEST!$A$3:$AAA$3,0))</f>
        <v>0</v>
      </c>
      <c r="I545" s="88">
        <f>INDEX(CK_GEST!$A$3:$AAA$159,MATCH($G545,CK_GEST!$A$3:$A$159,0),MATCH(I$1,CK_GEST!$A$3:$AAA$3,0))</f>
        <v>0</v>
      </c>
      <c r="J545" s="88">
        <f>INDEX(CK_GEST!$A$3:$AAA$159,MATCH($G545,CK_GEST!$A$3:$A$159,0),MATCH(J$1,CK_GEST!$A$3:$AAA$3,0))</f>
        <v>0</v>
      </c>
    </row>
    <row r="546" spans="1:10" x14ac:dyDescent="0.2">
      <c r="A546" s="86" t="s">
        <v>7570</v>
      </c>
      <c r="B546" s="1067" t="s">
        <v>105</v>
      </c>
      <c r="C546" s="1037" t="s">
        <v>219</v>
      </c>
      <c r="D546" s="1028" t="s">
        <v>8229</v>
      </c>
      <c r="E546" s="1030" t="s">
        <v>8108</v>
      </c>
      <c r="F546" s="1031" t="s">
        <v>8523</v>
      </c>
      <c r="G546" s="1031" t="s">
        <v>7014</v>
      </c>
      <c r="H546" s="88">
        <f>INDEX(CK_GEST!$A$3:$AAA$159,MATCH($G546,CK_GEST!$A$3:$A$159,0),MATCH(H$1,CK_GEST!$A$3:$AAA$3,0))</f>
        <v>0</v>
      </c>
      <c r="I546" s="88">
        <f>INDEX(CK_GEST!$A$3:$AAA$159,MATCH($G546,CK_GEST!$A$3:$A$159,0),MATCH(I$1,CK_GEST!$A$3:$AAA$3,0))</f>
        <v>0</v>
      </c>
      <c r="J546" s="88">
        <f>INDEX(CK_GEST!$A$3:$AAA$159,MATCH($G546,CK_GEST!$A$3:$A$159,0),MATCH(J$1,CK_GEST!$A$3:$AAA$3,0))</f>
        <v>0</v>
      </c>
    </row>
    <row r="547" spans="1:10" x14ac:dyDescent="0.2">
      <c r="A547" s="86" t="s">
        <v>7571</v>
      </c>
      <c r="B547" s="1067" t="s">
        <v>105</v>
      </c>
      <c r="C547" s="1037" t="s">
        <v>219</v>
      </c>
      <c r="D547" s="1028" t="s">
        <v>8229</v>
      </c>
      <c r="E547" s="1030" t="s">
        <v>8246</v>
      </c>
      <c r="F547" s="1031" t="s">
        <v>8523</v>
      </c>
      <c r="G547" s="1031" t="s">
        <v>7018</v>
      </c>
      <c r="H547" s="88">
        <f>INDEX(CK_GEST!$A$3:$AAA$159,MATCH($G547,CK_GEST!$A$3:$A$159,0),MATCH(H$1,CK_GEST!$A$3:$AAA$3,0))</f>
        <v>0</v>
      </c>
      <c r="I547" s="88">
        <f>INDEX(CK_GEST!$A$3:$AAA$159,MATCH($G547,CK_GEST!$A$3:$A$159,0),MATCH(I$1,CK_GEST!$A$3:$AAA$3,0))</f>
        <v>0</v>
      </c>
      <c r="J547" s="88">
        <f>INDEX(CK_GEST!$A$3:$AAA$159,MATCH($G547,CK_GEST!$A$3:$A$159,0),MATCH(J$1,CK_GEST!$A$3:$AAA$3,0))</f>
        <v>0</v>
      </c>
    </row>
    <row r="548" spans="1:10" x14ac:dyDescent="0.2">
      <c r="A548" s="86" t="s">
        <v>7572</v>
      </c>
      <c r="B548" s="447" t="str">
        <f>IN_Anagrafica!$B$9</f>
        <v>NO</v>
      </c>
      <c r="C548" s="369" t="str">
        <f t="shared" ref="C548:C571" si="6">IF(B548="SI","SI","NO")</f>
        <v>NO</v>
      </c>
      <c r="D548" s="1028" t="s">
        <v>8229</v>
      </c>
      <c r="E548" s="1030" t="s">
        <v>307</v>
      </c>
      <c r="F548" s="1031" t="s">
        <v>8525</v>
      </c>
      <c r="G548" s="1031" t="s">
        <v>5428</v>
      </c>
      <c r="H548" s="88">
        <f>INDEX(CK_COM!$A$3:$AAA$159,MATCH($G548,CK_COM!$A$3:$A$159,0),MATCH(H$1,CK_COM!$A$3:$AAA$3,0))</f>
        <v>0</v>
      </c>
      <c r="I548" s="88">
        <f>INDEX(CK_COM!$A$3:$AAA$159,MATCH($G548,CK_COM!$A$3:$A$159,0),MATCH(I$1,CK_COM!$A$3:$AAA$3,0))</f>
        <v>0</v>
      </c>
      <c r="J548" s="88">
        <f>INDEX(CK_COM!$A$3:$AAA$159,MATCH($G548,CK_COM!$A$3:$A$159,0),MATCH(J$1,CK_COM!$A$3:$AAA$3,0))</f>
        <v>0</v>
      </c>
    </row>
    <row r="549" spans="1:10" x14ac:dyDescent="0.2">
      <c r="A549" s="86" t="s">
        <v>7573</v>
      </c>
      <c r="B549" s="447" t="str">
        <f>IN_Anagrafica!$B$9</f>
        <v>NO</v>
      </c>
      <c r="C549" s="369" t="str">
        <f t="shared" si="6"/>
        <v>NO</v>
      </c>
      <c r="D549" s="1028" t="s">
        <v>8229</v>
      </c>
      <c r="E549" s="1030" t="s">
        <v>329</v>
      </c>
      <c r="F549" s="1031" t="s">
        <v>8525</v>
      </c>
      <c r="G549" s="1031" t="s">
        <v>5432</v>
      </c>
      <c r="H549" s="88">
        <f>INDEX(CK_COM!$A$3:$AAA$159,MATCH($G549,CK_COM!$A$3:$A$159,0),MATCH(H$1,CK_COM!$A$3:$AAA$3,0))</f>
        <v>0</v>
      </c>
      <c r="I549" s="88">
        <f>INDEX(CK_COM!$A$3:$AAA$159,MATCH($G549,CK_COM!$A$3:$A$159,0),MATCH(I$1,CK_COM!$A$3:$AAA$3,0))</f>
        <v>0</v>
      </c>
      <c r="J549" s="88">
        <f>INDEX(CK_COM!$A$3:$AAA$159,MATCH($G549,CK_COM!$A$3:$A$159,0),MATCH(J$1,CK_COM!$A$3:$AAA$3,0))</f>
        <v>0</v>
      </c>
    </row>
    <row r="550" spans="1:10" x14ac:dyDescent="0.2">
      <c r="A550" s="86" t="s">
        <v>7574</v>
      </c>
      <c r="B550" s="447" t="str">
        <f>IN_Anagrafica!$B$9</f>
        <v>NO</v>
      </c>
      <c r="C550" s="369" t="str">
        <f t="shared" si="6"/>
        <v>NO</v>
      </c>
      <c r="D550" s="1028" t="s">
        <v>8229</v>
      </c>
      <c r="E550" s="1030" t="s">
        <v>8247</v>
      </c>
      <c r="F550" s="1031" t="s">
        <v>8525</v>
      </c>
      <c r="G550" s="1031" t="s">
        <v>7019</v>
      </c>
      <c r="H550" s="88">
        <f>INDEX(CK_COM!$A$3:$AAA$159,MATCH($G550,CK_COM!$A$3:$A$159,0),MATCH(H$1,CK_COM!$A$3:$AAA$3,0))</f>
        <v>0</v>
      </c>
      <c r="I550" s="88">
        <f>INDEX(CK_COM!$A$3:$AAA$159,MATCH($G550,CK_COM!$A$3:$A$159,0),MATCH(I$1,CK_COM!$A$3:$AAA$3,0))</f>
        <v>0</v>
      </c>
      <c r="J550" s="88">
        <f>INDEX(CK_COM!$A$3:$AAA$159,MATCH($G550,CK_COM!$A$3:$A$159,0),MATCH(J$1,CK_COM!$A$3:$AAA$3,0))</f>
        <v>0</v>
      </c>
    </row>
    <row r="551" spans="1:10" x14ac:dyDescent="0.2">
      <c r="A551" s="86" t="s">
        <v>7575</v>
      </c>
      <c r="B551" s="447" t="str">
        <f>IN_Anagrafica!$B$9</f>
        <v>NO</v>
      </c>
      <c r="C551" s="369" t="str">
        <f t="shared" si="6"/>
        <v>NO</v>
      </c>
      <c r="D551" s="1028" t="s">
        <v>8229</v>
      </c>
      <c r="E551" s="1030" t="s">
        <v>8248</v>
      </c>
      <c r="F551" s="1031" t="s">
        <v>8525</v>
      </c>
      <c r="G551" s="1031" t="s">
        <v>7023</v>
      </c>
      <c r="H551" s="88">
        <f>INDEX(CK_COM!$A$3:$AAA$159,MATCH($G551,CK_COM!$A$3:$A$159,0),MATCH(H$1,CK_COM!$A$3:$AAA$3,0))</f>
        <v>0</v>
      </c>
      <c r="I551" s="88">
        <f>INDEX(CK_COM!$A$3:$AAA$159,MATCH($G551,CK_COM!$A$3:$A$159,0),MATCH(I$1,CK_COM!$A$3:$AAA$3,0))</f>
        <v>0</v>
      </c>
      <c r="J551" s="88">
        <f>INDEX(CK_COM!$A$3:$AAA$159,MATCH($G551,CK_COM!$A$3:$A$159,0),MATCH(J$1,CK_COM!$A$3:$AAA$3,0))</f>
        <v>0</v>
      </c>
    </row>
    <row r="552" spans="1:10" x14ac:dyDescent="0.2">
      <c r="A552" s="86" t="s">
        <v>7576</v>
      </c>
      <c r="B552" s="447" t="str">
        <f>IN_Anagrafica!$B$9</f>
        <v>NO</v>
      </c>
      <c r="C552" s="369" t="str">
        <f t="shared" si="6"/>
        <v>NO</v>
      </c>
      <c r="D552" s="1028" t="s">
        <v>8229</v>
      </c>
      <c r="E552" s="1030" t="s">
        <v>308</v>
      </c>
      <c r="F552" s="1031" t="s">
        <v>8525</v>
      </c>
      <c r="G552" s="1031" t="s">
        <v>5429</v>
      </c>
      <c r="H552" s="88">
        <f>INDEX(CK_COM!$A$3:$AAA$159,MATCH($G552,CK_COM!$A$3:$A$159,0),MATCH(H$1,CK_COM!$A$3:$AAA$3,0))</f>
        <v>0</v>
      </c>
      <c r="I552" s="88">
        <f>INDEX(CK_COM!$A$3:$AAA$159,MATCH($G552,CK_COM!$A$3:$A$159,0),MATCH(I$1,CK_COM!$A$3:$AAA$3,0))</f>
        <v>0</v>
      </c>
      <c r="J552" s="88">
        <f>INDEX(CK_COM!$A$3:$AAA$159,MATCH($G552,CK_COM!$A$3:$A$159,0),MATCH(J$1,CK_COM!$A$3:$AAA$3,0))</f>
        <v>0</v>
      </c>
    </row>
    <row r="553" spans="1:10" x14ac:dyDescent="0.2">
      <c r="A553" s="86" t="s">
        <v>7577</v>
      </c>
      <c r="B553" s="447" t="str">
        <f>IN_Anagrafica!$B$9</f>
        <v>NO</v>
      </c>
      <c r="C553" s="369" t="str">
        <f t="shared" si="6"/>
        <v>NO</v>
      </c>
      <c r="D553" s="1028" t="s">
        <v>8229</v>
      </c>
      <c r="E553" s="1030" t="s">
        <v>312</v>
      </c>
      <c r="F553" s="1031" t="s">
        <v>8524</v>
      </c>
      <c r="G553" s="1031" t="s">
        <v>736</v>
      </c>
      <c r="H553" s="1038">
        <f>'Parametri MTR-3'!$J$12</f>
        <v>3.4633333333333335E-2</v>
      </c>
      <c r="I553" s="1038">
        <f>'Parametri MTR-3'!$J$12</f>
        <v>3.4633333333333335E-2</v>
      </c>
      <c r="J553" s="1038">
        <f>'Parametri MTR-3'!$J$12</f>
        <v>3.4633333333333335E-2</v>
      </c>
    </row>
    <row r="554" spans="1:10" x14ac:dyDescent="0.2">
      <c r="A554" s="86" t="s">
        <v>7578</v>
      </c>
      <c r="B554" s="447" t="str">
        <f>IN_Anagrafica!$B$9</f>
        <v>NO</v>
      </c>
      <c r="C554" s="369" t="str">
        <f t="shared" si="6"/>
        <v>NO</v>
      </c>
      <c r="D554" s="1028" t="s">
        <v>8229</v>
      </c>
      <c r="E554" s="1030" t="s">
        <v>330</v>
      </c>
      <c r="F554" s="1031" t="s">
        <v>8525</v>
      </c>
      <c r="G554" s="1031" t="s">
        <v>5433</v>
      </c>
      <c r="H554" s="88">
        <f>INDEX(CK_COM!$A$3:$AAA$159,MATCH($G554,CK_COM!$A$3:$A$159,0),MATCH(H$1,CK_COM!$A$3:$AAA$3,0))</f>
        <v>0</v>
      </c>
      <c r="I554" s="88">
        <f>INDEX(CK_COM!$A$3:$AAA$159,MATCH($G554,CK_COM!$A$3:$A$159,0),MATCH(I$1,CK_COM!$A$3:$AAA$3,0))</f>
        <v>0</v>
      </c>
      <c r="J554" s="88">
        <f>INDEX(CK_COM!$A$3:$AAA$159,MATCH($G554,CK_COM!$A$3:$A$159,0),MATCH(J$1,CK_COM!$A$3:$AAA$3,0))</f>
        <v>0</v>
      </c>
    </row>
    <row r="555" spans="1:10" x14ac:dyDescent="0.2">
      <c r="A555" s="86" t="s">
        <v>7579</v>
      </c>
      <c r="B555" s="447" t="str">
        <f>IN_Anagrafica!$B$9</f>
        <v>NO</v>
      </c>
      <c r="C555" s="369" t="str">
        <f t="shared" si="6"/>
        <v>NO</v>
      </c>
      <c r="D555" s="1028" t="s">
        <v>8229</v>
      </c>
      <c r="E555" s="1030" t="s">
        <v>333</v>
      </c>
      <c r="F555" s="1031" t="s">
        <v>8524</v>
      </c>
      <c r="G555" s="1031" t="s">
        <v>736</v>
      </c>
      <c r="H555" s="1038">
        <f>'Parametri MTR-3'!$K$12</f>
        <v>3.4633333333333335E-2</v>
      </c>
      <c r="I555" s="1038">
        <f>'Parametri MTR-3'!$K$12</f>
        <v>3.4633333333333335E-2</v>
      </c>
      <c r="J555" s="1038">
        <f>'Parametri MTR-3'!$K$12</f>
        <v>3.4633333333333335E-2</v>
      </c>
    </row>
    <row r="556" spans="1:10" x14ac:dyDescent="0.2">
      <c r="A556" s="86" t="s">
        <v>7580</v>
      </c>
      <c r="B556" s="447" t="str">
        <f>IN_Anagrafica!$B$9</f>
        <v>NO</v>
      </c>
      <c r="C556" s="369" t="str">
        <f t="shared" si="6"/>
        <v>NO</v>
      </c>
      <c r="D556" s="1028" t="s">
        <v>8229</v>
      </c>
      <c r="E556" s="1030" t="s">
        <v>698</v>
      </c>
      <c r="F556" s="1031" t="s">
        <v>8525</v>
      </c>
      <c r="G556" s="1031" t="s">
        <v>7020</v>
      </c>
      <c r="H556" s="88">
        <f>INDEX(CK_COM!$A$3:$AAA$159,MATCH($G556,CK_COM!$A$3:$A$159,0),MATCH(H$1,CK_COM!$A$3:$AAA$3,0))</f>
        <v>0</v>
      </c>
      <c r="I556" s="88">
        <f>INDEX(CK_COM!$A$3:$AAA$159,MATCH($G556,CK_COM!$A$3:$A$159,0),MATCH(I$1,CK_COM!$A$3:$AAA$3,0))</f>
        <v>0</v>
      </c>
      <c r="J556" s="88">
        <f>INDEX(CK_COM!$A$3:$AAA$159,MATCH($G556,CK_COM!$A$3:$A$159,0),MATCH(J$1,CK_COM!$A$3:$AAA$3,0))</f>
        <v>0</v>
      </c>
    </row>
    <row r="557" spans="1:10" x14ac:dyDescent="0.2">
      <c r="A557" s="86" t="s">
        <v>7581</v>
      </c>
      <c r="B557" s="447" t="str">
        <f>IN_Anagrafica!$B$9</f>
        <v>NO</v>
      </c>
      <c r="C557" s="369" t="str">
        <f t="shared" si="6"/>
        <v>NO</v>
      </c>
      <c r="D557" s="1028" t="s">
        <v>8229</v>
      </c>
      <c r="E557" s="1030" t="s">
        <v>8249</v>
      </c>
      <c r="F557" s="1031" t="s">
        <v>8524</v>
      </c>
      <c r="G557" s="1031" t="s">
        <v>736</v>
      </c>
      <c r="H557" s="1038">
        <f>'Parametri MTR-3'!$L$12</f>
        <v>3.4633333333333335E-2</v>
      </c>
      <c r="I557" s="1038">
        <f>'Parametri MTR-3'!$L$12</f>
        <v>3.4633333333333335E-2</v>
      </c>
      <c r="J557" s="1038">
        <f>'Parametri MTR-3'!$L$12</f>
        <v>3.4633333333333335E-2</v>
      </c>
    </row>
    <row r="558" spans="1:10" x14ac:dyDescent="0.2">
      <c r="A558" s="86" t="s">
        <v>7582</v>
      </c>
      <c r="B558" s="447" t="str">
        <f>IN_Anagrafica!$B$9</f>
        <v>NO</v>
      </c>
      <c r="C558" s="369" t="str">
        <f t="shared" si="6"/>
        <v>NO</v>
      </c>
      <c r="D558" s="1028" t="s">
        <v>8229</v>
      </c>
      <c r="E558" s="1030" t="s">
        <v>8250</v>
      </c>
      <c r="F558" s="1031" t="s">
        <v>8525</v>
      </c>
      <c r="G558" s="1031" t="s">
        <v>7024</v>
      </c>
      <c r="H558" s="88">
        <f>INDEX(CK_COM!$A$3:$AAA$159,MATCH($G558,CK_COM!$A$3:$A$159,0),MATCH(H$1,CK_COM!$A$3:$AAA$3,0))</f>
        <v>0</v>
      </c>
      <c r="I558" s="88">
        <f>INDEX(CK_COM!$A$3:$AAA$159,MATCH($G558,CK_COM!$A$3:$A$159,0),MATCH(I$1,CK_COM!$A$3:$AAA$3,0))</f>
        <v>0</v>
      </c>
      <c r="J558" s="88">
        <f>INDEX(CK_COM!$A$3:$AAA$159,MATCH($G558,CK_COM!$A$3:$A$159,0),MATCH(J$1,CK_COM!$A$3:$AAA$3,0))</f>
        <v>0</v>
      </c>
    </row>
    <row r="559" spans="1:10" x14ac:dyDescent="0.2">
      <c r="A559" s="86" t="s">
        <v>7583</v>
      </c>
      <c r="B559" s="447" t="str">
        <f>IN_Anagrafica!$B$9</f>
        <v>NO</v>
      </c>
      <c r="C559" s="369" t="str">
        <f t="shared" si="6"/>
        <v>NO</v>
      </c>
      <c r="D559" s="1028" t="s">
        <v>8229</v>
      </c>
      <c r="E559" s="1030" t="s">
        <v>8251</v>
      </c>
      <c r="F559" s="1031" t="s">
        <v>8524</v>
      </c>
      <c r="G559" s="1031" t="s">
        <v>736</v>
      </c>
      <c r="H559" s="1038">
        <f>'Parametri MTR-3'!$M$12</f>
        <v>3.4633333333333335E-2</v>
      </c>
      <c r="I559" s="1038">
        <f>'Parametri MTR-3'!$M$12</f>
        <v>3.4633333333333335E-2</v>
      </c>
      <c r="J559" s="1038">
        <f>'Parametri MTR-3'!$M$12</f>
        <v>3.4633333333333335E-2</v>
      </c>
    </row>
    <row r="560" spans="1:10" x14ac:dyDescent="0.2">
      <c r="A560" s="86" t="s">
        <v>7584</v>
      </c>
      <c r="B560" s="447" t="str">
        <f>IN_Anagrafica!$B$9</f>
        <v>NO</v>
      </c>
      <c r="C560" s="369" t="str">
        <f t="shared" si="6"/>
        <v>NO</v>
      </c>
      <c r="D560" s="1028" t="s">
        <v>8229</v>
      </c>
      <c r="E560" s="1030" t="s">
        <v>309</v>
      </c>
      <c r="F560" s="1031" t="s">
        <v>8525</v>
      </c>
      <c r="G560" s="1031" t="s">
        <v>5430</v>
      </c>
      <c r="H560" s="88">
        <f>INDEX(CK_COM!$A$3:$AAA$159,MATCH($G560,CK_COM!$A$3:$A$159,0),MATCH(H$1,CK_COM!$A$3:$AAA$3,0))</f>
        <v>0</v>
      </c>
      <c r="I560" s="88">
        <f>INDEX(CK_COM!$A$3:$AAA$159,MATCH($G560,CK_COM!$A$3:$A$159,0),MATCH(I$1,CK_COM!$A$3:$AAA$3,0))</f>
        <v>0</v>
      </c>
      <c r="J560" s="88">
        <f>INDEX(CK_COM!$A$3:$AAA$159,MATCH($G560,CK_COM!$A$3:$A$159,0),MATCH(J$1,CK_COM!$A$3:$AAA$3,0))</f>
        <v>0</v>
      </c>
    </row>
    <row r="561" spans="1:10" x14ac:dyDescent="0.2">
      <c r="A561" s="86" t="s">
        <v>655</v>
      </c>
      <c r="B561" s="447" t="str">
        <f>IN_Anagrafica!$B$9</f>
        <v>NO</v>
      </c>
      <c r="C561" s="369" t="str">
        <f t="shared" si="6"/>
        <v>NO</v>
      </c>
      <c r="D561" s="1028" t="s">
        <v>8229</v>
      </c>
      <c r="E561" s="1030" t="s">
        <v>313</v>
      </c>
      <c r="F561" s="1031" t="s">
        <v>8524</v>
      </c>
      <c r="G561" s="1031" t="s">
        <v>737</v>
      </c>
      <c r="H561" s="1038">
        <f>'Parametri MTR-3'!$J$13</f>
        <v>2.4266666666666669E-2</v>
      </c>
      <c r="I561" s="1038">
        <f>'Parametri MTR-3'!$J$13</f>
        <v>2.4266666666666669E-2</v>
      </c>
      <c r="J561" s="1038">
        <f>'Parametri MTR-3'!$J$13</f>
        <v>2.4266666666666669E-2</v>
      </c>
    </row>
    <row r="562" spans="1:10" x14ac:dyDescent="0.2">
      <c r="A562" s="86" t="s">
        <v>7585</v>
      </c>
      <c r="B562" s="447" t="str">
        <f>IN_Anagrafica!$B$9</f>
        <v>NO</v>
      </c>
      <c r="C562" s="369" t="str">
        <f t="shared" si="6"/>
        <v>NO</v>
      </c>
      <c r="D562" s="1028" t="s">
        <v>8229</v>
      </c>
      <c r="E562" s="1030" t="s">
        <v>331</v>
      </c>
      <c r="F562" s="1031" t="s">
        <v>8525</v>
      </c>
      <c r="G562" s="1031" t="s">
        <v>5434</v>
      </c>
      <c r="H562" s="88">
        <f>INDEX(CK_COM!$A$3:$AAA$159,MATCH($G562,CK_COM!$A$3:$A$159,0),MATCH(H$1,CK_COM!$A$3:$AAA$3,0))</f>
        <v>0</v>
      </c>
      <c r="I562" s="88">
        <f>INDEX(CK_COM!$A$3:$AAA$159,MATCH($G562,CK_COM!$A$3:$A$159,0),MATCH(I$1,CK_COM!$A$3:$AAA$3,0))</f>
        <v>0</v>
      </c>
      <c r="J562" s="88">
        <f>INDEX(CK_COM!$A$3:$AAA$159,MATCH($G562,CK_COM!$A$3:$A$159,0),MATCH(J$1,CK_COM!$A$3:$AAA$3,0))</f>
        <v>0</v>
      </c>
    </row>
    <row r="563" spans="1:10" x14ac:dyDescent="0.2">
      <c r="A563" s="86" t="s">
        <v>7577</v>
      </c>
      <c r="B563" s="447" t="str">
        <f>IN_Anagrafica!$B$9</f>
        <v>NO</v>
      </c>
      <c r="C563" s="369" t="str">
        <f t="shared" si="6"/>
        <v>NO</v>
      </c>
      <c r="D563" s="1028" t="s">
        <v>8229</v>
      </c>
      <c r="E563" s="1030" t="s">
        <v>334</v>
      </c>
      <c r="F563" s="1031" t="s">
        <v>8524</v>
      </c>
      <c r="G563" s="1031" t="s">
        <v>737</v>
      </c>
      <c r="H563" s="1038">
        <f>'Parametri MTR-3'!$K$13</f>
        <v>2.4266666666666669E-2</v>
      </c>
      <c r="I563" s="1038">
        <f>'Parametri MTR-3'!$K$13</f>
        <v>2.4266666666666669E-2</v>
      </c>
      <c r="J563" s="1038">
        <f>'Parametri MTR-3'!$K$13</f>
        <v>2.4266666666666669E-2</v>
      </c>
    </row>
    <row r="564" spans="1:10" x14ac:dyDescent="0.2">
      <c r="A564" s="86" t="s">
        <v>7586</v>
      </c>
      <c r="B564" s="447" t="str">
        <f>IN_Anagrafica!$B$9</f>
        <v>NO</v>
      </c>
      <c r="C564" s="369" t="str">
        <f t="shared" si="6"/>
        <v>NO</v>
      </c>
      <c r="D564" s="1028" t="s">
        <v>8229</v>
      </c>
      <c r="E564" s="1030" t="s">
        <v>699</v>
      </c>
      <c r="F564" s="1031" t="s">
        <v>8525</v>
      </c>
      <c r="G564" s="1031" t="s">
        <v>7021</v>
      </c>
      <c r="H564" s="88">
        <f>INDEX(CK_COM!$A$3:$AAA$159,MATCH($G564,CK_COM!$A$3:$A$159,0),MATCH(H$1,CK_COM!$A$3:$AAA$3,0))</f>
        <v>0</v>
      </c>
      <c r="I564" s="88">
        <f>INDEX(CK_COM!$A$3:$AAA$159,MATCH($G564,CK_COM!$A$3:$A$159,0),MATCH(I$1,CK_COM!$A$3:$AAA$3,0))</f>
        <v>0</v>
      </c>
      <c r="J564" s="88">
        <f>INDEX(CK_COM!$A$3:$AAA$159,MATCH($G564,CK_COM!$A$3:$A$159,0),MATCH(J$1,CK_COM!$A$3:$AAA$3,0))</f>
        <v>0</v>
      </c>
    </row>
    <row r="565" spans="1:10" x14ac:dyDescent="0.2">
      <c r="A565" s="86" t="s">
        <v>7579</v>
      </c>
      <c r="B565" s="447" t="str">
        <f>IN_Anagrafica!$B$9</f>
        <v>NO</v>
      </c>
      <c r="C565" s="369" t="str">
        <f t="shared" si="6"/>
        <v>NO</v>
      </c>
      <c r="D565" s="1028" t="s">
        <v>8229</v>
      </c>
      <c r="E565" s="1030" t="s">
        <v>8252</v>
      </c>
      <c r="F565" s="1031" t="s">
        <v>8524</v>
      </c>
      <c r="G565" s="1031" t="s">
        <v>737</v>
      </c>
      <c r="H565" s="1038">
        <f>'Parametri MTR-3'!$L$13</f>
        <v>2.4266666666666669E-2</v>
      </c>
      <c r="I565" s="1038">
        <f>'Parametri MTR-3'!$L$13</f>
        <v>2.4266666666666669E-2</v>
      </c>
      <c r="J565" s="1038">
        <f>'Parametri MTR-3'!$L$13</f>
        <v>2.4266666666666669E-2</v>
      </c>
    </row>
    <row r="566" spans="1:10" x14ac:dyDescent="0.2">
      <c r="A566" s="86" t="s">
        <v>7587</v>
      </c>
      <c r="B566" s="447" t="str">
        <f>IN_Anagrafica!$B$9</f>
        <v>NO</v>
      </c>
      <c r="C566" s="369" t="str">
        <f t="shared" si="6"/>
        <v>NO</v>
      </c>
      <c r="D566" s="1028" t="s">
        <v>8229</v>
      </c>
      <c r="E566" s="1030" t="s">
        <v>8253</v>
      </c>
      <c r="F566" s="1031" t="s">
        <v>8525</v>
      </c>
      <c r="G566" s="1031" t="s">
        <v>7025</v>
      </c>
      <c r="H566" s="88">
        <f>INDEX(CK_COM!$A$3:$AAA$159,MATCH($G566,CK_COM!$A$3:$A$159,0),MATCH(H$1,CK_COM!$A$3:$AAA$3,0))</f>
        <v>0</v>
      </c>
      <c r="I566" s="88">
        <f>INDEX(CK_COM!$A$3:$AAA$159,MATCH($G566,CK_COM!$A$3:$A$159,0),MATCH(I$1,CK_COM!$A$3:$AAA$3,0))</f>
        <v>0</v>
      </c>
      <c r="J566" s="88">
        <f>INDEX(CK_COM!$A$3:$AAA$159,MATCH($G566,CK_COM!$A$3:$A$159,0),MATCH(J$1,CK_COM!$A$3:$AAA$3,0))</f>
        <v>0</v>
      </c>
    </row>
    <row r="567" spans="1:10" x14ac:dyDescent="0.2">
      <c r="A567" s="86" t="s">
        <v>7581</v>
      </c>
      <c r="B567" s="447" t="str">
        <f>IN_Anagrafica!$B$9</f>
        <v>NO</v>
      </c>
      <c r="C567" s="369" t="str">
        <f t="shared" si="6"/>
        <v>NO</v>
      </c>
      <c r="D567" s="1028" t="s">
        <v>8229</v>
      </c>
      <c r="E567" s="1030" t="s">
        <v>8254</v>
      </c>
      <c r="F567" s="1031" t="s">
        <v>8524</v>
      </c>
      <c r="G567" s="1031" t="s">
        <v>737</v>
      </c>
      <c r="H567" s="1038">
        <f>'Parametri MTR-3'!$M$13</f>
        <v>2.4266666666666669E-2</v>
      </c>
      <c r="I567" s="1038">
        <f>'Parametri MTR-3'!$M$13</f>
        <v>2.4266666666666669E-2</v>
      </c>
      <c r="J567" s="1038">
        <f>'Parametri MTR-3'!$M$13</f>
        <v>2.4266666666666669E-2</v>
      </c>
    </row>
    <row r="568" spans="1:10" x14ac:dyDescent="0.2">
      <c r="A568" s="86" t="s">
        <v>7588</v>
      </c>
      <c r="B568" s="447" t="str">
        <f>IN_Anagrafica!$B$9</f>
        <v>NO</v>
      </c>
      <c r="C568" s="369" t="str">
        <f t="shared" si="6"/>
        <v>NO</v>
      </c>
      <c r="D568" s="1028" t="s">
        <v>8229</v>
      </c>
      <c r="E568" s="1030" t="s">
        <v>310</v>
      </c>
      <c r="F568" s="1031" t="s">
        <v>8525</v>
      </c>
      <c r="G568" s="1031" t="s">
        <v>5431</v>
      </c>
      <c r="H568" s="88">
        <f>INDEX(CK_COM!$A$3:$AAA$159,MATCH($G568,CK_COM!$A$3:$A$159,0),MATCH(H$1,CK_COM!$A$3:$AAA$3,0))</f>
        <v>0</v>
      </c>
      <c r="I568" s="88">
        <f>INDEX(CK_COM!$A$3:$AAA$159,MATCH($G568,CK_COM!$A$3:$A$159,0),MATCH(I$1,CK_COM!$A$3:$AAA$3,0))</f>
        <v>0</v>
      </c>
      <c r="J568" s="88">
        <f>INDEX(CK_COM!$A$3:$AAA$159,MATCH($G568,CK_COM!$A$3:$A$159,0),MATCH(J$1,CK_COM!$A$3:$AAA$3,0))</f>
        <v>0</v>
      </c>
    </row>
    <row r="569" spans="1:10" x14ac:dyDescent="0.2">
      <c r="A569" s="86" t="s">
        <v>7589</v>
      </c>
      <c r="B569" s="447" t="str">
        <f>IN_Anagrafica!$B$9</f>
        <v>NO</v>
      </c>
      <c r="C569" s="369" t="str">
        <f t="shared" si="6"/>
        <v>NO</v>
      </c>
      <c r="D569" s="1028" t="s">
        <v>8229</v>
      </c>
      <c r="E569" s="1030" t="s">
        <v>332</v>
      </c>
      <c r="F569" s="1031" t="s">
        <v>8525</v>
      </c>
      <c r="G569" s="1031" t="s">
        <v>5435</v>
      </c>
      <c r="H569" s="88">
        <f>INDEX(CK_COM!$A$3:$AAA$159,MATCH($G569,CK_COM!$A$3:$A$159,0),MATCH(H$1,CK_COM!$A$3:$AAA$3,0))</f>
        <v>0</v>
      </c>
      <c r="I569" s="88">
        <f>INDEX(CK_COM!$A$3:$AAA$159,MATCH($G569,CK_COM!$A$3:$A$159,0),MATCH(I$1,CK_COM!$A$3:$AAA$3,0))</f>
        <v>0</v>
      </c>
      <c r="J569" s="88">
        <f>INDEX(CK_COM!$A$3:$AAA$159,MATCH($G569,CK_COM!$A$3:$A$159,0),MATCH(J$1,CK_COM!$A$3:$AAA$3,0))</f>
        <v>0</v>
      </c>
    </row>
    <row r="570" spans="1:10" x14ac:dyDescent="0.2">
      <c r="A570" s="86" t="s">
        <v>7590</v>
      </c>
      <c r="B570" s="447" t="str">
        <f>IN_Anagrafica!$B$9</f>
        <v>NO</v>
      </c>
      <c r="C570" s="369" t="str">
        <f t="shared" si="6"/>
        <v>NO</v>
      </c>
      <c r="D570" s="1028" t="s">
        <v>8229</v>
      </c>
      <c r="E570" s="1030" t="s">
        <v>8255</v>
      </c>
      <c r="F570" s="1031" t="s">
        <v>8525</v>
      </c>
      <c r="G570" s="1031" t="s">
        <v>7022</v>
      </c>
      <c r="H570" s="88">
        <f>INDEX(CK_COM!$A$3:$AAA$159,MATCH($G570,CK_COM!$A$3:$A$159,0),MATCH(H$1,CK_COM!$A$3:$AAA$3,0))</f>
        <v>0</v>
      </c>
      <c r="I570" s="88">
        <f>INDEX(CK_COM!$A$3:$AAA$159,MATCH($G570,CK_COM!$A$3:$A$159,0),MATCH(I$1,CK_COM!$A$3:$AAA$3,0))</f>
        <v>0</v>
      </c>
      <c r="J570" s="88">
        <f>INDEX(CK_COM!$A$3:$AAA$159,MATCH($G570,CK_COM!$A$3:$A$159,0),MATCH(J$1,CK_COM!$A$3:$AAA$3,0))</f>
        <v>0</v>
      </c>
    </row>
    <row r="571" spans="1:10" x14ac:dyDescent="0.2">
      <c r="A571" s="86" t="s">
        <v>7591</v>
      </c>
      <c r="B571" s="447" t="str">
        <f>IN_Anagrafica!$B$9</f>
        <v>NO</v>
      </c>
      <c r="C571" s="369" t="str">
        <f t="shared" si="6"/>
        <v>NO</v>
      </c>
      <c r="D571" s="1028" t="s">
        <v>8229</v>
      </c>
      <c r="E571" s="1030" t="s">
        <v>8256</v>
      </c>
      <c r="F571" s="1031" t="s">
        <v>8525</v>
      </c>
      <c r="G571" s="1031" t="s">
        <v>7026</v>
      </c>
      <c r="H571" s="88">
        <f>INDEX(CK_COM!$A$3:$AAA$159,MATCH($G571,CK_COM!$A$3:$A$159,0),MATCH(H$1,CK_COM!$A$3:$AAA$3,0))</f>
        <v>0</v>
      </c>
      <c r="I571" s="88">
        <f>INDEX(CK_COM!$A$3:$AAA$159,MATCH($G571,CK_COM!$A$3:$A$159,0),MATCH(I$1,CK_COM!$A$3:$AAA$3,0))</f>
        <v>0</v>
      </c>
      <c r="J571" s="88">
        <f>INDEX(CK_COM!$A$3:$AAA$159,MATCH($G571,CK_COM!$A$3:$A$159,0),MATCH(J$1,CK_COM!$A$3:$AAA$3,0))</f>
        <v>0</v>
      </c>
    </row>
    <row r="572" spans="1:10" x14ac:dyDescent="0.2">
      <c r="A572" s="86" t="s">
        <v>638</v>
      </c>
      <c r="B572" s="1067" t="s">
        <v>105</v>
      </c>
      <c r="C572" s="1037" t="s">
        <v>219</v>
      </c>
      <c r="D572" s="1028" t="s">
        <v>8229</v>
      </c>
      <c r="E572" s="1030" t="s">
        <v>8257</v>
      </c>
      <c r="F572" s="1031" t="s">
        <v>2047</v>
      </c>
      <c r="G572" s="1031" t="s">
        <v>1136</v>
      </c>
      <c r="H572" s="88">
        <f>INDEX('IN_RCwacc&amp;slic_GEST'!$A$3:$AAA$237,MATCH($G572,'IN_RCwacc&amp;slic_GEST'!$A$3:$A$237,0),MATCH(H$1,'IN_RCwacc&amp;slic_GEST'!$A$3:$AAA$3,0))</f>
        <v>128066.27117018178</v>
      </c>
      <c r="I572" s="88">
        <f>INDEX('IN_RCwacc&amp;slic_GEST'!$A$3:$AAA$237,MATCH($G572,'IN_RCwacc&amp;slic_GEST'!$A$3:$A$237,0),MATCH(I$1,'IN_RCwacc&amp;slic_GEST'!$A$3:$AAA$3,0))</f>
        <v>0</v>
      </c>
      <c r="J572" s="88">
        <f>INDEX('IN_RCwacc&amp;slic_GEST'!$A$3:$AAA$237,MATCH($G572,'IN_RCwacc&amp;slic_GEST'!$A$3:$A$237,0),MATCH(J$1,'IN_RCwacc&amp;slic_GEST'!$A$3:$AAA$3,0))</f>
        <v>0</v>
      </c>
    </row>
    <row r="573" spans="1:10" x14ac:dyDescent="0.2">
      <c r="A573" s="86" t="s">
        <v>646</v>
      </c>
      <c r="B573" s="1067" t="s">
        <v>105</v>
      </c>
      <c r="C573" s="1037" t="s">
        <v>219</v>
      </c>
      <c r="D573" s="1028" t="s">
        <v>8229</v>
      </c>
      <c r="E573" s="1030" t="s">
        <v>743</v>
      </c>
      <c r="F573" s="1031" t="s">
        <v>2047</v>
      </c>
      <c r="G573" s="1031" t="s">
        <v>1156</v>
      </c>
      <c r="H573" s="88">
        <f>INDEX('IN_RCwacc&amp;slic_GEST'!$A$3:$AAA$237,MATCH($G573,'IN_RCwacc&amp;slic_GEST'!$A$3:$A$237,0),MATCH(H$1,'IN_RCwacc&amp;slic_GEST'!$A$3:$AAA$3,0))</f>
        <v>141938.87676425482</v>
      </c>
      <c r="I573" s="88">
        <f>INDEX('IN_RCwacc&amp;slic_GEST'!$A$3:$AAA$237,MATCH($G573,'IN_RCwacc&amp;slic_GEST'!$A$3:$A$237,0),MATCH(I$1,'IN_RCwacc&amp;slic_GEST'!$A$3:$AAA$3,0))</f>
        <v>0</v>
      </c>
      <c r="J573" s="88">
        <f>INDEX('IN_RCwacc&amp;slic_GEST'!$A$3:$AAA$237,MATCH($G573,'IN_RCwacc&amp;slic_GEST'!$A$3:$A$237,0),MATCH(J$1,'IN_RCwacc&amp;slic_GEST'!$A$3:$AAA$3,0))</f>
        <v>0</v>
      </c>
    </row>
    <row r="574" spans="1:10" x14ac:dyDescent="0.2">
      <c r="A574" s="86" t="s">
        <v>639</v>
      </c>
      <c r="B574" s="1067" t="s">
        <v>105</v>
      </c>
      <c r="C574" s="1037" t="s">
        <v>219</v>
      </c>
      <c r="D574" s="1028" t="s">
        <v>8229</v>
      </c>
      <c r="E574" s="1030" t="s">
        <v>8258</v>
      </c>
      <c r="F574" s="1031" t="s">
        <v>2047</v>
      </c>
      <c r="G574" s="1031" t="s">
        <v>1137</v>
      </c>
      <c r="H574" s="88">
        <f>INDEX('IN_RCwacc&amp;slic_GEST'!$A$3:$AAA$237,MATCH($G574,'IN_RCwacc&amp;slic_GEST'!$A$3:$A$237,0),MATCH(H$1,'IN_RCwacc&amp;slic_GEST'!$A$3:$AAA$3,0))</f>
        <v>4989.936415387443</v>
      </c>
      <c r="I574" s="88">
        <f>INDEX('IN_RCwacc&amp;slic_GEST'!$A$3:$AAA$237,MATCH($G574,'IN_RCwacc&amp;slic_GEST'!$A$3:$A$237,0),MATCH(I$1,'IN_RCwacc&amp;slic_GEST'!$A$3:$AAA$3,0))</f>
        <v>0</v>
      </c>
      <c r="J574" s="88">
        <f>INDEX('IN_RCwacc&amp;slic_GEST'!$A$3:$AAA$237,MATCH($G574,'IN_RCwacc&amp;slic_GEST'!$A$3:$A$237,0),MATCH(J$1,'IN_RCwacc&amp;slic_GEST'!$A$3:$AAA$3,0))</f>
        <v>0</v>
      </c>
    </row>
    <row r="575" spans="1:10" x14ac:dyDescent="0.2">
      <c r="A575" s="86" t="s">
        <v>7592</v>
      </c>
      <c r="B575" s="1067" t="s">
        <v>105</v>
      </c>
      <c r="C575" s="1037" t="s">
        <v>219</v>
      </c>
      <c r="D575" s="1028" t="s">
        <v>8229</v>
      </c>
      <c r="E575" s="1030" t="s">
        <v>351</v>
      </c>
      <c r="F575" s="1031" t="s">
        <v>8524</v>
      </c>
      <c r="G575" s="1031" t="s">
        <v>105</v>
      </c>
      <c r="H575" s="1038">
        <f>'Parametri MTR-3'!$F$12</f>
        <v>4.0866666666666662E-2</v>
      </c>
      <c r="I575" s="1038">
        <f>'Parametri MTR-3'!$F$12</f>
        <v>4.0866666666666662E-2</v>
      </c>
      <c r="J575" s="1038">
        <f>'Parametri MTR-3'!$F$12</f>
        <v>4.0866666666666662E-2</v>
      </c>
    </row>
    <row r="576" spans="1:10" x14ac:dyDescent="0.2">
      <c r="A576" s="86" t="s">
        <v>7593</v>
      </c>
      <c r="B576" s="1067" t="s">
        <v>105</v>
      </c>
      <c r="C576" s="1037" t="s">
        <v>219</v>
      </c>
      <c r="D576" s="1028" t="s">
        <v>8229</v>
      </c>
      <c r="E576" s="1030" t="s">
        <v>372</v>
      </c>
      <c r="F576" s="1031" t="s">
        <v>8524</v>
      </c>
      <c r="G576" s="1031" t="s">
        <v>105</v>
      </c>
      <c r="H576" s="1038">
        <f>'Parametri MTR-3'!$H$12</f>
        <v>3.8800000000000001E-2</v>
      </c>
      <c r="I576" s="1038">
        <f>'Parametri MTR-3'!$H$12</f>
        <v>3.8800000000000001E-2</v>
      </c>
      <c r="J576" s="1038">
        <f>'Parametri MTR-3'!$H$12</f>
        <v>3.8800000000000001E-2</v>
      </c>
    </row>
    <row r="577" spans="1:10" x14ac:dyDescent="0.2">
      <c r="A577" s="86" t="s">
        <v>647</v>
      </c>
      <c r="B577" s="1067" t="s">
        <v>105</v>
      </c>
      <c r="C577" s="1037" t="s">
        <v>219</v>
      </c>
      <c r="D577" s="1028" t="s">
        <v>8229</v>
      </c>
      <c r="E577" s="1030" t="s">
        <v>700</v>
      </c>
      <c r="F577" s="1031" t="s">
        <v>2047</v>
      </c>
      <c r="G577" s="1031" t="s">
        <v>1157</v>
      </c>
      <c r="H577" s="88">
        <f>INDEX('IN_RCwacc&amp;slic_GEST'!$A$3:$AAA$237,MATCH($G577,'IN_RCwacc&amp;slic_GEST'!$A$3:$A$237,0),MATCH(H$1,'IN_RCwacc&amp;slic_GEST'!$A$3:$AAA$3,0))</f>
        <v>126467.40594564649</v>
      </c>
      <c r="I577" s="88">
        <f>INDEX('IN_RCwacc&amp;slic_GEST'!$A$3:$AAA$237,MATCH($G577,'IN_RCwacc&amp;slic_GEST'!$A$3:$A$237,0),MATCH(I$1,'IN_RCwacc&amp;slic_GEST'!$A$3:$AAA$3,0))</f>
        <v>0</v>
      </c>
      <c r="J577" s="88">
        <f>INDEX('IN_RCwacc&amp;slic_GEST'!$A$3:$AAA$237,MATCH($G577,'IN_RCwacc&amp;slic_GEST'!$A$3:$A$237,0),MATCH(J$1,'IN_RCwacc&amp;slic_GEST'!$A$3:$AAA$3,0))</f>
        <v>0</v>
      </c>
    </row>
    <row r="578" spans="1:10" x14ac:dyDescent="0.2">
      <c r="A578" s="86" t="s">
        <v>7594</v>
      </c>
      <c r="B578" s="1067" t="s">
        <v>105</v>
      </c>
      <c r="C578" s="1037" t="s">
        <v>219</v>
      </c>
      <c r="D578" s="1028" t="s">
        <v>8229</v>
      </c>
      <c r="E578" s="1030" t="s">
        <v>704</v>
      </c>
      <c r="F578" s="1031" t="s">
        <v>8524</v>
      </c>
      <c r="G578" s="1031" t="s">
        <v>105</v>
      </c>
      <c r="H578" s="1038">
        <f>'Parametri MTR-3'!$G$12</f>
        <v>4.0866666666666662E-2</v>
      </c>
      <c r="I578" s="1038">
        <f>'Parametri MTR-3'!$G$12</f>
        <v>4.0866666666666662E-2</v>
      </c>
      <c r="J578" s="1038">
        <f>'Parametri MTR-3'!$G$12</f>
        <v>4.0866666666666662E-2</v>
      </c>
    </row>
    <row r="579" spans="1:10" x14ac:dyDescent="0.2">
      <c r="A579" s="86" t="s">
        <v>7595</v>
      </c>
      <c r="B579" s="1067" t="s">
        <v>105</v>
      </c>
      <c r="C579" s="1037" t="s">
        <v>219</v>
      </c>
      <c r="D579" s="1028" t="s">
        <v>8229</v>
      </c>
      <c r="E579" s="1030" t="s">
        <v>8259</v>
      </c>
      <c r="F579" s="1031" t="s">
        <v>8524</v>
      </c>
      <c r="G579" s="1031" t="s">
        <v>105</v>
      </c>
      <c r="H579" s="1038">
        <f>'Parametri MTR-3'!$I$12</f>
        <v>3.8800000000000001E-2</v>
      </c>
      <c r="I579" s="1038">
        <f>'Parametri MTR-3'!$I$12</f>
        <v>3.8800000000000001E-2</v>
      </c>
      <c r="J579" s="1038">
        <f>'Parametri MTR-3'!$I$12</f>
        <v>3.8800000000000001E-2</v>
      </c>
    </row>
    <row r="580" spans="1:10" x14ac:dyDescent="0.2">
      <c r="A580" s="86" t="s">
        <v>640</v>
      </c>
      <c r="B580" s="1067" t="s">
        <v>105</v>
      </c>
      <c r="C580" s="1037" t="s">
        <v>219</v>
      </c>
      <c r="D580" s="1028" t="s">
        <v>8229</v>
      </c>
      <c r="E580" s="1030" t="s">
        <v>8260</v>
      </c>
      <c r="F580" s="1031" t="s">
        <v>2047</v>
      </c>
      <c r="G580" s="1031" t="s">
        <v>1138</v>
      </c>
      <c r="H580" s="88">
        <f>INDEX('IN_RCwacc&amp;slic_GEST'!$A$3:$AAA$237,MATCH($G580,'IN_RCwacc&amp;slic_GEST'!$A$3:$A$237,0),MATCH(H$1,'IN_RCwacc&amp;slic_GEST'!$A$3:$AAA$3,0))</f>
        <v>4992</v>
      </c>
      <c r="I580" s="88">
        <f>INDEX('IN_RCwacc&amp;slic_GEST'!$A$3:$AAA$237,MATCH($G580,'IN_RCwacc&amp;slic_GEST'!$A$3:$A$237,0),MATCH(I$1,'IN_RCwacc&amp;slic_GEST'!$A$3:$AAA$3,0))</f>
        <v>0</v>
      </c>
      <c r="J580" s="88">
        <f>INDEX('IN_RCwacc&amp;slic_GEST'!$A$3:$AAA$237,MATCH($G580,'IN_RCwacc&amp;slic_GEST'!$A$3:$A$237,0),MATCH(J$1,'IN_RCwacc&amp;slic_GEST'!$A$3:$AAA$3,0))</f>
        <v>0</v>
      </c>
    </row>
    <row r="581" spans="1:10" x14ac:dyDescent="0.2">
      <c r="A581" s="86" t="s">
        <v>7596</v>
      </c>
      <c r="B581" s="1067" t="s">
        <v>105</v>
      </c>
      <c r="C581" s="1037" t="s">
        <v>219</v>
      </c>
      <c r="D581" s="1028" t="s">
        <v>8229</v>
      </c>
      <c r="E581" s="1030" t="s">
        <v>352</v>
      </c>
      <c r="F581" s="1031" t="s">
        <v>8524</v>
      </c>
      <c r="G581" s="1031" t="s">
        <v>105</v>
      </c>
      <c r="H581" s="1038">
        <f>'Parametri MTR-3'!$F$13</f>
        <v>2.9733333333333327E-2</v>
      </c>
      <c r="I581" s="1038">
        <f>'Parametri MTR-3'!$F$13</f>
        <v>2.9733333333333327E-2</v>
      </c>
      <c r="J581" s="1038">
        <f>'Parametri MTR-3'!$F$13</f>
        <v>2.9733333333333327E-2</v>
      </c>
    </row>
    <row r="582" spans="1:10" x14ac:dyDescent="0.2">
      <c r="A582" s="86" t="s">
        <v>7597</v>
      </c>
      <c r="B582" s="1067" t="s">
        <v>105</v>
      </c>
      <c r="C582" s="1037" t="s">
        <v>219</v>
      </c>
      <c r="D582" s="1028" t="s">
        <v>8229</v>
      </c>
      <c r="E582" s="1030" t="s">
        <v>405</v>
      </c>
      <c r="F582" s="1031" t="s">
        <v>8524</v>
      </c>
      <c r="G582" s="1031" t="s">
        <v>105</v>
      </c>
      <c r="H582" s="1038">
        <f>'Parametri MTR-3'!$H$13</f>
        <v>2.76E-2</v>
      </c>
      <c r="I582" s="1038">
        <f>'Parametri MTR-3'!$H$13</f>
        <v>2.76E-2</v>
      </c>
      <c r="J582" s="1038">
        <f>'Parametri MTR-3'!$H$13</f>
        <v>2.76E-2</v>
      </c>
    </row>
    <row r="583" spans="1:10" x14ac:dyDescent="0.2">
      <c r="A583" s="86" t="s">
        <v>648</v>
      </c>
      <c r="B583" s="1067" t="s">
        <v>105</v>
      </c>
      <c r="C583" s="1037" t="s">
        <v>219</v>
      </c>
      <c r="D583" s="1028" t="s">
        <v>8229</v>
      </c>
      <c r="E583" s="1030" t="s">
        <v>701</v>
      </c>
      <c r="F583" s="1031" t="s">
        <v>2047</v>
      </c>
      <c r="G583" s="1031" t="s">
        <v>1158</v>
      </c>
      <c r="H583" s="88">
        <f>INDEX('IN_RCwacc&amp;slic_GEST'!$A$3:$AAA$237,MATCH($G583,'IN_RCwacc&amp;slic_GEST'!$A$3:$A$237,0),MATCH(H$1,'IN_RCwacc&amp;slic_GEST'!$A$3:$AAA$3,0))</f>
        <v>4989.936415387443</v>
      </c>
      <c r="I583" s="88">
        <f>INDEX('IN_RCwacc&amp;slic_GEST'!$A$3:$AAA$237,MATCH($G583,'IN_RCwacc&amp;slic_GEST'!$A$3:$A$237,0),MATCH(I$1,'IN_RCwacc&amp;slic_GEST'!$A$3:$AAA$3,0))</f>
        <v>0</v>
      </c>
      <c r="J583" s="88">
        <f>INDEX('IN_RCwacc&amp;slic_GEST'!$A$3:$AAA$237,MATCH($G583,'IN_RCwacc&amp;slic_GEST'!$A$3:$A$237,0),MATCH(J$1,'IN_RCwacc&amp;slic_GEST'!$A$3:$AAA$3,0))</f>
        <v>0</v>
      </c>
    </row>
    <row r="584" spans="1:10" x14ac:dyDescent="0.2">
      <c r="A584" s="86" t="s">
        <v>7592</v>
      </c>
      <c r="B584" s="1067" t="s">
        <v>105</v>
      </c>
      <c r="C584" s="1037" t="s">
        <v>219</v>
      </c>
      <c r="D584" s="1028" t="s">
        <v>8229</v>
      </c>
      <c r="E584" s="1030" t="s">
        <v>705</v>
      </c>
      <c r="F584" s="1031" t="s">
        <v>8524</v>
      </c>
      <c r="G584" s="1031" t="s">
        <v>105</v>
      </c>
      <c r="H584" s="1038">
        <f>'Parametri MTR-3'!$G$13</f>
        <v>2.9733333333333327E-2</v>
      </c>
      <c r="I584" s="1038">
        <f>'Parametri MTR-3'!$G$13</f>
        <v>2.9733333333333327E-2</v>
      </c>
      <c r="J584" s="1038">
        <f>'Parametri MTR-3'!$G$13</f>
        <v>2.9733333333333327E-2</v>
      </c>
    </row>
    <row r="585" spans="1:10" x14ac:dyDescent="0.2">
      <c r="A585" s="86" t="s">
        <v>7593</v>
      </c>
      <c r="B585" s="1067" t="s">
        <v>105</v>
      </c>
      <c r="C585" s="1037" t="s">
        <v>219</v>
      </c>
      <c r="D585" s="1028" t="s">
        <v>8229</v>
      </c>
      <c r="E585" s="1030" t="s">
        <v>8261</v>
      </c>
      <c r="F585" s="1031" t="s">
        <v>8524</v>
      </c>
      <c r="G585" s="1031" t="s">
        <v>105</v>
      </c>
      <c r="H585" s="1038">
        <f>'Parametri MTR-3'!$I$13</f>
        <v>2.76E-2</v>
      </c>
      <c r="I585" s="1038">
        <f>'Parametri MTR-3'!$I$13</f>
        <v>2.76E-2</v>
      </c>
      <c r="J585" s="1038">
        <f>'Parametri MTR-3'!$I$13</f>
        <v>2.76E-2</v>
      </c>
    </row>
    <row r="586" spans="1:10" x14ac:dyDescent="0.2">
      <c r="A586" s="86" t="s">
        <v>641</v>
      </c>
      <c r="B586" s="1067" t="s">
        <v>105</v>
      </c>
      <c r="C586" s="1037" t="s">
        <v>219</v>
      </c>
      <c r="D586" s="1028" t="s">
        <v>8229</v>
      </c>
      <c r="E586" s="1030" t="s">
        <v>8262</v>
      </c>
      <c r="F586" s="1031" t="s">
        <v>2047</v>
      </c>
      <c r="G586" s="1031" t="s">
        <v>1139</v>
      </c>
      <c r="H586" s="88">
        <f>INDEX('IN_RCwacc&amp;slic_GEST'!$A$3:$AAA$237,MATCH($G586,'IN_RCwacc&amp;slic_GEST'!$A$3:$A$237,0),MATCH(H$1,'IN_RCwacc&amp;slic_GEST'!$A$3:$AAA$3,0))</f>
        <v>7981.6562910747152</v>
      </c>
      <c r="I586" s="88">
        <f>INDEX('IN_RCwacc&amp;slic_GEST'!$A$3:$AAA$237,MATCH($G586,'IN_RCwacc&amp;slic_GEST'!$A$3:$A$237,0),MATCH(I$1,'IN_RCwacc&amp;slic_GEST'!$A$3:$AAA$3,0))</f>
        <v>0</v>
      </c>
      <c r="J586" s="88">
        <f>INDEX('IN_RCwacc&amp;slic_GEST'!$A$3:$AAA$237,MATCH($G586,'IN_RCwacc&amp;slic_GEST'!$A$3:$A$237,0),MATCH(J$1,'IN_RCwacc&amp;slic_GEST'!$A$3:$AAA$3,0))</f>
        <v>0</v>
      </c>
    </row>
    <row r="587" spans="1:10" x14ac:dyDescent="0.2">
      <c r="A587" s="86" t="s">
        <v>649</v>
      </c>
      <c r="B587" s="1067" t="s">
        <v>105</v>
      </c>
      <c r="C587" s="1037" t="s">
        <v>219</v>
      </c>
      <c r="D587" s="1028" t="s">
        <v>8229</v>
      </c>
      <c r="E587" s="1030" t="s">
        <v>8263</v>
      </c>
      <c r="F587" s="1031" t="s">
        <v>2047</v>
      </c>
      <c r="G587" s="1031" t="s">
        <v>1159</v>
      </c>
      <c r="H587" s="88">
        <f>INDEX('IN_RCwacc&amp;slic_GEST'!$A$3:$AAA$237,MATCH($G587,'IN_RCwacc&amp;slic_GEST'!$A$3:$A$237,0),MATCH(H$1,'IN_RCwacc&amp;slic_GEST'!$A$3:$AAA$3,0))</f>
        <v>4992</v>
      </c>
      <c r="I587" s="88">
        <f>INDEX('IN_RCwacc&amp;slic_GEST'!$A$3:$AAA$237,MATCH($G587,'IN_RCwacc&amp;slic_GEST'!$A$3:$A$237,0),MATCH(I$1,'IN_RCwacc&amp;slic_GEST'!$A$3:$AAA$3,0))</f>
        <v>0</v>
      </c>
      <c r="J587" s="88">
        <f>INDEX('IN_RCwacc&amp;slic_GEST'!$A$3:$AAA$237,MATCH($G587,'IN_RCwacc&amp;slic_GEST'!$A$3:$A$237,0),MATCH(J$1,'IN_RCwacc&amp;slic_GEST'!$A$3:$AAA$3,0))</f>
        <v>0</v>
      </c>
    </row>
    <row r="588" spans="1:10" x14ac:dyDescent="0.2">
      <c r="A588" s="86" t="s">
        <v>642</v>
      </c>
      <c r="B588" s="447" t="str">
        <f>IN_Anagrafica!$B$9</f>
        <v>NO</v>
      </c>
      <c r="C588" s="369" t="str">
        <f t="shared" ref="C588:C603" si="7">IF(B588="SI","SI","NO")</f>
        <v>NO</v>
      </c>
      <c r="D588" s="1028" t="s">
        <v>8229</v>
      </c>
      <c r="E588" s="1030" t="s">
        <v>8264</v>
      </c>
      <c r="F588" s="1031" t="s">
        <v>2048</v>
      </c>
      <c r="G588" s="1031" t="s">
        <v>2109</v>
      </c>
      <c r="H588" s="88">
        <f>INDEX('IN_RCwacc&amp;slic_COM'!$A$3:$AAA$237,MATCH($G588,'IN_RCwacc&amp;slic_COM'!$A$3:$A$237,0),MATCH(H$1,'IN_RCwacc&amp;slic_COM'!$A$3:$AAA$3,0))</f>
        <v>0</v>
      </c>
      <c r="I588" s="88">
        <f>INDEX('IN_RCwacc&amp;slic_COM'!$A$3:$AAA$237,MATCH($G588,'IN_RCwacc&amp;slic_COM'!$A$3:$A$237,0),MATCH(I$1,'IN_RCwacc&amp;slic_COM'!$A$3:$AAA$3,0))</f>
        <v>0</v>
      </c>
      <c r="J588" s="88">
        <f>INDEX('IN_RCwacc&amp;slic_COM'!$A$3:$AAA$237,MATCH($G588,'IN_RCwacc&amp;slic_COM'!$A$3:$A$237,0),MATCH(J$1,'IN_RCwacc&amp;slic_COM'!$A$3:$AAA$3,0))</f>
        <v>0</v>
      </c>
    </row>
    <row r="589" spans="1:10" x14ac:dyDescent="0.2">
      <c r="A589" s="86" t="s">
        <v>650</v>
      </c>
      <c r="B589" s="447" t="str">
        <f>IN_Anagrafica!$B$9</f>
        <v>NO</v>
      </c>
      <c r="C589" s="369" t="str">
        <f t="shared" si="7"/>
        <v>NO</v>
      </c>
      <c r="D589" s="1028" t="s">
        <v>8229</v>
      </c>
      <c r="E589" s="1030" t="s">
        <v>8265</v>
      </c>
      <c r="F589" s="1031" t="s">
        <v>2048</v>
      </c>
      <c r="G589" s="1031" t="s">
        <v>2122</v>
      </c>
      <c r="H589" s="88">
        <f>INDEX('IN_RCwacc&amp;slic_COM'!$A$3:$AAA$237,MATCH($G589,'IN_RCwacc&amp;slic_COM'!$A$3:$A$237,0),MATCH(H$1,'IN_RCwacc&amp;slic_COM'!$A$3:$AAA$3,0))</f>
        <v>0</v>
      </c>
      <c r="I589" s="88">
        <f>INDEX('IN_RCwacc&amp;slic_COM'!$A$3:$AAA$237,MATCH($G589,'IN_RCwacc&amp;slic_COM'!$A$3:$A$237,0),MATCH(I$1,'IN_RCwacc&amp;slic_COM'!$A$3:$AAA$3,0))</f>
        <v>0</v>
      </c>
      <c r="J589" s="88">
        <f>INDEX('IN_RCwacc&amp;slic_COM'!$A$3:$AAA$237,MATCH($G589,'IN_RCwacc&amp;slic_COM'!$A$3:$A$237,0),MATCH(J$1,'IN_RCwacc&amp;slic_COM'!$A$3:$AAA$3,0))</f>
        <v>0</v>
      </c>
    </row>
    <row r="590" spans="1:10" x14ac:dyDescent="0.2">
      <c r="A590" s="86" t="s">
        <v>643</v>
      </c>
      <c r="B590" s="447" t="str">
        <f>IN_Anagrafica!$B$9</f>
        <v>NO</v>
      </c>
      <c r="C590" s="369" t="str">
        <f t="shared" si="7"/>
        <v>NO</v>
      </c>
      <c r="D590" s="1028" t="s">
        <v>8229</v>
      </c>
      <c r="E590" s="1030" t="s">
        <v>8266</v>
      </c>
      <c r="F590" s="1031" t="s">
        <v>2048</v>
      </c>
      <c r="G590" s="1031" t="s">
        <v>2110</v>
      </c>
      <c r="H590" s="88">
        <f>INDEX('IN_RCwacc&amp;slic_COM'!$A$3:$AAA$237,MATCH($G590,'IN_RCwacc&amp;slic_COM'!$A$3:$A$237,0),MATCH(H$1,'IN_RCwacc&amp;slic_COM'!$A$3:$AAA$3,0))</f>
        <v>0</v>
      </c>
      <c r="I590" s="88">
        <f>INDEX('IN_RCwacc&amp;slic_COM'!$A$3:$AAA$237,MATCH($G590,'IN_RCwacc&amp;slic_COM'!$A$3:$A$237,0),MATCH(I$1,'IN_RCwacc&amp;slic_COM'!$A$3:$AAA$3,0))</f>
        <v>0</v>
      </c>
      <c r="J590" s="88">
        <f>INDEX('IN_RCwacc&amp;slic_COM'!$A$3:$AAA$237,MATCH($G590,'IN_RCwacc&amp;slic_COM'!$A$3:$A$237,0),MATCH(J$1,'IN_RCwacc&amp;slic_COM'!$A$3:$AAA$3,0))</f>
        <v>0</v>
      </c>
    </row>
    <row r="591" spans="1:10" x14ac:dyDescent="0.2">
      <c r="A591" s="86" t="s">
        <v>7598</v>
      </c>
      <c r="B591" s="447" t="str">
        <f>IN_Anagrafica!$B$9</f>
        <v>NO</v>
      </c>
      <c r="C591" s="369" t="str">
        <f t="shared" si="7"/>
        <v>NO</v>
      </c>
      <c r="D591" s="1028" t="s">
        <v>8229</v>
      </c>
      <c r="E591" s="1030" t="s">
        <v>8267</v>
      </c>
      <c r="F591" s="1031" t="s">
        <v>8524</v>
      </c>
      <c r="G591" s="1031" t="s">
        <v>105</v>
      </c>
      <c r="H591" s="1038">
        <f>'Parametri MTR-3'!$F$12</f>
        <v>4.0866666666666662E-2</v>
      </c>
      <c r="I591" s="1038">
        <f>'Parametri MTR-3'!$F$12</f>
        <v>4.0866666666666662E-2</v>
      </c>
      <c r="J591" s="1038">
        <f>'Parametri MTR-3'!$F$12</f>
        <v>4.0866666666666662E-2</v>
      </c>
    </row>
    <row r="592" spans="1:10" x14ac:dyDescent="0.2">
      <c r="A592" s="86" t="s">
        <v>7599</v>
      </c>
      <c r="B592" s="447" t="str">
        <f>IN_Anagrafica!$B$9</f>
        <v>NO</v>
      </c>
      <c r="C592" s="369" t="str">
        <f t="shared" si="7"/>
        <v>NO</v>
      </c>
      <c r="D592" s="1028" t="s">
        <v>8229</v>
      </c>
      <c r="E592" s="1030" t="s">
        <v>8268</v>
      </c>
      <c r="F592" s="1031" t="s">
        <v>8524</v>
      </c>
      <c r="G592" s="1031" t="s">
        <v>105</v>
      </c>
      <c r="H592" s="1038">
        <f>'Parametri MTR-3'!$H$12</f>
        <v>3.8800000000000001E-2</v>
      </c>
      <c r="I592" s="1038">
        <f>'Parametri MTR-3'!$H$12</f>
        <v>3.8800000000000001E-2</v>
      </c>
      <c r="J592" s="1038">
        <f>'Parametri MTR-3'!$H$12</f>
        <v>3.8800000000000001E-2</v>
      </c>
    </row>
    <row r="593" spans="1:10" x14ac:dyDescent="0.2">
      <c r="A593" s="86" t="s">
        <v>651</v>
      </c>
      <c r="B593" s="447" t="str">
        <f>IN_Anagrafica!$B$9</f>
        <v>NO</v>
      </c>
      <c r="C593" s="369" t="str">
        <f t="shared" si="7"/>
        <v>NO</v>
      </c>
      <c r="D593" s="1028" t="s">
        <v>8229</v>
      </c>
      <c r="E593" s="1030" t="s">
        <v>702</v>
      </c>
      <c r="F593" s="1031" t="s">
        <v>2048</v>
      </c>
      <c r="G593" s="1031" t="s">
        <v>2123</v>
      </c>
      <c r="H593" s="88">
        <f>INDEX('IN_RCwacc&amp;slic_COM'!$A$3:$AAA$237,MATCH($G593,'IN_RCwacc&amp;slic_COM'!$A$3:$A$237,0),MATCH(H$1,'IN_RCwacc&amp;slic_COM'!$A$3:$AAA$3,0))</f>
        <v>0</v>
      </c>
      <c r="I593" s="88">
        <f>INDEX('IN_RCwacc&amp;slic_COM'!$A$3:$AAA$237,MATCH($G593,'IN_RCwacc&amp;slic_COM'!$A$3:$A$237,0),MATCH(I$1,'IN_RCwacc&amp;slic_COM'!$A$3:$AAA$3,0))</f>
        <v>0</v>
      </c>
      <c r="J593" s="88">
        <f>INDEX('IN_RCwacc&amp;slic_COM'!$A$3:$AAA$237,MATCH($G593,'IN_RCwacc&amp;slic_COM'!$A$3:$A$237,0),MATCH(J$1,'IN_RCwacc&amp;slic_COM'!$A$3:$AAA$3,0))</f>
        <v>0</v>
      </c>
    </row>
    <row r="594" spans="1:10" x14ac:dyDescent="0.2">
      <c r="A594" s="86" t="s">
        <v>7600</v>
      </c>
      <c r="B594" s="447" t="str">
        <f>IN_Anagrafica!$B$9</f>
        <v>NO</v>
      </c>
      <c r="C594" s="369" t="str">
        <f t="shared" si="7"/>
        <v>NO</v>
      </c>
      <c r="D594" s="1028" t="s">
        <v>8229</v>
      </c>
      <c r="E594" s="1030" t="s">
        <v>706</v>
      </c>
      <c r="F594" s="1031" t="s">
        <v>8524</v>
      </c>
      <c r="G594" s="1031" t="s">
        <v>105</v>
      </c>
      <c r="H594" s="1038">
        <f>'Parametri MTR-3'!$G$12</f>
        <v>4.0866666666666662E-2</v>
      </c>
      <c r="I594" s="1038">
        <f>'Parametri MTR-3'!$G$12</f>
        <v>4.0866666666666662E-2</v>
      </c>
      <c r="J594" s="1038">
        <f>'Parametri MTR-3'!$G$12</f>
        <v>4.0866666666666662E-2</v>
      </c>
    </row>
    <row r="595" spans="1:10" x14ac:dyDescent="0.2">
      <c r="A595" s="86" t="s">
        <v>7601</v>
      </c>
      <c r="B595" s="447" t="str">
        <f>IN_Anagrafica!$B$9</f>
        <v>NO</v>
      </c>
      <c r="C595" s="369" t="str">
        <f t="shared" si="7"/>
        <v>NO</v>
      </c>
      <c r="D595" s="1028" t="s">
        <v>8229</v>
      </c>
      <c r="E595" s="1030" t="s">
        <v>8269</v>
      </c>
      <c r="F595" s="1031" t="s">
        <v>8524</v>
      </c>
      <c r="G595" s="1031" t="s">
        <v>105</v>
      </c>
      <c r="H595" s="1038">
        <f>'Parametri MTR-3'!$I$12</f>
        <v>3.8800000000000001E-2</v>
      </c>
      <c r="I595" s="1038">
        <f>'Parametri MTR-3'!$I$12</f>
        <v>3.8800000000000001E-2</v>
      </c>
      <c r="J595" s="1038">
        <f>'Parametri MTR-3'!$I$12</f>
        <v>3.8800000000000001E-2</v>
      </c>
    </row>
    <row r="596" spans="1:10" x14ac:dyDescent="0.2">
      <c r="A596" s="86" t="s">
        <v>644</v>
      </c>
      <c r="B596" s="447" t="str">
        <f>IN_Anagrafica!$B$9</f>
        <v>NO</v>
      </c>
      <c r="C596" s="369" t="str">
        <f t="shared" si="7"/>
        <v>NO</v>
      </c>
      <c r="D596" s="1028" t="s">
        <v>8229</v>
      </c>
      <c r="E596" s="1030" t="s">
        <v>8270</v>
      </c>
      <c r="F596" s="1031" t="s">
        <v>2048</v>
      </c>
      <c r="G596" s="1031" t="s">
        <v>2111</v>
      </c>
      <c r="H596" s="88">
        <f>INDEX('IN_RCwacc&amp;slic_COM'!$A$3:$AAA$237,MATCH($G596,'IN_RCwacc&amp;slic_COM'!$A$3:$A$237,0),MATCH(H$1,'IN_RCwacc&amp;slic_COM'!$A$3:$AAA$3,0))</f>
        <v>0</v>
      </c>
      <c r="I596" s="88">
        <f>INDEX('IN_RCwacc&amp;slic_COM'!$A$3:$AAA$237,MATCH($G596,'IN_RCwacc&amp;slic_COM'!$A$3:$A$237,0),MATCH(I$1,'IN_RCwacc&amp;slic_COM'!$A$3:$AAA$3,0))</f>
        <v>0</v>
      </c>
      <c r="J596" s="88">
        <f>INDEX('IN_RCwacc&amp;slic_COM'!$A$3:$AAA$237,MATCH($G596,'IN_RCwacc&amp;slic_COM'!$A$3:$A$237,0),MATCH(J$1,'IN_RCwacc&amp;slic_COM'!$A$3:$AAA$3,0))</f>
        <v>0</v>
      </c>
    </row>
    <row r="597" spans="1:10" x14ac:dyDescent="0.2">
      <c r="A597" s="86" t="s">
        <v>7602</v>
      </c>
      <c r="B597" s="447" t="str">
        <f>IN_Anagrafica!$B$9</f>
        <v>NO</v>
      </c>
      <c r="C597" s="369" t="str">
        <f t="shared" si="7"/>
        <v>NO</v>
      </c>
      <c r="D597" s="1028" t="s">
        <v>8229</v>
      </c>
      <c r="E597" s="1030" t="s">
        <v>8271</v>
      </c>
      <c r="F597" s="1031" t="s">
        <v>8524</v>
      </c>
      <c r="G597" s="1031" t="s">
        <v>105</v>
      </c>
      <c r="H597" s="1038">
        <f>'Parametri MTR-3'!$F$13</f>
        <v>2.9733333333333327E-2</v>
      </c>
      <c r="I597" s="1038">
        <f>'Parametri MTR-3'!$F$13</f>
        <v>2.9733333333333327E-2</v>
      </c>
      <c r="J597" s="1038">
        <f>'Parametri MTR-3'!$F$13</f>
        <v>2.9733333333333327E-2</v>
      </c>
    </row>
    <row r="598" spans="1:10" x14ac:dyDescent="0.2">
      <c r="A598" s="86" t="s">
        <v>7603</v>
      </c>
      <c r="B598" s="447" t="str">
        <f>IN_Anagrafica!$B$9</f>
        <v>NO</v>
      </c>
      <c r="C598" s="369" t="str">
        <f t="shared" si="7"/>
        <v>NO</v>
      </c>
      <c r="D598" s="1028" t="s">
        <v>8229</v>
      </c>
      <c r="E598" s="1030" t="s">
        <v>8136</v>
      </c>
      <c r="F598" s="1031" t="s">
        <v>8524</v>
      </c>
      <c r="G598" s="1031" t="s">
        <v>105</v>
      </c>
      <c r="H598" s="1038">
        <f>'Parametri MTR-3'!$H$13</f>
        <v>2.76E-2</v>
      </c>
      <c r="I598" s="1038">
        <f>'Parametri MTR-3'!$H$13</f>
        <v>2.76E-2</v>
      </c>
      <c r="J598" s="1038">
        <f>'Parametri MTR-3'!$H$13</f>
        <v>2.76E-2</v>
      </c>
    </row>
    <row r="599" spans="1:10" x14ac:dyDescent="0.2">
      <c r="A599" s="86" t="s">
        <v>652</v>
      </c>
      <c r="B599" s="447" t="str">
        <f>IN_Anagrafica!$B$9</f>
        <v>NO</v>
      </c>
      <c r="C599" s="369" t="str">
        <f t="shared" si="7"/>
        <v>NO</v>
      </c>
      <c r="D599" s="1028" t="s">
        <v>8229</v>
      </c>
      <c r="E599" s="1030" t="s">
        <v>703</v>
      </c>
      <c r="F599" s="1031" t="s">
        <v>2048</v>
      </c>
      <c r="G599" s="1031" t="s">
        <v>2124</v>
      </c>
      <c r="H599" s="88">
        <f>INDEX('IN_RCwacc&amp;slic_COM'!$A$3:$AAA$237,MATCH($G599,'IN_RCwacc&amp;slic_COM'!$A$3:$A$237,0),MATCH(H$1,'IN_RCwacc&amp;slic_COM'!$A$3:$AAA$3,0))</f>
        <v>0</v>
      </c>
      <c r="I599" s="88">
        <f>INDEX('IN_RCwacc&amp;slic_COM'!$A$3:$AAA$237,MATCH($G599,'IN_RCwacc&amp;slic_COM'!$A$3:$A$237,0),MATCH(I$1,'IN_RCwacc&amp;slic_COM'!$A$3:$AAA$3,0))</f>
        <v>0</v>
      </c>
      <c r="J599" s="88">
        <f>INDEX('IN_RCwacc&amp;slic_COM'!$A$3:$AAA$237,MATCH($G599,'IN_RCwacc&amp;slic_COM'!$A$3:$A$237,0),MATCH(J$1,'IN_RCwacc&amp;slic_COM'!$A$3:$AAA$3,0))</f>
        <v>0</v>
      </c>
    </row>
    <row r="600" spans="1:10" x14ac:dyDescent="0.2">
      <c r="A600" s="86" t="s">
        <v>7598</v>
      </c>
      <c r="B600" s="447" t="str">
        <f>IN_Anagrafica!$B$9</f>
        <v>NO</v>
      </c>
      <c r="C600" s="369" t="str">
        <f t="shared" si="7"/>
        <v>NO</v>
      </c>
      <c r="D600" s="1028" t="s">
        <v>8229</v>
      </c>
      <c r="E600" s="1030" t="s">
        <v>707</v>
      </c>
      <c r="F600" s="1031" t="s">
        <v>8524</v>
      </c>
      <c r="G600" s="1031" t="s">
        <v>105</v>
      </c>
      <c r="H600" s="1038">
        <f>'Parametri MTR-3'!$G$13</f>
        <v>2.9733333333333327E-2</v>
      </c>
      <c r="I600" s="1038">
        <f>'Parametri MTR-3'!$G$13</f>
        <v>2.9733333333333327E-2</v>
      </c>
      <c r="J600" s="1038">
        <f>'Parametri MTR-3'!$G$13</f>
        <v>2.9733333333333327E-2</v>
      </c>
    </row>
    <row r="601" spans="1:10" x14ac:dyDescent="0.2">
      <c r="A601" s="86" t="s">
        <v>7599</v>
      </c>
      <c r="B601" s="447" t="str">
        <f>IN_Anagrafica!$B$9</f>
        <v>NO</v>
      </c>
      <c r="C601" s="369" t="str">
        <f t="shared" si="7"/>
        <v>NO</v>
      </c>
      <c r="D601" s="1028" t="s">
        <v>8229</v>
      </c>
      <c r="E601" s="1030" t="s">
        <v>8272</v>
      </c>
      <c r="F601" s="1031" t="s">
        <v>8524</v>
      </c>
      <c r="G601" s="1031" t="s">
        <v>105</v>
      </c>
      <c r="H601" s="1038">
        <f>'Parametri MTR-3'!$I$13</f>
        <v>2.76E-2</v>
      </c>
      <c r="I601" s="1038">
        <f>'Parametri MTR-3'!$I$13</f>
        <v>2.76E-2</v>
      </c>
      <c r="J601" s="1038">
        <f>'Parametri MTR-3'!$I$13</f>
        <v>2.76E-2</v>
      </c>
    </row>
    <row r="602" spans="1:10" x14ac:dyDescent="0.2">
      <c r="A602" s="86" t="s">
        <v>645</v>
      </c>
      <c r="B602" s="447" t="str">
        <f>IN_Anagrafica!$B$9</f>
        <v>NO</v>
      </c>
      <c r="C602" s="369" t="str">
        <f t="shared" si="7"/>
        <v>NO</v>
      </c>
      <c r="D602" s="1028" t="s">
        <v>8229</v>
      </c>
      <c r="E602" s="1030" t="s">
        <v>8273</v>
      </c>
      <c r="F602" s="1031" t="s">
        <v>2048</v>
      </c>
      <c r="G602" s="1031" t="s">
        <v>2112</v>
      </c>
      <c r="H602" s="88">
        <f>INDEX('IN_RCwacc&amp;slic_COM'!$A$3:$AAA$237,MATCH($G602,'IN_RCwacc&amp;slic_COM'!$A$3:$A$237,0),MATCH(H$1,'IN_RCwacc&amp;slic_COM'!$A$3:$AAA$3,0))</f>
        <v>0</v>
      </c>
      <c r="I602" s="88">
        <f>INDEX('IN_RCwacc&amp;slic_COM'!$A$3:$AAA$237,MATCH($G602,'IN_RCwacc&amp;slic_COM'!$A$3:$A$237,0),MATCH(I$1,'IN_RCwacc&amp;slic_COM'!$A$3:$AAA$3,0))</f>
        <v>0</v>
      </c>
      <c r="J602" s="88">
        <f>INDEX('IN_RCwacc&amp;slic_COM'!$A$3:$AAA$237,MATCH($G602,'IN_RCwacc&amp;slic_COM'!$A$3:$A$237,0),MATCH(J$1,'IN_RCwacc&amp;slic_COM'!$A$3:$AAA$3,0))</f>
        <v>0</v>
      </c>
    </row>
    <row r="603" spans="1:10" x14ac:dyDescent="0.2">
      <c r="A603" s="86" t="s">
        <v>653</v>
      </c>
      <c r="B603" s="447" t="str">
        <f>IN_Anagrafica!$B$9</f>
        <v>NO</v>
      </c>
      <c r="C603" s="369" t="str">
        <f t="shared" si="7"/>
        <v>NO</v>
      </c>
      <c r="D603" s="1028" t="s">
        <v>8229</v>
      </c>
      <c r="E603" s="1030" t="s">
        <v>8274</v>
      </c>
      <c r="F603" s="1031" t="s">
        <v>2048</v>
      </c>
      <c r="G603" s="1031" t="s">
        <v>2125</v>
      </c>
      <c r="H603" s="88">
        <f>INDEX('IN_RCwacc&amp;slic_COM'!$A$3:$AAA$237,MATCH($G603,'IN_RCwacc&amp;slic_COM'!$A$3:$A$237,0),MATCH(H$1,'IN_RCwacc&amp;slic_COM'!$A$3:$AAA$3,0))</f>
        <v>0</v>
      </c>
      <c r="I603" s="88">
        <f>INDEX('IN_RCwacc&amp;slic_COM'!$A$3:$AAA$237,MATCH($G603,'IN_RCwacc&amp;slic_COM'!$A$3:$A$237,0),MATCH(I$1,'IN_RCwacc&amp;slic_COM'!$A$3:$AAA$3,0))</f>
        <v>0</v>
      </c>
      <c r="J603" s="88">
        <f>INDEX('IN_RCwacc&amp;slic_COM'!$A$3:$AAA$237,MATCH($G603,'IN_RCwacc&amp;slic_COM'!$A$3:$A$237,0),MATCH(J$1,'IN_RCwacc&amp;slic_COM'!$A$3:$AAA$3,0))</f>
        <v>0</v>
      </c>
    </row>
    <row r="604" spans="1:10" x14ac:dyDescent="0.2">
      <c r="A604" s="86" t="s">
        <v>7604</v>
      </c>
      <c r="B604" s="1067" t="s">
        <v>105</v>
      </c>
      <c r="C604" s="1037" t="s">
        <v>219</v>
      </c>
      <c r="D604" s="1028" t="s">
        <v>8229</v>
      </c>
      <c r="E604" s="1030" t="s">
        <v>8275</v>
      </c>
      <c r="F604" s="1031" t="s">
        <v>2047</v>
      </c>
      <c r="G604" s="1031" t="s">
        <v>8526</v>
      </c>
      <c r="H604" s="1038">
        <f>+'IN_RCwacc&amp;slic_GEST'!$C$8</f>
        <v>5.1999999999999998E-2</v>
      </c>
      <c r="I604" s="1038">
        <f>+'IN_RCwacc&amp;slic_GEST'!$C$8</f>
        <v>5.1999999999999998E-2</v>
      </c>
      <c r="J604" s="1038">
        <f>+'IN_RCwacc&amp;slic_GEST'!$C$8</f>
        <v>5.1999999999999998E-2</v>
      </c>
    </row>
    <row r="605" spans="1:10" x14ac:dyDescent="0.2">
      <c r="A605" s="86" t="s">
        <v>7605</v>
      </c>
      <c r="B605" s="1067" t="s">
        <v>105</v>
      </c>
      <c r="C605" s="1037" t="s">
        <v>219</v>
      </c>
      <c r="D605" s="1028" t="s">
        <v>8229</v>
      </c>
      <c r="E605" s="1030" t="s">
        <v>8276</v>
      </c>
      <c r="F605" s="1031" t="s">
        <v>2047</v>
      </c>
      <c r="G605" s="1031" t="s">
        <v>8527</v>
      </c>
      <c r="H605" s="1038">
        <f>+'IN_RCwacc&amp;slic_GEST'!$C$9</f>
        <v>1.8599999999999998E-2</v>
      </c>
      <c r="I605" s="1038">
        <f>+'IN_RCwacc&amp;slic_GEST'!$C$9</f>
        <v>1.8599999999999998E-2</v>
      </c>
      <c r="J605" s="1038">
        <f>+'IN_RCwacc&amp;slic_GEST'!$C$9</f>
        <v>1.8599999999999998E-2</v>
      </c>
    </row>
    <row r="606" spans="1:10" x14ac:dyDescent="0.2">
      <c r="A606" s="86" t="s">
        <v>7606</v>
      </c>
      <c r="B606" s="1067" t="s">
        <v>105</v>
      </c>
      <c r="C606" s="1037" t="s">
        <v>219</v>
      </c>
      <c r="D606" s="1028" t="s">
        <v>8229</v>
      </c>
      <c r="E606" s="1030" t="s">
        <v>8277</v>
      </c>
      <c r="F606" s="1031" t="s">
        <v>2047</v>
      </c>
      <c r="G606" s="1031" t="s">
        <v>8528</v>
      </c>
      <c r="H606" s="1038">
        <f>+'IN_RCwacc&amp;slic_GEST'!$C$8</f>
        <v>5.1999999999999998E-2</v>
      </c>
      <c r="I606" s="1038">
        <f>+'IN_RCwacc&amp;slic_GEST'!$C$8</f>
        <v>5.1999999999999998E-2</v>
      </c>
      <c r="J606" s="1038">
        <f>+'IN_RCwacc&amp;slic_GEST'!$C$8</f>
        <v>5.1999999999999998E-2</v>
      </c>
    </row>
    <row r="607" spans="1:10" x14ac:dyDescent="0.2">
      <c r="A607" s="86" t="s">
        <v>7607</v>
      </c>
      <c r="B607" s="1067" t="s">
        <v>105</v>
      </c>
      <c r="C607" s="1037" t="s">
        <v>219</v>
      </c>
      <c r="D607" s="1028" t="s">
        <v>8229</v>
      </c>
      <c r="E607" s="1030" t="s">
        <v>8278</v>
      </c>
      <c r="F607" s="1031" t="s">
        <v>2047</v>
      </c>
      <c r="G607" s="1031" t="s">
        <v>8529</v>
      </c>
      <c r="H607" s="1038">
        <f>+'IN_RCwacc&amp;slic_GEST'!$C$9</f>
        <v>1.8599999999999998E-2</v>
      </c>
      <c r="I607" s="1038">
        <f>+'IN_RCwacc&amp;slic_GEST'!$C$9</f>
        <v>1.8599999999999998E-2</v>
      </c>
      <c r="J607" s="1038">
        <f>+'IN_RCwacc&amp;slic_GEST'!$C$9</f>
        <v>1.8599999999999998E-2</v>
      </c>
    </row>
    <row r="608" spans="1:10" x14ac:dyDescent="0.2">
      <c r="A608" s="86" t="s">
        <v>7608</v>
      </c>
      <c r="B608" s="1067" t="s">
        <v>105</v>
      </c>
      <c r="C608" s="1037" t="s">
        <v>219</v>
      </c>
      <c r="D608" s="1028" t="s">
        <v>708</v>
      </c>
      <c r="E608" s="1030" t="s">
        <v>8279</v>
      </c>
      <c r="F608" s="1031" t="s">
        <v>2047</v>
      </c>
      <c r="G608" s="1031" t="s">
        <v>2049</v>
      </c>
      <c r="H608" s="1038">
        <f>+'IN_RCwacc&amp;slic_GEST'!$C$7</f>
        <v>6.3E-2</v>
      </c>
      <c r="I608" s="1038">
        <f>+'IN_RCwacc&amp;slic_GEST'!$C$7</f>
        <v>6.3E-2</v>
      </c>
      <c r="J608" s="1038">
        <f>+'IN_RCwacc&amp;slic_GEST'!$C$7</f>
        <v>6.3E-2</v>
      </c>
    </row>
    <row r="609" spans="1:10" x14ac:dyDescent="0.2">
      <c r="A609" s="86" t="s">
        <v>7609</v>
      </c>
      <c r="B609" s="1067" t="s">
        <v>105</v>
      </c>
      <c r="C609" s="1037" t="s">
        <v>219</v>
      </c>
      <c r="D609" s="1028" t="s">
        <v>708</v>
      </c>
      <c r="E609" s="1030" t="s">
        <v>8280</v>
      </c>
      <c r="F609" s="1031" t="s">
        <v>2047</v>
      </c>
      <c r="G609" s="1031" t="s">
        <v>2050</v>
      </c>
      <c r="H609" s="1038">
        <f>+'IN_RCwacc&amp;slic_GEST'!$C$7</f>
        <v>6.3E-2</v>
      </c>
      <c r="I609" s="1038">
        <f>+'IN_RCwacc&amp;slic_GEST'!$C$7</f>
        <v>6.3E-2</v>
      </c>
      <c r="J609" s="1038">
        <f>+'IN_RCwacc&amp;slic_GEST'!$C$7</f>
        <v>6.3E-2</v>
      </c>
    </row>
    <row r="610" spans="1:10" x14ac:dyDescent="0.2">
      <c r="A610" s="86" t="s">
        <v>7610</v>
      </c>
      <c r="B610" s="1067" t="s">
        <v>105</v>
      </c>
      <c r="C610" s="1037" t="s">
        <v>219</v>
      </c>
      <c r="D610" s="1028" t="s">
        <v>708</v>
      </c>
      <c r="E610" s="1030" t="s">
        <v>709</v>
      </c>
      <c r="F610" s="1031" t="s">
        <v>2047</v>
      </c>
      <c r="G610" s="1031" t="s">
        <v>1131</v>
      </c>
      <c r="H610" s="88">
        <f>INDEX('IN_RCwacc&amp;slic_GEST'!$A$3:$AAA$237,MATCH($G610,'IN_RCwacc&amp;slic_GEST'!$A$3:$A$237,0),MATCH(H$1,'IN_RCwacc&amp;slic_GEST'!$A$3:$AAA$3,0))</f>
        <v>8517916.6376467571</v>
      </c>
      <c r="I610" s="88">
        <f>INDEX('IN_RCwacc&amp;slic_GEST'!$A$3:$AAA$237,MATCH($G610,'IN_RCwacc&amp;slic_GEST'!$A$3:$A$237,0),MATCH(I$1,'IN_RCwacc&amp;slic_GEST'!$A$3:$AAA$3,0))</f>
        <v>0</v>
      </c>
      <c r="J610" s="88">
        <f>INDEX('IN_RCwacc&amp;slic_GEST'!$A$3:$AAA$237,MATCH($G610,'IN_RCwacc&amp;slic_GEST'!$A$3:$A$237,0),MATCH(J$1,'IN_RCwacc&amp;slic_GEST'!$A$3:$AAA$3,0))</f>
        <v>0</v>
      </c>
    </row>
    <row r="611" spans="1:10" x14ac:dyDescent="0.2">
      <c r="A611" s="86" t="s">
        <v>7611</v>
      </c>
      <c r="B611" s="447" t="str">
        <f>IN_Anagrafica!$B$9</f>
        <v>NO</v>
      </c>
      <c r="C611" s="369" t="str">
        <f>IF(B611="SI","SI","NO")</f>
        <v>NO</v>
      </c>
      <c r="D611" s="1028" t="s">
        <v>708</v>
      </c>
      <c r="E611" s="1030" t="s">
        <v>710</v>
      </c>
      <c r="F611" s="1031" t="s">
        <v>2048</v>
      </c>
      <c r="G611" s="1031" t="s">
        <v>2106</v>
      </c>
      <c r="H611" s="88">
        <f>INDEX('IN_RCwacc&amp;slic_COM'!$A$3:$AAA$237,MATCH($G611,'IN_RCwacc&amp;slic_COM'!$A$3:$A$237,0),MATCH(H$1,'IN_RCwacc&amp;slic_COM'!$A$3:$AAA$3,0))</f>
        <v>0</v>
      </c>
      <c r="I611" s="88">
        <f>INDEX('IN_RCwacc&amp;slic_COM'!$A$3:$AAA$237,MATCH($G611,'IN_RCwacc&amp;slic_COM'!$A$3:$A$237,0),MATCH(I$1,'IN_RCwacc&amp;slic_COM'!$A$3:$AAA$3,0))</f>
        <v>0</v>
      </c>
      <c r="J611" s="88">
        <f>INDEX('IN_RCwacc&amp;slic_COM'!$A$3:$AAA$237,MATCH($G611,'IN_RCwacc&amp;slic_COM'!$A$3:$A$237,0),MATCH(J$1,'IN_RCwacc&amp;slic_COM'!$A$3:$AAA$3,0))</f>
        <v>0</v>
      </c>
    </row>
    <row r="612" spans="1:10" x14ac:dyDescent="0.2">
      <c r="A612" s="86" t="s">
        <v>7612</v>
      </c>
      <c r="B612" s="1067" t="s">
        <v>105</v>
      </c>
      <c r="C612" s="1037" t="s">
        <v>219</v>
      </c>
      <c r="D612" s="1028" t="s">
        <v>708</v>
      </c>
      <c r="E612" s="1030" t="s">
        <v>658</v>
      </c>
      <c r="F612" s="1031" t="s">
        <v>2047</v>
      </c>
      <c r="G612" s="1031" t="s">
        <v>1151</v>
      </c>
      <c r="H612" s="88">
        <f>INDEX('IN_RCwacc&amp;slic_GEST'!$A$3:$AAA$237,MATCH($G612,'IN_RCwacc&amp;slic_GEST'!$A$3:$A$237,0),MATCH(H$1,'IN_RCwacc&amp;slic_GEST'!$A$3:$AAA$3,0))</f>
        <v>8190180.2434347048</v>
      </c>
      <c r="I612" s="88">
        <f>INDEX('IN_RCwacc&amp;slic_GEST'!$A$3:$AAA$237,MATCH($G612,'IN_RCwacc&amp;slic_GEST'!$A$3:$A$237,0),MATCH(I$1,'IN_RCwacc&amp;slic_GEST'!$A$3:$AAA$3,0))</f>
        <v>0</v>
      </c>
      <c r="J612" s="88">
        <f>INDEX('IN_RCwacc&amp;slic_GEST'!$A$3:$AAA$237,MATCH($G612,'IN_RCwacc&amp;slic_GEST'!$A$3:$A$237,0),MATCH(J$1,'IN_RCwacc&amp;slic_GEST'!$A$3:$AAA$3,0))</f>
        <v>0</v>
      </c>
    </row>
    <row r="613" spans="1:10" x14ac:dyDescent="0.2">
      <c r="A613" s="86" t="s">
        <v>7613</v>
      </c>
      <c r="B613" s="447" t="str">
        <f>IN_Anagrafica!$B$9</f>
        <v>NO</v>
      </c>
      <c r="C613" s="369" t="str">
        <f>IF(B613="SI","SI","NO")</f>
        <v>NO</v>
      </c>
      <c r="D613" s="1028" t="s">
        <v>708</v>
      </c>
      <c r="E613" s="1030" t="s">
        <v>711</v>
      </c>
      <c r="F613" s="1031" t="s">
        <v>2048</v>
      </c>
      <c r="G613" s="1031" t="s">
        <v>2119</v>
      </c>
      <c r="H613" s="88">
        <f>INDEX('IN_RCwacc&amp;slic_COM'!$A$3:$AAA$237,MATCH($G613,'IN_RCwacc&amp;slic_COM'!$A$3:$A$237,0),MATCH(H$1,'IN_RCwacc&amp;slic_COM'!$A$3:$AAA$3,0))</f>
        <v>0</v>
      </c>
      <c r="I613" s="88">
        <f>INDEX('IN_RCwacc&amp;slic_COM'!$A$3:$AAA$237,MATCH($G613,'IN_RCwacc&amp;slic_COM'!$A$3:$A$237,0),MATCH(I$1,'IN_RCwacc&amp;slic_COM'!$A$3:$AAA$3,0))</f>
        <v>0</v>
      </c>
      <c r="J613" s="88">
        <f>INDEX('IN_RCwacc&amp;slic_COM'!$A$3:$AAA$237,MATCH($G613,'IN_RCwacc&amp;slic_COM'!$A$3:$A$237,0),MATCH(J$1,'IN_RCwacc&amp;slic_COM'!$A$3:$AAA$3,0))</f>
        <v>0</v>
      </c>
    </row>
    <row r="614" spans="1:10" x14ac:dyDescent="0.2">
      <c r="A614" s="86" t="s">
        <v>7614</v>
      </c>
      <c r="B614" s="1067" t="s">
        <v>105</v>
      </c>
      <c r="C614" s="1037" t="s">
        <v>219</v>
      </c>
      <c r="D614" s="1028" t="s">
        <v>708</v>
      </c>
      <c r="E614" s="1030" t="s">
        <v>359</v>
      </c>
      <c r="F614" s="1031" t="s">
        <v>2047</v>
      </c>
      <c r="G614" s="1031" t="s">
        <v>1133</v>
      </c>
      <c r="H614" s="88">
        <f>INDEX('IN_RCwacc&amp;slic_GEST'!$A$3:$AAA$237,MATCH($G614,'IN_RCwacc&amp;slic_GEST'!$A$3:$A$237,0),MATCH(H$1,'IN_RCwacc&amp;slic_GEST'!$A$3:$AAA$3,0))</f>
        <v>5985306.0221547475</v>
      </c>
      <c r="I614" s="88">
        <f>INDEX('IN_RCwacc&amp;slic_GEST'!$A$3:$AAA$237,MATCH($G614,'IN_RCwacc&amp;slic_GEST'!$A$3:$A$237,0),MATCH(I$1,'IN_RCwacc&amp;slic_GEST'!$A$3:$AAA$3,0))</f>
        <v>0</v>
      </c>
      <c r="J614" s="88">
        <f>INDEX('IN_RCwacc&amp;slic_GEST'!$A$3:$AAA$237,MATCH($G614,'IN_RCwacc&amp;slic_GEST'!$A$3:$A$237,0),MATCH(J$1,'IN_RCwacc&amp;slic_GEST'!$A$3:$AAA$3,0))</f>
        <v>0</v>
      </c>
    </row>
    <row r="615" spans="1:10" x14ac:dyDescent="0.2">
      <c r="A615" s="86" t="s">
        <v>7615</v>
      </c>
      <c r="B615" s="447" t="str">
        <f>IN_Anagrafica!$B$9</f>
        <v>NO</v>
      </c>
      <c r="C615" s="369" t="str">
        <f>IF(B615="SI","SI","NO")</f>
        <v>NO</v>
      </c>
      <c r="D615" s="1028" t="s">
        <v>708</v>
      </c>
      <c r="E615" s="1030" t="s">
        <v>739</v>
      </c>
      <c r="F615" s="1031" t="s">
        <v>2048</v>
      </c>
      <c r="G615" s="1031" t="s">
        <v>2108</v>
      </c>
      <c r="H615" s="88">
        <f>INDEX('IN_RCwacc&amp;slic_COM'!$A$3:$AAA$237,MATCH($G615,'IN_RCwacc&amp;slic_COM'!$A$3:$A$237,0),MATCH(H$1,'IN_RCwacc&amp;slic_COM'!$A$3:$AAA$3,0))</f>
        <v>0</v>
      </c>
      <c r="I615" s="88">
        <f>INDEX('IN_RCwacc&amp;slic_COM'!$A$3:$AAA$237,MATCH($G615,'IN_RCwacc&amp;slic_COM'!$A$3:$A$237,0),MATCH(I$1,'IN_RCwacc&amp;slic_COM'!$A$3:$AAA$3,0))</f>
        <v>0</v>
      </c>
      <c r="J615" s="88">
        <f>INDEX('IN_RCwacc&amp;slic_COM'!$A$3:$AAA$237,MATCH($G615,'IN_RCwacc&amp;slic_COM'!$A$3:$A$237,0),MATCH(J$1,'IN_RCwacc&amp;slic_COM'!$A$3:$AAA$3,0))</f>
        <v>0</v>
      </c>
    </row>
    <row r="616" spans="1:10" x14ac:dyDescent="0.2">
      <c r="A616" s="86" t="s">
        <v>7616</v>
      </c>
      <c r="B616" s="1067" t="s">
        <v>105</v>
      </c>
      <c r="C616" s="1037" t="s">
        <v>219</v>
      </c>
      <c r="D616" s="1028" t="s">
        <v>708</v>
      </c>
      <c r="E616" s="1030" t="s">
        <v>364</v>
      </c>
      <c r="F616" s="1031" t="s">
        <v>2047</v>
      </c>
      <c r="G616" s="1031" t="s">
        <v>1153</v>
      </c>
      <c r="H616" s="88">
        <f>INDEX('IN_RCwacc&amp;slic_GEST'!$A$3:$AAA$237,MATCH($G616,'IN_RCwacc&amp;slic_GEST'!$A$3:$A$237,0),MATCH(H$1,'IN_RCwacc&amp;slic_GEST'!$A$3:$AAA$3,0))</f>
        <v>5798758.2777569266</v>
      </c>
      <c r="I616" s="88">
        <f>INDEX('IN_RCwacc&amp;slic_GEST'!$A$3:$AAA$237,MATCH($G616,'IN_RCwacc&amp;slic_GEST'!$A$3:$A$237,0),MATCH(I$1,'IN_RCwacc&amp;slic_GEST'!$A$3:$AAA$3,0))</f>
        <v>0</v>
      </c>
      <c r="J616" s="88">
        <f>INDEX('IN_RCwacc&amp;slic_GEST'!$A$3:$AAA$237,MATCH($G616,'IN_RCwacc&amp;slic_GEST'!$A$3:$A$237,0),MATCH(J$1,'IN_RCwacc&amp;slic_GEST'!$A$3:$AAA$3,0))</f>
        <v>0</v>
      </c>
    </row>
    <row r="617" spans="1:10" x14ac:dyDescent="0.2">
      <c r="A617" s="86" t="s">
        <v>7617</v>
      </c>
      <c r="B617" s="447" t="str">
        <f>IN_Anagrafica!$B$9</f>
        <v>NO</v>
      </c>
      <c r="C617" s="369" t="str">
        <f>IF(B617="SI","SI","NO")</f>
        <v>NO</v>
      </c>
      <c r="D617" s="1028" t="s">
        <v>708</v>
      </c>
      <c r="E617" s="1030" t="s">
        <v>740</v>
      </c>
      <c r="F617" s="1031" t="s">
        <v>2048</v>
      </c>
      <c r="G617" s="1031" t="s">
        <v>2121</v>
      </c>
      <c r="H617" s="88">
        <f>INDEX('IN_RCwacc&amp;slic_COM'!$A$3:$AAA$237,MATCH($G617,'IN_RCwacc&amp;slic_COM'!$A$3:$A$237,0),MATCH(H$1,'IN_RCwacc&amp;slic_COM'!$A$3:$AAA$3,0))</f>
        <v>0</v>
      </c>
      <c r="I617" s="88">
        <f>INDEX('IN_RCwacc&amp;slic_COM'!$A$3:$AAA$237,MATCH($G617,'IN_RCwacc&amp;slic_COM'!$A$3:$A$237,0),MATCH(I$1,'IN_RCwacc&amp;slic_COM'!$A$3:$AAA$3,0))</f>
        <v>0</v>
      </c>
      <c r="J617" s="88">
        <f>INDEX('IN_RCwacc&amp;slic_COM'!$A$3:$AAA$237,MATCH($G617,'IN_RCwacc&amp;slic_COM'!$A$3:$A$237,0),MATCH(J$1,'IN_RCwacc&amp;slic_COM'!$A$3:$AAA$3,0))</f>
        <v>0</v>
      </c>
    </row>
    <row r="618" spans="1:10" x14ac:dyDescent="0.2">
      <c r="A618" s="86" t="s">
        <v>7618</v>
      </c>
      <c r="B618" s="1067" t="s">
        <v>105</v>
      </c>
      <c r="C618" s="1037" t="s">
        <v>219</v>
      </c>
      <c r="D618" s="1028" t="s">
        <v>708</v>
      </c>
      <c r="E618" s="1030" t="s">
        <v>360</v>
      </c>
      <c r="F618" s="1031" t="s">
        <v>2047</v>
      </c>
      <c r="G618" s="1031" t="s">
        <v>1132</v>
      </c>
      <c r="H618" s="88">
        <f>INDEX('IN_RCwacc&amp;slic_GEST'!$A$3:$AAA$237,MATCH($G618,'IN_RCwacc&amp;slic_GEST'!$A$3:$A$237,0),MATCH(H$1,'IN_RCwacc&amp;slic_GEST'!$A$3:$AAA$3,0))</f>
        <v>2532610.6154920091</v>
      </c>
      <c r="I618" s="88">
        <f>INDEX('IN_RCwacc&amp;slic_GEST'!$A$3:$AAA$237,MATCH($G618,'IN_RCwacc&amp;slic_GEST'!$A$3:$A$237,0),MATCH(I$1,'IN_RCwacc&amp;slic_GEST'!$A$3:$AAA$3,0))</f>
        <v>0</v>
      </c>
      <c r="J618" s="88">
        <f>INDEX('IN_RCwacc&amp;slic_GEST'!$A$3:$AAA$237,MATCH($G618,'IN_RCwacc&amp;slic_GEST'!$A$3:$A$237,0),MATCH(J$1,'IN_RCwacc&amp;slic_GEST'!$A$3:$AAA$3,0))</f>
        <v>0</v>
      </c>
    </row>
    <row r="619" spans="1:10" x14ac:dyDescent="0.2">
      <c r="A619" s="86" t="s">
        <v>7619</v>
      </c>
      <c r="B619" s="447" t="str">
        <f>IN_Anagrafica!$B$9</f>
        <v>NO</v>
      </c>
      <c r="C619" s="369" t="str">
        <f>IF(B619="SI","SI","NO")</f>
        <v>NO</v>
      </c>
      <c r="D619" s="1028" t="s">
        <v>708</v>
      </c>
      <c r="E619" s="1030" t="s">
        <v>668</v>
      </c>
      <c r="F619" s="1031" t="s">
        <v>2048</v>
      </c>
      <c r="G619" s="1031" t="s">
        <v>2107</v>
      </c>
      <c r="H619" s="88">
        <f>INDEX('IN_RCwacc&amp;slic_COM'!$A$3:$AAA$237,MATCH($G619,'IN_RCwacc&amp;slic_COM'!$A$3:$A$237,0),MATCH(H$1,'IN_RCwacc&amp;slic_COM'!$A$3:$AAA$3,0))</f>
        <v>0</v>
      </c>
      <c r="I619" s="88">
        <f>INDEX('IN_RCwacc&amp;slic_COM'!$A$3:$AAA$237,MATCH($G619,'IN_RCwacc&amp;slic_COM'!$A$3:$A$237,0),MATCH(I$1,'IN_RCwacc&amp;slic_COM'!$A$3:$AAA$3,0))</f>
        <v>0</v>
      </c>
      <c r="J619" s="88">
        <f>INDEX('IN_RCwacc&amp;slic_COM'!$A$3:$AAA$237,MATCH($G619,'IN_RCwacc&amp;slic_COM'!$A$3:$A$237,0),MATCH(J$1,'IN_RCwacc&amp;slic_COM'!$A$3:$AAA$3,0))</f>
        <v>0</v>
      </c>
    </row>
    <row r="620" spans="1:10" x14ac:dyDescent="0.2">
      <c r="A620" s="86" t="s">
        <v>7620</v>
      </c>
      <c r="B620" s="1067" t="s">
        <v>105</v>
      </c>
      <c r="C620" s="1037" t="s">
        <v>219</v>
      </c>
      <c r="D620" s="1028" t="s">
        <v>708</v>
      </c>
      <c r="E620" s="1030" t="s">
        <v>365</v>
      </c>
      <c r="F620" s="1031" t="s">
        <v>2047</v>
      </c>
      <c r="G620" s="1031" t="s">
        <v>1152</v>
      </c>
      <c r="H620" s="88">
        <f>INDEX('IN_RCwacc&amp;slic_GEST'!$A$3:$AAA$237,MATCH($G620,'IN_RCwacc&amp;slic_GEST'!$A$3:$A$237,0),MATCH(H$1,'IN_RCwacc&amp;slic_GEST'!$A$3:$AAA$3,0))</f>
        <v>2391421.9656777782</v>
      </c>
      <c r="I620" s="88">
        <f>INDEX('IN_RCwacc&amp;slic_GEST'!$A$3:$AAA$237,MATCH($G620,'IN_RCwacc&amp;slic_GEST'!$A$3:$A$237,0),MATCH(I$1,'IN_RCwacc&amp;slic_GEST'!$A$3:$AAA$3,0))</f>
        <v>0</v>
      </c>
      <c r="J620" s="88">
        <f>INDEX('IN_RCwacc&amp;slic_GEST'!$A$3:$AAA$237,MATCH($G620,'IN_RCwacc&amp;slic_GEST'!$A$3:$A$237,0),MATCH(J$1,'IN_RCwacc&amp;slic_GEST'!$A$3:$AAA$3,0))</f>
        <v>0</v>
      </c>
    </row>
    <row r="621" spans="1:10" x14ac:dyDescent="0.2">
      <c r="A621" s="86" t="s">
        <v>7621</v>
      </c>
      <c r="B621" s="447" t="str">
        <f>IN_Anagrafica!$B$9</f>
        <v>NO</v>
      </c>
      <c r="C621" s="369" t="str">
        <f>IF(B621="SI","SI","NO")</f>
        <v>NO</v>
      </c>
      <c r="D621" s="1028" t="s">
        <v>708</v>
      </c>
      <c r="E621" s="1030" t="s">
        <v>672</v>
      </c>
      <c r="F621" s="1031" t="s">
        <v>2048</v>
      </c>
      <c r="G621" s="1031" t="s">
        <v>2120</v>
      </c>
      <c r="H621" s="88">
        <f>INDEX('IN_RCwacc&amp;slic_COM'!$A$3:$AAA$237,MATCH($G621,'IN_RCwacc&amp;slic_COM'!$A$3:$A$237,0),MATCH(H$1,'IN_RCwacc&amp;slic_COM'!$A$3:$AAA$3,0))</f>
        <v>0</v>
      </c>
      <c r="I621" s="88">
        <f>INDEX('IN_RCwacc&amp;slic_COM'!$A$3:$AAA$237,MATCH($G621,'IN_RCwacc&amp;slic_COM'!$A$3:$A$237,0),MATCH(I$1,'IN_RCwacc&amp;slic_COM'!$A$3:$AAA$3,0))</f>
        <v>0</v>
      </c>
      <c r="J621" s="88">
        <f>INDEX('IN_RCwacc&amp;slic_COM'!$A$3:$AAA$237,MATCH($G621,'IN_RCwacc&amp;slic_COM'!$A$3:$A$237,0),MATCH(J$1,'IN_RCwacc&amp;slic_COM'!$A$3:$AAA$3,0))</f>
        <v>0</v>
      </c>
    </row>
    <row r="622" spans="1:10" x14ac:dyDescent="0.2">
      <c r="A622" s="86" t="s">
        <v>7622</v>
      </c>
      <c r="B622" s="1067" t="s">
        <v>105</v>
      </c>
      <c r="C622" s="1037" t="s">
        <v>219</v>
      </c>
      <c r="D622" s="1028" t="s">
        <v>708</v>
      </c>
      <c r="E622" s="1030" t="s">
        <v>361</v>
      </c>
      <c r="F622" s="1031" t="s">
        <v>2047</v>
      </c>
      <c r="G622" s="1031" t="s">
        <v>1130</v>
      </c>
      <c r="H622" s="88">
        <f>INDEX('IN_RCwacc&amp;slic_GEST'!$A$3:$AAA$237,MATCH($G622,'IN_RCwacc&amp;slic_GEST'!$A$3:$A$237,0),MATCH(H$1,'IN_RCwacc&amp;slic_GEST'!$A$3:$AAA$3,0))</f>
        <v>2543065.6028520321</v>
      </c>
      <c r="I622" s="88">
        <f>INDEX('IN_RCwacc&amp;slic_GEST'!$A$3:$AAA$237,MATCH($G622,'IN_RCwacc&amp;slic_GEST'!$A$3:$A$237,0),MATCH(I$1,'IN_RCwacc&amp;slic_GEST'!$A$3:$AAA$3,0))</f>
        <v>0</v>
      </c>
      <c r="J622" s="88">
        <f>INDEX('IN_RCwacc&amp;slic_GEST'!$A$3:$AAA$237,MATCH($G622,'IN_RCwacc&amp;slic_GEST'!$A$3:$A$237,0),MATCH(J$1,'IN_RCwacc&amp;slic_GEST'!$A$3:$AAA$3,0))</f>
        <v>0</v>
      </c>
    </row>
    <row r="623" spans="1:10" x14ac:dyDescent="0.2">
      <c r="A623" s="86" t="s">
        <v>7623</v>
      </c>
      <c r="B623" s="447" t="str">
        <f>IN_Anagrafica!$B$9</f>
        <v>NO</v>
      </c>
      <c r="C623" s="369" t="str">
        <f>IF(B623="SI","SI","NO")</f>
        <v>NO</v>
      </c>
      <c r="D623" s="1028" t="s">
        <v>708</v>
      </c>
      <c r="E623" s="1030" t="s">
        <v>669</v>
      </c>
      <c r="F623" s="1031" t="s">
        <v>2048</v>
      </c>
      <c r="G623" s="1031" t="s">
        <v>2105</v>
      </c>
      <c r="H623" s="88">
        <f>INDEX('IN_RCwacc&amp;slic_COM'!$A$3:$AAA$237,MATCH($G623,'IN_RCwacc&amp;slic_COM'!$A$3:$A$237,0),MATCH(H$1,'IN_RCwacc&amp;slic_COM'!$A$3:$AAA$3,0))</f>
        <v>0</v>
      </c>
      <c r="I623" s="88">
        <f>INDEX('IN_RCwacc&amp;slic_COM'!$A$3:$AAA$237,MATCH($G623,'IN_RCwacc&amp;slic_COM'!$A$3:$A$237,0),MATCH(I$1,'IN_RCwacc&amp;slic_COM'!$A$3:$AAA$3,0))</f>
        <v>0</v>
      </c>
      <c r="J623" s="88">
        <f>INDEX('IN_RCwacc&amp;slic_COM'!$A$3:$AAA$237,MATCH($G623,'IN_RCwacc&amp;slic_COM'!$A$3:$A$237,0),MATCH(J$1,'IN_RCwacc&amp;slic_COM'!$A$3:$AAA$3,0))</f>
        <v>0</v>
      </c>
    </row>
    <row r="624" spans="1:10" x14ac:dyDescent="0.2">
      <c r="A624" s="86" t="s">
        <v>7624</v>
      </c>
      <c r="B624" s="1067" t="s">
        <v>105</v>
      </c>
      <c r="C624" s="1037" t="s">
        <v>219</v>
      </c>
      <c r="D624" s="1028" t="s">
        <v>708</v>
      </c>
      <c r="E624" s="1030" t="s">
        <v>366</v>
      </c>
      <c r="F624" s="1031" t="s">
        <v>2047</v>
      </c>
      <c r="G624" s="1031" t="s">
        <v>1150</v>
      </c>
      <c r="H624" s="88">
        <f>INDEX('IN_RCwacc&amp;slic_GEST'!$A$3:$AAA$237,MATCH($G624,'IN_RCwacc&amp;slic_GEST'!$A$3:$A$237,0),MATCH(H$1,'IN_RCwacc&amp;slic_GEST'!$A$3:$AAA$3,0))</f>
        <v>2478682.0886208001</v>
      </c>
      <c r="I624" s="88">
        <f>INDEX('IN_RCwacc&amp;slic_GEST'!$A$3:$AAA$237,MATCH($G624,'IN_RCwacc&amp;slic_GEST'!$A$3:$A$237,0),MATCH(I$1,'IN_RCwacc&amp;slic_GEST'!$A$3:$AAA$3,0))</f>
        <v>0</v>
      </c>
      <c r="J624" s="88">
        <f>INDEX('IN_RCwacc&amp;slic_GEST'!$A$3:$AAA$237,MATCH($G624,'IN_RCwacc&amp;slic_GEST'!$A$3:$A$237,0),MATCH(J$1,'IN_RCwacc&amp;slic_GEST'!$A$3:$AAA$3,0))</f>
        <v>0</v>
      </c>
    </row>
    <row r="625" spans="1:10" x14ac:dyDescent="0.2">
      <c r="A625" s="86" t="s">
        <v>7625</v>
      </c>
      <c r="B625" s="447" t="str">
        <f>IN_Anagrafica!$B$9</f>
        <v>NO</v>
      </c>
      <c r="C625" s="369" t="str">
        <f>IF(B625="SI","SI","NO")</f>
        <v>NO</v>
      </c>
      <c r="D625" s="1028" t="s">
        <v>708</v>
      </c>
      <c r="E625" s="1030" t="s">
        <v>673</v>
      </c>
      <c r="F625" s="1031" t="s">
        <v>2048</v>
      </c>
      <c r="G625" s="1031" t="s">
        <v>2118</v>
      </c>
      <c r="H625" s="88">
        <f>INDEX('IN_RCwacc&amp;slic_COM'!$A$3:$AAA$237,MATCH($G625,'IN_RCwacc&amp;slic_COM'!$A$3:$A$237,0),MATCH(H$1,'IN_RCwacc&amp;slic_COM'!$A$3:$AAA$3,0))</f>
        <v>0</v>
      </c>
      <c r="I625" s="88">
        <f>INDEX('IN_RCwacc&amp;slic_COM'!$A$3:$AAA$237,MATCH($G625,'IN_RCwacc&amp;slic_COM'!$A$3:$A$237,0),MATCH(I$1,'IN_RCwacc&amp;slic_COM'!$A$3:$AAA$3,0))</f>
        <v>0</v>
      </c>
      <c r="J625" s="88">
        <f>INDEX('IN_RCwacc&amp;slic_COM'!$A$3:$AAA$237,MATCH($G625,'IN_RCwacc&amp;slic_COM'!$A$3:$A$237,0),MATCH(J$1,'IN_RCwacc&amp;slic_COM'!$A$3:$AAA$3,0))</f>
        <v>0</v>
      </c>
    </row>
    <row r="626" spans="1:10" x14ac:dyDescent="0.2">
      <c r="A626" s="86" t="s">
        <v>7626</v>
      </c>
      <c r="B626" s="1067" t="s">
        <v>105</v>
      </c>
      <c r="C626" s="1037" t="s">
        <v>219</v>
      </c>
      <c r="D626" s="1028" t="s">
        <v>708</v>
      </c>
      <c r="E626" s="1030" t="s">
        <v>667</v>
      </c>
      <c r="F626" s="1031" t="s">
        <v>2047</v>
      </c>
      <c r="G626" s="1031" t="s">
        <v>7031</v>
      </c>
      <c r="H626" s="88">
        <f>INDEX('IN_RCwacc&amp;slic_GEST'!$A$3:$AAA$237,MATCH($G626,'IN_RCwacc&amp;slic_GEST'!$A$3:$A$237,0),MATCH(H$1,'IN_RCwacc&amp;slic_GEST'!$A$3:$AAA$3,0))</f>
        <v>431820.41911203694</v>
      </c>
      <c r="I626" s="88">
        <f>INDEX('IN_RCwacc&amp;slic_GEST'!$A$3:$AAA$237,MATCH($G626,'IN_RCwacc&amp;slic_GEST'!$A$3:$A$237,0),MATCH(I$1,'IN_RCwacc&amp;slic_GEST'!$A$3:$AAA$3,0))</f>
        <v>0</v>
      </c>
      <c r="J626" s="88">
        <f>INDEX('IN_RCwacc&amp;slic_GEST'!$A$3:$AAA$237,MATCH($G626,'IN_RCwacc&amp;slic_GEST'!$A$3:$A$237,0),MATCH(J$1,'IN_RCwacc&amp;slic_GEST'!$A$3:$AAA$3,0))</f>
        <v>0</v>
      </c>
    </row>
    <row r="627" spans="1:10" x14ac:dyDescent="0.2">
      <c r="A627" s="86" t="s">
        <v>7627</v>
      </c>
      <c r="B627" s="447" t="str">
        <f>IN_Anagrafica!$B$9</f>
        <v>NO</v>
      </c>
      <c r="C627" s="369" t="str">
        <f>IF(B627="SI","SI","NO")</f>
        <v>NO</v>
      </c>
      <c r="D627" s="1028" t="s">
        <v>708</v>
      </c>
      <c r="E627" s="1030" t="s">
        <v>670</v>
      </c>
      <c r="F627" s="1031" t="s">
        <v>2048</v>
      </c>
      <c r="G627" s="1031" t="s">
        <v>7036</v>
      </c>
      <c r="H627" s="88">
        <f>INDEX('IN_RCwacc&amp;slic_COM'!$A$3:$AAA$237,MATCH($G627,'IN_RCwacc&amp;slic_COM'!$A$3:$A$237,0),MATCH(H$1,'IN_RCwacc&amp;slic_COM'!$A$3:$AAA$3,0))</f>
        <v>0</v>
      </c>
      <c r="I627" s="88">
        <f>INDEX('IN_RCwacc&amp;slic_COM'!$A$3:$AAA$237,MATCH($G627,'IN_RCwacc&amp;slic_COM'!$A$3:$A$237,0),MATCH(I$1,'IN_RCwacc&amp;slic_COM'!$A$3:$AAA$3,0))</f>
        <v>0</v>
      </c>
      <c r="J627" s="88">
        <f>INDEX('IN_RCwacc&amp;slic_COM'!$A$3:$AAA$237,MATCH($G627,'IN_RCwacc&amp;slic_COM'!$A$3:$A$237,0),MATCH(J$1,'IN_RCwacc&amp;slic_COM'!$A$3:$AAA$3,0))</f>
        <v>0</v>
      </c>
    </row>
    <row r="628" spans="1:10" x14ac:dyDescent="0.2">
      <c r="A628" s="86" t="s">
        <v>7628</v>
      </c>
      <c r="B628" s="1067" t="s">
        <v>105</v>
      </c>
      <c r="C628" s="1037" t="s">
        <v>219</v>
      </c>
      <c r="D628" s="1028" t="s">
        <v>708</v>
      </c>
      <c r="E628" s="1030" t="s">
        <v>671</v>
      </c>
      <c r="F628" s="1031" t="s">
        <v>2047</v>
      </c>
      <c r="G628" s="1031" t="s">
        <v>7034</v>
      </c>
      <c r="H628" s="88">
        <f>INDEX('IN_RCwacc&amp;slic_GEST'!$A$3:$AAA$237,MATCH($G628,'IN_RCwacc&amp;slic_GEST'!$A$3:$A$237,0),MATCH(H$1,'IN_RCwacc&amp;slic_GEST'!$A$3:$AAA$3,0))</f>
        <v>431820.41911203694</v>
      </c>
      <c r="I628" s="88">
        <f>INDEX('IN_RCwacc&amp;slic_GEST'!$A$3:$AAA$237,MATCH($G628,'IN_RCwacc&amp;slic_GEST'!$A$3:$A$237,0),MATCH(I$1,'IN_RCwacc&amp;slic_GEST'!$A$3:$AAA$3,0))</f>
        <v>0</v>
      </c>
      <c r="J628" s="88">
        <f>INDEX('IN_RCwacc&amp;slic_GEST'!$A$3:$AAA$237,MATCH($G628,'IN_RCwacc&amp;slic_GEST'!$A$3:$A$237,0),MATCH(J$1,'IN_RCwacc&amp;slic_GEST'!$A$3:$AAA$3,0))</f>
        <v>0</v>
      </c>
    </row>
    <row r="629" spans="1:10" x14ac:dyDescent="0.2">
      <c r="A629" s="86" t="s">
        <v>7629</v>
      </c>
      <c r="B629" s="447" t="str">
        <f>IN_Anagrafica!$B$9</f>
        <v>NO</v>
      </c>
      <c r="C629" s="369" t="str">
        <f>IF(B629="SI","SI","NO")</f>
        <v>NO</v>
      </c>
      <c r="D629" s="1028" t="s">
        <v>708</v>
      </c>
      <c r="E629" s="1030" t="s">
        <v>674</v>
      </c>
      <c r="F629" s="1031" t="s">
        <v>2048</v>
      </c>
      <c r="G629" s="1031" t="s">
        <v>7037</v>
      </c>
      <c r="H629" s="88">
        <f>INDEX('IN_RCwacc&amp;slic_COM'!$A$3:$AAA$237,MATCH($G629,'IN_RCwacc&amp;slic_COM'!$A$3:$A$237,0),MATCH(H$1,'IN_RCwacc&amp;slic_COM'!$A$3:$AAA$3,0))</f>
        <v>0</v>
      </c>
      <c r="I629" s="88">
        <f>INDEX('IN_RCwacc&amp;slic_COM'!$A$3:$AAA$237,MATCH($G629,'IN_RCwacc&amp;slic_COM'!$A$3:$A$237,0),MATCH(I$1,'IN_RCwacc&amp;slic_COM'!$A$3:$AAA$3,0))</f>
        <v>0</v>
      </c>
      <c r="J629" s="88">
        <f>INDEX('IN_RCwacc&amp;slic_COM'!$A$3:$AAA$237,MATCH($G629,'IN_RCwacc&amp;slic_COM'!$A$3:$A$237,0),MATCH(J$1,'IN_RCwacc&amp;slic_COM'!$A$3:$AAA$3,0))</f>
        <v>0</v>
      </c>
    </row>
    <row r="630" spans="1:10" x14ac:dyDescent="0.2">
      <c r="A630" s="86" t="s">
        <v>7630</v>
      </c>
      <c r="B630" s="1067" t="s">
        <v>105</v>
      </c>
      <c r="C630" s="1037" t="s">
        <v>219</v>
      </c>
      <c r="D630" s="1028" t="s">
        <v>708</v>
      </c>
      <c r="E630" s="1030" t="s">
        <v>369</v>
      </c>
      <c r="F630" s="1031" t="s">
        <v>2047</v>
      </c>
      <c r="G630" s="1031" t="s">
        <v>1142</v>
      </c>
      <c r="H630" s="88">
        <f>INDEX('IN_RCwacc&amp;slic_GEST'!$A$3:$AAA$237,MATCH($G630,'IN_RCwacc&amp;slic_GEST'!$A$3:$A$237,0),MATCH(H$1,'IN_RCwacc&amp;slic_GEST'!$A$3:$AAA$3,0))</f>
        <v>0</v>
      </c>
      <c r="I630" s="88">
        <f>INDEX('IN_RCwacc&amp;slic_GEST'!$A$3:$AAA$237,MATCH($G630,'IN_RCwacc&amp;slic_GEST'!$A$3:$A$237,0),MATCH(I$1,'IN_RCwacc&amp;slic_GEST'!$A$3:$AAA$3,0))</f>
        <v>0</v>
      </c>
      <c r="J630" s="88">
        <f>INDEX('IN_RCwacc&amp;slic_GEST'!$A$3:$AAA$237,MATCH($G630,'IN_RCwacc&amp;slic_GEST'!$A$3:$A$237,0),MATCH(J$1,'IN_RCwacc&amp;slic_GEST'!$A$3:$AAA$3,0))</f>
        <v>0</v>
      </c>
    </row>
    <row r="631" spans="1:10" x14ac:dyDescent="0.2">
      <c r="A631" s="86" t="s">
        <v>7631</v>
      </c>
      <c r="B631" s="447" t="str">
        <f>IN_Anagrafica!$B$9</f>
        <v>NO</v>
      </c>
      <c r="C631" s="369" t="str">
        <f>IF(B631="SI","SI","NO")</f>
        <v>NO</v>
      </c>
      <c r="D631" s="1028" t="s">
        <v>708</v>
      </c>
      <c r="E631" s="1030" t="s">
        <v>686</v>
      </c>
      <c r="F631" s="1031" t="s">
        <v>2048</v>
      </c>
      <c r="G631" s="1031" t="s">
        <v>2113</v>
      </c>
      <c r="H631" s="88">
        <f>INDEX('IN_RCwacc&amp;slic_COM'!$A$3:$AAA$237,MATCH($G631,'IN_RCwacc&amp;slic_COM'!$A$3:$A$237,0),MATCH(H$1,'IN_RCwacc&amp;slic_COM'!$A$3:$AAA$3,0))</f>
        <v>0</v>
      </c>
      <c r="I631" s="88">
        <f>INDEX('IN_RCwacc&amp;slic_COM'!$A$3:$AAA$237,MATCH($G631,'IN_RCwacc&amp;slic_COM'!$A$3:$A$237,0),MATCH(I$1,'IN_RCwacc&amp;slic_COM'!$A$3:$AAA$3,0))</f>
        <v>0</v>
      </c>
      <c r="J631" s="88">
        <f>INDEX('IN_RCwacc&amp;slic_COM'!$A$3:$AAA$237,MATCH($G631,'IN_RCwacc&amp;slic_COM'!$A$3:$A$237,0),MATCH(J$1,'IN_RCwacc&amp;slic_COM'!$A$3:$AAA$3,0))</f>
        <v>0</v>
      </c>
    </row>
    <row r="632" spans="1:10" x14ac:dyDescent="0.2">
      <c r="A632" s="86" t="s">
        <v>7632</v>
      </c>
      <c r="B632" s="1067" t="s">
        <v>105</v>
      </c>
      <c r="C632" s="1037" t="s">
        <v>219</v>
      </c>
      <c r="D632" s="1028" t="s">
        <v>708</v>
      </c>
      <c r="E632" s="1030" t="s">
        <v>370</v>
      </c>
      <c r="F632" s="1031" t="s">
        <v>2047</v>
      </c>
      <c r="G632" s="1031" t="s">
        <v>1162</v>
      </c>
      <c r="H632" s="88">
        <f>INDEX('IN_RCwacc&amp;slic_GEST'!$A$3:$AAA$237,MATCH($G632,'IN_RCwacc&amp;slic_GEST'!$A$3:$A$237,0),MATCH(H$1,'IN_RCwacc&amp;slic_GEST'!$A$3:$AAA$3,0))</f>
        <v>0</v>
      </c>
      <c r="I632" s="88">
        <f>INDEX('IN_RCwacc&amp;slic_GEST'!$A$3:$AAA$237,MATCH($G632,'IN_RCwacc&amp;slic_GEST'!$A$3:$A$237,0),MATCH(I$1,'IN_RCwacc&amp;slic_GEST'!$A$3:$AAA$3,0))</f>
        <v>0</v>
      </c>
      <c r="J632" s="88">
        <f>INDEX('IN_RCwacc&amp;slic_GEST'!$A$3:$AAA$237,MATCH($G632,'IN_RCwacc&amp;slic_GEST'!$A$3:$A$237,0),MATCH(J$1,'IN_RCwacc&amp;slic_GEST'!$A$3:$AAA$3,0))</f>
        <v>0</v>
      </c>
    </row>
    <row r="633" spans="1:10" x14ac:dyDescent="0.2">
      <c r="A633" s="86" t="s">
        <v>7633</v>
      </c>
      <c r="B633" s="447" t="str">
        <f>IN_Anagrafica!$B$9</f>
        <v>NO</v>
      </c>
      <c r="C633" s="369" t="str">
        <f>IF(B633="SI","SI","NO")</f>
        <v>NO</v>
      </c>
      <c r="D633" s="1028" t="s">
        <v>708</v>
      </c>
      <c r="E633" s="1030" t="s">
        <v>690</v>
      </c>
      <c r="F633" s="1031" t="s">
        <v>2048</v>
      </c>
      <c r="G633" s="1031" t="s">
        <v>2126</v>
      </c>
      <c r="H633" s="88">
        <f>INDEX('IN_RCwacc&amp;slic_COM'!$A$3:$AAA$237,MATCH($G633,'IN_RCwacc&amp;slic_COM'!$A$3:$A$237,0),MATCH(H$1,'IN_RCwacc&amp;slic_COM'!$A$3:$AAA$3,0))</f>
        <v>0</v>
      </c>
      <c r="I633" s="88">
        <f>INDEX('IN_RCwacc&amp;slic_COM'!$A$3:$AAA$237,MATCH($G633,'IN_RCwacc&amp;slic_COM'!$A$3:$A$237,0),MATCH(I$1,'IN_RCwacc&amp;slic_COM'!$A$3:$AAA$3,0))</f>
        <v>0</v>
      </c>
      <c r="J633" s="88">
        <f>INDEX('IN_RCwacc&amp;slic_COM'!$A$3:$AAA$237,MATCH($G633,'IN_RCwacc&amp;slic_COM'!$A$3:$A$237,0),MATCH(J$1,'IN_RCwacc&amp;slic_COM'!$A$3:$AAA$3,0))</f>
        <v>0</v>
      </c>
    </row>
    <row r="634" spans="1:10" x14ac:dyDescent="0.2">
      <c r="A634" s="86" t="s">
        <v>7634</v>
      </c>
      <c r="B634" s="1067" t="s">
        <v>105</v>
      </c>
      <c r="C634" s="1037" t="s">
        <v>219</v>
      </c>
      <c r="D634" s="1028" t="s">
        <v>708</v>
      </c>
      <c r="E634" s="1030" t="s">
        <v>341</v>
      </c>
      <c r="F634" s="1031" t="s">
        <v>2047</v>
      </c>
      <c r="G634" s="1031" t="s">
        <v>1143</v>
      </c>
      <c r="H634" s="88">
        <f>INDEX('IN_RCwacc&amp;slic_GEST'!$A$3:$AAA$237,MATCH($G634,'IN_RCwacc&amp;slic_GEST'!$A$3:$A$237,0),MATCH(H$1,'IN_RCwacc&amp;slic_GEST'!$A$3:$AAA$3,0))</f>
        <v>0</v>
      </c>
      <c r="I634" s="88">
        <f>INDEX('IN_RCwacc&amp;slic_GEST'!$A$3:$AAA$237,MATCH($G634,'IN_RCwacc&amp;slic_GEST'!$A$3:$A$237,0),MATCH(I$1,'IN_RCwacc&amp;slic_GEST'!$A$3:$AAA$3,0))</f>
        <v>0</v>
      </c>
      <c r="J634" s="88">
        <f>INDEX('IN_RCwacc&amp;slic_GEST'!$A$3:$AAA$237,MATCH($G634,'IN_RCwacc&amp;slic_GEST'!$A$3:$A$237,0),MATCH(J$1,'IN_RCwacc&amp;slic_GEST'!$A$3:$AAA$3,0))</f>
        <v>0</v>
      </c>
    </row>
    <row r="635" spans="1:10" x14ac:dyDescent="0.2">
      <c r="A635" s="86" t="s">
        <v>7635</v>
      </c>
      <c r="B635" s="447" t="str">
        <f>IN_Anagrafica!$B$9</f>
        <v>NO</v>
      </c>
      <c r="C635" s="369" t="str">
        <f>IF(B635="SI","SI","NO")</f>
        <v>NO</v>
      </c>
      <c r="D635" s="1028" t="s">
        <v>708</v>
      </c>
      <c r="E635" s="1030" t="s">
        <v>687</v>
      </c>
      <c r="F635" s="1031" t="s">
        <v>2048</v>
      </c>
      <c r="G635" s="1031" t="s">
        <v>2114</v>
      </c>
      <c r="H635" s="88">
        <f>INDEX('IN_RCwacc&amp;slic_COM'!$A$3:$AAA$237,MATCH($G635,'IN_RCwacc&amp;slic_COM'!$A$3:$A$237,0),MATCH(H$1,'IN_RCwacc&amp;slic_COM'!$A$3:$AAA$3,0))</f>
        <v>0</v>
      </c>
      <c r="I635" s="88">
        <f>INDEX('IN_RCwacc&amp;slic_COM'!$A$3:$AAA$237,MATCH($G635,'IN_RCwacc&amp;slic_COM'!$A$3:$A$237,0),MATCH(I$1,'IN_RCwacc&amp;slic_COM'!$A$3:$AAA$3,0))</f>
        <v>0</v>
      </c>
      <c r="J635" s="88">
        <f>INDEX('IN_RCwacc&amp;slic_COM'!$A$3:$AAA$237,MATCH($G635,'IN_RCwacc&amp;slic_COM'!$A$3:$A$237,0),MATCH(J$1,'IN_RCwacc&amp;slic_COM'!$A$3:$AAA$3,0))</f>
        <v>0</v>
      </c>
    </row>
    <row r="636" spans="1:10" x14ac:dyDescent="0.2">
      <c r="A636" s="86" t="s">
        <v>7636</v>
      </c>
      <c r="B636" s="1067" t="s">
        <v>105</v>
      </c>
      <c r="C636" s="1037" t="s">
        <v>219</v>
      </c>
      <c r="D636" s="1028" t="s">
        <v>708</v>
      </c>
      <c r="E636" s="1030" t="s">
        <v>371</v>
      </c>
      <c r="F636" s="1031" t="s">
        <v>2047</v>
      </c>
      <c r="G636" s="1031" t="s">
        <v>1163</v>
      </c>
      <c r="H636" s="88">
        <f>INDEX('IN_RCwacc&amp;slic_GEST'!$A$3:$AAA$237,MATCH($G636,'IN_RCwacc&amp;slic_GEST'!$A$3:$A$237,0),MATCH(H$1,'IN_RCwacc&amp;slic_GEST'!$A$3:$AAA$3,0))</f>
        <v>0</v>
      </c>
      <c r="I636" s="88">
        <f>INDEX('IN_RCwacc&amp;slic_GEST'!$A$3:$AAA$237,MATCH($G636,'IN_RCwacc&amp;slic_GEST'!$A$3:$A$237,0),MATCH(I$1,'IN_RCwacc&amp;slic_GEST'!$A$3:$AAA$3,0))</f>
        <v>0</v>
      </c>
      <c r="J636" s="88">
        <f>INDEX('IN_RCwacc&amp;slic_GEST'!$A$3:$AAA$237,MATCH($G636,'IN_RCwacc&amp;slic_GEST'!$A$3:$A$237,0),MATCH(J$1,'IN_RCwacc&amp;slic_GEST'!$A$3:$AAA$3,0))</f>
        <v>0</v>
      </c>
    </row>
    <row r="637" spans="1:10" x14ac:dyDescent="0.2">
      <c r="A637" s="86" t="s">
        <v>7637</v>
      </c>
      <c r="B637" s="447" t="str">
        <f>IN_Anagrafica!$B$9</f>
        <v>NO</v>
      </c>
      <c r="C637" s="369" t="str">
        <f>IF(B637="SI","SI","NO")</f>
        <v>NO</v>
      </c>
      <c r="D637" s="1028" t="s">
        <v>708</v>
      </c>
      <c r="E637" s="1030" t="s">
        <v>691</v>
      </c>
      <c r="F637" s="1031" t="s">
        <v>2048</v>
      </c>
      <c r="G637" s="1031" t="s">
        <v>2127</v>
      </c>
      <c r="H637" s="88">
        <f>INDEX('IN_RCwacc&amp;slic_COM'!$A$3:$AAA$237,MATCH($G637,'IN_RCwacc&amp;slic_COM'!$A$3:$A$237,0),MATCH(H$1,'IN_RCwacc&amp;slic_COM'!$A$3:$AAA$3,0))</f>
        <v>0</v>
      </c>
      <c r="I637" s="88">
        <f>INDEX('IN_RCwacc&amp;slic_COM'!$A$3:$AAA$237,MATCH($G637,'IN_RCwacc&amp;slic_COM'!$A$3:$A$237,0),MATCH(I$1,'IN_RCwacc&amp;slic_COM'!$A$3:$AAA$3,0))</f>
        <v>0</v>
      </c>
      <c r="J637" s="88">
        <f>INDEX('IN_RCwacc&amp;slic_COM'!$A$3:$AAA$237,MATCH($G637,'IN_RCwacc&amp;slic_COM'!$A$3:$A$237,0),MATCH(J$1,'IN_RCwacc&amp;slic_COM'!$A$3:$AAA$3,0))</f>
        <v>0</v>
      </c>
    </row>
    <row r="638" spans="1:10" x14ac:dyDescent="0.2">
      <c r="A638" s="86" t="s">
        <v>7638</v>
      </c>
      <c r="B638" s="1067" t="s">
        <v>105</v>
      </c>
      <c r="C638" s="1037" t="s">
        <v>219</v>
      </c>
      <c r="D638" s="1028" t="s">
        <v>708</v>
      </c>
      <c r="E638" s="1030" t="s">
        <v>685</v>
      </c>
      <c r="F638" s="1031" t="s">
        <v>2047</v>
      </c>
      <c r="G638" s="1031" t="s">
        <v>1144</v>
      </c>
      <c r="H638" s="88">
        <f>INDEX('IN_RCwacc&amp;slic_GEST'!$A$3:$AAA$237,MATCH($G638,'IN_RCwacc&amp;slic_GEST'!$A$3:$A$237,0),MATCH(H$1,'IN_RCwacc&amp;slic_GEST'!$A$3:$AAA$3,0))</f>
        <v>0</v>
      </c>
      <c r="I638" s="88">
        <f>INDEX('IN_RCwacc&amp;slic_GEST'!$A$3:$AAA$237,MATCH($G638,'IN_RCwacc&amp;slic_GEST'!$A$3:$A$237,0),MATCH(I$1,'IN_RCwacc&amp;slic_GEST'!$A$3:$AAA$3,0))</f>
        <v>0</v>
      </c>
      <c r="J638" s="88">
        <f>INDEX('IN_RCwacc&amp;slic_GEST'!$A$3:$AAA$237,MATCH($G638,'IN_RCwacc&amp;slic_GEST'!$A$3:$A$237,0),MATCH(J$1,'IN_RCwacc&amp;slic_GEST'!$A$3:$AAA$3,0))</f>
        <v>0</v>
      </c>
    </row>
    <row r="639" spans="1:10" x14ac:dyDescent="0.2">
      <c r="A639" s="86" t="s">
        <v>7639</v>
      </c>
      <c r="B639" s="447" t="str">
        <f>IN_Anagrafica!$B$9</f>
        <v>NO</v>
      </c>
      <c r="C639" s="369" t="str">
        <f>IF(B639="SI","SI","NO")</f>
        <v>NO</v>
      </c>
      <c r="D639" s="1028" t="s">
        <v>708</v>
      </c>
      <c r="E639" s="1030" t="s">
        <v>688</v>
      </c>
      <c r="F639" s="1031" t="s">
        <v>2048</v>
      </c>
      <c r="G639" s="1031" t="s">
        <v>2115</v>
      </c>
      <c r="H639" s="88">
        <f>INDEX('IN_RCwacc&amp;slic_COM'!$A$3:$AAA$237,MATCH($G639,'IN_RCwacc&amp;slic_COM'!$A$3:$A$237,0),MATCH(H$1,'IN_RCwacc&amp;slic_COM'!$A$3:$AAA$3,0))</f>
        <v>0</v>
      </c>
      <c r="I639" s="88">
        <f>INDEX('IN_RCwacc&amp;slic_COM'!$A$3:$AAA$237,MATCH($G639,'IN_RCwacc&amp;slic_COM'!$A$3:$A$237,0),MATCH(I$1,'IN_RCwacc&amp;slic_COM'!$A$3:$AAA$3,0))</f>
        <v>0</v>
      </c>
      <c r="J639" s="88">
        <f>INDEX('IN_RCwacc&amp;slic_COM'!$A$3:$AAA$237,MATCH($G639,'IN_RCwacc&amp;slic_COM'!$A$3:$A$237,0),MATCH(J$1,'IN_RCwacc&amp;slic_COM'!$A$3:$AAA$3,0))</f>
        <v>0</v>
      </c>
    </row>
    <row r="640" spans="1:10" x14ac:dyDescent="0.2">
      <c r="A640" s="86" t="s">
        <v>7640</v>
      </c>
      <c r="B640" s="1067" t="s">
        <v>105</v>
      </c>
      <c r="C640" s="1037" t="s">
        <v>219</v>
      </c>
      <c r="D640" s="1028" t="s">
        <v>708</v>
      </c>
      <c r="E640" s="1030" t="s">
        <v>689</v>
      </c>
      <c r="F640" s="1031" t="s">
        <v>2047</v>
      </c>
      <c r="G640" s="1031" t="s">
        <v>1164</v>
      </c>
      <c r="H640" s="88">
        <f>INDEX('IN_RCwacc&amp;slic_GEST'!$A$3:$AAA$237,MATCH($G640,'IN_RCwacc&amp;slic_GEST'!$A$3:$A$237,0),MATCH(H$1,'IN_RCwacc&amp;slic_GEST'!$A$3:$AAA$3,0))</f>
        <v>0</v>
      </c>
      <c r="I640" s="88">
        <f>INDEX('IN_RCwacc&amp;slic_GEST'!$A$3:$AAA$237,MATCH($G640,'IN_RCwacc&amp;slic_GEST'!$A$3:$A$237,0),MATCH(I$1,'IN_RCwacc&amp;slic_GEST'!$A$3:$AAA$3,0))</f>
        <v>0</v>
      </c>
      <c r="J640" s="88">
        <f>INDEX('IN_RCwacc&amp;slic_GEST'!$A$3:$AAA$237,MATCH($G640,'IN_RCwacc&amp;slic_GEST'!$A$3:$A$237,0),MATCH(J$1,'IN_RCwacc&amp;slic_GEST'!$A$3:$AAA$3,0))</f>
        <v>0</v>
      </c>
    </row>
    <row r="641" spans="1:10" x14ac:dyDescent="0.2">
      <c r="A641" s="86" t="s">
        <v>7641</v>
      </c>
      <c r="B641" s="447" t="str">
        <f>IN_Anagrafica!$B$9</f>
        <v>NO</v>
      </c>
      <c r="C641" s="369" t="str">
        <f>IF(B641="SI","SI","NO")</f>
        <v>NO</v>
      </c>
      <c r="D641" s="1028" t="s">
        <v>708</v>
      </c>
      <c r="E641" s="1030" t="s">
        <v>692</v>
      </c>
      <c r="F641" s="1031" t="s">
        <v>2048</v>
      </c>
      <c r="G641" s="1031" t="s">
        <v>2128</v>
      </c>
      <c r="H641" s="88">
        <f>INDEX('IN_RCwacc&amp;slic_COM'!$A$3:$AAA$237,MATCH($G641,'IN_RCwacc&amp;slic_COM'!$A$3:$A$237,0),MATCH(H$1,'IN_RCwacc&amp;slic_COM'!$A$3:$AAA$3,0))</f>
        <v>0</v>
      </c>
      <c r="I641" s="88">
        <f>INDEX('IN_RCwacc&amp;slic_COM'!$A$3:$AAA$237,MATCH($G641,'IN_RCwacc&amp;slic_COM'!$A$3:$A$237,0),MATCH(I$1,'IN_RCwacc&amp;slic_COM'!$A$3:$AAA$3,0))</f>
        <v>0</v>
      </c>
      <c r="J641" s="88">
        <f>INDEX('IN_RCwacc&amp;slic_COM'!$A$3:$AAA$237,MATCH($G641,'IN_RCwacc&amp;slic_COM'!$A$3:$A$237,0),MATCH(J$1,'IN_RCwacc&amp;slic_COM'!$A$3:$AAA$3,0))</f>
        <v>0</v>
      </c>
    </row>
    <row r="642" spans="1:10" x14ac:dyDescent="0.2">
      <c r="A642" s="86" t="s">
        <v>7642</v>
      </c>
      <c r="B642" s="1067" t="s">
        <v>105</v>
      </c>
      <c r="C642" s="1037" t="s">
        <v>219</v>
      </c>
      <c r="D642" s="1028" t="s">
        <v>708</v>
      </c>
      <c r="E642" s="1030" t="s">
        <v>342</v>
      </c>
      <c r="F642" s="1031" t="s">
        <v>2047</v>
      </c>
      <c r="G642" s="1031" t="s">
        <v>1145</v>
      </c>
      <c r="H642" s="88">
        <f>INDEX('IN_RCwacc&amp;slic_GEST'!$A$3:$AAA$237,MATCH($G642,'IN_RCwacc&amp;slic_GEST'!$A$3:$A$237,0),MATCH(H$1,'IN_RCwacc&amp;slic_GEST'!$A$3:$AAA$3,0))</f>
        <v>0</v>
      </c>
      <c r="I642" s="88">
        <f>INDEX('IN_RCwacc&amp;slic_GEST'!$A$3:$AAA$237,MATCH($G642,'IN_RCwacc&amp;slic_GEST'!$A$3:$A$237,0),MATCH(I$1,'IN_RCwacc&amp;slic_GEST'!$A$3:$AAA$3,0))</f>
        <v>0</v>
      </c>
      <c r="J642" s="88">
        <f>INDEX('IN_RCwacc&amp;slic_GEST'!$A$3:$AAA$237,MATCH($G642,'IN_RCwacc&amp;slic_GEST'!$A$3:$A$237,0),MATCH(J$1,'IN_RCwacc&amp;slic_GEST'!$A$3:$AAA$3,0))</f>
        <v>0</v>
      </c>
    </row>
    <row r="643" spans="1:10" x14ac:dyDescent="0.2">
      <c r="A643" s="86" t="s">
        <v>7643</v>
      </c>
      <c r="B643" s="447" t="str">
        <f>IN_Anagrafica!$B$9</f>
        <v>NO</v>
      </c>
      <c r="C643" s="369" t="str">
        <f>IF(B643="SI","SI","NO")</f>
        <v>NO</v>
      </c>
      <c r="D643" s="1028" t="s">
        <v>708</v>
      </c>
      <c r="E643" s="1030" t="s">
        <v>741</v>
      </c>
      <c r="F643" s="1031" t="s">
        <v>2048</v>
      </c>
      <c r="G643" s="1031" t="s">
        <v>2116</v>
      </c>
      <c r="H643" s="88">
        <f>INDEX('IN_RCwacc&amp;slic_COM'!$A$3:$AAA$237,MATCH($G643,'IN_RCwacc&amp;slic_COM'!$A$3:$A$237,0),MATCH(H$1,'IN_RCwacc&amp;slic_COM'!$A$3:$AAA$3,0))</f>
        <v>0</v>
      </c>
      <c r="I643" s="88">
        <f>INDEX('IN_RCwacc&amp;slic_COM'!$A$3:$AAA$237,MATCH($G643,'IN_RCwacc&amp;slic_COM'!$A$3:$A$237,0),MATCH(I$1,'IN_RCwacc&amp;slic_COM'!$A$3:$AAA$3,0))</f>
        <v>0</v>
      </c>
      <c r="J643" s="88">
        <f>INDEX('IN_RCwacc&amp;slic_COM'!$A$3:$AAA$237,MATCH($G643,'IN_RCwacc&amp;slic_COM'!$A$3:$A$237,0),MATCH(J$1,'IN_RCwacc&amp;slic_COM'!$A$3:$AAA$3,0))</f>
        <v>0</v>
      </c>
    </row>
    <row r="644" spans="1:10" x14ac:dyDescent="0.2">
      <c r="A644" s="86" t="s">
        <v>7644</v>
      </c>
      <c r="B644" s="1067" t="s">
        <v>105</v>
      </c>
      <c r="C644" s="1037" t="s">
        <v>219</v>
      </c>
      <c r="D644" s="1028" t="s">
        <v>708</v>
      </c>
      <c r="E644" s="1030" t="s">
        <v>742</v>
      </c>
      <c r="F644" s="1031" t="s">
        <v>2047</v>
      </c>
      <c r="G644" s="1031" t="s">
        <v>1165</v>
      </c>
      <c r="H644" s="88">
        <f>INDEX('IN_RCwacc&amp;slic_GEST'!$A$3:$AAA$237,MATCH($G644,'IN_RCwacc&amp;slic_GEST'!$A$3:$A$237,0),MATCH(H$1,'IN_RCwacc&amp;slic_GEST'!$A$3:$AAA$3,0))</f>
        <v>0</v>
      </c>
      <c r="I644" s="88">
        <f>INDEX('IN_RCwacc&amp;slic_GEST'!$A$3:$AAA$237,MATCH($G644,'IN_RCwacc&amp;slic_GEST'!$A$3:$A$237,0),MATCH(I$1,'IN_RCwacc&amp;slic_GEST'!$A$3:$AAA$3,0))</f>
        <v>0</v>
      </c>
      <c r="J644" s="88">
        <f>INDEX('IN_RCwacc&amp;slic_GEST'!$A$3:$AAA$237,MATCH($G644,'IN_RCwacc&amp;slic_GEST'!$A$3:$A$237,0),MATCH(J$1,'IN_RCwacc&amp;slic_GEST'!$A$3:$AAA$3,0))</f>
        <v>0</v>
      </c>
    </row>
    <row r="645" spans="1:10" x14ac:dyDescent="0.2">
      <c r="A645" s="86" t="s">
        <v>7645</v>
      </c>
      <c r="B645" s="447" t="str">
        <f>IN_Anagrafica!$B$9</f>
        <v>NO</v>
      </c>
      <c r="C645" s="369" t="str">
        <f>IF(B645="SI","SI","NO")</f>
        <v>NO</v>
      </c>
      <c r="D645" s="1028" t="s">
        <v>708</v>
      </c>
      <c r="E645" s="1030" t="s">
        <v>743</v>
      </c>
      <c r="F645" s="1031" t="s">
        <v>2048</v>
      </c>
      <c r="G645" s="1031" t="s">
        <v>2129</v>
      </c>
      <c r="H645" s="88">
        <f>INDEX('IN_RCwacc&amp;slic_COM'!$A$3:$AAA$237,MATCH($G645,'IN_RCwacc&amp;slic_COM'!$A$3:$A$237,0),MATCH(H$1,'IN_RCwacc&amp;slic_COM'!$A$3:$AAA$3,0))</f>
        <v>0</v>
      </c>
      <c r="I645" s="88">
        <f>INDEX('IN_RCwacc&amp;slic_COM'!$A$3:$AAA$237,MATCH($G645,'IN_RCwacc&amp;slic_COM'!$A$3:$A$237,0),MATCH(I$1,'IN_RCwacc&amp;slic_COM'!$A$3:$AAA$3,0))</f>
        <v>0</v>
      </c>
      <c r="J645" s="88">
        <f>INDEX('IN_RCwacc&amp;slic_COM'!$A$3:$AAA$237,MATCH($G645,'IN_RCwacc&amp;slic_COM'!$A$3:$A$237,0),MATCH(J$1,'IN_RCwacc&amp;slic_COM'!$A$3:$AAA$3,0))</f>
        <v>0</v>
      </c>
    </row>
    <row r="646" spans="1:10" x14ac:dyDescent="0.2">
      <c r="A646" s="86" t="s">
        <v>7646</v>
      </c>
      <c r="B646" s="1067" t="s">
        <v>105</v>
      </c>
      <c r="C646" s="1037" t="s">
        <v>219</v>
      </c>
      <c r="D646" s="1028" t="s">
        <v>708</v>
      </c>
      <c r="E646" s="1030" t="s">
        <v>343</v>
      </c>
      <c r="F646" s="1031" t="s">
        <v>2047</v>
      </c>
      <c r="G646" s="1031" t="s">
        <v>2103</v>
      </c>
      <c r="H646" s="88" t="str">
        <f>INDEX('IN_RCwacc&amp;slic_GEST'!$A$3:$AAA$237,MATCH($G646,'IN_RCwacc&amp;slic_GEST'!$A$3:$A$237,0),MATCH(H$1,'IN_RCwacc&amp;slic_GEST'!$A$3:$AAA$3,0))</f>
        <v>-</v>
      </c>
      <c r="I646" s="88" t="str">
        <f>INDEX('IN_RCwacc&amp;slic_GEST'!$A$3:$AAA$237,MATCH($G646,'IN_RCwacc&amp;slic_GEST'!$A$3:$A$237,0),MATCH(I$1,'IN_RCwacc&amp;slic_GEST'!$A$3:$AAA$3,0))</f>
        <v>-</v>
      </c>
      <c r="J646" s="88" t="str">
        <f>INDEX('IN_RCwacc&amp;slic_GEST'!$A$3:$AAA$237,MATCH($G646,'IN_RCwacc&amp;slic_GEST'!$A$3:$A$237,0),MATCH(J$1,'IN_RCwacc&amp;slic_GEST'!$A$3:$AAA$3,0))</f>
        <v>-</v>
      </c>
    </row>
    <row r="647" spans="1:10" x14ac:dyDescent="0.2">
      <c r="A647" s="86" t="s">
        <v>7647</v>
      </c>
      <c r="B647" s="447" t="str">
        <f>IN_Anagrafica!$B$9</f>
        <v>NO</v>
      </c>
      <c r="C647" s="369" t="str">
        <f>IF(B647="SI","SI","NO")</f>
        <v>NO</v>
      </c>
      <c r="D647" s="1028" t="s">
        <v>708</v>
      </c>
      <c r="E647" s="1030" t="s">
        <v>351</v>
      </c>
      <c r="F647" s="1031" t="s">
        <v>2048</v>
      </c>
      <c r="G647" s="1031" t="s">
        <v>2117</v>
      </c>
      <c r="H647" s="88" t="str">
        <f>INDEX('IN_RCwacc&amp;slic_COM'!$A$3:$AAA$237,MATCH($G647,'IN_RCwacc&amp;slic_COM'!$A$3:$A$237,0),MATCH(H$1,'IN_RCwacc&amp;slic_COM'!$A$3:$AAA$3,0))</f>
        <v>-</v>
      </c>
      <c r="I647" s="88" t="str">
        <f>INDEX('IN_RCwacc&amp;slic_COM'!$A$3:$AAA$237,MATCH($G647,'IN_RCwacc&amp;slic_COM'!$A$3:$A$237,0),MATCH(I$1,'IN_RCwacc&amp;slic_COM'!$A$3:$AAA$3,0))</f>
        <v>-</v>
      </c>
      <c r="J647" s="88" t="str">
        <f>INDEX('IN_RCwacc&amp;slic_COM'!$A$3:$AAA$237,MATCH($G647,'IN_RCwacc&amp;slic_COM'!$A$3:$A$237,0),MATCH(J$1,'IN_RCwacc&amp;slic_COM'!$A$3:$AAA$3,0))</f>
        <v>-</v>
      </c>
    </row>
    <row r="648" spans="1:10" x14ac:dyDescent="0.2">
      <c r="A648" s="86" t="s">
        <v>7648</v>
      </c>
      <c r="B648" s="1067" t="s">
        <v>105</v>
      </c>
      <c r="C648" s="1037" t="s">
        <v>219</v>
      </c>
      <c r="D648" s="1028" t="s">
        <v>708</v>
      </c>
      <c r="E648" s="1030" t="s">
        <v>372</v>
      </c>
      <c r="F648" s="1031" t="s">
        <v>2047</v>
      </c>
      <c r="G648" s="1031" t="s">
        <v>2104</v>
      </c>
      <c r="H648" s="88" t="str">
        <f>INDEX('IN_RCwacc&amp;slic_GEST'!$A$3:$AAA$237,MATCH($G648,'IN_RCwacc&amp;slic_GEST'!$A$3:$A$237,0),MATCH(H$1,'IN_RCwacc&amp;slic_GEST'!$A$3:$AAA$3,0))</f>
        <v>-</v>
      </c>
      <c r="I648" s="88" t="str">
        <f>INDEX('IN_RCwacc&amp;slic_GEST'!$A$3:$AAA$237,MATCH($G648,'IN_RCwacc&amp;slic_GEST'!$A$3:$A$237,0),MATCH(I$1,'IN_RCwacc&amp;slic_GEST'!$A$3:$AAA$3,0))</f>
        <v>-</v>
      </c>
      <c r="J648" s="88" t="str">
        <f>INDEX('IN_RCwacc&amp;slic_GEST'!$A$3:$AAA$237,MATCH($G648,'IN_RCwacc&amp;slic_GEST'!$A$3:$A$237,0),MATCH(J$1,'IN_RCwacc&amp;slic_GEST'!$A$3:$AAA$3,0))</f>
        <v>-</v>
      </c>
    </row>
    <row r="649" spans="1:10" x14ac:dyDescent="0.2">
      <c r="A649" s="86" t="s">
        <v>7649</v>
      </c>
      <c r="B649" s="447" t="str">
        <f>IN_Anagrafica!$B$9</f>
        <v>NO</v>
      </c>
      <c r="C649" s="369" t="str">
        <f>IF(B649="SI","SI","NO")</f>
        <v>NO</v>
      </c>
      <c r="D649" s="1028" t="s">
        <v>708</v>
      </c>
      <c r="E649" s="1030" t="s">
        <v>700</v>
      </c>
      <c r="F649" s="1031" t="s">
        <v>2048</v>
      </c>
      <c r="G649" s="1031" t="s">
        <v>2130</v>
      </c>
      <c r="H649" s="88" t="str">
        <f>INDEX('IN_RCwacc&amp;slic_COM'!$A$3:$AAA$237,MATCH($G649,'IN_RCwacc&amp;slic_COM'!$A$3:$A$237,0),MATCH(H$1,'IN_RCwacc&amp;slic_COM'!$A$3:$AAA$3,0))</f>
        <v>-</v>
      </c>
      <c r="I649" s="88" t="str">
        <f>INDEX('IN_RCwacc&amp;slic_COM'!$A$3:$AAA$237,MATCH($G649,'IN_RCwacc&amp;slic_COM'!$A$3:$A$237,0),MATCH(I$1,'IN_RCwacc&amp;slic_COM'!$A$3:$AAA$3,0))</f>
        <v>-</v>
      </c>
      <c r="J649" s="88" t="str">
        <f>INDEX('IN_RCwacc&amp;slic_COM'!$A$3:$AAA$237,MATCH($G649,'IN_RCwacc&amp;slic_COM'!$A$3:$A$237,0),MATCH(J$1,'IN_RCwacc&amp;slic_COM'!$A$3:$AAA$3,0))</f>
        <v>-</v>
      </c>
    </row>
    <row r="650" spans="1:10" x14ac:dyDescent="0.2">
      <c r="A650" s="86" t="s">
        <v>7650</v>
      </c>
      <c r="B650" s="1067" t="s">
        <v>105</v>
      </c>
      <c r="C650" s="1037" t="s">
        <v>219</v>
      </c>
      <c r="D650" s="1028" t="s">
        <v>8281</v>
      </c>
      <c r="E650" s="447" t="s">
        <v>295</v>
      </c>
      <c r="F650" s="1031" t="s">
        <v>8530</v>
      </c>
      <c r="G650" s="1031" t="s">
        <v>2491</v>
      </c>
      <c r="H650" s="88">
        <f>INDEX(IN_COexp!$A$3:$AAA$270,MATCH($G650,IN_COexp!$A$3:$A$270,0),MATCH(H$1,IN_COexp!$A$3:$AAA$3,0))</f>
        <v>0</v>
      </c>
      <c r="I650" s="88">
        <f>INDEX(IN_COexp!$A$3:$AAA$270,MATCH($G650,IN_COexp!$A$3:$A$270,0),MATCH(I$1,IN_COexp!$A$3:$AAA$3,0))</f>
        <v>0</v>
      </c>
      <c r="J650" s="88">
        <f>INDEX(IN_COexp!$A$3:$AAA$270,MATCH($G650,IN_COexp!$A$3:$A$270,0),MATCH(J$1,IN_COexp!$A$3:$AAA$3,0))</f>
        <v>0</v>
      </c>
    </row>
    <row r="651" spans="1:10" x14ac:dyDescent="0.2">
      <c r="A651" s="86" t="s">
        <v>7651</v>
      </c>
      <c r="B651" s="447" t="str">
        <f>IN_Anagrafica!$B$9</f>
        <v>NO</v>
      </c>
      <c r="C651" s="369" t="str">
        <f>IF(B651="SI","SI","NO")</f>
        <v>NO</v>
      </c>
      <c r="D651" s="1028" t="s">
        <v>8281</v>
      </c>
      <c r="E651" s="447" t="s">
        <v>8282</v>
      </c>
      <c r="F651" s="1031" t="s">
        <v>8530</v>
      </c>
      <c r="G651" s="1031" t="s">
        <v>2492</v>
      </c>
      <c r="H651" s="88">
        <f>INDEX(IN_COexp!$A$3:$AAA$270,MATCH($G651,IN_COexp!$A$3:$A$270,0),MATCH(H$1,IN_COexp!$A$3:$AAA$3,0))</f>
        <v>0</v>
      </c>
      <c r="I651" s="88">
        <f>INDEX(IN_COexp!$A$3:$AAA$270,MATCH($G651,IN_COexp!$A$3:$A$270,0),MATCH(I$1,IN_COexp!$A$3:$AAA$3,0))</f>
        <v>0</v>
      </c>
      <c r="J651" s="88">
        <f>INDEX(IN_COexp!$A$3:$AAA$270,MATCH($G651,IN_COexp!$A$3:$A$270,0),MATCH(J$1,IN_COexp!$A$3:$AAA$3,0))</f>
        <v>0</v>
      </c>
    </row>
    <row r="652" spans="1:10" x14ac:dyDescent="0.2">
      <c r="A652" s="86" t="s">
        <v>7652</v>
      </c>
      <c r="B652" s="1067" t="s">
        <v>105</v>
      </c>
      <c r="C652" s="1037" t="s">
        <v>219</v>
      </c>
      <c r="D652" s="1028" t="s">
        <v>8281</v>
      </c>
      <c r="E652" s="447" t="s">
        <v>8283</v>
      </c>
      <c r="F652" s="1031" t="s">
        <v>8530</v>
      </c>
      <c r="G652" s="1031" t="s">
        <v>2494</v>
      </c>
      <c r="H652" s="88">
        <f>INDEX(IN_COexp!$A$3:$AAA$270,MATCH($G652,IN_COexp!$A$3:$A$270,0),MATCH(H$1,IN_COexp!$A$3:$AAA$3,0))</f>
        <v>0</v>
      </c>
      <c r="I652" s="88">
        <f>INDEX(IN_COexp!$A$3:$AAA$270,MATCH($G652,IN_COexp!$A$3:$A$270,0),MATCH(I$1,IN_COexp!$A$3:$AAA$3,0))</f>
        <v>0</v>
      </c>
      <c r="J652" s="88">
        <f>INDEX(IN_COexp!$A$3:$AAA$270,MATCH($G652,IN_COexp!$A$3:$A$270,0),MATCH(J$1,IN_COexp!$A$3:$AAA$3,0))</f>
        <v>0</v>
      </c>
    </row>
    <row r="653" spans="1:10" x14ac:dyDescent="0.2">
      <c r="A653" s="86" t="s">
        <v>7653</v>
      </c>
      <c r="B653" s="447" t="str">
        <f>IN_Anagrafica!$B$9</f>
        <v>NO</v>
      </c>
      <c r="C653" s="369" t="str">
        <f>IF(B653="SI","SI","NO")</f>
        <v>NO</v>
      </c>
      <c r="D653" s="1028" t="s">
        <v>8281</v>
      </c>
      <c r="E653" s="447" t="s">
        <v>8284</v>
      </c>
      <c r="F653" s="1031" t="s">
        <v>8530</v>
      </c>
      <c r="G653" s="1031" t="s">
        <v>2495</v>
      </c>
      <c r="H653" s="88">
        <f>INDEX(IN_COexp!$A$3:$AAA$270,MATCH($G653,IN_COexp!$A$3:$A$270,0),MATCH(H$1,IN_COexp!$A$3:$AAA$3,0))</f>
        <v>0</v>
      </c>
      <c r="I653" s="88">
        <f>INDEX(IN_COexp!$A$3:$AAA$270,MATCH($G653,IN_COexp!$A$3:$A$270,0),MATCH(I$1,IN_COexp!$A$3:$AAA$3,0))</f>
        <v>0</v>
      </c>
      <c r="J653" s="88">
        <f>INDEX(IN_COexp!$A$3:$AAA$270,MATCH($G653,IN_COexp!$A$3:$A$270,0),MATCH(J$1,IN_COexp!$A$3:$AAA$3,0))</f>
        <v>0</v>
      </c>
    </row>
    <row r="654" spans="1:10" x14ac:dyDescent="0.2">
      <c r="A654" s="86" t="s">
        <v>7654</v>
      </c>
      <c r="B654" s="1067" t="s">
        <v>105</v>
      </c>
      <c r="C654" s="1037" t="s">
        <v>219</v>
      </c>
      <c r="D654" s="1028" t="s">
        <v>8281</v>
      </c>
      <c r="E654" s="447" t="s">
        <v>374</v>
      </c>
      <c r="F654" s="1031" t="s">
        <v>8530</v>
      </c>
      <c r="G654" s="1031" t="s">
        <v>2497</v>
      </c>
      <c r="H654" s="88">
        <f>INDEX(IN_COexp!$A$3:$AAA$270,MATCH($G654,IN_COexp!$A$3:$A$270,0),MATCH(H$1,IN_COexp!$A$3:$AAA$3,0))</f>
        <v>0</v>
      </c>
      <c r="I654" s="88">
        <f>INDEX(IN_COexp!$A$3:$AAA$270,MATCH($G654,IN_COexp!$A$3:$A$270,0),MATCH(I$1,IN_COexp!$A$3:$AAA$3,0))</f>
        <v>0</v>
      </c>
      <c r="J654" s="88">
        <f>INDEX(IN_COexp!$A$3:$AAA$270,MATCH($G654,IN_COexp!$A$3:$A$270,0),MATCH(J$1,IN_COexp!$A$3:$AAA$3,0))</f>
        <v>0</v>
      </c>
    </row>
    <row r="655" spans="1:10" x14ac:dyDescent="0.2">
      <c r="A655" s="86" t="s">
        <v>7655</v>
      </c>
      <c r="B655" s="447" t="str">
        <f>IN_Anagrafica!$B$9</f>
        <v>NO</v>
      </c>
      <c r="C655" s="369" t="str">
        <f>IF(B655="SI","SI","NO")</f>
        <v>NO</v>
      </c>
      <c r="D655" s="1028" t="s">
        <v>8281</v>
      </c>
      <c r="E655" s="447" t="s">
        <v>377</v>
      </c>
      <c r="F655" s="1031" t="s">
        <v>8530</v>
      </c>
      <c r="G655" s="1031" t="s">
        <v>2498</v>
      </c>
      <c r="H655" s="88">
        <f>INDEX(IN_COexp!$A$3:$AAA$270,MATCH($G655,IN_COexp!$A$3:$A$270,0),MATCH(H$1,IN_COexp!$A$3:$AAA$3,0))</f>
        <v>0</v>
      </c>
      <c r="I655" s="88">
        <f>INDEX(IN_COexp!$A$3:$AAA$270,MATCH($G655,IN_COexp!$A$3:$A$270,0),MATCH(I$1,IN_COexp!$A$3:$AAA$3,0))</f>
        <v>0</v>
      </c>
      <c r="J655" s="88">
        <f>INDEX(IN_COexp!$A$3:$AAA$270,MATCH($G655,IN_COexp!$A$3:$A$270,0),MATCH(J$1,IN_COexp!$A$3:$AAA$3,0))</f>
        <v>0</v>
      </c>
    </row>
    <row r="656" spans="1:10" x14ac:dyDescent="0.2">
      <c r="A656" s="86" t="s">
        <v>7656</v>
      </c>
      <c r="B656" s="1067" t="s">
        <v>105</v>
      </c>
      <c r="C656" s="1037" t="s">
        <v>219</v>
      </c>
      <c r="D656" s="1028" t="s">
        <v>8281</v>
      </c>
      <c r="E656" s="447" t="s">
        <v>388</v>
      </c>
      <c r="F656" s="1031" t="s">
        <v>8530</v>
      </c>
      <c r="G656" s="1031" t="s">
        <v>2500</v>
      </c>
      <c r="H656" s="88">
        <f>INDEX(IN_COexp!$A$3:$AAA$270,MATCH($G656,IN_COexp!$A$3:$A$270,0),MATCH(H$1,IN_COexp!$A$3:$AAA$3,0))</f>
        <v>0</v>
      </c>
      <c r="I656" s="88">
        <f>INDEX(IN_COexp!$A$3:$AAA$270,MATCH($G656,IN_COexp!$A$3:$A$270,0),MATCH(I$1,IN_COexp!$A$3:$AAA$3,0))</f>
        <v>0</v>
      </c>
      <c r="J656" s="88">
        <f>INDEX(IN_COexp!$A$3:$AAA$270,MATCH($G656,IN_COexp!$A$3:$A$270,0),MATCH(J$1,IN_COexp!$A$3:$AAA$3,0))</f>
        <v>0</v>
      </c>
    </row>
    <row r="657" spans="1:10" x14ac:dyDescent="0.2">
      <c r="A657" s="86" t="s">
        <v>7657</v>
      </c>
      <c r="B657" s="447" t="str">
        <f>IN_Anagrafica!$B$9</f>
        <v>NO</v>
      </c>
      <c r="C657" s="369" t="str">
        <f>IF(B657="SI","SI","NO")</f>
        <v>NO</v>
      </c>
      <c r="D657" s="1028" t="s">
        <v>8281</v>
      </c>
      <c r="E657" s="447" t="s">
        <v>391</v>
      </c>
      <c r="F657" s="1031" t="s">
        <v>8530</v>
      </c>
      <c r="G657" s="1031" t="s">
        <v>2501</v>
      </c>
      <c r="H657" s="88">
        <f>INDEX(IN_COexp!$A$3:$AAA$270,MATCH($G657,IN_COexp!$A$3:$A$270,0),MATCH(H$1,IN_COexp!$A$3:$AAA$3,0))</f>
        <v>0</v>
      </c>
      <c r="I657" s="88">
        <f>INDEX(IN_COexp!$A$3:$AAA$270,MATCH($G657,IN_COexp!$A$3:$A$270,0),MATCH(I$1,IN_COexp!$A$3:$AAA$3,0))</f>
        <v>0</v>
      </c>
      <c r="J657" s="88">
        <f>INDEX(IN_COexp!$A$3:$AAA$270,MATCH($G657,IN_COexp!$A$3:$A$270,0),MATCH(J$1,IN_COexp!$A$3:$AAA$3,0))</f>
        <v>0</v>
      </c>
    </row>
    <row r="658" spans="1:10" x14ac:dyDescent="0.2">
      <c r="A658" s="86" t="s">
        <v>7658</v>
      </c>
      <c r="B658" s="1067" t="s">
        <v>105</v>
      </c>
      <c r="C658" s="1037" t="s">
        <v>219</v>
      </c>
      <c r="D658" s="1028" t="s">
        <v>8281</v>
      </c>
      <c r="E658" s="447" t="s">
        <v>357</v>
      </c>
      <c r="F658" s="1034" t="s">
        <v>8530</v>
      </c>
      <c r="G658" s="1034" t="s">
        <v>1044</v>
      </c>
      <c r="H658" s="88">
        <f>INDEX(IN_COexp!$A$3:$AAA$270,MATCH($G658,IN_COexp!$A$3:$A$270,0),MATCH(H$1,IN_COexp!$A$3:$AAA$3,0))</f>
        <v>0</v>
      </c>
      <c r="I658" s="88">
        <f>INDEX(IN_COexp!$A$3:$AAA$270,MATCH($G658,IN_COexp!$A$3:$A$270,0),MATCH(I$1,IN_COexp!$A$3:$AAA$3,0))</f>
        <v>0</v>
      </c>
      <c r="J658" s="88">
        <f>INDEX(IN_COexp!$A$3:$AAA$270,MATCH($G658,IN_COexp!$A$3:$A$270,0),MATCH(J$1,IN_COexp!$A$3:$AAA$3,0))</f>
        <v>0</v>
      </c>
    </row>
    <row r="659" spans="1:10" x14ac:dyDescent="0.2">
      <c r="A659" s="86" t="s">
        <v>7659</v>
      </c>
      <c r="B659" s="447" t="str">
        <f>IN_Anagrafica!$B$9</f>
        <v>NO</v>
      </c>
      <c r="C659" s="369" t="str">
        <f>IF(B659="SI","SI","NO")</f>
        <v>NO</v>
      </c>
      <c r="D659" s="1028" t="s">
        <v>8281</v>
      </c>
      <c r="E659" s="447" t="s">
        <v>362</v>
      </c>
      <c r="F659" s="1034" t="s">
        <v>8530</v>
      </c>
      <c r="G659" s="1034" t="s">
        <v>1045</v>
      </c>
      <c r="H659" s="88">
        <f>INDEX(IN_COexp!$A$3:$AAA$270,MATCH($G659,IN_COexp!$A$3:$A$270,0),MATCH(H$1,IN_COexp!$A$3:$AAA$3,0))</f>
        <v>0</v>
      </c>
      <c r="I659" s="88">
        <f>INDEX(IN_COexp!$A$3:$AAA$270,MATCH($G659,IN_COexp!$A$3:$A$270,0),MATCH(I$1,IN_COexp!$A$3:$AAA$3,0))</f>
        <v>0</v>
      </c>
      <c r="J659" s="88">
        <f>INDEX(IN_COexp!$A$3:$AAA$270,MATCH($G659,IN_COexp!$A$3:$A$270,0),MATCH(J$1,IN_COexp!$A$3:$AAA$3,0))</f>
        <v>0</v>
      </c>
    </row>
    <row r="660" spans="1:10" x14ac:dyDescent="0.2">
      <c r="A660" s="86" t="s">
        <v>7660</v>
      </c>
      <c r="B660" s="1067" t="s">
        <v>105</v>
      </c>
      <c r="C660" s="1037" t="s">
        <v>219</v>
      </c>
      <c r="D660" s="1028" t="s">
        <v>8281</v>
      </c>
      <c r="E660" s="447" t="s">
        <v>8285</v>
      </c>
      <c r="F660" s="1034" t="s">
        <v>8530</v>
      </c>
      <c r="G660" s="1034" t="s">
        <v>1017</v>
      </c>
      <c r="H660" s="88">
        <f>INDEX(IN_COexp!$A$3:$AAA$270,MATCH($G660,IN_COexp!$A$3:$A$270,0),MATCH(H$1,IN_COexp!$A$3:$AAA$3,0))</f>
        <v>0</v>
      </c>
      <c r="I660" s="88">
        <f>INDEX(IN_COexp!$A$3:$AAA$270,MATCH($G660,IN_COexp!$A$3:$A$270,0),MATCH(I$1,IN_COexp!$A$3:$AAA$3,0))</f>
        <v>0</v>
      </c>
      <c r="J660" s="88">
        <f>INDEX(IN_COexp!$A$3:$AAA$270,MATCH($G660,IN_COexp!$A$3:$A$270,0),MATCH(J$1,IN_COexp!$A$3:$AAA$3,0))</f>
        <v>0</v>
      </c>
    </row>
    <row r="661" spans="1:10" x14ac:dyDescent="0.2">
      <c r="A661" s="86" t="s">
        <v>7661</v>
      </c>
      <c r="B661" s="447" t="str">
        <f>IN_Anagrafica!$B$9</f>
        <v>NO</v>
      </c>
      <c r="C661" s="369" t="str">
        <f>IF(B661="SI","SI","NO")</f>
        <v>NO</v>
      </c>
      <c r="D661" s="1028" t="s">
        <v>8281</v>
      </c>
      <c r="E661" s="447" t="s">
        <v>8286</v>
      </c>
      <c r="F661" s="1034" t="s">
        <v>8530</v>
      </c>
      <c r="G661" s="1034" t="s">
        <v>1018</v>
      </c>
      <c r="H661" s="88">
        <f>INDEX(IN_COexp!$A$3:$AAA$270,MATCH($G661,IN_COexp!$A$3:$A$270,0),MATCH(H$1,IN_COexp!$A$3:$AAA$3,0))</f>
        <v>0</v>
      </c>
      <c r="I661" s="88">
        <f>INDEX(IN_COexp!$A$3:$AAA$270,MATCH($G661,IN_COexp!$A$3:$A$270,0),MATCH(I$1,IN_COexp!$A$3:$AAA$3,0))</f>
        <v>0</v>
      </c>
      <c r="J661" s="88">
        <f>INDEX(IN_COexp!$A$3:$AAA$270,MATCH($G661,IN_COexp!$A$3:$A$270,0),MATCH(J$1,IN_COexp!$A$3:$AAA$3,0))</f>
        <v>0</v>
      </c>
    </row>
    <row r="662" spans="1:10" x14ac:dyDescent="0.2">
      <c r="A662" s="86" t="s">
        <v>7662</v>
      </c>
      <c r="B662" s="1067" t="s">
        <v>105</v>
      </c>
      <c r="C662" s="1037" t="s">
        <v>219</v>
      </c>
      <c r="D662" s="1028" t="s">
        <v>8281</v>
      </c>
      <c r="E662" s="447" t="s">
        <v>375</v>
      </c>
      <c r="F662" s="1034" t="s">
        <v>8530</v>
      </c>
      <c r="G662" s="1034" t="s">
        <v>2134</v>
      </c>
      <c r="H662" s="88">
        <f>INDEX(IN_COexp!$A$3:$AAA$270,MATCH($G662,IN_COexp!$A$3:$A$270,0),MATCH(H$1,IN_COexp!$A$3:$AAA$3,0))</f>
        <v>0</v>
      </c>
      <c r="I662" s="88">
        <f>INDEX(IN_COexp!$A$3:$AAA$270,MATCH($G662,IN_COexp!$A$3:$A$270,0),MATCH(I$1,IN_COexp!$A$3:$AAA$3,0))</f>
        <v>0</v>
      </c>
      <c r="J662" s="88">
        <f>INDEX(IN_COexp!$A$3:$AAA$270,MATCH($G662,IN_COexp!$A$3:$A$270,0),MATCH(J$1,IN_COexp!$A$3:$AAA$3,0))</f>
        <v>0</v>
      </c>
    </row>
    <row r="663" spans="1:10" x14ac:dyDescent="0.2">
      <c r="A663" s="86" t="s">
        <v>7663</v>
      </c>
      <c r="B663" s="447" t="str">
        <f>IN_Anagrafica!$B$9</f>
        <v>NO</v>
      </c>
      <c r="C663" s="369" t="str">
        <f>IF(B663="SI","SI","NO")</f>
        <v>NO</v>
      </c>
      <c r="D663" s="1028" t="s">
        <v>8281</v>
      </c>
      <c r="E663" s="447" t="s">
        <v>378</v>
      </c>
      <c r="F663" s="1034" t="s">
        <v>8530</v>
      </c>
      <c r="G663" s="1034" t="s">
        <v>2135</v>
      </c>
      <c r="H663" s="88">
        <f>INDEX(IN_COexp!$A$3:$AAA$270,MATCH($G663,IN_COexp!$A$3:$A$270,0),MATCH(H$1,IN_COexp!$A$3:$AAA$3,0))</f>
        <v>0</v>
      </c>
      <c r="I663" s="88">
        <f>INDEX(IN_COexp!$A$3:$AAA$270,MATCH($G663,IN_COexp!$A$3:$A$270,0),MATCH(I$1,IN_COexp!$A$3:$AAA$3,0))</f>
        <v>0</v>
      </c>
      <c r="J663" s="88">
        <f>INDEX(IN_COexp!$A$3:$AAA$270,MATCH($G663,IN_COexp!$A$3:$A$270,0),MATCH(J$1,IN_COexp!$A$3:$AAA$3,0))</f>
        <v>0</v>
      </c>
    </row>
    <row r="664" spans="1:10" x14ac:dyDescent="0.2">
      <c r="A664" s="86" t="s">
        <v>7664</v>
      </c>
      <c r="B664" s="1067" t="s">
        <v>105</v>
      </c>
      <c r="C664" s="1037" t="s">
        <v>219</v>
      </c>
      <c r="D664" s="1028" t="s">
        <v>8281</v>
      </c>
      <c r="E664" s="447" t="s">
        <v>389</v>
      </c>
      <c r="F664" s="1034" t="s">
        <v>8530</v>
      </c>
      <c r="G664" s="1034" t="s">
        <v>2143</v>
      </c>
      <c r="H664" s="88">
        <f>INDEX(IN_COexp!$A$3:$AAA$270,MATCH($G664,IN_COexp!$A$3:$A$270,0),MATCH(H$1,IN_COexp!$A$3:$AAA$3,0))</f>
        <v>0</v>
      </c>
      <c r="I664" s="88">
        <f>INDEX(IN_COexp!$A$3:$AAA$270,MATCH($G664,IN_COexp!$A$3:$A$270,0),MATCH(I$1,IN_COexp!$A$3:$AAA$3,0))</f>
        <v>0</v>
      </c>
      <c r="J664" s="88">
        <f>INDEX(IN_COexp!$A$3:$AAA$270,MATCH($G664,IN_COexp!$A$3:$A$270,0),MATCH(J$1,IN_COexp!$A$3:$AAA$3,0))</f>
        <v>0</v>
      </c>
    </row>
    <row r="665" spans="1:10" x14ac:dyDescent="0.2">
      <c r="A665" s="86" t="s">
        <v>7665</v>
      </c>
      <c r="B665" s="447" t="str">
        <f>IN_Anagrafica!$B$9</f>
        <v>NO</v>
      </c>
      <c r="C665" s="369" t="str">
        <f>IF(B665="SI","SI","NO")</f>
        <v>NO</v>
      </c>
      <c r="D665" s="1028" t="s">
        <v>8281</v>
      </c>
      <c r="E665" s="447" t="s">
        <v>392</v>
      </c>
      <c r="F665" s="1034" t="s">
        <v>8530</v>
      </c>
      <c r="G665" s="1034" t="s">
        <v>2144</v>
      </c>
      <c r="H665" s="88">
        <f>INDEX(IN_COexp!$A$3:$AAA$270,MATCH($G665,IN_COexp!$A$3:$A$270,0),MATCH(H$1,IN_COexp!$A$3:$AAA$3,0))</f>
        <v>0</v>
      </c>
      <c r="I665" s="88">
        <f>INDEX(IN_COexp!$A$3:$AAA$270,MATCH($G665,IN_COexp!$A$3:$A$270,0),MATCH(I$1,IN_COexp!$A$3:$AAA$3,0))</f>
        <v>0</v>
      </c>
      <c r="J665" s="88">
        <f>INDEX(IN_COexp!$A$3:$AAA$270,MATCH($G665,IN_COexp!$A$3:$A$270,0),MATCH(J$1,IN_COexp!$A$3:$AAA$3,0))</f>
        <v>0</v>
      </c>
    </row>
    <row r="666" spans="1:10" x14ac:dyDescent="0.2">
      <c r="A666" s="86" t="s">
        <v>7666</v>
      </c>
      <c r="B666" s="1067" t="s">
        <v>105</v>
      </c>
      <c r="C666" s="1037" t="s">
        <v>219</v>
      </c>
      <c r="D666" s="1028" t="s">
        <v>8281</v>
      </c>
      <c r="E666" s="447" t="s">
        <v>358</v>
      </c>
      <c r="F666" s="1034" t="s">
        <v>8530</v>
      </c>
      <c r="G666" s="1034" t="s">
        <v>1053</v>
      </c>
      <c r="H666" s="88">
        <f>INDEX(IN_COexp!$A$3:$AAA$270,MATCH($G666,IN_COexp!$A$3:$A$270,0),MATCH(H$1,IN_COexp!$A$3:$AAA$3,0))</f>
        <v>0</v>
      </c>
      <c r="I666" s="88">
        <f>INDEX(IN_COexp!$A$3:$AAA$270,MATCH($G666,IN_COexp!$A$3:$A$270,0),MATCH(I$1,IN_COexp!$A$3:$AAA$3,0))</f>
        <v>0</v>
      </c>
      <c r="J666" s="88">
        <f>INDEX(IN_COexp!$A$3:$AAA$270,MATCH($G666,IN_COexp!$A$3:$A$270,0),MATCH(J$1,IN_COexp!$A$3:$AAA$3,0))</f>
        <v>0</v>
      </c>
    </row>
    <row r="667" spans="1:10" x14ac:dyDescent="0.2">
      <c r="A667" s="86" t="s">
        <v>7667</v>
      </c>
      <c r="B667" s="1067" t="s">
        <v>105</v>
      </c>
      <c r="C667" s="1037" t="s">
        <v>219</v>
      </c>
      <c r="D667" s="1028" t="s">
        <v>8281</v>
      </c>
      <c r="E667" s="447" t="s">
        <v>373</v>
      </c>
      <c r="F667" s="1034" t="s">
        <v>8530</v>
      </c>
      <c r="G667" s="1034" t="s">
        <v>1026</v>
      </c>
      <c r="H667" s="88">
        <f>INDEX(IN_COexp!$A$3:$AAA$270,MATCH($G667,IN_COexp!$A$3:$A$270,0),MATCH(H$1,IN_COexp!$A$3:$AAA$3,0))</f>
        <v>0</v>
      </c>
      <c r="I667" s="88">
        <f>INDEX(IN_COexp!$A$3:$AAA$270,MATCH($G667,IN_COexp!$A$3:$A$270,0),MATCH(I$1,IN_COexp!$A$3:$AAA$3,0))</f>
        <v>0</v>
      </c>
      <c r="J667" s="88">
        <f>INDEX(IN_COexp!$A$3:$AAA$270,MATCH($G667,IN_COexp!$A$3:$A$270,0),MATCH(J$1,IN_COexp!$A$3:$AAA$3,0))</f>
        <v>0</v>
      </c>
    </row>
    <row r="668" spans="1:10" x14ac:dyDescent="0.2">
      <c r="A668" s="86" t="s">
        <v>7668</v>
      </c>
      <c r="B668" s="447" t="str">
        <f>IN_Anagrafica!$B$9</f>
        <v>NO</v>
      </c>
      <c r="C668" s="369" t="str">
        <f>IF(B668="SI","SI","NO")</f>
        <v>NO</v>
      </c>
      <c r="D668" s="1028" t="s">
        <v>8281</v>
      </c>
      <c r="E668" s="447" t="s">
        <v>8107</v>
      </c>
      <c r="F668" s="1034" t="s">
        <v>8530</v>
      </c>
      <c r="G668" s="1034" t="s">
        <v>1027</v>
      </c>
      <c r="H668" s="88">
        <f>INDEX(IN_COexp!$A$3:$AAA$270,MATCH($G668,IN_COexp!$A$3:$A$270,0),MATCH(H$1,IN_COexp!$A$3:$AAA$3,0))</f>
        <v>0</v>
      </c>
      <c r="I668" s="88">
        <f>INDEX(IN_COexp!$A$3:$AAA$270,MATCH($G668,IN_COexp!$A$3:$A$270,0),MATCH(I$1,IN_COexp!$A$3:$AAA$3,0))</f>
        <v>0</v>
      </c>
      <c r="J668" s="88">
        <f>INDEX(IN_COexp!$A$3:$AAA$270,MATCH($G668,IN_COexp!$A$3:$A$270,0),MATCH(J$1,IN_COexp!$A$3:$AAA$3,0))</f>
        <v>0</v>
      </c>
    </row>
    <row r="669" spans="1:10" x14ac:dyDescent="0.2">
      <c r="A669" s="86" t="s">
        <v>7669</v>
      </c>
      <c r="B669" s="1067" t="s">
        <v>105</v>
      </c>
      <c r="C669" s="1037" t="s">
        <v>219</v>
      </c>
      <c r="D669" s="1028" t="s">
        <v>8281</v>
      </c>
      <c r="E669" s="447" t="s">
        <v>376</v>
      </c>
      <c r="F669" s="1034" t="s">
        <v>8530</v>
      </c>
      <c r="G669" s="1034" t="s">
        <v>2178</v>
      </c>
      <c r="H669" s="88">
        <f>INDEX(IN_COexp!$A$3:$AAA$270,MATCH($G669,IN_COexp!$A$3:$A$270,0),MATCH(H$1,IN_COexp!$A$3:$AAA$3,0))</f>
        <v>0</v>
      </c>
      <c r="I669" s="88">
        <f>INDEX(IN_COexp!$A$3:$AAA$270,MATCH($G669,IN_COexp!$A$3:$A$270,0),MATCH(I$1,IN_COexp!$A$3:$AAA$3,0))</f>
        <v>0</v>
      </c>
      <c r="J669" s="88">
        <f>INDEX(IN_COexp!$A$3:$AAA$270,MATCH($G669,IN_COexp!$A$3:$A$270,0),MATCH(J$1,IN_COexp!$A$3:$AAA$3,0))</f>
        <v>0</v>
      </c>
    </row>
    <row r="670" spans="1:10" x14ac:dyDescent="0.2">
      <c r="A670" s="86" t="s">
        <v>7670</v>
      </c>
      <c r="B670" s="447" t="str">
        <f>IN_Anagrafica!$B$9</f>
        <v>NO</v>
      </c>
      <c r="C670" s="369" t="str">
        <f>IF(B670="SI","SI","NO")</f>
        <v>NO</v>
      </c>
      <c r="D670" s="1028" t="s">
        <v>8281</v>
      </c>
      <c r="E670" s="447" t="s">
        <v>379</v>
      </c>
      <c r="F670" s="1034" t="s">
        <v>8530</v>
      </c>
      <c r="G670" s="1034" t="s">
        <v>2179</v>
      </c>
      <c r="H670" s="88">
        <f>INDEX(IN_COexp!$A$3:$AAA$270,MATCH($G670,IN_COexp!$A$3:$A$270,0),MATCH(H$1,IN_COexp!$A$3:$AAA$3,0))</f>
        <v>0</v>
      </c>
      <c r="I670" s="88">
        <f>INDEX(IN_COexp!$A$3:$AAA$270,MATCH($G670,IN_COexp!$A$3:$A$270,0),MATCH(I$1,IN_COexp!$A$3:$AAA$3,0))</f>
        <v>0</v>
      </c>
      <c r="J670" s="88">
        <f>INDEX(IN_COexp!$A$3:$AAA$270,MATCH($G670,IN_COexp!$A$3:$A$270,0),MATCH(J$1,IN_COexp!$A$3:$AAA$3,0))</f>
        <v>0</v>
      </c>
    </row>
    <row r="671" spans="1:10" x14ac:dyDescent="0.2">
      <c r="A671" s="86" t="s">
        <v>7671</v>
      </c>
      <c r="B671" s="1067" t="s">
        <v>105</v>
      </c>
      <c r="C671" s="1037" t="s">
        <v>219</v>
      </c>
      <c r="D671" s="1028" t="s">
        <v>8281</v>
      </c>
      <c r="E671" s="447" t="s">
        <v>390</v>
      </c>
      <c r="F671" s="1034" t="s">
        <v>8530</v>
      </c>
      <c r="G671" s="1034" t="s">
        <v>2169</v>
      </c>
      <c r="H671" s="88">
        <f>INDEX(IN_COexp!$A$3:$AAA$270,MATCH($G671,IN_COexp!$A$3:$A$270,0),MATCH(H$1,IN_COexp!$A$3:$AAA$3,0))</f>
        <v>0</v>
      </c>
      <c r="I671" s="88">
        <f>INDEX(IN_COexp!$A$3:$AAA$270,MATCH($G671,IN_COexp!$A$3:$A$270,0),MATCH(I$1,IN_COexp!$A$3:$AAA$3,0))</f>
        <v>0</v>
      </c>
      <c r="J671" s="88">
        <f>INDEX(IN_COexp!$A$3:$AAA$270,MATCH($G671,IN_COexp!$A$3:$A$270,0),MATCH(J$1,IN_COexp!$A$3:$AAA$3,0))</f>
        <v>0</v>
      </c>
    </row>
    <row r="672" spans="1:10" x14ac:dyDescent="0.2">
      <c r="A672" s="86" t="s">
        <v>7672</v>
      </c>
      <c r="B672" s="447" t="str">
        <f>IN_Anagrafica!$B$9</f>
        <v>NO</v>
      </c>
      <c r="C672" s="369" t="str">
        <f>IF(B672="SI","SI","NO")</f>
        <v>NO</v>
      </c>
      <c r="D672" s="1028" t="s">
        <v>8281</v>
      </c>
      <c r="E672" s="447" t="s">
        <v>393</v>
      </c>
      <c r="F672" s="1034" t="s">
        <v>8530</v>
      </c>
      <c r="G672" s="1034" t="s">
        <v>2170</v>
      </c>
      <c r="H672" s="88">
        <f>INDEX(IN_COexp!$A$3:$AAA$270,MATCH($G672,IN_COexp!$A$3:$A$270,0),MATCH(H$1,IN_COexp!$A$3:$AAA$3,0))</f>
        <v>0</v>
      </c>
      <c r="I672" s="88">
        <f>INDEX(IN_COexp!$A$3:$AAA$270,MATCH($G672,IN_COexp!$A$3:$A$270,0),MATCH(I$1,IN_COexp!$A$3:$AAA$3,0))</f>
        <v>0</v>
      </c>
      <c r="J672" s="88">
        <f>INDEX(IN_COexp!$A$3:$AAA$270,MATCH($G672,IN_COexp!$A$3:$A$270,0),MATCH(J$1,IN_COexp!$A$3:$AAA$3,0))</f>
        <v>0</v>
      </c>
    </row>
    <row r="673" spans="1:10" x14ac:dyDescent="0.2">
      <c r="A673" s="86" t="s">
        <v>7673</v>
      </c>
      <c r="B673" s="1067" t="s">
        <v>105</v>
      </c>
      <c r="C673" s="1037" t="s">
        <v>219</v>
      </c>
      <c r="D673" s="1028" t="s">
        <v>8281</v>
      </c>
      <c r="E673" s="447" t="s">
        <v>296</v>
      </c>
      <c r="F673" s="1034" t="s">
        <v>8530</v>
      </c>
      <c r="G673" s="1034" t="s">
        <v>2210</v>
      </c>
      <c r="H673" s="88">
        <f>INDEX(IN_COexp!$A$3:$AAA$270,MATCH($G673,IN_COexp!$A$3:$A$270,0),MATCH(H$1,IN_COexp!$A$3:$AAA$3,0))</f>
        <v>0</v>
      </c>
      <c r="I673" s="88">
        <f>INDEX(IN_COexp!$A$3:$AAA$270,MATCH($G673,IN_COexp!$A$3:$A$270,0),MATCH(I$1,IN_COexp!$A$3:$AAA$3,0))</f>
        <v>0</v>
      </c>
      <c r="J673" s="88">
        <f>INDEX(IN_COexp!$A$3:$AAA$270,MATCH($G673,IN_COexp!$A$3:$A$270,0),MATCH(J$1,IN_COexp!$A$3:$AAA$3,0))</f>
        <v>0</v>
      </c>
    </row>
    <row r="674" spans="1:10" x14ac:dyDescent="0.2">
      <c r="A674" s="86" t="s">
        <v>7674</v>
      </c>
      <c r="B674" s="447" t="str">
        <f>IN_Anagrafica!$B$9</f>
        <v>NO</v>
      </c>
      <c r="C674" s="369" t="str">
        <f>IF(B674="SI","SI","NO")</f>
        <v>NO</v>
      </c>
      <c r="D674" s="1028" t="s">
        <v>8281</v>
      </c>
      <c r="E674" s="447" t="s">
        <v>398</v>
      </c>
      <c r="F674" s="1034" t="s">
        <v>8530</v>
      </c>
      <c r="G674" s="1034" t="s">
        <v>2211</v>
      </c>
      <c r="H674" s="88">
        <f>INDEX(IN_COexp!$A$3:$AAA$270,MATCH($G674,IN_COexp!$A$3:$A$270,0),MATCH(H$1,IN_COexp!$A$3:$AAA$3,0))</f>
        <v>0</v>
      </c>
      <c r="I674" s="88">
        <f>INDEX(IN_COexp!$A$3:$AAA$270,MATCH($G674,IN_COexp!$A$3:$A$270,0),MATCH(I$1,IN_COexp!$A$3:$AAA$3,0))</f>
        <v>0</v>
      </c>
      <c r="J674" s="88">
        <f>INDEX(IN_COexp!$A$3:$AAA$270,MATCH($G674,IN_COexp!$A$3:$A$270,0),MATCH(J$1,IN_COexp!$A$3:$AAA$3,0))</f>
        <v>0</v>
      </c>
    </row>
    <row r="675" spans="1:10" x14ac:dyDescent="0.2">
      <c r="A675" s="86" t="s">
        <v>7675</v>
      </c>
      <c r="B675" s="1067" t="s">
        <v>105</v>
      </c>
      <c r="C675" s="1037" t="s">
        <v>219</v>
      </c>
      <c r="D675" s="1028" t="s">
        <v>8281</v>
      </c>
      <c r="E675" s="447" t="s">
        <v>400</v>
      </c>
      <c r="F675" s="1034" t="s">
        <v>8530</v>
      </c>
      <c r="G675" s="1034" t="s">
        <v>2219</v>
      </c>
      <c r="H675" s="88">
        <f>INDEX(IN_COexp!$A$3:$AAA$270,MATCH($G675,IN_COexp!$A$3:$A$270,0),MATCH(H$1,IN_COexp!$A$3:$AAA$3,0))</f>
        <v>0</v>
      </c>
      <c r="I675" s="88">
        <f>INDEX(IN_COexp!$A$3:$AAA$270,MATCH($G675,IN_COexp!$A$3:$A$270,0),MATCH(I$1,IN_COexp!$A$3:$AAA$3,0))</f>
        <v>0</v>
      </c>
      <c r="J675" s="88">
        <f>INDEX(IN_COexp!$A$3:$AAA$270,MATCH($G675,IN_COexp!$A$3:$A$270,0),MATCH(J$1,IN_COexp!$A$3:$AAA$3,0))</f>
        <v>0</v>
      </c>
    </row>
    <row r="676" spans="1:10" x14ac:dyDescent="0.2">
      <c r="A676" s="86" t="s">
        <v>7676</v>
      </c>
      <c r="B676" s="447" t="str">
        <f>IN_Anagrafica!$B$9</f>
        <v>NO</v>
      </c>
      <c r="C676" s="369" t="str">
        <f>IF(B676="SI","SI","NO")</f>
        <v>NO</v>
      </c>
      <c r="D676" s="1028" t="s">
        <v>8281</v>
      </c>
      <c r="E676" s="447" t="s">
        <v>8287</v>
      </c>
      <c r="F676" s="1034" t="s">
        <v>8530</v>
      </c>
      <c r="G676" s="1034" t="s">
        <v>2220</v>
      </c>
      <c r="H676" s="88">
        <f>INDEX(IN_COexp!$A$3:$AAA$270,MATCH($G676,IN_COexp!$A$3:$A$270,0),MATCH(H$1,IN_COexp!$A$3:$AAA$3,0))</f>
        <v>0</v>
      </c>
      <c r="I676" s="88">
        <f>INDEX(IN_COexp!$A$3:$AAA$270,MATCH($G676,IN_COexp!$A$3:$A$270,0),MATCH(I$1,IN_COexp!$A$3:$AAA$3,0))</f>
        <v>0</v>
      </c>
      <c r="J676" s="88">
        <f>INDEX(IN_COexp!$A$3:$AAA$270,MATCH($G676,IN_COexp!$A$3:$A$270,0),MATCH(J$1,IN_COexp!$A$3:$AAA$3,0))</f>
        <v>0</v>
      </c>
    </row>
    <row r="677" spans="1:10" x14ac:dyDescent="0.2">
      <c r="A677" s="86" t="s">
        <v>7677</v>
      </c>
      <c r="B677" s="1067" t="s">
        <v>105</v>
      </c>
      <c r="C677" s="1037" t="s">
        <v>219</v>
      </c>
      <c r="D677" s="1028" t="s">
        <v>8281</v>
      </c>
      <c r="E677" s="447" t="s">
        <v>401</v>
      </c>
      <c r="F677" s="1034" t="s">
        <v>8530</v>
      </c>
      <c r="G677" s="1034" t="s">
        <v>2228</v>
      </c>
      <c r="H677" s="88">
        <f>INDEX(IN_COexp!$A$3:$AAA$270,MATCH($G677,IN_COexp!$A$3:$A$270,0),MATCH(H$1,IN_COexp!$A$3:$AAA$3,0))</f>
        <v>0</v>
      </c>
      <c r="I677" s="88">
        <f>INDEX(IN_COexp!$A$3:$AAA$270,MATCH($G677,IN_COexp!$A$3:$A$270,0),MATCH(I$1,IN_COexp!$A$3:$AAA$3,0))</f>
        <v>0</v>
      </c>
      <c r="J677" s="88">
        <f>INDEX(IN_COexp!$A$3:$AAA$270,MATCH($G677,IN_COexp!$A$3:$A$270,0),MATCH(J$1,IN_COexp!$A$3:$AAA$3,0))</f>
        <v>0</v>
      </c>
    </row>
    <row r="678" spans="1:10" x14ac:dyDescent="0.2">
      <c r="A678" s="86" t="s">
        <v>7678</v>
      </c>
      <c r="B678" s="447" t="str">
        <f>IN_Anagrafica!$B$9</f>
        <v>NO</v>
      </c>
      <c r="C678" s="369" t="str">
        <f>IF(B678="SI","SI","NO")</f>
        <v>NO</v>
      </c>
      <c r="D678" s="1028" t="s">
        <v>8281</v>
      </c>
      <c r="E678" s="447" t="s">
        <v>449</v>
      </c>
      <c r="F678" s="1034" t="s">
        <v>8530</v>
      </c>
      <c r="G678" s="1034" t="s">
        <v>2229</v>
      </c>
      <c r="H678" s="88">
        <f>INDEX(IN_COexp!$A$3:$AAA$270,MATCH($G678,IN_COexp!$A$3:$A$270,0),MATCH(H$1,IN_COexp!$A$3:$AAA$3,0))</f>
        <v>0</v>
      </c>
      <c r="I678" s="88">
        <f>INDEX(IN_COexp!$A$3:$AAA$270,MATCH($G678,IN_COexp!$A$3:$A$270,0),MATCH(I$1,IN_COexp!$A$3:$AAA$3,0))</f>
        <v>0</v>
      </c>
      <c r="J678" s="88">
        <f>INDEX(IN_COexp!$A$3:$AAA$270,MATCH($G678,IN_COexp!$A$3:$A$270,0),MATCH(J$1,IN_COexp!$A$3:$AAA$3,0))</f>
        <v>0</v>
      </c>
    </row>
    <row r="679" spans="1:10" x14ac:dyDescent="0.2">
      <c r="A679" s="86" t="s">
        <v>7679</v>
      </c>
      <c r="B679" s="1067" t="s">
        <v>105</v>
      </c>
      <c r="C679" s="1037" t="s">
        <v>219</v>
      </c>
      <c r="D679" s="1028" t="s">
        <v>8281</v>
      </c>
      <c r="E679" s="447" t="s">
        <v>403</v>
      </c>
      <c r="F679" s="1034" t="s">
        <v>8530</v>
      </c>
      <c r="G679" s="1034" t="s">
        <v>2237</v>
      </c>
      <c r="H679" s="88">
        <f>INDEX(IN_COexp!$A$3:$AAA$270,MATCH($G679,IN_COexp!$A$3:$A$270,0),MATCH(H$1,IN_COexp!$A$3:$AAA$3,0))</f>
        <v>0</v>
      </c>
      <c r="I679" s="88">
        <f>INDEX(IN_COexp!$A$3:$AAA$270,MATCH($G679,IN_COexp!$A$3:$A$270,0),MATCH(I$1,IN_COexp!$A$3:$AAA$3,0))</f>
        <v>0</v>
      </c>
      <c r="J679" s="88">
        <f>INDEX(IN_COexp!$A$3:$AAA$270,MATCH($G679,IN_COexp!$A$3:$A$270,0),MATCH(J$1,IN_COexp!$A$3:$AAA$3,0))</f>
        <v>0</v>
      </c>
    </row>
    <row r="680" spans="1:10" x14ac:dyDescent="0.2">
      <c r="A680" s="86" t="s">
        <v>7680</v>
      </c>
      <c r="B680" s="447" t="str">
        <f>IN_Anagrafica!$B$9</f>
        <v>NO</v>
      </c>
      <c r="C680" s="369" t="str">
        <f>IF(B680="SI","SI","NO")</f>
        <v>NO</v>
      </c>
      <c r="D680" s="1028" t="s">
        <v>8281</v>
      </c>
      <c r="E680" s="447" t="s">
        <v>404</v>
      </c>
      <c r="F680" s="1034" t="s">
        <v>8530</v>
      </c>
      <c r="G680" s="1034" t="s">
        <v>2238</v>
      </c>
      <c r="H680" s="88">
        <f>INDEX(IN_COexp!$A$3:$AAA$270,MATCH($G680,IN_COexp!$A$3:$A$270,0),MATCH(H$1,IN_COexp!$A$3:$AAA$3,0))</f>
        <v>0</v>
      </c>
      <c r="I680" s="88">
        <f>INDEX(IN_COexp!$A$3:$AAA$270,MATCH($G680,IN_COexp!$A$3:$A$270,0),MATCH(I$1,IN_COexp!$A$3:$AAA$3,0))</f>
        <v>0</v>
      </c>
      <c r="J680" s="88">
        <f>INDEX(IN_COexp!$A$3:$AAA$270,MATCH($G680,IN_COexp!$A$3:$A$270,0),MATCH(J$1,IN_COexp!$A$3:$AAA$3,0))</f>
        <v>0</v>
      </c>
    </row>
    <row r="681" spans="1:10" x14ac:dyDescent="0.2">
      <c r="A681" s="86" t="s">
        <v>7681</v>
      </c>
      <c r="B681" s="1067" t="s">
        <v>105</v>
      </c>
      <c r="C681" s="1037" t="s">
        <v>219</v>
      </c>
      <c r="D681" s="1028" t="s">
        <v>8281</v>
      </c>
      <c r="E681" s="447" t="s">
        <v>297</v>
      </c>
      <c r="F681" s="1034" t="s">
        <v>8530</v>
      </c>
      <c r="G681" s="1034" t="s">
        <v>2282</v>
      </c>
      <c r="H681" s="88">
        <f>INDEX(IN_COexp!$A$3:$AAA$270,MATCH($G681,IN_COexp!$A$3:$A$270,0),MATCH(H$1,IN_COexp!$A$3:$AAA$3,0))</f>
        <v>0</v>
      </c>
      <c r="I681" s="88">
        <f>INDEX(IN_COexp!$A$3:$AAA$270,MATCH($G681,IN_COexp!$A$3:$A$270,0),MATCH(I$1,IN_COexp!$A$3:$AAA$3,0))</f>
        <v>0</v>
      </c>
      <c r="J681" s="88">
        <f>INDEX(IN_COexp!$A$3:$AAA$270,MATCH($G681,IN_COexp!$A$3:$A$270,0),MATCH(J$1,IN_COexp!$A$3:$AAA$3,0))</f>
        <v>0</v>
      </c>
    </row>
    <row r="682" spans="1:10" x14ac:dyDescent="0.2">
      <c r="A682" s="86" t="s">
        <v>7682</v>
      </c>
      <c r="B682" s="447" t="str">
        <f>IN_Anagrafica!$B$9</f>
        <v>NO</v>
      </c>
      <c r="C682" s="369" t="str">
        <f>IF(B682="SI","SI","NO")</f>
        <v>NO</v>
      </c>
      <c r="D682" s="1028" t="s">
        <v>8281</v>
      </c>
      <c r="E682" s="447" t="s">
        <v>657</v>
      </c>
      <c r="F682" s="1034" t="s">
        <v>8530</v>
      </c>
      <c r="G682" s="1034" t="s">
        <v>2283</v>
      </c>
      <c r="H682" s="88">
        <f>INDEX(IN_COexp!$A$3:$AAA$270,MATCH($G682,IN_COexp!$A$3:$A$270,0),MATCH(H$1,IN_COexp!$A$3:$AAA$3,0))</f>
        <v>0</v>
      </c>
      <c r="I682" s="88">
        <f>INDEX(IN_COexp!$A$3:$AAA$270,MATCH($G682,IN_COexp!$A$3:$A$270,0),MATCH(I$1,IN_COexp!$A$3:$AAA$3,0))</f>
        <v>0</v>
      </c>
      <c r="J682" s="88">
        <f>INDEX(IN_COexp!$A$3:$AAA$270,MATCH($G682,IN_COexp!$A$3:$A$270,0),MATCH(J$1,IN_COexp!$A$3:$AAA$3,0))</f>
        <v>0</v>
      </c>
    </row>
    <row r="683" spans="1:10" x14ac:dyDescent="0.2">
      <c r="A683" s="86" t="s">
        <v>7683</v>
      </c>
      <c r="B683" s="1067" t="s">
        <v>105</v>
      </c>
      <c r="C683" s="1037" t="s">
        <v>219</v>
      </c>
      <c r="D683" s="1028" t="s">
        <v>8281</v>
      </c>
      <c r="E683" s="447" t="s">
        <v>659</v>
      </c>
      <c r="F683" s="1034" t="s">
        <v>8530</v>
      </c>
      <c r="G683" s="1034" t="s">
        <v>2291</v>
      </c>
      <c r="H683" s="88">
        <f>INDEX(IN_COexp!$A$3:$AAA$270,MATCH($G683,IN_COexp!$A$3:$A$270,0),MATCH(H$1,IN_COexp!$A$3:$AAA$3,0))</f>
        <v>0</v>
      </c>
      <c r="I683" s="88">
        <f>INDEX(IN_COexp!$A$3:$AAA$270,MATCH($G683,IN_COexp!$A$3:$A$270,0),MATCH(I$1,IN_COexp!$A$3:$AAA$3,0))</f>
        <v>0</v>
      </c>
      <c r="J683" s="88">
        <f>INDEX(IN_COexp!$A$3:$AAA$270,MATCH($G683,IN_COexp!$A$3:$A$270,0),MATCH(J$1,IN_COexp!$A$3:$AAA$3,0))</f>
        <v>0</v>
      </c>
    </row>
    <row r="684" spans="1:10" x14ac:dyDescent="0.2">
      <c r="A684" s="86" t="s">
        <v>7684</v>
      </c>
      <c r="B684" s="447" t="str">
        <f>IN_Anagrafica!$B$9</f>
        <v>NO</v>
      </c>
      <c r="C684" s="369" t="str">
        <f>IF(B684="SI","SI","NO")</f>
        <v>NO</v>
      </c>
      <c r="D684" s="1028" t="s">
        <v>8281</v>
      </c>
      <c r="E684" s="447" t="s">
        <v>8288</v>
      </c>
      <c r="F684" s="1034" t="s">
        <v>8530</v>
      </c>
      <c r="G684" s="1034" t="s">
        <v>2292</v>
      </c>
      <c r="H684" s="88">
        <f>INDEX(IN_COexp!$A$3:$AAA$270,MATCH($G684,IN_COexp!$A$3:$A$270,0),MATCH(H$1,IN_COexp!$A$3:$AAA$3,0))</f>
        <v>0</v>
      </c>
      <c r="I684" s="88">
        <f>INDEX(IN_COexp!$A$3:$AAA$270,MATCH($G684,IN_COexp!$A$3:$A$270,0),MATCH(I$1,IN_COexp!$A$3:$AAA$3,0))</f>
        <v>0</v>
      </c>
      <c r="J684" s="88">
        <f>INDEX(IN_COexp!$A$3:$AAA$270,MATCH($G684,IN_COexp!$A$3:$A$270,0),MATCH(J$1,IN_COexp!$A$3:$AAA$3,0))</f>
        <v>0</v>
      </c>
    </row>
    <row r="685" spans="1:10" x14ac:dyDescent="0.2">
      <c r="A685" s="86" t="s">
        <v>7685</v>
      </c>
      <c r="B685" s="1067" t="s">
        <v>105</v>
      </c>
      <c r="C685" s="1037" t="s">
        <v>219</v>
      </c>
      <c r="D685" s="1028" t="s">
        <v>8281</v>
      </c>
      <c r="E685" s="447" t="s">
        <v>8289</v>
      </c>
      <c r="F685" s="1034" t="s">
        <v>8530</v>
      </c>
      <c r="G685" s="1034" t="s">
        <v>2300</v>
      </c>
      <c r="H685" s="88">
        <f>INDEX(IN_COexp!$A$3:$AAA$270,MATCH($G685,IN_COexp!$A$3:$A$270,0),MATCH(H$1,IN_COexp!$A$3:$AAA$3,0))</f>
        <v>0</v>
      </c>
      <c r="I685" s="88">
        <f>INDEX(IN_COexp!$A$3:$AAA$270,MATCH($G685,IN_COexp!$A$3:$A$270,0),MATCH(I$1,IN_COexp!$A$3:$AAA$3,0))</f>
        <v>0</v>
      </c>
      <c r="J685" s="88">
        <f>INDEX(IN_COexp!$A$3:$AAA$270,MATCH($G685,IN_COexp!$A$3:$A$270,0),MATCH(J$1,IN_COexp!$A$3:$AAA$3,0))</f>
        <v>0</v>
      </c>
    </row>
    <row r="686" spans="1:10" x14ac:dyDescent="0.2">
      <c r="A686" s="86" t="s">
        <v>7686</v>
      </c>
      <c r="B686" s="447" t="str">
        <f>IN_Anagrafica!$B$9</f>
        <v>NO</v>
      </c>
      <c r="C686" s="369" t="str">
        <f>IF(B686="SI","SI","NO")</f>
        <v>NO</v>
      </c>
      <c r="D686" s="1028" t="s">
        <v>8281</v>
      </c>
      <c r="E686" s="447" t="s">
        <v>8290</v>
      </c>
      <c r="F686" s="1034" t="s">
        <v>8530</v>
      </c>
      <c r="G686" s="1034" t="s">
        <v>2301</v>
      </c>
      <c r="H686" s="88">
        <f>INDEX(IN_COexp!$A$3:$AAA$270,MATCH($G686,IN_COexp!$A$3:$A$270,0),MATCH(H$1,IN_COexp!$A$3:$AAA$3,0))</f>
        <v>0</v>
      </c>
      <c r="I686" s="88">
        <f>INDEX(IN_COexp!$A$3:$AAA$270,MATCH($G686,IN_COexp!$A$3:$A$270,0),MATCH(I$1,IN_COexp!$A$3:$AAA$3,0))</f>
        <v>0</v>
      </c>
      <c r="J686" s="88">
        <f>INDEX(IN_COexp!$A$3:$AAA$270,MATCH($G686,IN_COexp!$A$3:$A$270,0),MATCH(J$1,IN_COexp!$A$3:$AAA$3,0))</f>
        <v>0</v>
      </c>
    </row>
    <row r="687" spans="1:10" x14ac:dyDescent="0.2">
      <c r="A687" s="86" t="s">
        <v>7687</v>
      </c>
      <c r="B687" s="1067" t="s">
        <v>105</v>
      </c>
      <c r="C687" s="1037" t="s">
        <v>219</v>
      </c>
      <c r="D687" s="1028" t="s">
        <v>8281</v>
      </c>
      <c r="E687" s="447" t="s">
        <v>8291</v>
      </c>
      <c r="F687" s="1034" t="s">
        <v>8530</v>
      </c>
      <c r="G687" s="1034" t="s">
        <v>2309</v>
      </c>
      <c r="H687" s="88">
        <f>INDEX(IN_COexp!$A$3:$AAA$270,MATCH($G687,IN_COexp!$A$3:$A$270,0),MATCH(H$1,IN_COexp!$A$3:$AAA$3,0))</f>
        <v>0</v>
      </c>
      <c r="I687" s="88">
        <f>INDEX(IN_COexp!$A$3:$AAA$270,MATCH($G687,IN_COexp!$A$3:$A$270,0),MATCH(I$1,IN_COexp!$A$3:$AAA$3,0))</f>
        <v>0</v>
      </c>
      <c r="J687" s="88">
        <f>INDEX(IN_COexp!$A$3:$AAA$270,MATCH($G687,IN_COexp!$A$3:$A$270,0),MATCH(J$1,IN_COexp!$A$3:$AAA$3,0))</f>
        <v>0</v>
      </c>
    </row>
    <row r="688" spans="1:10" x14ac:dyDescent="0.2">
      <c r="A688" s="86" t="s">
        <v>7688</v>
      </c>
      <c r="B688" s="447" t="str">
        <f>IN_Anagrafica!$B$9</f>
        <v>NO</v>
      </c>
      <c r="C688" s="369" t="str">
        <f>IF(B688="SI","SI","NO")</f>
        <v>NO</v>
      </c>
      <c r="D688" s="1028" t="s">
        <v>8281</v>
      </c>
      <c r="E688" s="447" t="s">
        <v>8292</v>
      </c>
      <c r="F688" s="1034" t="s">
        <v>8530</v>
      </c>
      <c r="G688" s="1034" t="s">
        <v>2310</v>
      </c>
      <c r="H688" s="88">
        <f>INDEX(IN_COexp!$A$3:$AAA$270,MATCH($G688,IN_COexp!$A$3:$A$270,0),MATCH(H$1,IN_COexp!$A$3:$AAA$3,0))</f>
        <v>0</v>
      </c>
      <c r="I688" s="88">
        <f>INDEX(IN_COexp!$A$3:$AAA$270,MATCH($G688,IN_COexp!$A$3:$A$270,0),MATCH(I$1,IN_COexp!$A$3:$AAA$3,0))</f>
        <v>0</v>
      </c>
      <c r="J688" s="88">
        <f>INDEX(IN_COexp!$A$3:$AAA$270,MATCH($G688,IN_COexp!$A$3:$A$270,0),MATCH(J$1,IN_COexp!$A$3:$AAA$3,0))</f>
        <v>0</v>
      </c>
    </row>
    <row r="689" spans="1:10" x14ac:dyDescent="0.2">
      <c r="A689" s="86" t="s">
        <v>7689</v>
      </c>
      <c r="B689" s="1067" t="s">
        <v>105</v>
      </c>
      <c r="C689" s="1037" t="s">
        <v>219</v>
      </c>
      <c r="D689" s="1028" t="s">
        <v>8281</v>
      </c>
      <c r="E689" s="447" t="s">
        <v>709</v>
      </c>
      <c r="F689" s="1034" t="s">
        <v>8530</v>
      </c>
      <c r="G689" s="1034" t="s">
        <v>1062</v>
      </c>
      <c r="H689" s="88">
        <f>INDEX(IN_COexp!$A$3:$AAA$270,MATCH($G689,IN_COexp!$A$3:$A$270,0),MATCH(H$1,IN_COexp!$A$3:$AAA$3,0))</f>
        <v>0</v>
      </c>
      <c r="I689" s="88">
        <f>INDEX(IN_COexp!$A$3:$AAA$270,MATCH($G689,IN_COexp!$A$3:$A$270,0),MATCH(I$1,IN_COexp!$A$3:$AAA$3,0))</f>
        <v>0</v>
      </c>
      <c r="J689" s="88">
        <f>INDEX(IN_COexp!$A$3:$AAA$270,MATCH($G689,IN_COexp!$A$3:$A$270,0),MATCH(J$1,IN_COexp!$A$3:$AAA$3,0))</f>
        <v>0</v>
      </c>
    </row>
    <row r="690" spans="1:10" x14ac:dyDescent="0.2">
      <c r="A690" s="86" t="s">
        <v>7690</v>
      </c>
      <c r="B690" s="447" t="str">
        <f>IN_Anagrafica!$B$9</f>
        <v>NO</v>
      </c>
      <c r="C690" s="369" t="str">
        <f>IF(B690="SI","SI","NO")</f>
        <v>NO</v>
      </c>
      <c r="D690" s="1028" t="s">
        <v>8281</v>
      </c>
      <c r="E690" s="447" t="s">
        <v>658</v>
      </c>
      <c r="F690" s="1034" t="s">
        <v>8530</v>
      </c>
      <c r="G690" s="1034" t="s">
        <v>1063</v>
      </c>
      <c r="H690" s="88">
        <f>INDEX(IN_COexp!$A$3:$AAA$270,MATCH($G690,IN_COexp!$A$3:$A$270,0),MATCH(H$1,IN_COexp!$A$3:$AAA$3,0))</f>
        <v>0</v>
      </c>
      <c r="I690" s="88">
        <f>INDEX(IN_COexp!$A$3:$AAA$270,MATCH($G690,IN_COexp!$A$3:$A$270,0),MATCH(I$1,IN_COexp!$A$3:$AAA$3,0))</f>
        <v>0</v>
      </c>
      <c r="J690" s="88">
        <f>INDEX(IN_COexp!$A$3:$AAA$270,MATCH($G690,IN_COexp!$A$3:$A$270,0),MATCH(J$1,IN_COexp!$A$3:$AAA$3,0))</f>
        <v>0</v>
      </c>
    </row>
    <row r="691" spans="1:10" x14ac:dyDescent="0.2">
      <c r="A691" s="86" t="s">
        <v>7691</v>
      </c>
      <c r="B691" s="1067" t="s">
        <v>105</v>
      </c>
      <c r="C691" s="1037" t="s">
        <v>219</v>
      </c>
      <c r="D691" s="1028" t="s">
        <v>8281</v>
      </c>
      <c r="E691" s="447" t="s">
        <v>660</v>
      </c>
      <c r="F691" s="1034" t="s">
        <v>8530</v>
      </c>
      <c r="G691" s="1034" t="s">
        <v>1035</v>
      </c>
      <c r="H691" s="88">
        <f>INDEX(IN_COexp!$A$3:$AAA$270,MATCH($G691,IN_COexp!$A$3:$A$270,0),MATCH(H$1,IN_COexp!$A$3:$AAA$3,0))</f>
        <v>0</v>
      </c>
      <c r="I691" s="88">
        <f>INDEX(IN_COexp!$A$3:$AAA$270,MATCH($G691,IN_COexp!$A$3:$A$270,0),MATCH(I$1,IN_COexp!$A$3:$AAA$3,0))</f>
        <v>0</v>
      </c>
      <c r="J691" s="88">
        <f>INDEX(IN_COexp!$A$3:$AAA$270,MATCH($G691,IN_COexp!$A$3:$A$270,0),MATCH(J$1,IN_COexp!$A$3:$AAA$3,0))</f>
        <v>0</v>
      </c>
    </row>
    <row r="692" spans="1:10" x14ac:dyDescent="0.2">
      <c r="A692" s="86" t="s">
        <v>7692</v>
      </c>
      <c r="B692" s="447" t="str">
        <f>IN_Anagrafica!$B$9</f>
        <v>NO</v>
      </c>
      <c r="C692" s="369" t="str">
        <f>IF(B692="SI","SI","NO")</f>
        <v>NO</v>
      </c>
      <c r="D692" s="1028" t="s">
        <v>8281</v>
      </c>
      <c r="E692" s="447" t="s">
        <v>8293</v>
      </c>
      <c r="F692" s="1034" t="s">
        <v>8530</v>
      </c>
      <c r="G692" s="1034" t="s">
        <v>1036</v>
      </c>
      <c r="H692" s="88">
        <f>INDEX(IN_COexp!$A$3:$AAA$270,MATCH($G692,IN_COexp!$A$3:$A$270,0),MATCH(H$1,IN_COexp!$A$3:$AAA$3,0))</f>
        <v>0</v>
      </c>
      <c r="I692" s="88">
        <f>INDEX(IN_COexp!$A$3:$AAA$270,MATCH($G692,IN_COexp!$A$3:$A$270,0),MATCH(I$1,IN_COexp!$A$3:$AAA$3,0))</f>
        <v>0</v>
      </c>
      <c r="J692" s="88">
        <f>INDEX(IN_COexp!$A$3:$AAA$270,MATCH($G692,IN_COexp!$A$3:$A$270,0),MATCH(J$1,IN_COexp!$A$3:$AAA$3,0))</f>
        <v>0</v>
      </c>
    </row>
    <row r="693" spans="1:10" x14ac:dyDescent="0.2">
      <c r="A693" s="86" t="s">
        <v>7693</v>
      </c>
      <c r="B693" s="1067" t="s">
        <v>105</v>
      </c>
      <c r="C693" s="1037" t="s">
        <v>219</v>
      </c>
      <c r="D693" s="1028" t="s">
        <v>8281</v>
      </c>
      <c r="E693" s="447" t="s">
        <v>8294</v>
      </c>
      <c r="F693" s="1034" t="s">
        <v>8530</v>
      </c>
      <c r="G693" s="1034" t="s">
        <v>2355</v>
      </c>
      <c r="H693" s="88">
        <f>INDEX(IN_COexp!$A$3:$AAA$270,MATCH($G693,IN_COexp!$A$3:$A$270,0),MATCH(H$1,IN_COexp!$A$3:$AAA$3,0))</f>
        <v>0</v>
      </c>
      <c r="I693" s="88">
        <f>INDEX(IN_COexp!$A$3:$AAA$270,MATCH($G693,IN_COexp!$A$3:$A$270,0),MATCH(I$1,IN_COexp!$A$3:$AAA$3,0))</f>
        <v>0</v>
      </c>
      <c r="J693" s="88">
        <f>INDEX(IN_COexp!$A$3:$AAA$270,MATCH($G693,IN_COexp!$A$3:$A$270,0),MATCH(J$1,IN_COexp!$A$3:$AAA$3,0))</f>
        <v>0</v>
      </c>
    </row>
    <row r="694" spans="1:10" x14ac:dyDescent="0.2">
      <c r="A694" s="86" t="s">
        <v>7694</v>
      </c>
      <c r="B694" s="447" t="str">
        <f>IN_Anagrafica!$B$9</f>
        <v>NO</v>
      </c>
      <c r="C694" s="369" t="str">
        <f>IF(B694="SI","SI","NO")</f>
        <v>NO</v>
      </c>
      <c r="D694" s="1028" t="s">
        <v>8281</v>
      </c>
      <c r="E694" s="447" t="s">
        <v>8113</v>
      </c>
      <c r="F694" s="1034" t="s">
        <v>8530</v>
      </c>
      <c r="G694" s="1034" t="s">
        <v>2356</v>
      </c>
      <c r="H694" s="88">
        <f>INDEX(IN_COexp!$A$3:$AAA$270,MATCH($G694,IN_COexp!$A$3:$A$270,0),MATCH(H$1,IN_COexp!$A$3:$AAA$3,0))</f>
        <v>0</v>
      </c>
      <c r="I694" s="88">
        <f>INDEX(IN_COexp!$A$3:$AAA$270,MATCH($G694,IN_COexp!$A$3:$A$270,0),MATCH(I$1,IN_COexp!$A$3:$AAA$3,0))</f>
        <v>0</v>
      </c>
      <c r="J694" s="88">
        <f>INDEX(IN_COexp!$A$3:$AAA$270,MATCH($G694,IN_COexp!$A$3:$A$270,0),MATCH(J$1,IN_COexp!$A$3:$AAA$3,0))</f>
        <v>0</v>
      </c>
    </row>
    <row r="695" spans="1:10" x14ac:dyDescent="0.2">
      <c r="A695" s="86" t="s">
        <v>7695</v>
      </c>
      <c r="B695" s="1067" t="s">
        <v>105</v>
      </c>
      <c r="C695" s="1037" t="s">
        <v>219</v>
      </c>
      <c r="D695" s="1028" t="s">
        <v>8281</v>
      </c>
      <c r="E695" s="447" t="s">
        <v>8114</v>
      </c>
      <c r="F695" s="1034" t="s">
        <v>8530</v>
      </c>
      <c r="G695" s="1034" t="s">
        <v>2364</v>
      </c>
      <c r="H695" s="88">
        <f>INDEX(IN_COexp!$A$3:$AAA$270,MATCH($G695,IN_COexp!$A$3:$A$270,0),MATCH(H$1,IN_COexp!$A$3:$AAA$3,0))</f>
        <v>0</v>
      </c>
      <c r="I695" s="88">
        <f>INDEX(IN_COexp!$A$3:$AAA$270,MATCH($G695,IN_COexp!$A$3:$A$270,0),MATCH(I$1,IN_COexp!$A$3:$AAA$3,0))</f>
        <v>0</v>
      </c>
      <c r="J695" s="88">
        <f>INDEX(IN_COexp!$A$3:$AAA$270,MATCH($G695,IN_COexp!$A$3:$A$270,0),MATCH(J$1,IN_COexp!$A$3:$AAA$3,0))</f>
        <v>0</v>
      </c>
    </row>
    <row r="696" spans="1:10" x14ac:dyDescent="0.2">
      <c r="A696" s="86" t="s">
        <v>7696</v>
      </c>
      <c r="B696" s="447" t="str">
        <f>IN_Anagrafica!$B$9</f>
        <v>NO</v>
      </c>
      <c r="C696" s="369" t="str">
        <f>IF(B696="SI","SI","NO")</f>
        <v>NO</v>
      </c>
      <c r="D696" s="1028" t="s">
        <v>8281</v>
      </c>
      <c r="E696" s="447" t="s">
        <v>8295</v>
      </c>
      <c r="F696" s="1034" t="s">
        <v>8530</v>
      </c>
      <c r="G696" s="1034" t="s">
        <v>2365</v>
      </c>
      <c r="H696" s="88">
        <f>INDEX(IN_COexp!$A$3:$AAA$270,MATCH($G696,IN_COexp!$A$3:$A$270,0),MATCH(H$1,IN_COexp!$A$3:$AAA$3,0))</f>
        <v>0</v>
      </c>
      <c r="I696" s="88">
        <f>INDEX(IN_COexp!$A$3:$AAA$270,MATCH($G696,IN_COexp!$A$3:$A$270,0),MATCH(I$1,IN_COexp!$A$3:$AAA$3,0))</f>
        <v>0</v>
      </c>
      <c r="J696" s="88">
        <f>INDEX(IN_COexp!$A$3:$AAA$270,MATCH($G696,IN_COexp!$A$3:$A$270,0),MATCH(J$1,IN_COexp!$A$3:$AAA$3,0))</f>
        <v>0</v>
      </c>
    </row>
    <row r="697" spans="1:10" x14ac:dyDescent="0.2">
      <c r="A697" s="86" t="s">
        <v>7697</v>
      </c>
      <c r="B697" s="1067" t="s">
        <v>105</v>
      </c>
      <c r="C697" s="1037" t="s">
        <v>219</v>
      </c>
      <c r="D697" s="1028" t="s">
        <v>8281</v>
      </c>
      <c r="E697" s="447" t="s">
        <v>667</v>
      </c>
      <c r="F697" s="1034" t="s">
        <v>8530</v>
      </c>
      <c r="G697" s="1034" t="s">
        <v>1047</v>
      </c>
      <c r="H697" s="88">
        <f>INDEX(IN_COexp!$A$3:$AAA$270,MATCH($G697,IN_COexp!$A$3:$A$270,0),MATCH(H$1,IN_COexp!$A$3:$AAA$3,0))</f>
        <v>0</v>
      </c>
      <c r="I697" s="88">
        <f>INDEX(IN_COexp!$A$3:$AAA$270,MATCH($G697,IN_COexp!$A$3:$A$270,0),MATCH(I$1,IN_COexp!$A$3:$AAA$3,0))</f>
        <v>0</v>
      </c>
      <c r="J697" s="88">
        <f>INDEX(IN_COexp!$A$3:$AAA$270,MATCH($G697,IN_COexp!$A$3:$A$270,0),MATCH(J$1,IN_COexp!$A$3:$AAA$3,0))</f>
        <v>0</v>
      </c>
    </row>
    <row r="698" spans="1:10" x14ac:dyDescent="0.2">
      <c r="A698" s="86" t="s">
        <v>7698</v>
      </c>
      <c r="B698" s="447" t="str">
        <f>IN_Anagrafica!$B$9</f>
        <v>NO</v>
      </c>
      <c r="C698" s="369" t="str">
        <f>IF(B698="SI","SI","NO")</f>
        <v>NO</v>
      </c>
      <c r="D698" s="1028" t="s">
        <v>8281</v>
      </c>
      <c r="E698" s="447" t="s">
        <v>671</v>
      </c>
      <c r="F698" s="1034" t="s">
        <v>8530</v>
      </c>
      <c r="G698" s="1034" t="s">
        <v>1048</v>
      </c>
      <c r="H698" s="88">
        <f>INDEX(IN_COexp!$A$3:$AAA$270,MATCH($G698,IN_COexp!$A$3:$A$270,0),MATCH(H$1,IN_COexp!$A$3:$AAA$3,0))</f>
        <v>0</v>
      </c>
      <c r="I698" s="88">
        <f>INDEX(IN_COexp!$A$3:$AAA$270,MATCH($G698,IN_COexp!$A$3:$A$270,0),MATCH(I$1,IN_COexp!$A$3:$AAA$3,0))</f>
        <v>0</v>
      </c>
      <c r="J698" s="88">
        <f>INDEX(IN_COexp!$A$3:$AAA$270,MATCH($G698,IN_COexp!$A$3:$A$270,0),MATCH(J$1,IN_COexp!$A$3:$AAA$3,0))</f>
        <v>0</v>
      </c>
    </row>
    <row r="699" spans="1:10" x14ac:dyDescent="0.2">
      <c r="A699" s="86" t="s">
        <v>7699</v>
      </c>
      <c r="B699" s="1067" t="s">
        <v>105</v>
      </c>
      <c r="C699" s="1037" t="s">
        <v>219</v>
      </c>
      <c r="D699" s="1028" t="s">
        <v>8281</v>
      </c>
      <c r="E699" s="447" t="s">
        <v>8296</v>
      </c>
      <c r="F699" s="1034" t="s">
        <v>8530</v>
      </c>
      <c r="G699" s="1034" t="s">
        <v>1020</v>
      </c>
      <c r="H699" s="88">
        <f>INDEX(IN_COexp!$A$3:$AAA$270,MATCH($G699,IN_COexp!$A$3:$A$270,0),MATCH(H$1,IN_COexp!$A$3:$AAA$3,0))</f>
        <v>0</v>
      </c>
      <c r="I699" s="88">
        <f>INDEX(IN_COexp!$A$3:$AAA$270,MATCH($G699,IN_COexp!$A$3:$A$270,0),MATCH(I$1,IN_COexp!$A$3:$AAA$3,0))</f>
        <v>0</v>
      </c>
      <c r="J699" s="88">
        <f>INDEX(IN_COexp!$A$3:$AAA$270,MATCH($G699,IN_COexp!$A$3:$A$270,0),MATCH(J$1,IN_COexp!$A$3:$AAA$3,0))</f>
        <v>0</v>
      </c>
    </row>
    <row r="700" spans="1:10" x14ac:dyDescent="0.2">
      <c r="A700" s="86" t="s">
        <v>7700</v>
      </c>
      <c r="B700" s="447" t="str">
        <f>IN_Anagrafica!$B$9</f>
        <v>NO</v>
      </c>
      <c r="C700" s="369" t="str">
        <f>IF(B700="SI","SI","NO")</f>
        <v>NO</v>
      </c>
      <c r="D700" s="1028" t="s">
        <v>8281</v>
      </c>
      <c r="E700" s="447" t="s">
        <v>8297</v>
      </c>
      <c r="F700" s="1034" t="s">
        <v>8530</v>
      </c>
      <c r="G700" s="1034" t="s">
        <v>1021</v>
      </c>
      <c r="H700" s="88">
        <f>INDEX(IN_COexp!$A$3:$AAA$270,MATCH($G700,IN_COexp!$A$3:$A$270,0),MATCH(H$1,IN_COexp!$A$3:$AAA$3,0))</f>
        <v>0</v>
      </c>
      <c r="I700" s="88">
        <f>INDEX(IN_COexp!$A$3:$AAA$270,MATCH($G700,IN_COexp!$A$3:$A$270,0),MATCH(I$1,IN_COexp!$A$3:$AAA$3,0))</f>
        <v>0</v>
      </c>
      <c r="J700" s="88">
        <f>INDEX(IN_COexp!$A$3:$AAA$270,MATCH($G700,IN_COexp!$A$3:$A$270,0),MATCH(J$1,IN_COexp!$A$3:$AAA$3,0))</f>
        <v>0</v>
      </c>
    </row>
    <row r="701" spans="1:10" x14ac:dyDescent="0.2">
      <c r="A701" s="86" t="s">
        <v>7701</v>
      </c>
      <c r="B701" s="1067" t="s">
        <v>105</v>
      </c>
      <c r="C701" s="1037" t="s">
        <v>219</v>
      </c>
      <c r="D701" s="1028" t="s">
        <v>8281</v>
      </c>
      <c r="E701" s="447" t="s">
        <v>8298</v>
      </c>
      <c r="F701" s="1034" t="s">
        <v>8530</v>
      </c>
      <c r="G701" s="1034" t="s">
        <v>2137</v>
      </c>
      <c r="H701" s="88">
        <f>INDEX(IN_COexp!$A$3:$AAA$270,MATCH($G701,IN_COexp!$A$3:$A$270,0),MATCH(H$1,IN_COexp!$A$3:$AAA$3,0))</f>
        <v>0</v>
      </c>
      <c r="I701" s="88">
        <f>INDEX(IN_COexp!$A$3:$AAA$270,MATCH($G701,IN_COexp!$A$3:$A$270,0),MATCH(I$1,IN_COexp!$A$3:$AAA$3,0))</f>
        <v>0</v>
      </c>
      <c r="J701" s="88">
        <f>INDEX(IN_COexp!$A$3:$AAA$270,MATCH($G701,IN_COexp!$A$3:$A$270,0),MATCH(J$1,IN_COexp!$A$3:$AAA$3,0))</f>
        <v>0</v>
      </c>
    </row>
    <row r="702" spans="1:10" x14ac:dyDescent="0.2">
      <c r="A702" s="86" t="s">
        <v>7702</v>
      </c>
      <c r="B702" s="447" t="str">
        <f>IN_Anagrafica!$B$9</f>
        <v>NO</v>
      </c>
      <c r="C702" s="369" t="str">
        <f>IF(B702="SI","SI","NO")</f>
        <v>NO</v>
      </c>
      <c r="D702" s="1028" t="s">
        <v>8281</v>
      </c>
      <c r="E702" s="447" t="s">
        <v>8299</v>
      </c>
      <c r="F702" s="1034" t="s">
        <v>8530</v>
      </c>
      <c r="G702" s="1034" t="s">
        <v>2138</v>
      </c>
      <c r="H702" s="88">
        <f>INDEX(IN_COexp!$A$3:$AAA$270,MATCH($G702,IN_COexp!$A$3:$A$270,0),MATCH(H$1,IN_COexp!$A$3:$AAA$3,0))</f>
        <v>0</v>
      </c>
      <c r="I702" s="88">
        <f>INDEX(IN_COexp!$A$3:$AAA$270,MATCH($G702,IN_COexp!$A$3:$A$270,0),MATCH(I$1,IN_COexp!$A$3:$AAA$3,0))</f>
        <v>0</v>
      </c>
      <c r="J702" s="88">
        <f>INDEX(IN_COexp!$A$3:$AAA$270,MATCH($G702,IN_COexp!$A$3:$A$270,0),MATCH(J$1,IN_COexp!$A$3:$AAA$3,0))</f>
        <v>0</v>
      </c>
    </row>
    <row r="703" spans="1:10" x14ac:dyDescent="0.2">
      <c r="A703" s="86" t="s">
        <v>7703</v>
      </c>
      <c r="B703" s="1067" t="s">
        <v>105</v>
      </c>
      <c r="C703" s="1037" t="s">
        <v>219</v>
      </c>
      <c r="D703" s="1028" t="s">
        <v>8281</v>
      </c>
      <c r="E703" s="447" t="s">
        <v>8300</v>
      </c>
      <c r="F703" s="1034" t="s">
        <v>8530</v>
      </c>
      <c r="G703" s="1034" t="s">
        <v>2146</v>
      </c>
      <c r="H703" s="88">
        <f>INDEX(IN_COexp!$A$3:$AAA$270,MATCH($G703,IN_COexp!$A$3:$A$270,0),MATCH(H$1,IN_COexp!$A$3:$AAA$3,0))</f>
        <v>0</v>
      </c>
      <c r="I703" s="88">
        <f>INDEX(IN_COexp!$A$3:$AAA$270,MATCH($G703,IN_COexp!$A$3:$A$270,0),MATCH(I$1,IN_COexp!$A$3:$AAA$3,0))</f>
        <v>0</v>
      </c>
      <c r="J703" s="88">
        <f>INDEX(IN_COexp!$A$3:$AAA$270,MATCH($G703,IN_COexp!$A$3:$A$270,0),MATCH(J$1,IN_COexp!$A$3:$AAA$3,0))</f>
        <v>0</v>
      </c>
    </row>
    <row r="704" spans="1:10" x14ac:dyDescent="0.2">
      <c r="A704" s="86" t="s">
        <v>7704</v>
      </c>
      <c r="B704" s="447" t="str">
        <f>IN_Anagrafica!$B$9</f>
        <v>NO</v>
      </c>
      <c r="C704" s="369" t="str">
        <f>IF(B704="SI","SI","NO")</f>
        <v>NO</v>
      </c>
      <c r="D704" s="1028" t="s">
        <v>8281</v>
      </c>
      <c r="E704" s="447" t="s">
        <v>8301</v>
      </c>
      <c r="F704" s="1034" t="s">
        <v>8530</v>
      </c>
      <c r="G704" s="1034" t="s">
        <v>2147</v>
      </c>
      <c r="H704" s="88">
        <f>INDEX(IN_COexp!$A$3:$AAA$270,MATCH($G704,IN_COexp!$A$3:$A$270,0),MATCH(H$1,IN_COexp!$A$3:$AAA$3,0))</f>
        <v>0</v>
      </c>
      <c r="I704" s="88">
        <f>INDEX(IN_COexp!$A$3:$AAA$270,MATCH($G704,IN_COexp!$A$3:$A$270,0),MATCH(I$1,IN_COexp!$A$3:$AAA$3,0))</f>
        <v>0</v>
      </c>
      <c r="J704" s="88">
        <f>INDEX(IN_COexp!$A$3:$AAA$270,MATCH($G704,IN_COexp!$A$3:$A$270,0),MATCH(J$1,IN_COexp!$A$3:$AAA$3,0))</f>
        <v>0</v>
      </c>
    </row>
    <row r="705" spans="1:10" x14ac:dyDescent="0.2">
      <c r="A705" s="86" t="s">
        <v>7705</v>
      </c>
      <c r="B705" s="1067" t="s">
        <v>105</v>
      </c>
      <c r="C705" s="1037" t="s">
        <v>219</v>
      </c>
      <c r="D705" s="1028" t="s">
        <v>8281</v>
      </c>
      <c r="E705" s="447" t="s">
        <v>8221</v>
      </c>
      <c r="F705" s="1034" t="s">
        <v>8530</v>
      </c>
      <c r="G705" s="1034" t="s">
        <v>1056</v>
      </c>
      <c r="H705" s="88">
        <f>INDEX(IN_COexp!$A$3:$AAA$270,MATCH($G705,IN_COexp!$A$3:$A$270,0),MATCH(H$1,IN_COexp!$A$3:$AAA$3,0))</f>
        <v>0</v>
      </c>
      <c r="I705" s="88">
        <f>INDEX(IN_COexp!$A$3:$AAA$270,MATCH($G705,IN_COexp!$A$3:$A$270,0),MATCH(I$1,IN_COexp!$A$3:$AAA$3,0))</f>
        <v>0</v>
      </c>
      <c r="J705" s="88">
        <f>INDEX(IN_COexp!$A$3:$AAA$270,MATCH($G705,IN_COexp!$A$3:$A$270,0),MATCH(J$1,IN_COexp!$A$3:$AAA$3,0))</f>
        <v>0</v>
      </c>
    </row>
    <row r="706" spans="1:10" x14ac:dyDescent="0.2">
      <c r="A706" s="86" t="s">
        <v>7706</v>
      </c>
      <c r="B706" s="447" t="str">
        <f>IN_Anagrafica!$B$9</f>
        <v>NO</v>
      </c>
      <c r="C706" s="369" t="str">
        <f>IF(B706="SI","SI","NO")</f>
        <v>NO</v>
      </c>
      <c r="D706" s="1028" t="s">
        <v>8281</v>
      </c>
      <c r="E706" s="447" t="s">
        <v>8223</v>
      </c>
      <c r="F706" s="1034" t="s">
        <v>8530</v>
      </c>
      <c r="G706" s="1034" t="s">
        <v>1057</v>
      </c>
      <c r="H706" s="88">
        <f>INDEX(IN_COexp!$A$3:$AAA$270,MATCH($G706,IN_COexp!$A$3:$A$270,0),MATCH(H$1,IN_COexp!$A$3:$AAA$3,0))</f>
        <v>0</v>
      </c>
      <c r="I706" s="88">
        <f>INDEX(IN_COexp!$A$3:$AAA$270,MATCH($G706,IN_COexp!$A$3:$A$270,0),MATCH(I$1,IN_COexp!$A$3:$AAA$3,0))</f>
        <v>0</v>
      </c>
      <c r="J706" s="88">
        <f>INDEX(IN_COexp!$A$3:$AAA$270,MATCH($G706,IN_COexp!$A$3:$A$270,0),MATCH(J$1,IN_COexp!$A$3:$AAA$3,0))</f>
        <v>0</v>
      </c>
    </row>
    <row r="707" spans="1:10" x14ac:dyDescent="0.2">
      <c r="A707" s="86" t="s">
        <v>7707</v>
      </c>
      <c r="B707" s="1067" t="s">
        <v>105</v>
      </c>
      <c r="C707" s="1037" t="s">
        <v>219</v>
      </c>
      <c r="D707" s="1028" t="s">
        <v>8281</v>
      </c>
      <c r="E707" s="447" t="s">
        <v>8302</v>
      </c>
      <c r="F707" s="1034" t="s">
        <v>8530</v>
      </c>
      <c r="G707" s="1034" t="s">
        <v>1029</v>
      </c>
      <c r="H707" s="88">
        <f>INDEX(IN_COexp!$A$3:$AAA$270,MATCH($G707,IN_COexp!$A$3:$A$270,0),MATCH(H$1,IN_COexp!$A$3:$AAA$3,0))</f>
        <v>0</v>
      </c>
      <c r="I707" s="88">
        <f>INDEX(IN_COexp!$A$3:$AAA$270,MATCH($G707,IN_COexp!$A$3:$A$270,0),MATCH(I$1,IN_COexp!$A$3:$AAA$3,0))</f>
        <v>0</v>
      </c>
      <c r="J707" s="88">
        <f>INDEX(IN_COexp!$A$3:$AAA$270,MATCH($G707,IN_COexp!$A$3:$A$270,0),MATCH(J$1,IN_COexp!$A$3:$AAA$3,0))</f>
        <v>0</v>
      </c>
    </row>
    <row r="708" spans="1:10" x14ac:dyDescent="0.2">
      <c r="A708" s="86" t="s">
        <v>7708</v>
      </c>
      <c r="B708" s="447" t="str">
        <f>IN_Anagrafica!$B$9</f>
        <v>NO</v>
      </c>
      <c r="C708" s="369" t="str">
        <f>IF(B708="SI","SI","NO")</f>
        <v>NO</v>
      </c>
      <c r="D708" s="1028" t="s">
        <v>8281</v>
      </c>
      <c r="E708" s="447" t="s">
        <v>8303</v>
      </c>
      <c r="F708" s="1034" t="s">
        <v>8530</v>
      </c>
      <c r="G708" s="1034" t="s">
        <v>1030</v>
      </c>
      <c r="H708" s="88">
        <f>INDEX(IN_COexp!$A$3:$AAA$270,MATCH($G708,IN_COexp!$A$3:$A$270,0),MATCH(H$1,IN_COexp!$A$3:$AAA$3,0))</f>
        <v>0</v>
      </c>
      <c r="I708" s="88">
        <f>INDEX(IN_COexp!$A$3:$AAA$270,MATCH($G708,IN_COexp!$A$3:$A$270,0),MATCH(I$1,IN_COexp!$A$3:$AAA$3,0))</f>
        <v>0</v>
      </c>
      <c r="J708" s="88">
        <f>INDEX(IN_COexp!$A$3:$AAA$270,MATCH($G708,IN_COexp!$A$3:$A$270,0),MATCH(J$1,IN_COexp!$A$3:$AAA$3,0))</f>
        <v>0</v>
      </c>
    </row>
    <row r="709" spans="1:10" x14ac:dyDescent="0.2">
      <c r="A709" s="86" t="s">
        <v>7709</v>
      </c>
      <c r="B709" s="1067" t="s">
        <v>105</v>
      </c>
      <c r="C709" s="1037" t="s">
        <v>219</v>
      </c>
      <c r="D709" s="1028" t="s">
        <v>8281</v>
      </c>
      <c r="E709" s="447" t="s">
        <v>8304</v>
      </c>
      <c r="F709" s="1034" t="s">
        <v>8530</v>
      </c>
      <c r="G709" s="1034" t="s">
        <v>2181</v>
      </c>
      <c r="H709" s="88">
        <f>INDEX(IN_COexp!$A$3:$AAA$270,MATCH($G709,IN_COexp!$A$3:$A$270,0),MATCH(H$1,IN_COexp!$A$3:$AAA$3,0))</f>
        <v>0</v>
      </c>
      <c r="I709" s="88">
        <f>INDEX(IN_COexp!$A$3:$AAA$270,MATCH($G709,IN_COexp!$A$3:$A$270,0),MATCH(I$1,IN_COexp!$A$3:$AAA$3,0))</f>
        <v>0</v>
      </c>
      <c r="J709" s="88">
        <f>INDEX(IN_COexp!$A$3:$AAA$270,MATCH($G709,IN_COexp!$A$3:$A$270,0),MATCH(J$1,IN_COexp!$A$3:$AAA$3,0))</f>
        <v>0</v>
      </c>
    </row>
    <row r="710" spans="1:10" x14ac:dyDescent="0.2">
      <c r="A710" s="86" t="s">
        <v>7710</v>
      </c>
      <c r="B710" s="447" t="str">
        <f>IN_Anagrafica!$B$9</f>
        <v>NO</v>
      </c>
      <c r="C710" s="369" t="str">
        <f>IF(B710="SI","SI","NO")</f>
        <v>NO</v>
      </c>
      <c r="D710" s="1028" t="s">
        <v>8281</v>
      </c>
      <c r="E710" s="447" t="s">
        <v>8305</v>
      </c>
      <c r="F710" s="1034" t="s">
        <v>8530</v>
      </c>
      <c r="G710" s="1034" t="s">
        <v>2182</v>
      </c>
      <c r="H710" s="88">
        <f>INDEX(IN_COexp!$A$3:$AAA$270,MATCH($G710,IN_COexp!$A$3:$A$270,0),MATCH(H$1,IN_COexp!$A$3:$AAA$3,0))</f>
        <v>0</v>
      </c>
      <c r="I710" s="88">
        <f>INDEX(IN_COexp!$A$3:$AAA$270,MATCH($G710,IN_COexp!$A$3:$A$270,0),MATCH(I$1,IN_COexp!$A$3:$AAA$3,0))</f>
        <v>0</v>
      </c>
      <c r="J710" s="88">
        <f>INDEX(IN_COexp!$A$3:$AAA$270,MATCH($G710,IN_COexp!$A$3:$A$270,0),MATCH(J$1,IN_COexp!$A$3:$AAA$3,0))</f>
        <v>0</v>
      </c>
    </row>
    <row r="711" spans="1:10" x14ac:dyDescent="0.2">
      <c r="A711" s="86" t="s">
        <v>7711</v>
      </c>
      <c r="B711" s="1067" t="s">
        <v>105</v>
      </c>
      <c r="C711" s="1037" t="s">
        <v>219</v>
      </c>
      <c r="D711" s="1028" t="s">
        <v>8281</v>
      </c>
      <c r="E711" s="447" t="s">
        <v>8306</v>
      </c>
      <c r="F711" s="1034" t="s">
        <v>8530</v>
      </c>
      <c r="G711" s="1034" t="s">
        <v>2172</v>
      </c>
      <c r="H711" s="88">
        <f>INDEX(IN_COexp!$A$3:$AAA$270,MATCH($G711,IN_COexp!$A$3:$A$270,0),MATCH(H$1,IN_COexp!$A$3:$AAA$3,0))</f>
        <v>0</v>
      </c>
      <c r="I711" s="88">
        <f>INDEX(IN_COexp!$A$3:$AAA$270,MATCH($G711,IN_COexp!$A$3:$A$270,0),MATCH(I$1,IN_COexp!$A$3:$AAA$3,0))</f>
        <v>0</v>
      </c>
      <c r="J711" s="88">
        <f>INDEX(IN_COexp!$A$3:$AAA$270,MATCH($G711,IN_COexp!$A$3:$A$270,0),MATCH(J$1,IN_COexp!$A$3:$AAA$3,0))</f>
        <v>0</v>
      </c>
    </row>
    <row r="712" spans="1:10" x14ac:dyDescent="0.2">
      <c r="A712" s="86" t="s">
        <v>7712</v>
      </c>
      <c r="B712" s="447" t="str">
        <f>IN_Anagrafica!$B$9</f>
        <v>NO</v>
      </c>
      <c r="C712" s="369" t="str">
        <f>IF(B712="SI","SI","NO")</f>
        <v>NO</v>
      </c>
      <c r="D712" s="1028" t="s">
        <v>8281</v>
      </c>
      <c r="E712" s="447" t="s">
        <v>8307</v>
      </c>
      <c r="F712" s="1034" t="s">
        <v>8530</v>
      </c>
      <c r="G712" s="1034" t="s">
        <v>2173</v>
      </c>
      <c r="H712" s="88">
        <f>INDEX(IN_COexp!$A$3:$AAA$270,MATCH($G712,IN_COexp!$A$3:$A$270,0),MATCH(H$1,IN_COexp!$A$3:$AAA$3,0))</f>
        <v>0</v>
      </c>
      <c r="I712" s="88">
        <f>INDEX(IN_COexp!$A$3:$AAA$270,MATCH($G712,IN_COexp!$A$3:$A$270,0),MATCH(I$1,IN_COexp!$A$3:$AAA$3,0))</f>
        <v>0</v>
      </c>
      <c r="J712" s="88">
        <f>INDEX(IN_COexp!$A$3:$AAA$270,MATCH($G712,IN_COexp!$A$3:$A$270,0),MATCH(J$1,IN_COexp!$A$3:$AAA$3,0))</f>
        <v>0</v>
      </c>
    </row>
    <row r="713" spans="1:10" x14ac:dyDescent="0.2">
      <c r="A713" s="86" t="s">
        <v>7713</v>
      </c>
      <c r="B713" s="1067" t="s">
        <v>105</v>
      </c>
      <c r="C713" s="1037" t="s">
        <v>219</v>
      </c>
      <c r="D713" s="1028" t="s">
        <v>8281</v>
      </c>
      <c r="E713" s="447" t="s">
        <v>298</v>
      </c>
      <c r="F713" s="1034" t="s">
        <v>8530</v>
      </c>
      <c r="G713" s="1034" t="s">
        <v>2213</v>
      </c>
      <c r="H713" s="88">
        <f>INDEX(IN_COexp!$A$3:$AAA$270,MATCH($G713,IN_COexp!$A$3:$A$270,0),MATCH(H$1,IN_COexp!$A$3:$AAA$3,0))</f>
        <v>534862</v>
      </c>
      <c r="I713" s="88">
        <f>INDEX(IN_COexp!$A$3:$AAA$270,MATCH($G713,IN_COexp!$A$3:$A$270,0),MATCH(I$1,IN_COexp!$A$3:$AAA$3,0))</f>
        <v>0</v>
      </c>
      <c r="J713" s="88">
        <f>INDEX(IN_COexp!$A$3:$AAA$270,MATCH($G713,IN_COexp!$A$3:$A$270,0),MATCH(J$1,IN_COexp!$A$3:$AAA$3,0))</f>
        <v>0</v>
      </c>
    </row>
    <row r="714" spans="1:10" x14ac:dyDescent="0.2">
      <c r="A714" s="86" t="s">
        <v>7714</v>
      </c>
      <c r="B714" s="447" t="str">
        <f>IN_Anagrafica!$B$9</f>
        <v>NO</v>
      </c>
      <c r="C714" s="369" t="str">
        <f>IF(B714="SI","SI","NO")</f>
        <v>NO</v>
      </c>
      <c r="D714" s="1028" t="s">
        <v>8281</v>
      </c>
      <c r="E714" s="447" t="s">
        <v>8115</v>
      </c>
      <c r="F714" s="1034" t="s">
        <v>8530</v>
      </c>
      <c r="G714" s="1034" t="s">
        <v>2214</v>
      </c>
      <c r="H714" s="88">
        <f>INDEX(IN_COexp!$A$3:$AAA$270,MATCH($G714,IN_COexp!$A$3:$A$270,0),MATCH(H$1,IN_COexp!$A$3:$AAA$3,0))</f>
        <v>0</v>
      </c>
      <c r="I714" s="88">
        <f>INDEX(IN_COexp!$A$3:$AAA$270,MATCH($G714,IN_COexp!$A$3:$A$270,0),MATCH(I$1,IN_COexp!$A$3:$AAA$3,0))</f>
        <v>0</v>
      </c>
      <c r="J714" s="88">
        <f>INDEX(IN_COexp!$A$3:$AAA$270,MATCH($G714,IN_COexp!$A$3:$A$270,0),MATCH(J$1,IN_COexp!$A$3:$AAA$3,0))</f>
        <v>0</v>
      </c>
    </row>
    <row r="715" spans="1:10" x14ac:dyDescent="0.2">
      <c r="A715" s="86" t="s">
        <v>7715</v>
      </c>
      <c r="B715" s="1067" t="s">
        <v>105</v>
      </c>
      <c r="C715" s="1037" t="s">
        <v>219</v>
      </c>
      <c r="D715" s="1028" t="s">
        <v>8281</v>
      </c>
      <c r="E715" s="447" t="s">
        <v>8116</v>
      </c>
      <c r="F715" s="1034" t="s">
        <v>8530</v>
      </c>
      <c r="G715" s="1034" t="s">
        <v>2222</v>
      </c>
      <c r="H715" s="88">
        <f>INDEX(IN_COexp!$A$3:$AAA$270,MATCH($G715,IN_COexp!$A$3:$A$270,0),MATCH(H$1,IN_COexp!$A$3:$AAA$3,0))</f>
        <v>0</v>
      </c>
      <c r="I715" s="88">
        <f>INDEX(IN_COexp!$A$3:$AAA$270,MATCH($G715,IN_COexp!$A$3:$A$270,0),MATCH(I$1,IN_COexp!$A$3:$AAA$3,0))</f>
        <v>0</v>
      </c>
      <c r="J715" s="88">
        <f>INDEX(IN_COexp!$A$3:$AAA$270,MATCH($G715,IN_COexp!$A$3:$A$270,0),MATCH(J$1,IN_COexp!$A$3:$AAA$3,0))</f>
        <v>0</v>
      </c>
    </row>
    <row r="716" spans="1:10" x14ac:dyDescent="0.2">
      <c r="A716" s="86" t="s">
        <v>7716</v>
      </c>
      <c r="B716" s="447" t="str">
        <f>IN_Anagrafica!$B$9</f>
        <v>NO</v>
      </c>
      <c r="C716" s="369" t="str">
        <f>IF(B716="SI","SI","NO")</f>
        <v>NO</v>
      </c>
      <c r="D716" s="1028" t="s">
        <v>8281</v>
      </c>
      <c r="E716" s="447" t="s">
        <v>8308</v>
      </c>
      <c r="F716" s="1034" t="s">
        <v>8530</v>
      </c>
      <c r="G716" s="1034" t="s">
        <v>2223</v>
      </c>
      <c r="H716" s="88">
        <f>INDEX(IN_COexp!$A$3:$AAA$270,MATCH($G716,IN_COexp!$A$3:$A$270,0),MATCH(H$1,IN_COexp!$A$3:$AAA$3,0))</f>
        <v>0</v>
      </c>
      <c r="I716" s="88">
        <f>INDEX(IN_COexp!$A$3:$AAA$270,MATCH($G716,IN_COexp!$A$3:$A$270,0),MATCH(I$1,IN_COexp!$A$3:$AAA$3,0))</f>
        <v>0</v>
      </c>
      <c r="J716" s="88">
        <f>INDEX(IN_COexp!$A$3:$AAA$270,MATCH($G716,IN_COexp!$A$3:$A$270,0),MATCH(J$1,IN_COexp!$A$3:$AAA$3,0))</f>
        <v>0</v>
      </c>
    </row>
    <row r="717" spans="1:10" x14ac:dyDescent="0.2">
      <c r="A717" s="86" t="s">
        <v>7717</v>
      </c>
      <c r="B717" s="1067" t="s">
        <v>105</v>
      </c>
      <c r="C717" s="1037" t="s">
        <v>219</v>
      </c>
      <c r="D717" s="1028" t="s">
        <v>8281</v>
      </c>
      <c r="E717" s="447" t="s">
        <v>8309</v>
      </c>
      <c r="F717" s="1034" t="s">
        <v>8530</v>
      </c>
      <c r="G717" s="1034" t="s">
        <v>2231</v>
      </c>
      <c r="H717" s="88">
        <f>INDEX(IN_COexp!$A$3:$AAA$270,MATCH($G717,IN_COexp!$A$3:$A$270,0),MATCH(H$1,IN_COexp!$A$3:$AAA$3,0))</f>
        <v>0</v>
      </c>
      <c r="I717" s="88">
        <f>INDEX(IN_COexp!$A$3:$AAA$270,MATCH($G717,IN_COexp!$A$3:$A$270,0),MATCH(I$1,IN_COexp!$A$3:$AAA$3,0))</f>
        <v>0</v>
      </c>
      <c r="J717" s="88">
        <f>INDEX(IN_COexp!$A$3:$AAA$270,MATCH($G717,IN_COexp!$A$3:$A$270,0),MATCH(J$1,IN_COexp!$A$3:$AAA$3,0))</f>
        <v>0</v>
      </c>
    </row>
    <row r="718" spans="1:10" x14ac:dyDescent="0.2">
      <c r="A718" s="86" t="s">
        <v>7718</v>
      </c>
      <c r="B718" s="447" t="str">
        <f>IN_Anagrafica!$B$9</f>
        <v>NO</v>
      </c>
      <c r="C718" s="369" t="str">
        <f>IF(B718="SI","SI","NO")</f>
        <v>NO</v>
      </c>
      <c r="D718" s="1028" t="s">
        <v>8281</v>
      </c>
      <c r="E718" s="447" t="s">
        <v>8310</v>
      </c>
      <c r="F718" s="1034" t="s">
        <v>8530</v>
      </c>
      <c r="G718" s="1034" t="s">
        <v>2232</v>
      </c>
      <c r="H718" s="88">
        <f>INDEX(IN_COexp!$A$3:$AAA$270,MATCH($G718,IN_COexp!$A$3:$A$270,0),MATCH(H$1,IN_COexp!$A$3:$AAA$3,0))</f>
        <v>0</v>
      </c>
      <c r="I718" s="88">
        <f>INDEX(IN_COexp!$A$3:$AAA$270,MATCH($G718,IN_COexp!$A$3:$A$270,0),MATCH(I$1,IN_COexp!$A$3:$AAA$3,0))</f>
        <v>0</v>
      </c>
      <c r="J718" s="88">
        <f>INDEX(IN_COexp!$A$3:$AAA$270,MATCH($G718,IN_COexp!$A$3:$A$270,0),MATCH(J$1,IN_COexp!$A$3:$AAA$3,0))</f>
        <v>0</v>
      </c>
    </row>
    <row r="719" spans="1:10" x14ac:dyDescent="0.2">
      <c r="A719" s="86" t="s">
        <v>7719</v>
      </c>
      <c r="B719" s="1067" t="s">
        <v>105</v>
      </c>
      <c r="C719" s="1037" t="s">
        <v>219</v>
      </c>
      <c r="D719" s="1028" t="s">
        <v>8281</v>
      </c>
      <c r="E719" s="447" t="s">
        <v>292</v>
      </c>
      <c r="F719" s="1034" t="s">
        <v>8530</v>
      </c>
      <c r="G719" s="1034" t="s">
        <v>2240</v>
      </c>
      <c r="H719" s="88">
        <f>INDEX(IN_COexp!$A$3:$AAA$270,MATCH($G719,IN_COexp!$A$3:$A$270,0),MATCH(H$1,IN_COexp!$A$3:$AAA$3,0))</f>
        <v>0</v>
      </c>
      <c r="I719" s="88">
        <f>INDEX(IN_COexp!$A$3:$AAA$270,MATCH($G719,IN_COexp!$A$3:$A$270,0),MATCH(I$1,IN_COexp!$A$3:$AAA$3,0))</f>
        <v>0</v>
      </c>
      <c r="J719" s="88">
        <f>INDEX(IN_COexp!$A$3:$AAA$270,MATCH($G719,IN_COexp!$A$3:$A$270,0),MATCH(J$1,IN_COexp!$A$3:$AAA$3,0))</f>
        <v>0</v>
      </c>
    </row>
    <row r="720" spans="1:10" x14ac:dyDescent="0.2">
      <c r="A720" s="86" t="s">
        <v>7720</v>
      </c>
      <c r="B720" s="447" t="str">
        <f>IN_Anagrafica!$B$9</f>
        <v>NO</v>
      </c>
      <c r="C720" s="369" t="str">
        <f>IF(B720="SI","SI","NO")</f>
        <v>NO</v>
      </c>
      <c r="D720" s="1028" t="s">
        <v>8281</v>
      </c>
      <c r="E720" s="447" t="s">
        <v>8311</v>
      </c>
      <c r="F720" s="1034" t="s">
        <v>8530</v>
      </c>
      <c r="G720" s="1034" t="s">
        <v>2241</v>
      </c>
      <c r="H720" s="88">
        <f>INDEX(IN_COexp!$A$3:$AAA$270,MATCH($G720,IN_COexp!$A$3:$A$270,0),MATCH(H$1,IN_COexp!$A$3:$AAA$3,0))</f>
        <v>0</v>
      </c>
      <c r="I720" s="88">
        <f>INDEX(IN_COexp!$A$3:$AAA$270,MATCH($G720,IN_COexp!$A$3:$A$270,0),MATCH(I$1,IN_COexp!$A$3:$AAA$3,0))</f>
        <v>0</v>
      </c>
      <c r="J720" s="88">
        <f>INDEX(IN_COexp!$A$3:$AAA$270,MATCH($G720,IN_COexp!$A$3:$A$270,0),MATCH(J$1,IN_COexp!$A$3:$AAA$3,0))</f>
        <v>0</v>
      </c>
    </row>
    <row r="721" spans="1:10" x14ac:dyDescent="0.2">
      <c r="A721" s="86" t="s">
        <v>7721</v>
      </c>
      <c r="B721" s="1067" t="s">
        <v>105</v>
      </c>
      <c r="C721" s="1037" t="s">
        <v>219</v>
      </c>
      <c r="D721" s="1028" t="s">
        <v>8281</v>
      </c>
      <c r="E721" s="447" t="s">
        <v>8312</v>
      </c>
      <c r="F721" s="1034" t="s">
        <v>8530</v>
      </c>
      <c r="G721" s="1034" t="s">
        <v>2285</v>
      </c>
      <c r="H721" s="88">
        <f>INDEX(IN_COexp!$A$3:$AAA$270,MATCH($G721,IN_COexp!$A$3:$A$270,0),MATCH(H$1,IN_COexp!$A$3:$AAA$3,0))</f>
        <v>0</v>
      </c>
      <c r="I721" s="88">
        <f>INDEX(IN_COexp!$A$3:$AAA$270,MATCH($G721,IN_COexp!$A$3:$A$270,0),MATCH(I$1,IN_COexp!$A$3:$AAA$3,0))</f>
        <v>0</v>
      </c>
      <c r="J721" s="88">
        <f>INDEX(IN_COexp!$A$3:$AAA$270,MATCH($G721,IN_COexp!$A$3:$A$270,0),MATCH(J$1,IN_COexp!$A$3:$AAA$3,0))</f>
        <v>0</v>
      </c>
    </row>
    <row r="722" spans="1:10" x14ac:dyDescent="0.2">
      <c r="A722" s="86" t="s">
        <v>7722</v>
      </c>
      <c r="B722" s="447" t="str">
        <f>IN_Anagrafica!$B$9</f>
        <v>NO</v>
      </c>
      <c r="C722" s="369" t="str">
        <f>IF(B722="SI","SI","NO")</f>
        <v>NO</v>
      </c>
      <c r="D722" s="1028" t="s">
        <v>8281</v>
      </c>
      <c r="E722" s="447" t="s">
        <v>8117</v>
      </c>
      <c r="F722" s="1034" t="s">
        <v>8530</v>
      </c>
      <c r="G722" s="1034" t="s">
        <v>2286</v>
      </c>
      <c r="H722" s="88">
        <f>INDEX(IN_COexp!$A$3:$AAA$270,MATCH($G722,IN_COexp!$A$3:$A$270,0),MATCH(H$1,IN_COexp!$A$3:$AAA$3,0))</f>
        <v>0</v>
      </c>
      <c r="I722" s="88">
        <f>INDEX(IN_COexp!$A$3:$AAA$270,MATCH($G722,IN_COexp!$A$3:$A$270,0),MATCH(I$1,IN_COexp!$A$3:$AAA$3,0))</f>
        <v>0</v>
      </c>
      <c r="J722" s="88">
        <f>INDEX(IN_COexp!$A$3:$AAA$270,MATCH($G722,IN_COexp!$A$3:$A$270,0),MATCH(J$1,IN_COexp!$A$3:$AAA$3,0))</f>
        <v>0</v>
      </c>
    </row>
    <row r="723" spans="1:10" x14ac:dyDescent="0.2">
      <c r="A723" s="86" t="s">
        <v>7723</v>
      </c>
      <c r="B723" s="1067" t="s">
        <v>105</v>
      </c>
      <c r="C723" s="1037" t="s">
        <v>219</v>
      </c>
      <c r="D723" s="1028" t="s">
        <v>8281</v>
      </c>
      <c r="E723" s="447" t="s">
        <v>8118</v>
      </c>
      <c r="F723" s="1034" t="s">
        <v>8530</v>
      </c>
      <c r="G723" s="1034" t="s">
        <v>2294</v>
      </c>
      <c r="H723" s="88">
        <f>INDEX(IN_COexp!$A$3:$AAA$270,MATCH($G723,IN_COexp!$A$3:$A$270,0),MATCH(H$1,IN_COexp!$A$3:$AAA$3,0))</f>
        <v>0</v>
      </c>
      <c r="I723" s="88">
        <f>INDEX(IN_COexp!$A$3:$AAA$270,MATCH($G723,IN_COexp!$A$3:$A$270,0),MATCH(I$1,IN_COexp!$A$3:$AAA$3,0))</f>
        <v>0</v>
      </c>
      <c r="J723" s="88">
        <f>INDEX(IN_COexp!$A$3:$AAA$270,MATCH($G723,IN_COexp!$A$3:$A$270,0),MATCH(J$1,IN_COexp!$A$3:$AAA$3,0))</f>
        <v>0</v>
      </c>
    </row>
    <row r="724" spans="1:10" x14ac:dyDescent="0.2">
      <c r="A724" s="86" t="s">
        <v>7724</v>
      </c>
      <c r="B724" s="447" t="str">
        <f>IN_Anagrafica!$B$9</f>
        <v>NO</v>
      </c>
      <c r="C724" s="369" t="str">
        <f>IF(B724="SI","SI","NO")</f>
        <v>NO</v>
      </c>
      <c r="D724" s="1028" t="s">
        <v>8281</v>
      </c>
      <c r="E724" s="447" t="s">
        <v>8313</v>
      </c>
      <c r="F724" s="1034" t="s">
        <v>8530</v>
      </c>
      <c r="G724" s="1034" t="s">
        <v>2295</v>
      </c>
      <c r="H724" s="88">
        <f>INDEX(IN_COexp!$A$3:$AAA$270,MATCH($G724,IN_COexp!$A$3:$A$270,0),MATCH(H$1,IN_COexp!$A$3:$AAA$3,0))</f>
        <v>0</v>
      </c>
      <c r="I724" s="88">
        <f>INDEX(IN_COexp!$A$3:$AAA$270,MATCH($G724,IN_COexp!$A$3:$A$270,0),MATCH(I$1,IN_COexp!$A$3:$AAA$3,0))</f>
        <v>0</v>
      </c>
      <c r="J724" s="88">
        <f>INDEX(IN_COexp!$A$3:$AAA$270,MATCH($G724,IN_COexp!$A$3:$A$270,0),MATCH(J$1,IN_COexp!$A$3:$AAA$3,0))</f>
        <v>0</v>
      </c>
    </row>
    <row r="725" spans="1:10" x14ac:dyDescent="0.2">
      <c r="A725" s="86" t="s">
        <v>7725</v>
      </c>
      <c r="B725" s="1067" t="s">
        <v>105</v>
      </c>
      <c r="C725" s="1037" t="s">
        <v>219</v>
      </c>
      <c r="D725" s="1028" t="s">
        <v>8281</v>
      </c>
      <c r="E725" s="447" t="s">
        <v>8314</v>
      </c>
      <c r="F725" s="1034" t="s">
        <v>8530</v>
      </c>
      <c r="G725" s="1034" t="s">
        <v>2303</v>
      </c>
      <c r="H725" s="88">
        <f>INDEX(IN_COexp!$A$3:$AAA$270,MATCH($G725,IN_COexp!$A$3:$A$270,0),MATCH(H$1,IN_COexp!$A$3:$AAA$3,0))</f>
        <v>0</v>
      </c>
      <c r="I725" s="88">
        <f>INDEX(IN_COexp!$A$3:$AAA$270,MATCH($G725,IN_COexp!$A$3:$A$270,0),MATCH(I$1,IN_COexp!$A$3:$AAA$3,0))</f>
        <v>0</v>
      </c>
      <c r="J725" s="88">
        <f>INDEX(IN_COexp!$A$3:$AAA$270,MATCH($G725,IN_COexp!$A$3:$A$270,0),MATCH(J$1,IN_COexp!$A$3:$AAA$3,0))</f>
        <v>0</v>
      </c>
    </row>
    <row r="726" spans="1:10" x14ac:dyDescent="0.2">
      <c r="A726" s="86" t="s">
        <v>7726</v>
      </c>
      <c r="B726" s="447" t="str">
        <f>IN_Anagrafica!$B$9</f>
        <v>NO</v>
      </c>
      <c r="C726" s="369" t="str">
        <f>IF(B726="SI","SI","NO")</f>
        <v>NO</v>
      </c>
      <c r="D726" s="1028" t="s">
        <v>8281</v>
      </c>
      <c r="E726" s="447" t="s">
        <v>8315</v>
      </c>
      <c r="F726" s="1034" t="s">
        <v>8530</v>
      </c>
      <c r="G726" s="1034" t="s">
        <v>2304</v>
      </c>
      <c r="H726" s="88">
        <f>INDEX(IN_COexp!$A$3:$AAA$270,MATCH($G726,IN_COexp!$A$3:$A$270,0),MATCH(H$1,IN_COexp!$A$3:$AAA$3,0))</f>
        <v>0</v>
      </c>
      <c r="I726" s="88">
        <f>INDEX(IN_COexp!$A$3:$AAA$270,MATCH($G726,IN_COexp!$A$3:$A$270,0),MATCH(I$1,IN_COexp!$A$3:$AAA$3,0))</f>
        <v>0</v>
      </c>
      <c r="J726" s="88">
        <f>INDEX(IN_COexp!$A$3:$AAA$270,MATCH($G726,IN_COexp!$A$3:$A$270,0),MATCH(J$1,IN_COexp!$A$3:$AAA$3,0))</f>
        <v>0</v>
      </c>
    </row>
    <row r="727" spans="1:10" x14ac:dyDescent="0.2">
      <c r="A727" s="86" t="s">
        <v>7727</v>
      </c>
      <c r="B727" s="1067" t="s">
        <v>105</v>
      </c>
      <c r="C727" s="1037" t="s">
        <v>219</v>
      </c>
      <c r="D727" s="1028" t="s">
        <v>8281</v>
      </c>
      <c r="E727" s="447" t="s">
        <v>293</v>
      </c>
      <c r="F727" s="1034" t="s">
        <v>8530</v>
      </c>
      <c r="G727" s="1034" t="s">
        <v>2312</v>
      </c>
      <c r="H727" s="88">
        <f>INDEX(IN_COexp!$A$3:$AAA$270,MATCH($G727,IN_COexp!$A$3:$A$270,0),MATCH(H$1,IN_COexp!$A$3:$AAA$3,0))</f>
        <v>0</v>
      </c>
      <c r="I727" s="88">
        <f>INDEX(IN_COexp!$A$3:$AAA$270,MATCH($G727,IN_COexp!$A$3:$A$270,0),MATCH(I$1,IN_COexp!$A$3:$AAA$3,0))</f>
        <v>0</v>
      </c>
      <c r="J727" s="88">
        <f>INDEX(IN_COexp!$A$3:$AAA$270,MATCH($G727,IN_COexp!$A$3:$A$270,0),MATCH(J$1,IN_COexp!$A$3:$AAA$3,0))</f>
        <v>0</v>
      </c>
    </row>
    <row r="728" spans="1:10" x14ac:dyDescent="0.2">
      <c r="A728" s="86" t="s">
        <v>7728</v>
      </c>
      <c r="B728" s="447" t="str">
        <f>IN_Anagrafica!$B$9</f>
        <v>NO</v>
      </c>
      <c r="C728" s="369" t="str">
        <f>IF(B728="SI","SI","NO")</f>
        <v>NO</v>
      </c>
      <c r="D728" s="1028" t="s">
        <v>8281</v>
      </c>
      <c r="E728" s="447" t="s">
        <v>8316</v>
      </c>
      <c r="F728" s="1034" t="s">
        <v>8530</v>
      </c>
      <c r="G728" s="1034" t="s">
        <v>2313</v>
      </c>
      <c r="H728" s="88">
        <f>INDEX(IN_COexp!$A$3:$AAA$270,MATCH($G728,IN_COexp!$A$3:$A$270,0),MATCH(H$1,IN_COexp!$A$3:$AAA$3,0))</f>
        <v>0</v>
      </c>
      <c r="I728" s="88">
        <f>INDEX(IN_COexp!$A$3:$AAA$270,MATCH($G728,IN_COexp!$A$3:$A$270,0),MATCH(I$1,IN_COexp!$A$3:$AAA$3,0))</f>
        <v>0</v>
      </c>
      <c r="J728" s="88">
        <f>INDEX(IN_COexp!$A$3:$AAA$270,MATCH($G728,IN_COexp!$A$3:$A$270,0),MATCH(J$1,IN_COexp!$A$3:$AAA$3,0))</f>
        <v>0</v>
      </c>
    </row>
    <row r="729" spans="1:10" x14ac:dyDescent="0.2">
      <c r="A729" s="86" t="s">
        <v>7729</v>
      </c>
      <c r="B729" s="1067" t="s">
        <v>105</v>
      </c>
      <c r="C729" s="1037" t="s">
        <v>219</v>
      </c>
      <c r="D729" s="1028" t="s">
        <v>8281</v>
      </c>
      <c r="E729" s="447" t="s">
        <v>8317</v>
      </c>
      <c r="F729" s="1034" t="s">
        <v>8530</v>
      </c>
      <c r="G729" s="1034" t="s">
        <v>1065</v>
      </c>
      <c r="H729" s="88">
        <f>INDEX(IN_COexp!$A$3:$AAA$270,MATCH($G729,IN_COexp!$A$3:$A$270,0),MATCH(H$1,IN_COexp!$A$3:$AAA$3,0))</f>
        <v>0</v>
      </c>
      <c r="I729" s="88">
        <f>INDEX(IN_COexp!$A$3:$AAA$270,MATCH($G729,IN_COexp!$A$3:$A$270,0),MATCH(I$1,IN_COexp!$A$3:$AAA$3,0))</f>
        <v>0</v>
      </c>
      <c r="J729" s="88">
        <f>INDEX(IN_COexp!$A$3:$AAA$270,MATCH($G729,IN_COexp!$A$3:$A$270,0),MATCH(J$1,IN_COexp!$A$3:$AAA$3,0))</f>
        <v>0</v>
      </c>
    </row>
    <row r="730" spans="1:10" x14ac:dyDescent="0.2">
      <c r="A730" s="86" t="s">
        <v>7730</v>
      </c>
      <c r="B730" s="447" t="str">
        <f>IN_Anagrafica!$B$9</f>
        <v>NO</v>
      </c>
      <c r="C730" s="369" t="str">
        <f>IF(B730="SI","SI","NO")</f>
        <v>NO</v>
      </c>
      <c r="D730" s="1028" t="s">
        <v>8281</v>
      </c>
      <c r="E730" s="447" t="s">
        <v>8119</v>
      </c>
      <c r="F730" s="1034" t="s">
        <v>8530</v>
      </c>
      <c r="G730" s="1034" t="s">
        <v>1066</v>
      </c>
      <c r="H730" s="88">
        <f>INDEX(IN_COexp!$A$3:$AAA$270,MATCH($G730,IN_COexp!$A$3:$A$270,0),MATCH(H$1,IN_COexp!$A$3:$AAA$3,0))</f>
        <v>0</v>
      </c>
      <c r="I730" s="88">
        <f>INDEX(IN_COexp!$A$3:$AAA$270,MATCH($G730,IN_COexp!$A$3:$A$270,0),MATCH(I$1,IN_COexp!$A$3:$AAA$3,0))</f>
        <v>0</v>
      </c>
      <c r="J730" s="88">
        <f>INDEX(IN_COexp!$A$3:$AAA$270,MATCH($G730,IN_COexp!$A$3:$A$270,0),MATCH(J$1,IN_COexp!$A$3:$AAA$3,0))</f>
        <v>0</v>
      </c>
    </row>
    <row r="731" spans="1:10" x14ac:dyDescent="0.2">
      <c r="A731" s="86" t="s">
        <v>7731</v>
      </c>
      <c r="B731" s="1067" t="s">
        <v>105</v>
      </c>
      <c r="C731" s="1037" t="s">
        <v>219</v>
      </c>
      <c r="D731" s="1028" t="s">
        <v>8281</v>
      </c>
      <c r="E731" s="447" t="s">
        <v>8318</v>
      </c>
      <c r="F731" s="1034" t="s">
        <v>8530</v>
      </c>
      <c r="G731" s="1034" t="s">
        <v>1038</v>
      </c>
      <c r="H731" s="88">
        <f>INDEX(IN_COexp!$A$3:$AAA$270,MATCH($G731,IN_COexp!$A$3:$A$270,0),MATCH(H$1,IN_COexp!$A$3:$AAA$3,0))</f>
        <v>0</v>
      </c>
      <c r="I731" s="88">
        <f>INDEX(IN_COexp!$A$3:$AAA$270,MATCH($G731,IN_COexp!$A$3:$A$270,0),MATCH(I$1,IN_COexp!$A$3:$AAA$3,0))</f>
        <v>0</v>
      </c>
      <c r="J731" s="88">
        <f>INDEX(IN_COexp!$A$3:$AAA$270,MATCH($G731,IN_COexp!$A$3:$A$270,0),MATCH(J$1,IN_COexp!$A$3:$AAA$3,0))</f>
        <v>0</v>
      </c>
    </row>
    <row r="732" spans="1:10" x14ac:dyDescent="0.2">
      <c r="A732" s="86" t="s">
        <v>7732</v>
      </c>
      <c r="B732" s="447" t="str">
        <f>IN_Anagrafica!$B$9</f>
        <v>NO</v>
      </c>
      <c r="C732" s="369" t="str">
        <f>IF(B732="SI","SI","NO")</f>
        <v>NO</v>
      </c>
      <c r="D732" s="1028" t="s">
        <v>8281</v>
      </c>
      <c r="E732" s="447" t="s">
        <v>8319</v>
      </c>
      <c r="F732" s="1034" t="s">
        <v>8530</v>
      </c>
      <c r="G732" s="1034" t="s">
        <v>1039</v>
      </c>
      <c r="H732" s="88">
        <f>INDEX(IN_COexp!$A$3:$AAA$270,MATCH($G732,IN_COexp!$A$3:$A$270,0),MATCH(H$1,IN_COexp!$A$3:$AAA$3,0))</f>
        <v>0</v>
      </c>
      <c r="I732" s="88">
        <f>INDEX(IN_COexp!$A$3:$AAA$270,MATCH($G732,IN_COexp!$A$3:$A$270,0),MATCH(I$1,IN_COexp!$A$3:$AAA$3,0))</f>
        <v>0</v>
      </c>
      <c r="J732" s="88">
        <f>INDEX(IN_COexp!$A$3:$AAA$270,MATCH($G732,IN_COexp!$A$3:$A$270,0),MATCH(J$1,IN_COexp!$A$3:$AAA$3,0))</f>
        <v>0</v>
      </c>
    </row>
    <row r="733" spans="1:10" x14ac:dyDescent="0.2">
      <c r="A733" s="86" t="s">
        <v>7733</v>
      </c>
      <c r="B733" s="1067" t="s">
        <v>105</v>
      </c>
      <c r="C733" s="1037" t="s">
        <v>219</v>
      </c>
      <c r="D733" s="1028" t="s">
        <v>8281</v>
      </c>
      <c r="E733" s="447" t="s">
        <v>8320</v>
      </c>
      <c r="F733" s="1034" t="s">
        <v>8530</v>
      </c>
      <c r="G733" s="1034" t="s">
        <v>2358</v>
      </c>
      <c r="H733" s="88">
        <f>INDEX(IN_COexp!$A$3:$AAA$270,MATCH($G733,IN_COexp!$A$3:$A$270,0),MATCH(H$1,IN_COexp!$A$3:$AAA$3,0))</f>
        <v>0</v>
      </c>
      <c r="I733" s="88">
        <f>INDEX(IN_COexp!$A$3:$AAA$270,MATCH($G733,IN_COexp!$A$3:$A$270,0),MATCH(I$1,IN_COexp!$A$3:$AAA$3,0))</f>
        <v>0</v>
      </c>
      <c r="J733" s="88">
        <f>INDEX(IN_COexp!$A$3:$AAA$270,MATCH($G733,IN_COexp!$A$3:$A$270,0),MATCH(J$1,IN_COexp!$A$3:$AAA$3,0))</f>
        <v>0</v>
      </c>
    </row>
    <row r="734" spans="1:10" x14ac:dyDescent="0.2">
      <c r="A734" s="86" t="s">
        <v>7734</v>
      </c>
      <c r="B734" s="447" t="str">
        <f>IN_Anagrafica!$B$9</f>
        <v>NO</v>
      </c>
      <c r="C734" s="369" t="str">
        <f>IF(B734="SI","SI","NO")</f>
        <v>NO</v>
      </c>
      <c r="D734" s="1028" t="s">
        <v>8281</v>
      </c>
      <c r="E734" s="447" t="s">
        <v>8321</v>
      </c>
      <c r="F734" s="1034" t="s">
        <v>8530</v>
      </c>
      <c r="G734" s="1034" t="s">
        <v>2359</v>
      </c>
      <c r="H734" s="88">
        <f>INDEX(IN_COexp!$A$3:$AAA$270,MATCH($G734,IN_COexp!$A$3:$A$270,0),MATCH(H$1,IN_COexp!$A$3:$AAA$3,0))</f>
        <v>0</v>
      </c>
      <c r="I734" s="88">
        <f>INDEX(IN_COexp!$A$3:$AAA$270,MATCH($G734,IN_COexp!$A$3:$A$270,0),MATCH(I$1,IN_COexp!$A$3:$AAA$3,0))</f>
        <v>0</v>
      </c>
      <c r="J734" s="88">
        <f>INDEX(IN_COexp!$A$3:$AAA$270,MATCH($G734,IN_COexp!$A$3:$A$270,0),MATCH(J$1,IN_COexp!$A$3:$AAA$3,0))</f>
        <v>0</v>
      </c>
    </row>
    <row r="735" spans="1:10" x14ac:dyDescent="0.2">
      <c r="A735" s="86" t="s">
        <v>7735</v>
      </c>
      <c r="B735" s="1067" t="s">
        <v>105</v>
      </c>
      <c r="C735" s="1037" t="s">
        <v>219</v>
      </c>
      <c r="D735" s="1028" t="s">
        <v>8281</v>
      </c>
      <c r="E735" s="447" t="s">
        <v>8322</v>
      </c>
      <c r="F735" s="1034" t="s">
        <v>8530</v>
      </c>
      <c r="G735" s="1034" t="s">
        <v>2367</v>
      </c>
      <c r="H735" s="88">
        <f>INDEX(IN_COexp!$A$3:$AAA$270,MATCH($G735,IN_COexp!$A$3:$A$270,0),MATCH(H$1,IN_COexp!$A$3:$AAA$3,0))</f>
        <v>0</v>
      </c>
      <c r="I735" s="88">
        <f>INDEX(IN_COexp!$A$3:$AAA$270,MATCH($G735,IN_COexp!$A$3:$A$270,0),MATCH(I$1,IN_COexp!$A$3:$AAA$3,0))</f>
        <v>0</v>
      </c>
      <c r="J735" s="88">
        <f>INDEX(IN_COexp!$A$3:$AAA$270,MATCH($G735,IN_COexp!$A$3:$A$270,0),MATCH(J$1,IN_COexp!$A$3:$AAA$3,0))</f>
        <v>0</v>
      </c>
    </row>
    <row r="736" spans="1:10" x14ac:dyDescent="0.2">
      <c r="A736" s="86" t="s">
        <v>7736</v>
      </c>
      <c r="B736" s="447" t="str">
        <f>IN_Anagrafica!$B$9</f>
        <v>NO</v>
      </c>
      <c r="C736" s="369" t="str">
        <f>IF(B736="SI","SI","NO")</f>
        <v>NO</v>
      </c>
      <c r="D736" s="1028" t="s">
        <v>8281</v>
      </c>
      <c r="E736" s="447" t="s">
        <v>8323</v>
      </c>
      <c r="F736" s="1034" t="s">
        <v>8530</v>
      </c>
      <c r="G736" s="1034" t="s">
        <v>2368</v>
      </c>
      <c r="H736" s="88">
        <f>INDEX(IN_COexp!$A$3:$AAA$270,MATCH($G736,IN_COexp!$A$3:$A$270,0),MATCH(H$1,IN_COexp!$A$3:$AAA$3,0))</f>
        <v>0</v>
      </c>
      <c r="I736" s="88">
        <f>INDEX(IN_COexp!$A$3:$AAA$270,MATCH($G736,IN_COexp!$A$3:$A$270,0),MATCH(I$1,IN_COexp!$A$3:$AAA$3,0))</f>
        <v>0</v>
      </c>
      <c r="J736" s="88">
        <f>INDEX(IN_COexp!$A$3:$AAA$270,MATCH($G736,IN_COexp!$A$3:$A$270,0),MATCH(J$1,IN_COexp!$A$3:$AAA$3,0))</f>
        <v>0</v>
      </c>
    </row>
    <row r="737" spans="1:10" x14ac:dyDescent="0.2">
      <c r="A737" s="86" t="s">
        <v>7737</v>
      </c>
      <c r="B737" s="1067" t="s">
        <v>105</v>
      </c>
      <c r="C737" s="1037" t="s">
        <v>219</v>
      </c>
      <c r="D737" s="1028" t="s">
        <v>8281</v>
      </c>
      <c r="E737" s="447" t="s">
        <v>303</v>
      </c>
      <c r="F737" s="1034" t="s">
        <v>2391</v>
      </c>
      <c r="G737" s="1034" t="s">
        <v>2392</v>
      </c>
      <c r="H737" s="88">
        <f>INDEX('IN_RC-T'!$A$3:$AAA$874,MATCH($G737,'IN_RC-T'!$A$3:$A$874,0),MATCH(H$1,'IN_RC-T'!$A$3:$AAA$3,0))</f>
        <v>0</v>
      </c>
      <c r="I737" s="88">
        <f>INDEX('IN_RC-T'!$A$3:$AAA$874,MATCH($G737,'IN_RC-T'!$A$3:$A$874,0),MATCH(I$1,'IN_RC-T'!$A$3:$AAA$3,0))</f>
        <v>0</v>
      </c>
      <c r="J737" s="88">
        <f>INDEX('IN_RC-T'!$A$3:$AAA$874,MATCH($G737,'IN_RC-T'!$A$3:$A$874,0),MATCH(J$1,'IN_RC-T'!$A$3:$AAA$3,0))</f>
        <v>0</v>
      </c>
    </row>
    <row r="738" spans="1:10" x14ac:dyDescent="0.2">
      <c r="A738" s="86" t="s">
        <v>2393</v>
      </c>
      <c r="B738" s="447" t="str">
        <f>IN_Anagrafica!$B$9</f>
        <v>NO</v>
      </c>
      <c r="C738" s="369" t="str">
        <f>IF(B738="SI","SI","NO")</f>
        <v>NO</v>
      </c>
      <c r="D738" s="1028" t="s">
        <v>8281</v>
      </c>
      <c r="E738" s="447" t="s">
        <v>319</v>
      </c>
      <c r="F738" s="1034" t="s">
        <v>2391</v>
      </c>
      <c r="G738" s="1034" t="s">
        <v>2393</v>
      </c>
      <c r="H738" s="88">
        <f>INDEX('IN_RC-T'!$A$3:$AAA$874,MATCH($G738,'IN_RC-T'!$A$3:$A$874,0),MATCH(H$1,'IN_RC-T'!$A$3:$AAA$3,0))</f>
        <v>0</v>
      </c>
      <c r="I738" s="88">
        <f>INDEX('IN_RC-T'!$A$3:$AAA$874,MATCH($G738,'IN_RC-T'!$A$3:$A$874,0),MATCH(I$1,'IN_RC-T'!$A$3:$AAA$3,0))</f>
        <v>0</v>
      </c>
      <c r="J738" s="88">
        <f>INDEX('IN_RC-T'!$A$3:$AAA$874,MATCH($G738,'IN_RC-T'!$A$3:$A$874,0),MATCH(J$1,'IN_RC-T'!$A$3:$AAA$3,0))</f>
        <v>0</v>
      </c>
    </row>
    <row r="739" spans="1:10" x14ac:dyDescent="0.2">
      <c r="A739" s="86" t="s">
        <v>7738</v>
      </c>
      <c r="B739" s="1067" t="s">
        <v>105</v>
      </c>
      <c r="C739" s="1037" t="s">
        <v>219</v>
      </c>
      <c r="D739" s="1028" t="s">
        <v>8281</v>
      </c>
      <c r="E739" s="447" t="s">
        <v>324</v>
      </c>
      <c r="F739" s="1034" t="s">
        <v>2391</v>
      </c>
      <c r="G739" s="1034" t="s">
        <v>2401</v>
      </c>
      <c r="H739" s="88">
        <f>INDEX('IN_RC-T'!$A$3:$AAA$874,MATCH($G739,'IN_RC-T'!$A$3:$A$874,0),MATCH(H$1,'IN_RC-T'!$A$3:$AAA$3,0))</f>
        <v>0</v>
      </c>
      <c r="I739" s="88">
        <f>INDEX('IN_RC-T'!$A$3:$AAA$874,MATCH($G739,'IN_RC-T'!$A$3:$A$874,0),MATCH(I$1,'IN_RC-T'!$A$3:$AAA$3,0))</f>
        <v>0</v>
      </c>
      <c r="J739" s="88">
        <f>INDEX('IN_RC-T'!$A$3:$AAA$874,MATCH($G739,'IN_RC-T'!$A$3:$A$874,0),MATCH(J$1,'IN_RC-T'!$A$3:$AAA$3,0))</f>
        <v>0</v>
      </c>
    </row>
    <row r="740" spans="1:10" x14ac:dyDescent="0.2">
      <c r="A740" s="86" t="s">
        <v>2402</v>
      </c>
      <c r="B740" s="447" t="str">
        <f>IN_Anagrafica!$B$9</f>
        <v>NO</v>
      </c>
      <c r="C740" s="369" t="str">
        <f>IF(B740="SI","SI","NO")</f>
        <v>NO</v>
      </c>
      <c r="D740" s="1028" t="s">
        <v>8281</v>
      </c>
      <c r="E740" s="447" t="s">
        <v>8324</v>
      </c>
      <c r="F740" s="1034" t="s">
        <v>2391</v>
      </c>
      <c r="G740" s="1034" t="s">
        <v>2402</v>
      </c>
      <c r="H740" s="88">
        <f>INDEX('IN_RC-T'!$A$3:$AAA$874,MATCH($G740,'IN_RC-T'!$A$3:$A$874,0),MATCH(H$1,'IN_RC-T'!$A$3:$AAA$3,0))</f>
        <v>0</v>
      </c>
      <c r="I740" s="88">
        <f>INDEX('IN_RC-T'!$A$3:$AAA$874,MATCH($G740,'IN_RC-T'!$A$3:$A$874,0),MATCH(I$1,'IN_RC-T'!$A$3:$AAA$3,0))</f>
        <v>0</v>
      </c>
      <c r="J740" s="88">
        <f>INDEX('IN_RC-T'!$A$3:$AAA$874,MATCH($G740,'IN_RC-T'!$A$3:$A$874,0),MATCH(J$1,'IN_RC-T'!$A$3:$AAA$3,0))</f>
        <v>0</v>
      </c>
    </row>
    <row r="741" spans="1:10" x14ac:dyDescent="0.2">
      <c r="A741" s="86" t="s">
        <v>7739</v>
      </c>
      <c r="B741" s="1067" t="s">
        <v>105</v>
      </c>
      <c r="C741" s="1037" t="s">
        <v>219</v>
      </c>
      <c r="D741" s="1028" t="s">
        <v>8281</v>
      </c>
      <c r="E741" s="447" t="s">
        <v>8325</v>
      </c>
      <c r="F741" s="1034" t="s">
        <v>2391</v>
      </c>
      <c r="G741" s="1034" t="s">
        <v>2428</v>
      </c>
      <c r="H741" s="88">
        <f>INDEX('IN_RC-T'!$A$3:$AAA$874,MATCH($G741,'IN_RC-T'!$A$3:$A$874,0),MATCH(H$1,'IN_RC-T'!$A$3:$AAA$3,0))</f>
        <v>0</v>
      </c>
      <c r="I741" s="88">
        <f>INDEX('IN_RC-T'!$A$3:$AAA$874,MATCH($G741,'IN_RC-T'!$A$3:$A$874,0),MATCH(I$1,'IN_RC-T'!$A$3:$AAA$3,0))</f>
        <v>0</v>
      </c>
      <c r="J741" s="88">
        <f>INDEX('IN_RC-T'!$A$3:$AAA$874,MATCH($G741,'IN_RC-T'!$A$3:$A$874,0),MATCH(J$1,'IN_RC-T'!$A$3:$AAA$3,0))</f>
        <v>0</v>
      </c>
    </row>
    <row r="742" spans="1:10" x14ac:dyDescent="0.2">
      <c r="A742" s="86" t="s">
        <v>2429</v>
      </c>
      <c r="B742" s="447" t="str">
        <f>IN_Anagrafica!$B$9</f>
        <v>NO</v>
      </c>
      <c r="C742" s="369" t="str">
        <f>IF(B742="SI","SI","NO")</f>
        <v>NO</v>
      </c>
      <c r="D742" s="1028" t="s">
        <v>8281</v>
      </c>
      <c r="E742" s="447" t="s">
        <v>8326</v>
      </c>
      <c r="F742" s="1034" t="s">
        <v>2391</v>
      </c>
      <c r="G742" s="1034" t="s">
        <v>2429</v>
      </c>
      <c r="H742" s="88">
        <f>INDEX('IN_RC-T'!$A$3:$AAA$874,MATCH($G742,'IN_RC-T'!$A$3:$A$874,0),MATCH(H$1,'IN_RC-T'!$A$3:$AAA$3,0))</f>
        <v>0</v>
      </c>
      <c r="I742" s="88">
        <f>INDEX('IN_RC-T'!$A$3:$AAA$874,MATCH($G742,'IN_RC-T'!$A$3:$A$874,0),MATCH(I$1,'IN_RC-T'!$A$3:$AAA$3,0))</f>
        <v>0</v>
      </c>
      <c r="J742" s="88">
        <f>INDEX('IN_RC-T'!$A$3:$AAA$874,MATCH($G742,'IN_RC-T'!$A$3:$A$874,0),MATCH(J$1,'IN_RC-T'!$A$3:$AAA$3,0))</f>
        <v>0</v>
      </c>
    </row>
    <row r="743" spans="1:10" x14ac:dyDescent="0.2">
      <c r="A743" s="86" t="s">
        <v>7740</v>
      </c>
      <c r="B743" s="1067" t="s">
        <v>105</v>
      </c>
      <c r="C743" s="1037" t="s">
        <v>219</v>
      </c>
      <c r="D743" s="1028" t="s">
        <v>8281</v>
      </c>
      <c r="E743" s="447" t="s">
        <v>8327</v>
      </c>
      <c r="F743" s="1034" t="s">
        <v>2391</v>
      </c>
      <c r="G743" s="1034" t="s">
        <v>2437</v>
      </c>
      <c r="H743" s="88">
        <f>INDEX('IN_RC-T'!$A$3:$AAA$874,MATCH($G743,'IN_RC-T'!$A$3:$A$874,0),MATCH(H$1,'IN_RC-T'!$A$3:$AAA$3,0))</f>
        <v>0</v>
      </c>
      <c r="I743" s="88">
        <f>INDEX('IN_RC-T'!$A$3:$AAA$874,MATCH($G743,'IN_RC-T'!$A$3:$A$874,0),MATCH(I$1,'IN_RC-T'!$A$3:$AAA$3,0))</f>
        <v>0</v>
      </c>
      <c r="J743" s="88">
        <f>INDEX('IN_RC-T'!$A$3:$AAA$874,MATCH($G743,'IN_RC-T'!$A$3:$A$874,0),MATCH(J$1,'IN_RC-T'!$A$3:$AAA$3,0))</f>
        <v>0</v>
      </c>
    </row>
    <row r="744" spans="1:10" x14ac:dyDescent="0.2">
      <c r="A744" s="86" t="s">
        <v>2438</v>
      </c>
      <c r="B744" s="447" t="str">
        <f>IN_Anagrafica!$B$9</f>
        <v>NO</v>
      </c>
      <c r="C744" s="369" t="str">
        <f>IF(B744="SI","SI","NO")</f>
        <v>NO</v>
      </c>
      <c r="D744" s="1028" t="s">
        <v>8281</v>
      </c>
      <c r="E744" s="447" t="s">
        <v>8328</v>
      </c>
      <c r="F744" s="1034" t="s">
        <v>2391</v>
      </c>
      <c r="G744" s="1034" t="s">
        <v>2438</v>
      </c>
      <c r="H744" s="88">
        <f>INDEX('IN_RC-T'!$A$3:$AAA$874,MATCH($G744,'IN_RC-T'!$A$3:$A$874,0),MATCH(H$1,'IN_RC-T'!$A$3:$AAA$3,0))</f>
        <v>0</v>
      </c>
      <c r="I744" s="88">
        <f>INDEX('IN_RC-T'!$A$3:$AAA$874,MATCH($G744,'IN_RC-T'!$A$3:$A$874,0),MATCH(I$1,'IN_RC-T'!$A$3:$AAA$3,0))</f>
        <v>0</v>
      </c>
      <c r="J744" s="88">
        <f>INDEX('IN_RC-T'!$A$3:$AAA$874,MATCH($G744,'IN_RC-T'!$A$3:$A$874,0),MATCH(J$1,'IN_RC-T'!$A$3:$AAA$3,0))</f>
        <v>0</v>
      </c>
    </row>
    <row r="745" spans="1:10" x14ac:dyDescent="0.2">
      <c r="A745" s="86" t="s">
        <v>7741</v>
      </c>
      <c r="B745" s="1067" t="s">
        <v>105</v>
      </c>
      <c r="C745" s="1037" t="s">
        <v>219</v>
      </c>
      <c r="D745" s="1028" t="s">
        <v>8281</v>
      </c>
      <c r="E745" s="447" t="s">
        <v>337</v>
      </c>
      <c r="F745" s="1034" t="s">
        <v>2391</v>
      </c>
      <c r="G745" s="1034" t="s">
        <v>2713</v>
      </c>
      <c r="H745" s="88">
        <f>INDEX('IN_RC-T'!$A$3:$AAA$874,MATCH($G745,'IN_RC-T'!$A$3:$A$874,0),MATCH(H$1,'IN_RC-T'!$A$3:$AAA$3,0))</f>
        <v>0</v>
      </c>
      <c r="I745" s="88">
        <f>INDEX('IN_RC-T'!$A$3:$AAA$874,MATCH($G745,'IN_RC-T'!$A$3:$A$874,0),MATCH(I$1,'IN_RC-T'!$A$3:$AAA$3,0))</f>
        <v>0</v>
      </c>
      <c r="J745" s="88">
        <f>INDEX('IN_RC-T'!$A$3:$AAA$874,MATCH($G745,'IN_RC-T'!$A$3:$A$874,0),MATCH(J$1,'IN_RC-T'!$A$3:$AAA$3,0))</f>
        <v>0</v>
      </c>
    </row>
    <row r="746" spans="1:10" x14ac:dyDescent="0.2">
      <c r="A746" s="86" t="s">
        <v>2714</v>
      </c>
      <c r="B746" s="447" t="str">
        <f>IN_Anagrafica!$B$9</f>
        <v>NO</v>
      </c>
      <c r="C746" s="369" t="str">
        <f>IF(B746="SI","SI","NO")</f>
        <v>NO</v>
      </c>
      <c r="D746" s="1028" t="s">
        <v>8281</v>
      </c>
      <c r="E746" s="447" t="s">
        <v>8120</v>
      </c>
      <c r="F746" s="1034" t="s">
        <v>2391</v>
      </c>
      <c r="G746" s="1034" t="s">
        <v>2714</v>
      </c>
      <c r="H746" s="88">
        <f>INDEX('IN_RC-T'!$A$3:$AAA$874,MATCH($G746,'IN_RC-T'!$A$3:$A$874,0),MATCH(H$1,'IN_RC-T'!$A$3:$AAA$3,0))</f>
        <v>0</v>
      </c>
      <c r="I746" s="88">
        <f>INDEX('IN_RC-T'!$A$3:$AAA$874,MATCH($G746,'IN_RC-T'!$A$3:$A$874,0),MATCH(I$1,'IN_RC-T'!$A$3:$AAA$3,0))</f>
        <v>0</v>
      </c>
      <c r="J746" s="88">
        <f>INDEX('IN_RC-T'!$A$3:$AAA$874,MATCH($G746,'IN_RC-T'!$A$3:$A$874,0),MATCH(J$1,'IN_RC-T'!$A$3:$AAA$3,0))</f>
        <v>0</v>
      </c>
    </row>
    <row r="747" spans="1:10" x14ac:dyDescent="0.2">
      <c r="A747" s="86" t="s">
        <v>7742</v>
      </c>
      <c r="B747" s="1067" t="s">
        <v>105</v>
      </c>
      <c r="C747" s="1037" t="s">
        <v>219</v>
      </c>
      <c r="D747" s="1028" t="s">
        <v>8281</v>
      </c>
      <c r="E747" s="447" t="s">
        <v>8121</v>
      </c>
      <c r="F747" s="1034" t="s">
        <v>2391</v>
      </c>
      <c r="G747" s="1034" t="s">
        <v>2722</v>
      </c>
      <c r="H747" s="88">
        <f>INDEX('IN_RC-T'!$A$3:$AAA$874,MATCH($G747,'IN_RC-T'!$A$3:$A$874,0),MATCH(H$1,'IN_RC-T'!$A$3:$AAA$3,0))</f>
        <v>340344.7554539569</v>
      </c>
      <c r="I747" s="88">
        <f>INDEX('IN_RC-T'!$A$3:$AAA$874,MATCH($G747,'IN_RC-T'!$A$3:$A$874,0),MATCH(I$1,'IN_RC-T'!$A$3:$AAA$3,0))</f>
        <v>0</v>
      </c>
      <c r="J747" s="88">
        <f>INDEX('IN_RC-T'!$A$3:$AAA$874,MATCH($G747,'IN_RC-T'!$A$3:$A$874,0),MATCH(J$1,'IN_RC-T'!$A$3:$AAA$3,0))</f>
        <v>0</v>
      </c>
    </row>
    <row r="748" spans="1:10" x14ac:dyDescent="0.2">
      <c r="A748" s="86" t="s">
        <v>2723</v>
      </c>
      <c r="B748" s="447" t="str">
        <f>IN_Anagrafica!$B$9</f>
        <v>NO</v>
      </c>
      <c r="C748" s="369" t="str">
        <f>IF(B748="SI","SI","NO")</f>
        <v>NO</v>
      </c>
      <c r="D748" s="1028" t="s">
        <v>8281</v>
      </c>
      <c r="E748" s="447" t="s">
        <v>8211</v>
      </c>
      <c r="F748" s="1034" t="s">
        <v>2391</v>
      </c>
      <c r="G748" s="1034" t="s">
        <v>2723</v>
      </c>
      <c r="H748" s="88">
        <f>INDEX('IN_RC-T'!$A$3:$AAA$874,MATCH($G748,'IN_RC-T'!$A$3:$A$874,0),MATCH(H$1,'IN_RC-T'!$A$3:$AAA$3,0))</f>
        <v>0</v>
      </c>
      <c r="I748" s="88">
        <f>INDEX('IN_RC-T'!$A$3:$AAA$874,MATCH($G748,'IN_RC-T'!$A$3:$A$874,0),MATCH(I$1,'IN_RC-T'!$A$3:$AAA$3,0))</f>
        <v>0</v>
      </c>
      <c r="J748" s="88">
        <f>INDEX('IN_RC-T'!$A$3:$AAA$874,MATCH($G748,'IN_RC-T'!$A$3:$A$874,0),MATCH(J$1,'IN_RC-T'!$A$3:$AAA$3,0))</f>
        <v>0</v>
      </c>
    </row>
    <row r="749" spans="1:10" x14ac:dyDescent="0.2">
      <c r="A749" s="86" t="s">
        <v>7743</v>
      </c>
      <c r="B749" s="1067" t="s">
        <v>105</v>
      </c>
      <c r="C749" s="1037" t="s">
        <v>219</v>
      </c>
      <c r="D749" s="1028" t="s">
        <v>8281</v>
      </c>
      <c r="E749" s="447" t="s">
        <v>749</v>
      </c>
      <c r="F749" s="1034" t="s">
        <v>2391</v>
      </c>
      <c r="G749" s="1034" t="s">
        <v>2749</v>
      </c>
      <c r="H749" s="88">
        <f>INDEX('IN_RC-T'!$A$3:$AAA$874,MATCH($G749,'IN_RC-T'!$A$3:$A$874,0),MATCH(H$1,'IN_RC-T'!$A$3:$AAA$3,0))</f>
        <v>0</v>
      </c>
      <c r="I749" s="88">
        <f>INDEX('IN_RC-T'!$A$3:$AAA$874,MATCH($G749,'IN_RC-T'!$A$3:$A$874,0),MATCH(I$1,'IN_RC-T'!$A$3:$AAA$3,0))</f>
        <v>0</v>
      </c>
      <c r="J749" s="88">
        <f>INDEX('IN_RC-T'!$A$3:$AAA$874,MATCH($G749,'IN_RC-T'!$A$3:$A$874,0),MATCH(J$1,'IN_RC-T'!$A$3:$AAA$3,0))</f>
        <v>0</v>
      </c>
    </row>
    <row r="750" spans="1:10" x14ac:dyDescent="0.2">
      <c r="A750" s="86" t="s">
        <v>2750</v>
      </c>
      <c r="B750" s="447" t="str">
        <f>IN_Anagrafica!$B$9</f>
        <v>NO</v>
      </c>
      <c r="C750" s="369" t="str">
        <f>IF(B750="SI","SI","NO")</f>
        <v>NO</v>
      </c>
      <c r="D750" s="1028" t="s">
        <v>8281</v>
      </c>
      <c r="E750" s="447" t="s">
        <v>750</v>
      </c>
      <c r="F750" s="1034" t="s">
        <v>2391</v>
      </c>
      <c r="G750" s="1034" t="s">
        <v>2750</v>
      </c>
      <c r="H750" s="88">
        <f>INDEX('IN_RC-T'!$A$3:$AAA$874,MATCH($G750,'IN_RC-T'!$A$3:$A$874,0),MATCH(H$1,'IN_RC-T'!$A$3:$AAA$3,0))</f>
        <v>0</v>
      </c>
      <c r="I750" s="88">
        <f>INDEX('IN_RC-T'!$A$3:$AAA$874,MATCH($G750,'IN_RC-T'!$A$3:$A$874,0),MATCH(I$1,'IN_RC-T'!$A$3:$AAA$3,0))</f>
        <v>0</v>
      </c>
      <c r="J750" s="88">
        <f>INDEX('IN_RC-T'!$A$3:$AAA$874,MATCH($G750,'IN_RC-T'!$A$3:$A$874,0),MATCH(J$1,'IN_RC-T'!$A$3:$AAA$3,0))</f>
        <v>0</v>
      </c>
    </row>
    <row r="751" spans="1:10" x14ac:dyDescent="0.2">
      <c r="A751" s="86" t="s">
        <v>7744</v>
      </c>
      <c r="B751" s="1067" t="s">
        <v>105</v>
      </c>
      <c r="C751" s="1037" t="s">
        <v>219</v>
      </c>
      <c r="D751" s="1028" t="s">
        <v>8281</v>
      </c>
      <c r="E751" s="447" t="s">
        <v>752</v>
      </c>
      <c r="F751" s="1034" t="s">
        <v>2391</v>
      </c>
      <c r="G751" s="1034" t="s">
        <v>2758</v>
      </c>
      <c r="H751" s="88">
        <f>INDEX('IN_RC-T'!$A$3:$AAA$874,MATCH($G751,'IN_RC-T'!$A$3:$A$874,0),MATCH(H$1,'IN_RC-T'!$A$3:$AAA$3,0))</f>
        <v>0</v>
      </c>
      <c r="I751" s="88">
        <f>INDEX('IN_RC-T'!$A$3:$AAA$874,MATCH($G751,'IN_RC-T'!$A$3:$A$874,0),MATCH(I$1,'IN_RC-T'!$A$3:$AAA$3,0))</f>
        <v>0</v>
      </c>
      <c r="J751" s="88">
        <f>INDEX('IN_RC-T'!$A$3:$AAA$874,MATCH($G751,'IN_RC-T'!$A$3:$A$874,0),MATCH(J$1,'IN_RC-T'!$A$3:$AAA$3,0))</f>
        <v>0</v>
      </c>
    </row>
    <row r="752" spans="1:10" x14ac:dyDescent="0.2">
      <c r="A752" s="86" t="s">
        <v>2759</v>
      </c>
      <c r="B752" s="447" t="str">
        <f>IN_Anagrafica!$B$9</f>
        <v>NO</v>
      </c>
      <c r="C752" s="369" t="str">
        <f>IF(B752="SI","SI","NO")</f>
        <v>NO</v>
      </c>
      <c r="D752" s="1028" t="s">
        <v>8281</v>
      </c>
      <c r="E752" s="447" t="s">
        <v>753</v>
      </c>
      <c r="F752" s="1034" t="s">
        <v>2391</v>
      </c>
      <c r="G752" s="1034" t="s">
        <v>2759</v>
      </c>
      <c r="H752" s="88">
        <f>INDEX('IN_RC-T'!$A$3:$AAA$874,MATCH($G752,'IN_RC-T'!$A$3:$A$874,0),MATCH(H$1,'IN_RC-T'!$A$3:$AAA$3,0))</f>
        <v>0</v>
      </c>
      <c r="I752" s="88">
        <f>INDEX('IN_RC-T'!$A$3:$AAA$874,MATCH($G752,'IN_RC-T'!$A$3:$A$874,0),MATCH(I$1,'IN_RC-T'!$A$3:$AAA$3,0))</f>
        <v>0</v>
      </c>
      <c r="J752" s="88">
        <f>INDEX('IN_RC-T'!$A$3:$AAA$874,MATCH($G752,'IN_RC-T'!$A$3:$A$874,0),MATCH(J$1,'IN_RC-T'!$A$3:$AAA$3,0))</f>
        <v>0</v>
      </c>
    </row>
    <row r="753" spans="1:10" x14ac:dyDescent="0.2">
      <c r="A753" s="1027" t="s">
        <v>7745</v>
      </c>
      <c r="B753" s="1067" t="s">
        <v>105</v>
      </c>
      <c r="C753" s="1037" t="s">
        <v>219</v>
      </c>
      <c r="D753" s="1028" t="s">
        <v>8281</v>
      </c>
      <c r="E753" s="447" t="s">
        <v>338</v>
      </c>
      <c r="F753" s="1034" t="s">
        <v>2391</v>
      </c>
      <c r="G753" s="1034" t="s">
        <v>2786</v>
      </c>
      <c r="H753" s="88">
        <f>INDEX('IN_RC-T'!$A$3:$AAA$874,MATCH($G753,'IN_RC-T'!$A$3:$A$874,0),MATCH(H$1,'IN_RC-T'!$A$3:$AAA$3,0))</f>
        <v>0</v>
      </c>
      <c r="I753" s="88">
        <f>INDEX('IN_RC-T'!$A$3:$AAA$874,MATCH($G753,'IN_RC-T'!$A$3:$A$874,0),MATCH(I$1,'IN_RC-T'!$A$3:$AAA$3,0))</f>
        <v>0</v>
      </c>
      <c r="J753" s="88">
        <f>INDEX('IN_RC-T'!$A$3:$AAA$874,MATCH($G753,'IN_RC-T'!$A$3:$A$874,0),MATCH(J$1,'IN_RC-T'!$A$3:$AAA$3,0))</f>
        <v>0</v>
      </c>
    </row>
    <row r="754" spans="1:10" x14ac:dyDescent="0.2">
      <c r="A754" s="1027" t="s">
        <v>7746</v>
      </c>
      <c r="B754" s="447" t="str">
        <f>IN_Anagrafica!$B$9</f>
        <v>NO</v>
      </c>
      <c r="C754" s="369" t="str">
        <f>IF(B754="SI","SI","NO")</f>
        <v>NO</v>
      </c>
      <c r="D754" s="1028" t="s">
        <v>8281</v>
      </c>
      <c r="E754" s="447" t="s">
        <v>8219</v>
      </c>
      <c r="F754" s="1034" t="s">
        <v>2391</v>
      </c>
      <c r="G754" s="1034" t="s">
        <v>2787</v>
      </c>
      <c r="H754" s="88">
        <f>INDEX('IN_RC-T'!$A$3:$AAA$874,MATCH($G754,'IN_RC-T'!$A$3:$A$874,0),MATCH(H$1,'IN_RC-T'!$A$3:$AAA$3,0))</f>
        <v>0</v>
      </c>
      <c r="I754" s="88">
        <f>INDEX('IN_RC-T'!$A$3:$AAA$874,MATCH($G754,'IN_RC-T'!$A$3:$A$874,0),MATCH(I$1,'IN_RC-T'!$A$3:$AAA$3,0))</f>
        <v>0</v>
      </c>
      <c r="J754" s="88">
        <f>INDEX('IN_RC-T'!$A$3:$AAA$874,MATCH($G754,'IN_RC-T'!$A$3:$A$874,0),MATCH(J$1,'IN_RC-T'!$A$3:$AAA$3,0))</f>
        <v>0</v>
      </c>
    </row>
    <row r="755" spans="1:10" x14ac:dyDescent="0.2">
      <c r="A755" s="1027" t="s">
        <v>7747</v>
      </c>
      <c r="B755" s="1067" t="s">
        <v>105</v>
      </c>
      <c r="C755" s="1037" t="s">
        <v>219</v>
      </c>
      <c r="D755" s="1028" t="s">
        <v>8281</v>
      </c>
      <c r="E755" s="447" t="s">
        <v>8329</v>
      </c>
      <c r="F755" s="1034" t="s">
        <v>2391</v>
      </c>
      <c r="G755" s="1034" t="s">
        <v>2795</v>
      </c>
      <c r="H755" s="88">
        <f>INDEX('IN_RC-T'!$A$3:$AAA$874,MATCH($G755,'IN_RC-T'!$A$3:$A$874,0),MATCH(H$1,'IN_RC-T'!$A$3:$AAA$3,0))</f>
        <v>175789.73340780661</v>
      </c>
      <c r="I755" s="88">
        <f>INDEX('IN_RC-T'!$A$3:$AAA$874,MATCH($G755,'IN_RC-T'!$A$3:$A$874,0),MATCH(I$1,'IN_RC-T'!$A$3:$AAA$3,0))</f>
        <v>0</v>
      </c>
      <c r="J755" s="88">
        <f>INDEX('IN_RC-T'!$A$3:$AAA$874,MATCH($G755,'IN_RC-T'!$A$3:$A$874,0),MATCH(J$1,'IN_RC-T'!$A$3:$AAA$3,0))</f>
        <v>0</v>
      </c>
    </row>
    <row r="756" spans="1:10" x14ac:dyDescent="0.2">
      <c r="A756" s="1027" t="s">
        <v>7748</v>
      </c>
      <c r="B756" s="447" t="str">
        <f>IN_Anagrafica!$B$9</f>
        <v>NO</v>
      </c>
      <c r="C756" s="369" t="str">
        <f>IF(B756="SI","SI","NO")</f>
        <v>NO</v>
      </c>
      <c r="D756" s="1028" t="s">
        <v>8281</v>
      </c>
      <c r="E756" s="447" t="s">
        <v>8330</v>
      </c>
      <c r="F756" s="1034" t="s">
        <v>2391</v>
      </c>
      <c r="G756" s="1034" t="s">
        <v>2796</v>
      </c>
      <c r="H756" s="88">
        <f>INDEX('IN_RC-T'!$A$3:$AAA$874,MATCH($G756,'IN_RC-T'!$A$3:$A$874,0),MATCH(H$1,'IN_RC-T'!$A$3:$AAA$3,0))</f>
        <v>0</v>
      </c>
      <c r="I756" s="88">
        <f>INDEX('IN_RC-T'!$A$3:$AAA$874,MATCH($G756,'IN_RC-T'!$A$3:$A$874,0),MATCH(I$1,'IN_RC-T'!$A$3:$AAA$3,0))</f>
        <v>0</v>
      </c>
      <c r="J756" s="88">
        <f>INDEX('IN_RC-T'!$A$3:$AAA$874,MATCH($G756,'IN_RC-T'!$A$3:$A$874,0),MATCH(J$1,'IN_RC-T'!$A$3:$AAA$3,0))</f>
        <v>0</v>
      </c>
    </row>
    <row r="757" spans="1:10" x14ac:dyDescent="0.2">
      <c r="A757" s="86" t="s">
        <v>7749</v>
      </c>
      <c r="B757" s="1067" t="s">
        <v>105</v>
      </c>
      <c r="C757" s="1037" t="s">
        <v>219</v>
      </c>
      <c r="D757" s="1028" t="s">
        <v>8281</v>
      </c>
      <c r="E757" s="447" t="s">
        <v>344</v>
      </c>
      <c r="F757" s="1034" t="s">
        <v>2391</v>
      </c>
      <c r="G757" s="1034" t="s">
        <v>2395</v>
      </c>
      <c r="H757" s="88">
        <f>INDEX('IN_RC-T'!$A$3:$AAA$874,MATCH($G757,'IN_RC-T'!$A$3:$A$874,0),MATCH(H$1,'IN_RC-T'!$A$3:$AAA$3,0))</f>
        <v>0</v>
      </c>
      <c r="I757" s="88">
        <f>INDEX('IN_RC-T'!$A$3:$AAA$874,MATCH($G757,'IN_RC-T'!$A$3:$A$874,0),MATCH(I$1,'IN_RC-T'!$A$3:$AAA$3,0))</f>
        <v>0</v>
      </c>
      <c r="J757" s="88">
        <f>INDEX('IN_RC-T'!$A$3:$AAA$874,MATCH($G757,'IN_RC-T'!$A$3:$A$874,0),MATCH(J$1,'IN_RC-T'!$A$3:$AAA$3,0))</f>
        <v>0</v>
      </c>
    </row>
    <row r="758" spans="1:10" x14ac:dyDescent="0.2">
      <c r="A758" s="86" t="s">
        <v>2396</v>
      </c>
      <c r="B758" s="447" t="str">
        <f>IN_Anagrafica!$B$9</f>
        <v>NO</v>
      </c>
      <c r="C758" s="369" t="str">
        <f>IF(B758="SI","SI","NO")</f>
        <v>NO</v>
      </c>
      <c r="D758" s="1028" t="s">
        <v>8281</v>
      </c>
      <c r="E758" s="447" t="s">
        <v>405</v>
      </c>
      <c r="F758" s="1034" t="s">
        <v>2391</v>
      </c>
      <c r="G758" s="1034" t="s">
        <v>2396</v>
      </c>
      <c r="H758" s="88">
        <f>INDEX('IN_RC-T'!$A$3:$AAA$874,MATCH($G758,'IN_RC-T'!$A$3:$A$874,0),MATCH(H$1,'IN_RC-T'!$A$3:$AAA$3,0))</f>
        <v>0</v>
      </c>
      <c r="I758" s="88">
        <f>INDEX('IN_RC-T'!$A$3:$AAA$874,MATCH($G758,'IN_RC-T'!$A$3:$A$874,0),MATCH(I$1,'IN_RC-T'!$A$3:$AAA$3,0))</f>
        <v>0</v>
      </c>
      <c r="J758" s="88">
        <f>INDEX('IN_RC-T'!$A$3:$AAA$874,MATCH($G758,'IN_RC-T'!$A$3:$A$874,0),MATCH(J$1,'IN_RC-T'!$A$3:$AAA$3,0))</f>
        <v>0</v>
      </c>
    </row>
    <row r="759" spans="1:10" x14ac:dyDescent="0.2">
      <c r="A759" s="86" t="s">
        <v>7750</v>
      </c>
      <c r="B759" s="1067" t="s">
        <v>105</v>
      </c>
      <c r="C759" s="1037" t="s">
        <v>219</v>
      </c>
      <c r="D759" s="1028" t="s">
        <v>8281</v>
      </c>
      <c r="E759" s="447" t="s">
        <v>8331</v>
      </c>
      <c r="F759" s="1034" t="s">
        <v>2391</v>
      </c>
      <c r="G759" s="1034" t="s">
        <v>2404</v>
      </c>
      <c r="H759" s="88">
        <f>INDEX('IN_RC-T'!$A$3:$AAA$874,MATCH($G759,'IN_RC-T'!$A$3:$A$874,0),MATCH(H$1,'IN_RC-T'!$A$3:$AAA$3,0))</f>
        <v>0</v>
      </c>
      <c r="I759" s="88">
        <f>INDEX('IN_RC-T'!$A$3:$AAA$874,MATCH($G759,'IN_RC-T'!$A$3:$A$874,0),MATCH(I$1,'IN_RC-T'!$A$3:$AAA$3,0))</f>
        <v>0</v>
      </c>
      <c r="J759" s="88">
        <f>INDEX('IN_RC-T'!$A$3:$AAA$874,MATCH($G759,'IN_RC-T'!$A$3:$A$874,0),MATCH(J$1,'IN_RC-T'!$A$3:$AAA$3,0))</f>
        <v>0</v>
      </c>
    </row>
    <row r="760" spans="1:10" x14ac:dyDescent="0.2">
      <c r="A760" s="86" t="s">
        <v>2405</v>
      </c>
      <c r="B760" s="447" t="str">
        <f>IN_Anagrafica!$B$9</f>
        <v>NO</v>
      </c>
      <c r="C760" s="369" t="str">
        <f>IF(B760="SI","SI","NO")</f>
        <v>NO</v>
      </c>
      <c r="D760" s="1028" t="s">
        <v>8281</v>
      </c>
      <c r="E760" s="447" t="s">
        <v>8261</v>
      </c>
      <c r="F760" s="1034" t="s">
        <v>2391</v>
      </c>
      <c r="G760" s="1034" t="s">
        <v>2405</v>
      </c>
      <c r="H760" s="88">
        <f>INDEX('IN_RC-T'!$A$3:$AAA$874,MATCH($G760,'IN_RC-T'!$A$3:$A$874,0),MATCH(H$1,'IN_RC-T'!$A$3:$AAA$3,0))</f>
        <v>0</v>
      </c>
      <c r="I760" s="88">
        <f>INDEX('IN_RC-T'!$A$3:$AAA$874,MATCH($G760,'IN_RC-T'!$A$3:$A$874,0),MATCH(I$1,'IN_RC-T'!$A$3:$AAA$3,0))</f>
        <v>0</v>
      </c>
      <c r="J760" s="88">
        <f>INDEX('IN_RC-T'!$A$3:$AAA$874,MATCH($G760,'IN_RC-T'!$A$3:$A$874,0),MATCH(J$1,'IN_RC-T'!$A$3:$AAA$3,0))</f>
        <v>0</v>
      </c>
    </row>
    <row r="761" spans="1:10" x14ac:dyDescent="0.2">
      <c r="A761" s="86" t="s">
        <v>7751</v>
      </c>
      <c r="B761" s="1067" t="s">
        <v>105</v>
      </c>
      <c r="C761" s="1037" t="s">
        <v>219</v>
      </c>
      <c r="D761" s="1028" t="s">
        <v>8281</v>
      </c>
      <c r="E761" s="447" t="s">
        <v>8332</v>
      </c>
      <c r="F761" s="1034" t="s">
        <v>2391</v>
      </c>
      <c r="G761" s="1034" t="s">
        <v>2431</v>
      </c>
      <c r="H761" s="88">
        <f>INDEX('IN_RC-T'!$A$3:$AAA$874,MATCH($G761,'IN_RC-T'!$A$3:$A$874,0),MATCH(H$1,'IN_RC-T'!$A$3:$AAA$3,0))</f>
        <v>0</v>
      </c>
      <c r="I761" s="88">
        <f>INDEX('IN_RC-T'!$A$3:$AAA$874,MATCH($G761,'IN_RC-T'!$A$3:$A$874,0),MATCH(I$1,'IN_RC-T'!$A$3:$AAA$3,0))</f>
        <v>0</v>
      </c>
      <c r="J761" s="88">
        <f>INDEX('IN_RC-T'!$A$3:$AAA$874,MATCH($G761,'IN_RC-T'!$A$3:$A$874,0),MATCH(J$1,'IN_RC-T'!$A$3:$AAA$3,0))</f>
        <v>0</v>
      </c>
    </row>
    <row r="762" spans="1:10" x14ac:dyDescent="0.2">
      <c r="A762" s="86" t="s">
        <v>2432</v>
      </c>
      <c r="B762" s="447" t="str">
        <f>IN_Anagrafica!$B$9</f>
        <v>NO</v>
      </c>
      <c r="C762" s="369" t="str">
        <f>IF(B762="SI","SI","NO")</f>
        <v>NO</v>
      </c>
      <c r="D762" s="1028" t="s">
        <v>8281</v>
      </c>
      <c r="E762" s="447" t="s">
        <v>8333</v>
      </c>
      <c r="F762" s="1034" t="s">
        <v>2391</v>
      </c>
      <c r="G762" s="1034" t="s">
        <v>2432</v>
      </c>
      <c r="H762" s="88">
        <f>INDEX('IN_RC-T'!$A$3:$AAA$874,MATCH($G762,'IN_RC-T'!$A$3:$A$874,0),MATCH(H$1,'IN_RC-T'!$A$3:$AAA$3,0))</f>
        <v>0</v>
      </c>
      <c r="I762" s="88">
        <f>INDEX('IN_RC-T'!$A$3:$AAA$874,MATCH($G762,'IN_RC-T'!$A$3:$A$874,0),MATCH(I$1,'IN_RC-T'!$A$3:$AAA$3,0))</f>
        <v>0</v>
      </c>
      <c r="J762" s="88">
        <f>INDEX('IN_RC-T'!$A$3:$AAA$874,MATCH($G762,'IN_RC-T'!$A$3:$A$874,0),MATCH(J$1,'IN_RC-T'!$A$3:$AAA$3,0))</f>
        <v>0</v>
      </c>
    </row>
    <row r="763" spans="1:10" x14ac:dyDescent="0.2">
      <c r="A763" s="86" t="s">
        <v>7752</v>
      </c>
      <c r="B763" s="1067" t="s">
        <v>105</v>
      </c>
      <c r="C763" s="1037" t="s">
        <v>219</v>
      </c>
      <c r="D763" s="1028" t="s">
        <v>8281</v>
      </c>
      <c r="E763" s="447" t="s">
        <v>8334</v>
      </c>
      <c r="F763" s="1034" t="s">
        <v>2391</v>
      </c>
      <c r="G763" s="1034" t="s">
        <v>2440</v>
      </c>
      <c r="H763" s="88">
        <f>INDEX('IN_RC-T'!$A$3:$AAA$874,MATCH($G763,'IN_RC-T'!$A$3:$A$874,0),MATCH(H$1,'IN_RC-T'!$A$3:$AAA$3,0))</f>
        <v>0</v>
      </c>
      <c r="I763" s="88">
        <f>INDEX('IN_RC-T'!$A$3:$AAA$874,MATCH($G763,'IN_RC-T'!$A$3:$A$874,0),MATCH(I$1,'IN_RC-T'!$A$3:$AAA$3,0))</f>
        <v>0</v>
      </c>
      <c r="J763" s="88">
        <f>INDEX('IN_RC-T'!$A$3:$AAA$874,MATCH($G763,'IN_RC-T'!$A$3:$A$874,0),MATCH(J$1,'IN_RC-T'!$A$3:$AAA$3,0))</f>
        <v>0</v>
      </c>
    </row>
    <row r="764" spans="1:10" x14ac:dyDescent="0.2">
      <c r="A764" s="86" t="s">
        <v>2441</v>
      </c>
      <c r="B764" s="447" t="str">
        <f>IN_Anagrafica!$B$9</f>
        <v>NO</v>
      </c>
      <c r="C764" s="369" t="str">
        <f>IF(B764="SI","SI","NO")</f>
        <v>NO</v>
      </c>
      <c r="D764" s="1028" t="s">
        <v>8281</v>
      </c>
      <c r="E764" s="447" t="s">
        <v>8335</v>
      </c>
      <c r="F764" s="1034" t="s">
        <v>2391</v>
      </c>
      <c r="G764" s="1034" t="s">
        <v>2441</v>
      </c>
      <c r="H764" s="88">
        <f>INDEX('IN_RC-T'!$A$3:$AAA$874,MATCH($G764,'IN_RC-T'!$A$3:$A$874,0),MATCH(H$1,'IN_RC-T'!$A$3:$AAA$3,0))</f>
        <v>0</v>
      </c>
      <c r="I764" s="88">
        <f>INDEX('IN_RC-T'!$A$3:$AAA$874,MATCH($G764,'IN_RC-T'!$A$3:$A$874,0),MATCH(I$1,'IN_RC-T'!$A$3:$AAA$3,0))</f>
        <v>0</v>
      </c>
      <c r="J764" s="88">
        <f>INDEX('IN_RC-T'!$A$3:$AAA$874,MATCH($G764,'IN_RC-T'!$A$3:$A$874,0),MATCH(J$1,'IN_RC-T'!$A$3:$AAA$3,0))</f>
        <v>0</v>
      </c>
    </row>
    <row r="765" spans="1:10" x14ac:dyDescent="0.2">
      <c r="A765" s="86" t="s">
        <v>7753</v>
      </c>
      <c r="B765" s="1067" t="s">
        <v>105</v>
      </c>
      <c r="C765" s="1037" t="s">
        <v>219</v>
      </c>
      <c r="D765" s="1028" t="s">
        <v>8281</v>
      </c>
      <c r="E765" s="447" t="s">
        <v>349</v>
      </c>
      <c r="F765" s="1034" t="s">
        <v>2391</v>
      </c>
      <c r="G765" s="1034" t="s">
        <v>2716</v>
      </c>
      <c r="H765" s="88">
        <f>INDEX('IN_RC-T'!$A$3:$AAA$874,MATCH($G765,'IN_RC-T'!$A$3:$A$874,0),MATCH(H$1,'IN_RC-T'!$A$3:$AAA$3,0))</f>
        <v>0</v>
      </c>
      <c r="I765" s="88">
        <f>INDEX('IN_RC-T'!$A$3:$AAA$874,MATCH($G765,'IN_RC-T'!$A$3:$A$874,0),MATCH(I$1,'IN_RC-T'!$A$3:$AAA$3,0))</f>
        <v>0</v>
      </c>
      <c r="J765" s="88">
        <f>INDEX('IN_RC-T'!$A$3:$AAA$874,MATCH($G765,'IN_RC-T'!$A$3:$A$874,0),MATCH(J$1,'IN_RC-T'!$A$3:$AAA$3,0))</f>
        <v>0</v>
      </c>
    </row>
    <row r="766" spans="1:10" x14ac:dyDescent="0.2">
      <c r="A766" s="86" t="s">
        <v>2717</v>
      </c>
      <c r="B766" s="447" t="str">
        <f>IN_Anagrafica!$B$9</f>
        <v>NO</v>
      </c>
      <c r="C766" s="369" t="str">
        <f>IF(B766="SI","SI","NO")</f>
        <v>NO</v>
      </c>
      <c r="D766" s="1028" t="s">
        <v>8281</v>
      </c>
      <c r="E766" s="447" t="s">
        <v>8336</v>
      </c>
      <c r="F766" s="1034" t="s">
        <v>2391</v>
      </c>
      <c r="G766" s="1034" t="s">
        <v>2717</v>
      </c>
      <c r="H766" s="88">
        <f>INDEX('IN_RC-T'!$A$3:$AAA$874,MATCH($G766,'IN_RC-T'!$A$3:$A$874,0),MATCH(H$1,'IN_RC-T'!$A$3:$AAA$3,0))</f>
        <v>0</v>
      </c>
      <c r="I766" s="88">
        <f>INDEX('IN_RC-T'!$A$3:$AAA$874,MATCH($G766,'IN_RC-T'!$A$3:$A$874,0),MATCH(I$1,'IN_RC-T'!$A$3:$AAA$3,0))</f>
        <v>0</v>
      </c>
      <c r="J766" s="88">
        <f>INDEX('IN_RC-T'!$A$3:$AAA$874,MATCH($G766,'IN_RC-T'!$A$3:$A$874,0),MATCH(J$1,'IN_RC-T'!$A$3:$AAA$3,0))</f>
        <v>0</v>
      </c>
    </row>
    <row r="767" spans="1:10" x14ac:dyDescent="0.2">
      <c r="A767" s="86" t="s">
        <v>7754</v>
      </c>
      <c r="B767" s="1067" t="s">
        <v>105</v>
      </c>
      <c r="C767" s="1037" t="s">
        <v>219</v>
      </c>
      <c r="D767" s="1028" t="s">
        <v>8281</v>
      </c>
      <c r="E767" s="447" t="s">
        <v>8337</v>
      </c>
      <c r="F767" s="1034" t="s">
        <v>2391</v>
      </c>
      <c r="G767" s="1034" t="s">
        <v>2725</v>
      </c>
      <c r="H767" s="88">
        <f>INDEX('IN_RC-T'!$A$3:$AAA$874,MATCH($G767,'IN_RC-T'!$A$3:$A$874,0),MATCH(H$1,'IN_RC-T'!$A$3:$AAA$3,0))</f>
        <v>323630.57835021621</v>
      </c>
      <c r="I767" s="88">
        <f>INDEX('IN_RC-T'!$A$3:$AAA$874,MATCH($G767,'IN_RC-T'!$A$3:$A$874,0),MATCH(I$1,'IN_RC-T'!$A$3:$AAA$3,0))</f>
        <v>0</v>
      </c>
      <c r="J767" s="88">
        <f>INDEX('IN_RC-T'!$A$3:$AAA$874,MATCH($G767,'IN_RC-T'!$A$3:$A$874,0),MATCH(J$1,'IN_RC-T'!$A$3:$AAA$3,0))</f>
        <v>0</v>
      </c>
    </row>
    <row r="768" spans="1:10" x14ac:dyDescent="0.2">
      <c r="A768" s="86" t="s">
        <v>2726</v>
      </c>
      <c r="B768" s="447" t="str">
        <f>IN_Anagrafica!$B$9</f>
        <v>NO</v>
      </c>
      <c r="C768" s="369" t="str">
        <f>IF(B768="SI","SI","NO")</f>
        <v>NO</v>
      </c>
      <c r="D768" s="1028" t="s">
        <v>8281</v>
      </c>
      <c r="E768" s="447" t="s">
        <v>8338</v>
      </c>
      <c r="F768" s="1034" t="s">
        <v>2391</v>
      </c>
      <c r="G768" s="1034" t="s">
        <v>2726</v>
      </c>
      <c r="H768" s="88">
        <f>INDEX('IN_RC-T'!$A$3:$AAA$874,MATCH($G768,'IN_RC-T'!$A$3:$A$874,0),MATCH(H$1,'IN_RC-T'!$A$3:$AAA$3,0))</f>
        <v>0</v>
      </c>
      <c r="I768" s="88">
        <f>INDEX('IN_RC-T'!$A$3:$AAA$874,MATCH($G768,'IN_RC-T'!$A$3:$A$874,0),MATCH(I$1,'IN_RC-T'!$A$3:$AAA$3,0))</f>
        <v>0</v>
      </c>
      <c r="J768" s="88">
        <f>INDEX('IN_RC-T'!$A$3:$AAA$874,MATCH($G768,'IN_RC-T'!$A$3:$A$874,0),MATCH(J$1,'IN_RC-T'!$A$3:$AAA$3,0))</f>
        <v>0</v>
      </c>
    </row>
    <row r="769" spans="1:10" x14ac:dyDescent="0.2">
      <c r="A769" s="86" t="s">
        <v>7755</v>
      </c>
      <c r="B769" s="1067" t="s">
        <v>105</v>
      </c>
      <c r="C769" s="1037" t="s">
        <v>219</v>
      </c>
      <c r="D769" s="1028" t="s">
        <v>8281</v>
      </c>
      <c r="E769" s="447" t="s">
        <v>755</v>
      </c>
      <c r="F769" s="1034" t="s">
        <v>2391</v>
      </c>
      <c r="G769" s="1034" t="s">
        <v>2752</v>
      </c>
      <c r="H769" s="88">
        <f>INDEX('IN_RC-T'!$A$3:$AAA$874,MATCH($G769,'IN_RC-T'!$A$3:$A$874,0),MATCH(H$1,'IN_RC-T'!$A$3:$AAA$3,0))</f>
        <v>0</v>
      </c>
      <c r="I769" s="88">
        <f>INDEX('IN_RC-T'!$A$3:$AAA$874,MATCH($G769,'IN_RC-T'!$A$3:$A$874,0),MATCH(I$1,'IN_RC-T'!$A$3:$AAA$3,0))</f>
        <v>0</v>
      </c>
      <c r="J769" s="88">
        <f>INDEX('IN_RC-T'!$A$3:$AAA$874,MATCH($G769,'IN_RC-T'!$A$3:$A$874,0),MATCH(J$1,'IN_RC-T'!$A$3:$AAA$3,0))</f>
        <v>0</v>
      </c>
    </row>
    <row r="770" spans="1:10" x14ac:dyDescent="0.2">
      <c r="A770" s="86" t="s">
        <v>2753</v>
      </c>
      <c r="B770" s="447" t="str">
        <f>IN_Anagrafica!$B$9</f>
        <v>NO</v>
      </c>
      <c r="C770" s="369" t="str">
        <f>IF(B770="SI","SI","NO")</f>
        <v>NO</v>
      </c>
      <c r="D770" s="1028" t="s">
        <v>8281</v>
      </c>
      <c r="E770" s="447" t="s">
        <v>417</v>
      </c>
      <c r="F770" s="1034" t="s">
        <v>2391</v>
      </c>
      <c r="G770" s="1034" t="s">
        <v>2753</v>
      </c>
      <c r="H770" s="88">
        <f>INDEX('IN_RC-T'!$A$3:$AAA$874,MATCH($G770,'IN_RC-T'!$A$3:$A$874,0),MATCH(H$1,'IN_RC-T'!$A$3:$AAA$3,0))</f>
        <v>0</v>
      </c>
      <c r="I770" s="88">
        <f>INDEX('IN_RC-T'!$A$3:$AAA$874,MATCH($G770,'IN_RC-T'!$A$3:$A$874,0),MATCH(I$1,'IN_RC-T'!$A$3:$AAA$3,0))</f>
        <v>0</v>
      </c>
      <c r="J770" s="88">
        <f>INDEX('IN_RC-T'!$A$3:$AAA$874,MATCH($G770,'IN_RC-T'!$A$3:$A$874,0),MATCH(J$1,'IN_RC-T'!$A$3:$AAA$3,0))</f>
        <v>0</v>
      </c>
    </row>
    <row r="771" spans="1:10" x14ac:dyDescent="0.2">
      <c r="A771" s="86" t="s">
        <v>7756</v>
      </c>
      <c r="B771" s="1067" t="s">
        <v>105</v>
      </c>
      <c r="C771" s="1037" t="s">
        <v>219</v>
      </c>
      <c r="D771" s="1028" t="s">
        <v>8281</v>
      </c>
      <c r="E771" s="447" t="s">
        <v>761</v>
      </c>
      <c r="F771" s="1034" t="s">
        <v>2391</v>
      </c>
      <c r="G771" s="1034" t="s">
        <v>2761</v>
      </c>
      <c r="H771" s="88">
        <f>INDEX('IN_RC-T'!$A$3:$AAA$874,MATCH($G771,'IN_RC-T'!$A$3:$A$874,0),MATCH(H$1,'IN_RC-T'!$A$3:$AAA$3,0))</f>
        <v>0</v>
      </c>
      <c r="I771" s="88">
        <f>INDEX('IN_RC-T'!$A$3:$AAA$874,MATCH($G771,'IN_RC-T'!$A$3:$A$874,0),MATCH(I$1,'IN_RC-T'!$A$3:$AAA$3,0))</f>
        <v>0</v>
      </c>
      <c r="J771" s="88">
        <f>INDEX('IN_RC-T'!$A$3:$AAA$874,MATCH($G771,'IN_RC-T'!$A$3:$A$874,0),MATCH(J$1,'IN_RC-T'!$A$3:$AAA$3,0))</f>
        <v>0</v>
      </c>
    </row>
    <row r="772" spans="1:10" x14ac:dyDescent="0.2">
      <c r="A772" s="86" t="s">
        <v>2762</v>
      </c>
      <c r="B772" s="447" t="str">
        <f>IN_Anagrafica!$B$9</f>
        <v>NO</v>
      </c>
      <c r="C772" s="369" t="str">
        <f>IF(B772="SI","SI","NO")</f>
        <v>NO</v>
      </c>
      <c r="D772" s="1028" t="s">
        <v>8281</v>
      </c>
      <c r="E772" s="447" t="s">
        <v>764</v>
      </c>
      <c r="F772" s="1034" t="s">
        <v>2391</v>
      </c>
      <c r="G772" s="1034" t="s">
        <v>2762</v>
      </c>
      <c r="H772" s="88">
        <f>INDEX('IN_RC-T'!$A$3:$AAA$874,MATCH($G772,'IN_RC-T'!$A$3:$A$874,0),MATCH(H$1,'IN_RC-T'!$A$3:$AAA$3,0))</f>
        <v>0</v>
      </c>
      <c r="I772" s="88">
        <f>INDEX('IN_RC-T'!$A$3:$AAA$874,MATCH($G772,'IN_RC-T'!$A$3:$A$874,0),MATCH(I$1,'IN_RC-T'!$A$3:$AAA$3,0))</f>
        <v>0</v>
      </c>
      <c r="J772" s="88">
        <f>INDEX('IN_RC-T'!$A$3:$AAA$874,MATCH($G772,'IN_RC-T'!$A$3:$A$874,0),MATCH(J$1,'IN_RC-T'!$A$3:$AAA$3,0))</f>
        <v>0</v>
      </c>
    </row>
    <row r="773" spans="1:10" x14ac:dyDescent="0.2">
      <c r="A773" s="86" t="s">
        <v>7757</v>
      </c>
      <c r="B773" s="1067" t="s">
        <v>105</v>
      </c>
      <c r="C773" s="1037" t="s">
        <v>219</v>
      </c>
      <c r="D773" s="1028" t="s">
        <v>8281</v>
      </c>
      <c r="E773" s="447" t="s">
        <v>350</v>
      </c>
      <c r="F773" s="1034" t="s">
        <v>2391</v>
      </c>
      <c r="G773" s="1034" t="s">
        <v>2789</v>
      </c>
      <c r="H773" s="88">
        <f>INDEX('IN_RC-T'!$A$3:$AAA$874,MATCH($G773,'IN_RC-T'!$A$3:$A$874,0),MATCH(H$1,'IN_RC-T'!$A$3:$AAA$3,0))</f>
        <v>0</v>
      </c>
      <c r="I773" s="88">
        <f>INDEX('IN_RC-T'!$A$3:$AAA$874,MATCH($G773,'IN_RC-T'!$A$3:$A$874,0),MATCH(I$1,'IN_RC-T'!$A$3:$AAA$3,0))</f>
        <v>0</v>
      </c>
      <c r="J773" s="88">
        <f>INDEX('IN_RC-T'!$A$3:$AAA$874,MATCH($G773,'IN_RC-T'!$A$3:$A$874,0),MATCH(J$1,'IN_RC-T'!$A$3:$AAA$3,0))</f>
        <v>0</v>
      </c>
    </row>
    <row r="774" spans="1:10" x14ac:dyDescent="0.2">
      <c r="A774" s="86" t="s">
        <v>7758</v>
      </c>
      <c r="B774" s="447" t="str">
        <f>IN_Anagrafica!$B$9</f>
        <v>NO</v>
      </c>
      <c r="C774" s="369" t="str">
        <f>IF(B774="SI","SI","NO")</f>
        <v>NO</v>
      </c>
      <c r="D774" s="1028" t="s">
        <v>8281</v>
      </c>
      <c r="E774" s="447" t="s">
        <v>8339</v>
      </c>
      <c r="F774" s="1034" t="s">
        <v>2391</v>
      </c>
      <c r="G774" s="1034" t="s">
        <v>2790</v>
      </c>
      <c r="H774" s="88">
        <f>INDEX('IN_RC-T'!$A$3:$AAA$874,MATCH($G774,'IN_RC-T'!$A$3:$A$874,0),MATCH(H$1,'IN_RC-T'!$A$3:$AAA$3,0))</f>
        <v>0</v>
      </c>
      <c r="I774" s="88">
        <f>INDEX('IN_RC-T'!$A$3:$AAA$874,MATCH($G774,'IN_RC-T'!$A$3:$A$874,0),MATCH(I$1,'IN_RC-T'!$A$3:$AAA$3,0))</f>
        <v>0</v>
      </c>
      <c r="J774" s="88">
        <f>INDEX('IN_RC-T'!$A$3:$AAA$874,MATCH($G774,'IN_RC-T'!$A$3:$A$874,0),MATCH(J$1,'IN_RC-T'!$A$3:$AAA$3,0))</f>
        <v>0</v>
      </c>
    </row>
    <row r="775" spans="1:10" x14ac:dyDescent="0.2">
      <c r="A775" s="86" t="s">
        <v>7759</v>
      </c>
      <c r="B775" s="1067" t="s">
        <v>105</v>
      </c>
      <c r="C775" s="1037" t="s">
        <v>219</v>
      </c>
      <c r="D775" s="1028" t="s">
        <v>8281</v>
      </c>
      <c r="E775" s="447" t="s">
        <v>8340</v>
      </c>
      <c r="F775" s="1034" t="s">
        <v>2391</v>
      </c>
      <c r="G775" s="1034" t="s">
        <v>2798</v>
      </c>
      <c r="H775" s="88">
        <f>INDEX('IN_RC-T'!$A$3:$AAA$874,MATCH($G775,'IN_RC-T'!$A$3:$A$874,0),MATCH(H$1,'IN_RC-T'!$A$3:$AAA$3,0))</f>
        <v>104195.64689292852</v>
      </c>
      <c r="I775" s="88">
        <f>INDEX('IN_RC-T'!$A$3:$AAA$874,MATCH($G775,'IN_RC-T'!$A$3:$A$874,0),MATCH(I$1,'IN_RC-T'!$A$3:$AAA$3,0))</f>
        <v>0</v>
      </c>
      <c r="J775" s="88">
        <f>INDEX('IN_RC-T'!$A$3:$AAA$874,MATCH($G775,'IN_RC-T'!$A$3:$A$874,0),MATCH(J$1,'IN_RC-T'!$A$3:$AAA$3,0))</f>
        <v>0</v>
      </c>
    </row>
    <row r="776" spans="1:10" x14ac:dyDescent="0.2">
      <c r="A776" s="86" t="s">
        <v>7760</v>
      </c>
      <c r="B776" s="447" t="str">
        <f>IN_Anagrafica!$B$9</f>
        <v>NO</v>
      </c>
      <c r="C776" s="369" t="str">
        <f t="shared" ref="C776:C792" si="8">IF(B776="SI","SI","NO")</f>
        <v>NO</v>
      </c>
      <c r="D776" s="1028" t="s">
        <v>8281</v>
      </c>
      <c r="E776" s="447" t="s">
        <v>8341</v>
      </c>
      <c r="F776" s="1034" t="s">
        <v>2391</v>
      </c>
      <c r="G776" s="1034" t="s">
        <v>2799</v>
      </c>
      <c r="H776" s="88">
        <f>INDEX('IN_RC-T'!$A$3:$AAA$874,MATCH($G776,'IN_RC-T'!$A$3:$A$874,0),MATCH(H$1,'IN_RC-T'!$A$3:$AAA$3,0))</f>
        <v>0</v>
      </c>
      <c r="I776" s="88">
        <f>INDEX('IN_RC-T'!$A$3:$AAA$874,MATCH($G776,'IN_RC-T'!$A$3:$A$874,0),MATCH(I$1,'IN_RC-T'!$A$3:$AAA$3,0))</f>
        <v>0</v>
      </c>
      <c r="J776" s="88">
        <f>INDEX('IN_RC-T'!$A$3:$AAA$874,MATCH($G776,'IN_RC-T'!$A$3:$A$874,0),MATCH(J$1,'IN_RC-T'!$A$3:$AAA$3,0))</f>
        <v>0</v>
      </c>
    </row>
    <row r="777" spans="1:10" x14ac:dyDescent="0.2">
      <c r="A777" s="86" t="s">
        <v>7761</v>
      </c>
      <c r="B777" s="447" t="str">
        <f>IN_Anagrafica!$B$9</f>
        <v>NO</v>
      </c>
      <c r="C777" s="369" t="str">
        <f t="shared" si="8"/>
        <v>NO</v>
      </c>
      <c r="D777" s="1028" t="s">
        <v>8281</v>
      </c>
      <c r="E777" s="447" t="s">
        <v>8342</v>
      </c>
      <c r="F777" s="1034" t="s">
        <v>8520</v>
      </c>
      <c r="G777" s="1034" t="s">
        <v>3151</v>
      </c>
      <c r="H777" s="88">
        <f>INDEX(Import_CO_Comuni!$A$4:$AAA$324,MATCH($G777,Import_CO_Comuni!$A$4:$A$324,0),MATCH(H$1,Import_CO_Comuni!$A$4:$AAA$4,0))</f>
        <v>0</v>
      </c>
      <c r="I777" s="88">
        <f>INDEX(Import_CO_Comuni!$A$4:$AAA$324,MATCH($G777,Import_CO_Comuni!$A$4:$A$324,0),MATCH(I$1,Import_CO_Comuni!$A$4:$AAA$4,0))</f>
        <v>0</v>
      </c>
      <c r="J777" s="88">
        <f>INDEX(Import_CO_Comuni!$A$4:$AAA$324,MATCH($G777,Import_CO_Comuni!$A$4:$A$324,0),MATCH(J$1,Import_CO_Comuni!$A$4:$AAA$4,0))</f>
        <v>0</v>
      </c>
    </row>
    <row r="778" spans="1:10" x14ac:dyDescent="0.2">
      <c r="A778" s="86" t="s">
        <v>7762</v>
      </c>
      <c r="B778" s="447" t="str">
        <f>IN_Anagrafica!$B$9</f>
        <v>NO</v>
      </c>
      <c r="C778" s="369" t="str">
        <f t="shared" si="8"/>
        <v>NO</v>
      </c>
      <c r="D778" s="1028" t="s">
        <v>8281</v>
      </c>
      <c r="E778" s="447" t="s">
        <v>8343</v>
      </c>
      <c r="F778" s="1034" t="s">
        <v>8520</v>
      </c>
      <c r="G778" s="1034" t="s">
        <v>3308</v>
      </c>
      <c r="H778" s="88">
        <f>INDEX(Import_CO_Comuni!$A$4:$AAA$324,MATCH($G778,Import_CO_Comuni!$A$4:$A$324,0),MATCH(H$1,Import_CO_Comuni!$A$4:$AAA$4,0))</f>
        <v>0</v>
      </c>
      <c r="I778" s="88">
        <f>INDEX(Import_CO_Comuni!$A$4:$AAA$324,MATCH($G778,Import_CO_Comuni!$A$4:$A$324,0),MATCH(I$1,Import_CO_Comuni!$A$4:$AAA$4,0))</f>
        <v>0</v>
      </c>
      <c r="J778" s="88">
        <f>INDEX(Import_CO_Comuni!$A$4:$AAA$324,MATCH($G778,Import_CO_Comuni!$A$4:$A$324,0),MATCH(J$1,Import_CO_Comuni!$A$4:$AAA$4,0))</f>
        <v>0</v>
      </c>
    </row>
    <row r="779" spans="1:10" x14ac:dyDescent="0.2">
      <c r="A779" s="86" t="s">
        <v>7763</v>
      </c>
      <c r="B779" s="447" t="str">
        <f>IN_Anagrafica!$B$9</f>
        <v>NO</v>
      </c>
      <c r="C779" s="369" t="str">
        <f t="shared" si="8"/>
        <v>NO</v>
      </c>
      <c r="D779" s="1028" t="s">
        <v>8281</v>
      </c>
      <c r="E779" s="447" t="s">
        <v>8344</v>
      </c>
      <c r="F779" s="1034" t="s">
        <v>8520</v>
      </c>
      <c r="G779" s="1066" t="s">
        <v>3308</v>
      </c>
      <c r="H779" s="88">
        <f>INDEX(Import_CO_Comuni!$A$4:$AAA$324,MATCH($G779,Import_CO_Comuni!$A$4:$A$324,0),MATCH(H$1,Import_CO_Comuni!$A$4:$AAA$4,0))</f>
        <v>0</v>
      </c>
      <c r="I779" s="88">
        <f>INDEX(Import_CO_Comuni!$A$4:$AAA$324,MATCH($G779,Import_CO_Comuni!$A$4:$A$324,0),MATCH(I$1,Import_CO_Comuni!$A$4:$AAA$4,0))</f>
        <v>0</v>
      </c>
      <c r="J779" s="88">
        <f>INDEX(Import_CO_Comuni!$A$4:$AAA$324,MATCH($G779,Import_CO_Comuni!$A$4:$A$324,0),MATCH(J$1,Import_CO_Comuni!$A$4:$AAA$4,0))</f>
        <v>0</v>
      </c>
    </row>
    <row r="780" spans="1:10" x14ac:dyDescent="0.2">
      <c r="A780" s="86" t="s">
        <v>7764</v>
      </c>
      <c r="B780" s="447" t="str">
        <f>IN_Anagrafica!$B$9</f>
        <v>NO</v>
      </c>
      <c r="C780" s="369" t="str">
        <f t="shared" si="8"/>
        <v>NO</v>
      </c>
      <c r="D780" s="1028" t="s">
        <v>8281</v>
      </c>
      <c r="E780" s="447" t="s">
        <v>8275</v>
      </c>
      <c r="F780" s="1034" t="s">
        <v>8520</v>
      </c>
      <c r="G780" s="1066" t="s">
        <v>3308</v>
      </c>
      <c r="H780" s="88">
        <f>INDEX(Import_CO_Comuni!$A$4:$AAA$324,MATCH($G780,Import_CO_Comuni!$A$4:$A$324,0),MATCH(H$1,Import_CO_Comuni!$A$4:$AAA$4,0))</f>
        <v>0</v>
      </c>
      <c r="I780" s="88">
        <f>INDEX(Import_CO_Comuni!$A$4:$AAA$324,MATCH($G780,Import_CO_Comuni!$A$4:$A$324,0),MATCH(I$1,Import_CO_Comuni!$A$4:$AAA$4,0))</f>
        <v>0</v>
      </c>
      <c r="J780" s="88">
        <f>INDEX(Import_CO_Comuni!$A$4:$AAA$324,MATCH($G780,Import_CO_Comuni!$A$4:$A$324,0),MATCH(J$1,Import_CO_Comuni!$A$4:$AAA$4,0))</f>
        <v>0</v>
      </c>
    </row>
    <row r="781" spans="1:10" x14ac:dyDescent="0.2">
      <c r="A781" s="86" t="s">
        <v>7765</v>
      </c>
      <c r="B781" s="447" t="str">
        <f>IN_Anagrafica!$B$9</f>
        <v>NO</v>
      </c>
      <c r="C781" s="369" t="str">
        <f t="shared" si="8"/>
        <v>NO</v>
      </c>
      <c r="D781" s="1028" t="s">
        <v>8281</v>
      </c>
      <c r="E781" s="447" t="s">
        <v>8345</v>
      </c>
      <c r="F781" s="1034" t="s">
        <v>8520</v>
      </c>
      <c r="G781" s="1034" t="s">
        <v>3250</v>
      </c>
      <c r="H781" s="88">
        <f>INDEX(Import_CO_Comuni!$A$4:$AAA$324,MATCH($G781,Import_CO_Comuni!$A$4:$A$324,0),MATCH(H$1,Import_CO_Comuni!$A$4:$AAA$4,0))</f>
        <v>0</v>
      </c>
      <c r="I781" s="88">
        <f>INDEX(Import_CO_Comuni!$A$4:$AAA$324,MATCH($G781,Import_CO_Comuni!$A$4:$A$324,0),MATCH(I$1,Import_CO_Comuni!$A$4:$AAA$4,0))</f>
        <v>0</v>
      </c>
      <c r="J781" s="88">
        <f>INDEX(Import_CO_Comuni!$A$4:$AAA$324,MATCH($G781,Import_CO_Comuni!$A$4:$A$324,0),MATCH(J$1,Import_CO_Comuni!$A$4:$AAA$4,0))</f>
        <v>0</v>
      </c>
    </row>
    <row r="782" spans="1:10" x14ac:dyDescent="0.2">
      <c r="A782" s="86" t="s">
        <v>7766</v>
      </c>
      <c r="B782" s="447" t="str">
        <f>IN_Anagrafica!$B$9</f>
        <v>NO</v>
      </c>
      <c r="C782" s="369" t="str">
        <f t="shared" si="8"/>
        <v>NO</v>
      </c>
      <c r="D782" s="1028" t="s">
        <v>8281</v>
      </c>
      <c r="E782" s="447" t="s">
        <v>8346</v>
      </c>
      <c r="F782" s="1034" t="s">
        <v>8520</v>
      </c>
      <c r="G782" s="1034" t="s">
        <v>3407</v>
      </c>
      <c r="H782" s="88">
        <f>INDEX(Import_CO_Comuni!$A$4:$AAA$324,MATCH($G782,Import_CO_Comuni!$A$4:$A$324,0),MATCH(H$1,Import_CO_Comuni!$A$4:$AAA$4,0))</f>
        <v>0</v>
      </c>
      <c r="I782" s="88">
        <f>INDEX(Import_CO_Comuni!$A$4:$AAA$324,MATCH($G782,Import_CO_Comuni!$A$4:$A$324,0),MATCH(I$1,Import_CO_Comuni!$A$4:$AAA$4,0))</f>
        <v>0</v>
      </c>
      <c r="J782" s="88">
        <f>INDEX(Import_CO_Comuni!$A$4:$AAA$324,MATCH($G782,Import_CO_Comuni!$A$4:$A$324,0),MATCH(J$1,Import_CO_Comuni!$A$4:$AAA$4,0))</f>
        <v>0</v>
      </c>
    </row>
    <row r="783" spans="1:10" x14ac:dyDescent="0.2">
      <c r="A783" s="86" t="s">
        <v>7767</v>
      </c>
      <c r="B783" s="447" t="str">
        <f>IN_Anagrafica!$B$9</f>
        <v>NO</v>
      </c>
      <c r="C783" s="369" t="str">
        <f t="shared" si="8"/>
        <v>NO</v>
      </c>
      <c r="D783" s="1028" t="s">
        <v>8281</v>
      </c>
      <c r="E783" s="447" t="s">
        <v>8347</v>
      </c>
      <c r="F783" s="1034" t="s">
        <v>8520</v>
      </c>
      <c r="G783" s="1066" t="s">
        <v>3407</v>
      </c>
      <c r="H783" s="88">
        <f>INDEX(Import_CO_Comuni!$A$4:$AAA$324,MATCH($G783,Import_CO_Comuni!$A$4:$A$324,0),MATCH(H$1,Import_CO_Comuni!$A$4:$AAA$4,0))</f>
        <v>0</v>
      </c>
      <c r="I783" s="88">
        <f>INDEX(Import_CO_Comuni!$A$4:$AAA$324,MATCH($G783,Import_CO_Comuni!$A$4:$A$324,0),MATCH(I$1,Import_CO_Comuni!$A$4:$AAA$4,0))</f>
        <v>0</v>
      </c>
      <c r="J783" s="88">
        <f>INDEX(Import_CO_Comuni!$A$4:$AAA$324,MATCH($G783,Import_CO_Comuni!$A$4:$A$324,0),MATCH(J$1,Import_CO_Comuni!$A$4:$AAA$4,0))</f>
        <v>0</v>
      </c>
    </row>
    <row r="784" spans="1:10" x14ac:dyDescent="0.2">
      <c r="A784" s="86" t="s">
        <v>7768</v>
      </c>
      <c r="B784" s="447" t="str">
        <f>IN_Anagrafica!$B$9</f>
        <v>NO</v>
      </c>
      <c r="C784" s="369" t="str">
        <f t="shared" si="8"/>
        <v>NO</v>
      </c>
      <c r="D784" s="1028" t="s">
        <v>8281</v>
      </c>
      <c r="E784" s="447" t="s">
        <v>8277</v>
      </c>
      <c r="F784" s="1034" t="s">
        <v>8520</v>
      </c>
      <c r="G784" s="1066" t="s">
        <v>3407</v>
      </c>
      <c r="H784" s="88">
        <f>INDEX(Import_CO_Comuni!$A$4:$AAA$324,MATCH($G784,Import_CO_Comuni!$A$4:$A$324,0),MATCH(H$1,Import_CO_Comuni!$A$4:$AAA$4,0))</f>
        <v>0</v>
      </c>
      <c r="I784" s="88">
        <f>INDEX(Import_CO_Comuni!$A$4:$AAA$324,MATCH($G784,Import_CO_Comuni!$A$4:$A$324,0),MATCH(I$1,Import_CO_Comuni!$A$4:$AAA$4,0))</f>
        <v>0</v>
      </c>
      <c r="J784" s="88">
        <f>INDEX(Import_CO_Comuni!$A$4:$AAA$324,MATCH($G784,Import_CO_Comuni!$A$4:$A$324,0),MATCH(J$1,Import_CO_Comuni!$A$4:$AAA$4,0))</f>
        <v>0</v>
      </c>
    </row>
    <row r="785" spans="1:10" x14ac:dyDescent="0.2">
      <c r="A785" s="86" t="s">
        <v>7769</v>
      </c>
      <c r="B785" s="447" t="str">
        <f>IN_Anagrafica!$B$9</f>
        <v>NO</v>
      </c>
      <c r="C785" s="369" t="str">
        <f t="shared" si="8"/>
        <v>NO</v>
      </c>
      <c r="D785" s="1028" t="s">
        <v>8281</v>
      </c>
      <c r="E785" s="447" t="s">
        <v>8348</v>
      </c>
      <c r="F785" s="1034" t="s">
        <v>6415</v>
      </c>
      <c r="G785" s="1034" t="s">
        <v>6416</v>
      </c>
      <c r="H785" s="88">
        <f>INDEX(IN_Altro!$A$3:$AAA$46,MATCH($G785,IN_Altro!$A$3:$A$46,0),MATCH(H$1,IN_Altro!$A$3:$AAA$3,0))</f>
        <v>103312</v>
      </c>
      <c r="I785" s="88">
        <f>INDEX(IN_Altro!$A$3:$AAA$46,MATCH($G785,IN_Altro!$A$3:$A$46,0),MATCH(I$1,IN_Altro!$A$3:$AAA$3,0))</f>
        <v>0</v>
      </c>
      <c r="J785" s="88">
        <f>INDEX(IN_Altro!$A$3:$AAA$46,MATCH($G785,IN_Altro!$A$3:$A$46,0),MATCH(J$1,IN_Altro!$A$3:$AAA$3,0))</f>
        <v>0</v>
      </c>
    </row>
    <row r="786" spans="1:10" x14ac:dyDescent="0.2">
      <c r="A786" s="86" t="s">
        <v>7770</v>
      </c>
      <c r="B786" s="447" t="str">
        <f>IN_Anagrafica!$B$9</f>
        <v>NO</v>
      </c>
      <c r="C786" s="369" t="str">
        <f t="shared" si="8"/>
        <v>NO</v>
      </c>
      <c r="D786" s="1028" t="s">
        <v>8281</v>
      </c>
      <c r="E786" s="447" t="s">
        <v>8349</v>
      </c>
      <c r="F786" s="1034" t="s">
        <v>6415</v>
      </c>
      <c r="G786" s="1034" t="s">
        <v>6418</v>
      </c>
      <c r="H786" s="88">
        <f>INDEX(IN_Altro!$A$3:$AAA$46,MATCH($G786,IN_Altro!$A$3:$A$46,0),MATCH(H$1,IN_Altro!$A$3:$AAA$3,0))</f>
        <v>103312</v>
      </c>
      <c r="I786" s="88">
        <f>INDEX(IN_Altro!$A$3:$AAA$46,MATCH($G786,IN_Altro!$A$3:$A$46,0),MATCH(I$1,IN_Altro!$A$3:$AAA$3,0))</f>
        <v>0</v>
      </c>
      <c r="J786" s="88">
        <f>INDEX(IN_Altro!$A$3:$AAA$46,MATCH($G786,IN_Altro!$A$3:$A$46,0),MATCH(J$1,IN_Altro!$A$3:$AAA$3,0))</f>
        <v>0</v>
      </c>
    </row>
    <row r="787" spans="1:10" x14ac:dyDescent="0.2">
      <c r="A787" s="86" t="s">
        <v>7771</v>
      </c>
      <c r="B787" s="447" t="str">
        <f>IN_Anagrafica!$B$9</f>
        <v>NO</v>
      </c>
      <c r="C787" s="369" t="str">
        <f t="shared" si="8"/>
        <v>NO</v>
      </c>
      <c r="D787" s="1028" t="s">
        <v>8281</v>
      </c>
      <c r="E787" s="447" t="s">
        <v>8350</v>
      </c>
      <c r="F787" s="1034" t="s">
        <v>6415</v>
      </c>
      <c r="G787" s="1034" t="s">
        <v>6420</v>
      </c>
      <c r="H787" s="88">
        <f>INDEX(IN_Altro!$A$3:$AAA$46,MATCH($G787,IN_Altro!$A$3:$A$46,0),MATCH(H$1,IN_Altro!$A$3:$AAA$3,0))</f>
        <v>103312</v>
      </c>
      <c r="I787" s="88">
        <f>INDEX(IN_Altro!$A$3:$AAA$46,MATCH($G787,IN_Altro!$A$3:$A$46,0),MATCH(I$1,IN_Altro!$A$3:$AAA$3,0))</f>
        <v>0</v>
      </c>
      <c r="J787" s="88">
        <f>INDEX(IN_Altro!$A$3:$AAA$46,MATCH($G787,IN_Altro!$A$3:$A$46,0),MATCH(J$1,IN_Altro!$A$3:$AAA$3,0))</f>
        <v>0</v>
      </c>
    </row>
    <row r="788" spans="1:10" x14ac:dyDescent="0.2">
      <c r="A788" s="86" t="s">
        <v>7772</v>
      </c>
      <c r="B788" s="447" t="str">
        <f>IN_Anagrafica!$B$9</f>
        <v>NO</v>
      </c>
      <c r="C788" s="369" t="str">
        <f t="shared" si="8"/>
        <v>NO</v>
      </c>
      <c r="D788" s="1028" t="s">
        <v>8281</v>
      </c>
      <c r="E788" s="447" t="s">
        <v>8351</v>
      </c>
      <c r="F788" s="1034" t="s">
        <v>6415</v>
      </c>
      <c r="G788" s="1034" t="s">
        <v>6422</v>
      </c>
      <c r="H788" s="88">
        <f>INDEX(IN_Altro!$A$3:$AAA$46,MATCH($G788,IN_Altro!$A$3:$A$46,0),MATCH(H$1,IN_Altro!$A$3:$AAA$3,0))</f>
        <v>103312</v>
      </c>
      <c r="I788" s="88">
        <f>INDEX(IN_Altro!$A$3:$AAA$46,MATCH($G788,IN_Altro!$A$3:$A$46,0),MATCH(I$1,IN_Altro!$A$3:$AAA$3,0))</f>
        <v>0</v>
      </c>
      <c r="J788" s="88">
        <f>INDEX(IN_Altro!$A$3:$AAA$46,MATCH($G788,IN_Altro!$A$3:$A$46,0),MATCH(J$1,IN_Altro!$A$3:$AAA$3,0))</f>
        <v>0</v>
      </c>
    </row>
    <row r="789" spans="1:10" x14ac:dyDescent="0.2">
      <c r="A789" s="86" t="s">
        <v>7773</v>
      </c>
      <c r="B789" s="447" t="str">
        <f>IN_Anagrafica!$B$9</f>
        <v>NO</v>
      </c>
      <c r="C789" s="369" t="str">
        <f t="shared" si="8"/>
        <v>NO</v>
      </c>
      <c r="D789" s="1028" t="s">
        <v>8281</v>
      </c>
      <c r="E789" s="447" t="s">
        <v>8352</v>
      </c>
      <c r="F789" s="1034" t="s">
        <v>6415</v>
      </c>
      <c r="G789" s="1034" t="s">
        <v>6417</v>
      </c>
      <c r="H789" s="88">
        <f>INDEX(IN_Altro!$A$3:$AAA$46,MATCH($G789,IN_Altro!$A$3:$A$46,0),MATCH(H$1,IN_Altro!$A$3:$AAA$3,0))</f>
        <v>0</v>
      </c>
      <c r="I789" s="88">
        <f>INDEX(IN_Altro!$A$3:$AAA$46,MATCH($G789,IN_Altro!$A$3:$A$46,0),MATCH(I$1,IN_Altro!$A$3:$AAA$3,0))</f>
        <v>0</v>
      </c>
      <c r="J789" s="88">
        <f>INDEX(IN_Altro!$A$3:$AAA$46,MATCH($G789,IN_Altro!$A$3:$A$46,0),MATCH(J$1,IN_Altro!$A$3:$AAA$3,0))</f>
        <v>0</v>
      </c>
    </row>
    <row r="790" spans="1:10" x14ac:dyDescent="0.2">
      <c r="A790" s="86" t="s">
        <v>7774</v>
      </c>
      <c r="B790" s="447" t="str">
        <f>IN_Anagrafica!$B$9</f>
        <v>NO</v>
      </c>
      <c r="C790" s="369" t="str">
        <f t="shared" si="8"/>
        <v>NO</v>
      </c>
      <c r="D790" s="1028" t="s">
        <v>8281</v>
      </c>
      <c r="E790" s="447" t="s">
        <v>8353</v>
      </c>
      <c r="F790" s="1034" t="s">
        <v>6415</v>
      </c>
      <c r="G790" s="1034" t="s">
        <v>6419</v>
      </c>
      <c r="H790" s="88">
        <f>INDEX(IN_Altro!$A$3:$AAA$46,MATCH($G790,IN_Altro!$A$3:$A$46,0),MATCH(H$1,IN_Altro!$A$3:$AAA$3,0))</f>
        <v>0</v>
      </c>
      <c r="I790" s="88">
        <f>INDEX(IN_Altro!$A$3:$AAA$46,MATCH($G790,IN_Altro!$A$3:$A$46,0),MATCH(I$1,IN_Altro!$A$3:$AAA$3,0))</f>
        <v>0</v>
      </c>
      <c r="J790" s="88">
        <f>INDEX(IN_Altro!$A$3:$AAA$46,MATCH($G790,IN_Altro!$A$3:$A$46,0),MATCH(J$1,IN_Altro!$A$3:$AAA$3,0))</f>
        <v>0</v>
      </c>
    </row>
    <row r="791" spans="1:10" x14ac:dyDescent="0.2">
      <c r="A791" s="86" t="s">
        <v>7775</v>
      </c>
      <c r="B791" s="447" t="str">
        <f>IN_Anagrafica!$B$9</f>
        <v>NO</v>
      </c>
      <c r="C791" s="369" t="str">
        <f t="shared" si="8"/>
        <v>NO</v>
      </c>
      <c r="D791" s="1028" t="s">
        <v>8281</v>
      </c>
      <c r="E791" s="447" t="s">
        <v>8354</v>
      </c>
      <c r="F791" s="1034" t="s">
        <v>6415</v>
      </c>
      <c r="G791" s="1034" t="s">
        <v>6421</v>
      </c>
      <c r="H791" s="88">
        <f>INDEX(IN_Altro!$A$3:$AAA$46,MATCH($G791,IN_Altro!$A$3:$A$46,0),MATCH(H$1,IN_Altro!$A$3:$AAA$3,0))</f>
        <v>0</v>
      </c>
      <c r="I791" s="88">
        <f>INDEX(IN_Altro!$A$3:$AAA$46,MATCH($G791,IN_Altro!$A$3:$A$46,0),MATCH(I$1,IN_Altro!$A$3:$AAA$3,0))</f>
        <v>0</v>
      </c>
      <c r="J791" s="88">
        <f>INDEX(IN_Altro!$A$3:$AAA$46,MATCH($G791,IN_Altro!$A$3:$A$46,0),MATCH(J$1,IN_Altro!$A$3:$AAA$3,0))</f>
        <v>0</v>
      </c>
    </row>
    <row r="792" spans="1:10" x14ac:dyDescent="0.2">
      <c r="A792" s="86" t="s">
        <v>7776</v>
      </c>
      <c r="B792" s="447" t="str">
        <f>IN_Anagrafica!$B$9</f>
        <v>NO</v>
      </c>
      <c r="C792" s="369" t="str">
        <f t="shared" si="8"/>
        <v>NO</v>
      </c>
      <c r="D792" s="1028" t="s">
        <v>8281</v>
      </c>
      <c r="E792" s="447" t="s">
        <v>8355</v>
      </c>
      <c r="F792" s="1034" t="s">
        <v>6415</v>
      </c>
      <c r="G792" s="1034" t="s">
        <v>6423</v>
      </c>
      <c r="H792" s="88">
        <f>INDEX(IN_Altro!$A$3:$AAA$46,MATCH($G792,IN_Altro!$A$3:$A$46,0),MATCH(H$1,IN_Altro!$A$3:$AAA$3,0))</f>
        <v>0</v>
      </c>
      <c r="I792" s="88">
        <f>INDEX(IN_Altro!$A$3:$AAA$46,MATCH($G792,IN_Altro!$A$3:$A$46,0),MATCH(I$1,IN_Altro!$A$3:$AAA$3,0))</f>
        <v>0</v>
      </c>
      <c r="J792" s="88">
        <f>INDEX(IN_Altro!$A$3:$AAA$46,MATCH($G792,IN_Altro!$A$3:$A$46,0),MATCH(J$1,IN_Altro!$A$3:$AAA$3,0))</f>
        <v>0</v>
      </c>
    </row>
    <row r="793" spans="1:10" x14ac:dyDescent="0.2">
      <c r="A793" s="86" t="s">
        <v>7777</v>
      </c>
      <c r="B793" s="1067" t="s">
        <v>105</v>
      </c>
      <c r="C793" s="1037" t="s">
        <v>219</v>
      </c>
      <c r="D793" s="1028" t="s">
        <v>8281</v>
      </c>
      <c r="E793" s="447" t="s">
        <v>8356</v>
      </c>
      <c r="F793" s="1034" t="s">
        <v>6415</v>
      </c>
      <c r="G793" s="1034" t="s">
        <v>6442</v>
      </c>
      <c r="H793" s="88">
        <f>INDEX(IN_Altro!$A$3:$AAA$46,MATCH($G793,IN_Altro!$A$3:$A$46,0),MATCH(H$1,IN_Altro!$A$3:$AAA$3,0))</f>
        <v>0</v>
      </c>
      <c r="I793" s="88">
        <f>INDEX(IN_Altro!$A$3:$AAA$46,MATCH($G793,IN_Altro!$A$3:$A$46,0),MATCH(I$1,IN_Altro!$A$3:$AAA$3,0))</f>
        <v>0</v>
      </c>
      <c r="J793" s="88">
        <f>INDEX(IN_Altro!$A$3:$AAA$46,MATCH($G793,IN_Altro!$A$3:$A$46,0),MATCH(J$1,IN_Altro!$A$3:$AAA$3,0))</f>
        <v>0</v>
      </c>
    </row>
    <row r="794" spans="1:10" x14ac:dyDescent="0.2">
      <c r="A794" s="86" t="s">
        <v>7778</v>
      </c>
      <c r="B794" s="447" t="str">
        <f>IN_Anagrafica!$B$9</f>
        <v>NO</v>
      </c>
      <c r="C794" s="369" t="str">
        <f>IF(B794="SI","SI","NO")</f>
        <v>NO</v>
      </c>
      <c r="D794" s="1028" t="s">
        <v>8281</v>
      </c>
      <c r="E794" s="447" t="s">
        <v>8357</v>
      </c>
      <c r="F794" s="1034" t="s">
        <v>6415</v>
      </c>
      <c r="G794" s="1034" t="s">
        <v>6443</v>
      </c>
      <c r="H794" s="88">
        <f>INDEX(IN_Altro!$A$3:$AAA$46,MATCH($G794,IN_Altro!$A$3:$A$46,0),MATCH(H$1,IN_Altro!$A$3:$AAA$3,0))</f>
        <v>0</v>
      </c>
      <c r="I794" s="88">
        <f>INDEX(IN_Altro!$A$3:$AAA$46,MATCH($G794,IN_Altro!$A$3:$A$46,0),MATCH(I$1,IN_Altro!$A$3:$AAA$3,0))</f>
        <v>0</v>
      </c>
      <c r="J794" s="88">
        <f>INDEX(IN_Altro!$A$3:$AAA$46,MATCH($G794,IN_Altro!$A$3:$A$46,0),MATCH(J$1,IN_Altro!$A$3:$AAA$3,0))</f>
        <v>0</v>
      </c>
    </row>
    <row r="795" spans="1:10" x14ac:dyDescent="0.2">
      <c r="A795" s="86" t="s">
        <v>7779</v>
      </c>
      <c r="B795" s="1067" t="s">
        <v>105</v>
      </c>
      <c r="C795" s="1037" t="s">
        <v>219</v>
      </c>
      <c r="D795" s="1028" t="s">
        <v>8281</v>
      </c>
      <c r="E795" s="447" t="s">
        <v>8358</v>
      </c>
      <c r="F795" s="1034" t="s">
        <v>6415</v>
      </c>
      <c r="G795" s="1034" t="s">
        <v>6445</v>
      </c>
      <c r="H795" s="88">
        <f>INDEX(IN_Altro!$A$3:$AAA$46,MATCH($G795,IN_Altro!$A$3:$A$46,0),MATCH(H$1,IN_Altro!$A$3:$AAA$3,0))</f>
        <v>0</v>
      </c>
      <c r="I795" s="88">
        <f>INDEX(IN_Altro!$A$3:$AAA$46,MATCH($G795,IN_Altro!$A$3:$A$46,0),MATCH(I$1,IN_Altro!$A$3:$AAA$3,0))</f>
        <v>0</v>
      </c>
      <c r="J795" s="88">
        <f>INDEX(IN_Altro!$A$3:$AAA$46,MATCH($G795,IN_Altro!$A$3:$A$46,0),MATCH(J$1,IN_Altro!$A$3:$AAA$3,0))</f>
        <v>0</v>
      </c>
    </row>
    <row r="796" spans="1:10" x14ac:dyDescent="0.2">
      <c r="A796" s="86" t="s">
        <v>7780</v>
      </c>
      <c r="B796" s="447" t="str">
        <f>IN_Anagrafica!$B$9</f>
        <v>NO</v>
      </c>
      <c r="C796" s="369" t="str">
        <f>IF(B796="SI","SI","NO")</f>
        <v>NO</v>
      </c>
      <c r="D796" s="1028" t="s">
        <v>8281</v>
      </c>
      <c r="E796" s="447" t="s">
        <v>8359</v>
      </c>
      <c r="F796" s="1034" t="s">
        <v>6415</v>
      </c>
      <c r="G796" s="1034" t="s">
        <v>6446</v>
      </c>
      <c r="H796" s="88">
        <f>INDEX(IN_Altro!$A$3:$AAA$46,MATCH($G796,IN_Altro!$A$3:$A$46,0),MATCH(H$1,IN_Altro!$A$3:$AAA$3,0))</f>
        <v>0</v>
      </c>
      <c r="I796" s="88">
        <f>INDEX(IN_Altro!$A$3:$AAA$46,MATCH($G796,IN_Altro!$A$3:$A$46,0),MATCH(I$1,IN_Altro!$A$3:$AAA$3,0))</f>
        <v>0</v>
      </c>
      <c r="J796" s="88">
        <f>INDEX(IN_Altro!$A$3:$AAA$46,MATCH($G796,IN_Altro!$A$3:$A$46,0),MATCH(J$1,IN_Altro!$A$3:$AAA$3,0))</f>
        <v>0</v>
      </c>
    </row>
    <row r="797" spans="1:10" x14ac:dyDescent="0.2">
      <c r="A797" s="86" t="s">
        <v>7781</v>
      </c>
      <c r="B797" s="1067" t="s">
        <v>105</v>
      </c>
      <c r="C797" s="1037" t="s">
        <v>219</v>
      </c>
      <c r="D797" s="1028" t="s">
        <v>8281</v>
      </c>
      <c r="E797" s="447" t="s">
        <v>8360</v>
      </c>
      <c r="F797" s="1034" t="s">
        <v>6415</v>
      </c>
      <c r="G797" s="1034" t="s">
        <v>6448</v>
      </c>
      <c r="H797" s="88">
        <f>INDEX(IN_Altro!$A$3:$AAA$46,MATCH($G797,IN_Altro!$A$3:$A$46,0),MATCH(H$1,IN_Altro!$A$3:$AAA$3,0))</f>
        <v>0</v>
      </c>
      <c r="I797" s="88">
        <f>INDEX(IN_Altro!$A$3:$AAA$46,MATCH($G797,IN_Altro!$A$3:$A$46,0),MATCH(I$1,IN_Altro!$A$3:$AAA$3,0))</f>
        <v>0</v>
      </c>
      <c r="J797" s="88">
        <f>INDEX(IN_Altro!$A$3:$AAA$46,MATCH($G797,IN_Altro!$A$3:$A$46,0),MATCH(J$1,IN_Altro!$A$3:$AAA$3,0))</f>
        <v>0</v>
      </c>
    </row>
    <row r="798" spans="1:10" x14ac:dyDescent="0.2">
      <c r="A798" s="86" t="s">
        <v>7782</v>
      </c>
      <c r="B798" s="447" t="str">
        <f>IN_Anagrafica!$B$9</f>
        <v>NO</v>
      </c>
      <c r="C798" s="369" t="str">
        <f>IF(B798="SI","SI","NO")</f>
        <v>NO</v>
      </c>
      <c r="D798" s="1028" t="s">
        <v>8281</v>
      </c>
      <c r="E798" s="447" t="s">
        <v>8361</v>
      </c>
      <c r="F798" s="1034" t="s">
        <v>6415</v>
      </c>
      <c r="G798" s="1034" t="s">
        <v>6449</v>
      </c>
      <c r="H798" s="88">
        <f>INDEX(IN_Altro!$A$3:$AAA$46,MATCH($G798,IN_Altro!$A$3:$A$46,0),MATCH(H$1,IN_Altro!$A$3:$AAA$3,0))</f>
        <v>0</v>
      </c>
      <c r="I798" s="88">
        <f>INDEX(IN_Altro!$A$3:$AAA$46,MATCH($G798,IN_Altro!$A$3:$A$46,0),MATCH(I$1,IN_Altro!$A$3:$AAA$3,0))</f>
        <v>0</v>
      </c>
      <c r="J798" s="88">
        <f>INDEX(IN_Altro!$A$3:$AAA$46,MATCH($G798,IN_Altro!$A$3:$A$46,0),MATCH(J$1,IN_Altro!$A$3:$AAA$3,0))</f>
        <v>0</v>
      </c>
    </row>
    <row r="799" spans="1:10" x14ac:dyDescent="0.2">
      <c r="A799" s="86" t="s">
        <v>7783</v>
      </c>
      <c r="B799" s="1067" t="s">
        <v>105</v>
      </c>
      <c r="C799" s="1037" t="s">
        <v>219</v>
      </c>
      <c r="D799" s="1028" t="s">
        <v>8281</v>
      </c>
      <c r="E799" s="447" t="s">
        <v>8362</v>
      </c>
      <c r="F799" s="1034" t="s">
        <v>6415</v>
      </c>
      <c r="G799" s="1034" t="s">
        <v>6451</v>
      </c>
      <c r="H799" s="88">
        <f>INDEX(IN_Altro!$A$3:$AAA$46,MATCH($G799,IN_Altro!$A$3:$A$46,0),MATCH(H$1,IN_Altro!$A$3:$AAA$3,0))</f>
        <v>0</v>
      </c>
      <c r="I799" s="88">
        <f>INDEX(IN_Altro!$A$3:$AAA$46,MATCH($G799,IN_Altro!$A$3:$A$46,0),MATCH(I$1,IN_Altro!$A$3:$AAA$3,0))</f>
        <v>0</v>
      </c>
      <c r="J799" s="88">
        <f>INDEX(IN_Altro!$A$3:$AAA$46,MATCH($G799,IN_Altro!$A$3:$A$46,0),MATCH(J$1,IN_Altro!$A$3:$AAA$3,0))</f>
        <v>0</v>
      </c>
    </row>
    <row r="800" spans="1:10" x14ac:dyDescent="0.2">
      <c r="A800" s="86" t="s">
        <v>7784</v>
      </c>
      <c r="B800" s="447" t="str">
        <f>IN_Anagrafica!$B$9</f>
        <v>NO</v>
      </c>
      <c r="C800" s="369" t="str">
        <f>IF(B800="SI","SI","NO")</f>
        <v>NO</v>
      </c>
      <c r="D800" s="1028" t="s">
        <v>8281</v>
      </c>
      <c r="E800" s="447" t="s">
        <v>8363</v>
      </c>
      <c r="F800" s="1034" t="s">
        <v>6415</v>
      </c>
      <c r="G800" s="1034" t="s">
        <v>6452</v>
      </c>
      <c r="H800" s="88">
        <f>INDEX(IN_Altro!$A$3:$AAA$46,MATCH($G800,IN_Altro!$A$3:$A$46,0),MATCH(H$1,IN_Altro!$A$3:$AAA$3,0))</f>
        <v>0</v>
      </c>
      <c r="I800" s="88">
        <f>INDEX(IN_Altro!$A$3:$AAA$46,MATCH($G800,IN_Altro!$A$3:$A$46,0),MATCH(I$1,IN_Altro!$A$3:$AAA$3,0))</f>
        <v>0</v>
      </c>
      <c r="J800" s="88">
        <f>INDEX(IN_Altro!$A$3:$AAA$46,MATCH($G800,IN_Altro!$A$3:$A$46,0),MATCH(J$1,IN_Altro!$A$3:$AAA$3,0))</f>
        <v>0</v>
      </c>
    </row>
    <row r="801" spans="1:10" x14ac:dyDescent="0.2">
      <c r="A801" s="86" t="s">
        <v>7785</v>
      </c>
      <c r="B801" s="1067" t="s">
        <v>105</v>
      </c>
      <c r="C801" s="1037" t="s">
        <v>219</v>
      </c>
      <c r="D801" s="1027" t="s">
        <v>6535</v>
      </c>
      <c r="E801" s="447" t="s">
        <v>738</v>
      </c>
      <c r="F801" s="1034" t="s">
        <v>6535</v>
      </c>
      <c r="G801" s="1034" t="s">
        <v>6571</v>
      </c>
      <c r="H801" s="88">
        <f>INDEX('Rett_Ta-1'!$A$3:$AAA$100,MATCH($G801,'Rett_Ta-1'!$A$3:$A$100,0),MATCH(H$1,'Rett_Ta-1'!$A$3:$AAA$3,0))</f>
        <v>0</v>
      </c>
      <c r="I801" s="88">
        <f>INDEX('Rett_Ta-1'!$A$3:$AAA$100,MATCH($G801,'Rett_Ta-1'!$A$3:$A$100,0),MATCH(I$1,'Rett_Ta-1'!$A$3:$AAA$3,0))</f>
        <v>0</v>
      </c>
      <c r="J801" s="88">
        <f>INDEX('Rett_Ta-1'!$A$3:$AAA$100,MATCH($G801,'Rett_Ta-1'!$A$3:$A$100,0),MATCH(J$1,'Rett_Ta-1'!$A$3:$AAA$3,0))</f>
        <v>0</v>
      </c>
    </row>
    <row r="802" spans="1:10" x14ac:dyDescent="0.2">
      <c r="A802" s="86" t="s">
        <v>7786</v>
      </c>
      <c r="B802" s="447" t="str">
        <f>IN_Anagrafica!$B$9</f>
        <v>NO</v>
      </c>
      <c r="C802" s="369" t="str">
        <f>IF(B802="SI","SI","NO")</f>
        <v>NO</v>
      </c>
      <c r="D802" s="1027" t="s">
        <v>6535</v>
      </c>
      <c r="E802" s="447" t="s">
        <v>8364</v>
      </c>
      <c r="F802" s="1034" t="s">
        <v>6535</v>
      </c>
      <c r="G802" s="1034" t="s">
        <v>6570</v>
      </c>
      <c r="H802" s="88">
        <f>INDEX('Rett_Ta-1'!$A$3:$AAA$100,MATCH($G802,'Rett_Ta-1'!$A$3:$A$100,0),MATCH(H$1,'Rett_Ta-1'!$A$3:$AAA$3,0))</f>
        <v>0</v>
      </c>
      <c r="I802" s="88">
        <f>INDEX('Rett_Ta-1'!$A$3:$AAA$100,MATCH($G802,'Rett_Ta-1'!$A$3:$A$100,0),MATCH(I$1,'Rett_Ta-1'!$A$3:$AAA$3,0))</f>
        <v>0</v>
      </c>
      <c r="J802" s="88">
        <f>INDEX('Rett_Ta-1'!$A$3:$AAA$100,MATCH($G802,'Rett_Ta-1'!$A$3:$A$100,0),MATCH(J$1,'Rett_Ta-1'!$A$3:$AAA$3,0))</f>
        <v>0</v>
      </c>
    </row>
    <row r="803" spans="1:10" x14ac:dyDescent="0.2">
      <c r="A803" s="86" t="s">
        <v>7787</v>
      </c>
      <c r="B803" s="1067" t="s">
        <v>105</v>
      </c>
      <c r="C803" s="1037" t="s">
        <v>219</v>
      </c>
      <c r="D803" s="1027" t="s">
        <v>6535</v>
      </c>
      <c r="E803" s="447" t="s">
        <v>8365</v>
      </c>
      <c r="F803" s="1034" t="s">
        <v>6535</v>
      </c>
      <c r="G803" s="1034" t="s">
        <v>6574</v>
      </c>
      <c r="H803" s="88">
        <f>INDEX('Rett_Ta-1'!$A$3:$AAA$100,MATCH($G803,'Rett_Ta-1'!$A$3:$A$100,0),MATCH(H$1,'Rett_Ta-1'!$A$3:$AAA$3,0))</f>
        <v>0</v>
      </c>
      <c r="I803" s="88">
        <f>INDEX('Rett_Ta-1'!$A$3:$AAA$100,MATCH($G803,'Rett_Ta-1'!$A$3:$A$100,0),MATCH(I$1,'Rett_Ta-1'!$A$3:$AAA$3,0))</f>
        <v>0</v>
      </c>
      <c r="J803" s="88">
        <f>INDEX('Rett_Ta-1'!$A$3:$AAA$100,MATCH($G803,'Rett_Ta-1'!$A$3:$A$100,0),MATCH(J$1,'Rett_Ta-1'!$A$3:$AAA$3,0))</f>
        <v>0</v>
      </c>
    </row>
    <row r="804" spans="1:10" x14ac:dyDescent="0.2">
      <c r="A804" s="86" t="s">
        <v>7788</v>
      </c>
      <c r="B804" s="447" t="str">
        <f>IN_Anagrafica!$B$9</f>
        <v>NO</v>
      </c>
      <c r="C804" s="369" t="str">
        <f>IF(B804="SI","SI","NO")</f>
        <v>NO</v>
      </c>
      <c r="D804" s="1027" t="s">
        <v>6535</v>
      </c>
      <c r="E804" s="447" t="s">
        <v>8366</v>
      </c>
      <c r="F804" s="1034" t="s">
        <v>6535</v>
      </c>
      <c r="G804" s="1034" t="s">
        <v>6575</v>
      </c>
      <c r="H804" s="88">
        <f>INDEX('Rett_Ta-1'!$A$3:$AAA$100,MATCH($G804,'Rett_Ta-1'!$A$3:$A$100,0),MATCH(H$1,'Rett_Ta-1'!$A$3:$AAA$3,0))</f>
        <v>0</v>
      </c>
      <c r="I804" s="88">
        <f>INDEX('Rett_Ta-1'!$A$3:$AAA$100,MATCH($G804,'Rett_Ta-1'!$A$3:$A$100,0),MATCH(I$1,'Rett_Ta-1'!$A$3:$AAA$3,0))</f>
        <v>0</v>
      </c>
      <c r="J804" s="88">
        <f>INDEX('Rett_Ta-1'!$A$3:$AAA$100,MATCH($G804,'Rett_Ta-1'!$A$3:$A$100,0),MATCH(J$1,'Rett_Ta-1'!$A$3:$AAA$3,0))</f>
        <v>0</v>
      </c>
    </row>
    <row r="805" spans="1:10" x14ac:dyDescent="0.2">
      <c r="A805" s="86" t="s">
        <v>7789</v>
      </c>
      <c r="B805" s="1067" t="s">
        <v>105</v>
      </c>
      <c r="C805" s="1037" t="s">
        <v>219</v>
      </c>
      <c r="D805" s="1027" t="s">
        <v>6535</v>
      </c>
      <c r="E805" s="447" t="s">
        <v>8367</v>
      </c>
      <c r="F805" s="1034" t="s">
        <v>6535</v>
      </c>
      <c r="G805" s="1034" t="s">
        <v>6607</v>
      </c>
      <c r="H805" s="88">
        <f>INDEX('Rett_Ta-1'!$A$3:$AAA$100,MATCH($G805,'Rett_Ta-1'!$A$3:$A$100,0),MATCH(H$1,'Rett_Ta-1'!$A$3:$AAA$3,0))</f>
        <v>0</v>
      </c>
      <c r="I805" s="88">
        <f>INDEX('Rett_Ta-1'!$A$3:$AAA$100,MATCH($G805,'Rett_Ta-1'!$A$3:$A$100,0),MATCH(I$1,'Rett_Ta-1'!$A$3:$AAA$3,0))</f>
        <v>0</v>
      </c>
      <c r="J805" s="88">
        <f>INDEX('Rett_Ta-1'!$A$3:$AAA$100,MATCH($G805,'Rett_Ta-1'!$A$3:$A$100,0),MATCH(J$1,'Rett_Ta-1'!$A$3:$AAA$3,0))</f>
        <v>0</v>
      </c>
    </row>
    <row r="806" spans="1:10" x14ac:dyDescent="0.2">
      <c r="A806" s="86" t="s">
        <v>7790</v>
      </c>
      <c r="B806" s="447" t="str">
        <f>IN_Anagrafica!$B$9</f>
        <v>NO</v>
      </c>
      <c r="C806" s="369" t="str">
        <f>IF(B806="SI","SI","NO")</f>
        <v>NO</v>
      </c>
      <c r="D806" s="1027" t="s">
        <v>6535</v>
      </c>
      <c r="E806" s="447" t="s">
        <v>8368</v>
      </c>
      <c r="F806" s="1034" t="s">
        <v>6535</v>
      </c>
      <c r="G806" s="1034" t="s">
        <v>6608</v>
      </c>
      <c r="H806" s="88">
        <f>INDEX('Rett_Ta-1'!$A$3:$AAA$100,MATCH($G806,'Rett_Ta-1'!$A$3:$A$100,0),MATCH(H$1,'Rett_Ta-1'!$A$3:$AAA$3,0))</f>
        <v>0</v>
      </c>
      <c r="I806" s="88">
        <f>INDEX('Rett_Ta-1'!$A$3:$AAA$100,MATCH($G806,'Rett_Ta-1'!$A$3:$A$100,0),MATCH(I$1,'Rett_Ta-1'!$A$3:$AAA$3,0))</f>
        <v>0</v>
      </c>
      <c r="J806" s="88">
        <f>INDEX('Rett_Ta-1'!$A$3:$AAA$100,MATCH($G806,'Rett_Ta-1'!$A$3:$A$100,0),MATCH(J$1,'Rett_Ta-1'!$A$3:$AAA$3,0))</f>
        <v>0</v>
      </c>
    </row>
    <row r="807" spans="1:10" x14ac:dyDescent="0.2">
      <c r="A807" s="86" t="s">
        <v>7791</v>
      </c>
      <c r="B807" s="1067" t="s">
        <v>105</v>
      </c>
      <c r="C807" s="1037" t="s">
        <v>219</v>
      </c>
      <c r="D807" s="1027" t="s">
        <v>6535</v>
      </c>
      <c r="E807" s="447" t="s">
        <v>360</v>
      </c>
      <c r="F807" s="1034" t="s">
        <v>6535</v>
      </c>
      <c r="G807" s="1034" t="s">
        <v>6539</v>
      </c>
      <c r="H807" s="88">
        <f>INDEX('Rett_Ta-1'!$A$3:$AAA$100,MATCH($G807,'Rett_Ta-1'!$A$3:$A$100,0),MATCH(H$1,'Rett_Ta-1'!$A$3:$AAA$3,0))</f>
        <v>0</v>
      </c>
      <c r="I807" s="88">
        <f>INDEX('Rett_Ta-1'!$A$3:$AAA$100,MATCH($G807,'Rett_Ta-1'!$A$3:$A$100,0),MATCH(I$1,'Rett_Ta-1'!$A$3:$AAA$3,0))</f>
        <v>0</v>
      </c>
      <c r="J807" s="88">
        <f>INDEX('Rett_Ta-1'!$A$3:$AAA$100,MATCH($G807,'Rett_Ta-1'!$A$3:$A$100,0),MATCH(J$1,'Rett_Ta-1'!$A$3:$AAA$3,0))</f>
        <v>0</v>
      </c>
    </row>
    <row r="808" spans="1:10" x14ac:dyDescent="0.2">
      <c r="A808" s="86" t="s">
        <v>7792</v>
      </c>
      <c r="B808" s="447" t="str">
        <f>IN_Anagrafica!$B$9</f>
        <v>NO</v>
      </c>
      <c r="C808" s="369" t="str">
        <f>IF(B808="SI","SI","NO")</f>
        <v>NO</v>
      </c>
      <c r="D808" s="1027" t="s">
        <v>6535</v>
      </c>
      <c r="E808" s="447" t="s">
        <v>365</v>
      </c>
      <c r="F808" s="1034" t="s">
        <v>6535</v>
      </c>
      <c r="G808" s="1034" t="s">
        <v>6540</v>
      </c>
      <c r="H808" s="88">
        <f>INDEX('Rett_Ta-1'!$A$3:$AAA$100,MATCH($G808,'Rett_Ta-1'!$A$3:$A$100,0),MATCH(H$1,'Rett_Ta-1'!$A$3:$AAA$3,0))</f>
        <v>0</v>
      </c>
      <c r="I808" s="88">
        <f>INDEX('Rett_Ta-1'!$A$3:$AAA$100,MATCH($G808,'Rett_Ta-1'!$A$3:$A$100,0),MATCH(I$1,'Rett_Ta-1'!$A$3:$AAA$3,0))</f>
        <v>0</v>
      </c>
      <c r="J808" s="88">
        <f>INDEX('Rett_Ta-1'!$A$3:$AAA$100,MATCH($G808,'Rett_Ta-1'!$A$3:$A$100,0),MATCH(J$1,'Rett_Ta-1'!$A$3:$AAA$3,0))</f>
        <v>0</v>
      </c>
    </row>
    <row r="809" spans="1:10" x14ac:dyDescent="0.2">
      <c r="A809" s="86" t="s">
        <v>7793</v>
      </c>
      <c r="B809" s="1067" t="s">
        <v>105</v>
      </c>
      <c r="C809" s="1037" t="s">
        <v>219</v>
      </c>
      <c r="D809" s="1027" t="s">
        <v>6535</v>
      </c>
      <c r="E809" s="447" t="s">
        <v>8369</v>
      </c>
      <c r="F809" s="1034" t="s">
        <v>6535</v>
      </c>
      <c r="G809" s="1034" t="s">
        <v>6576</v>
      </c>
      <c r="H809" s="88">
        <f>INDEX('Rett_Ta-1'!$A$3:$AAA$100,MATCH($G809,'Rett_Ta-1'!$A$3:$A$100,0),MATCH(H$1,'Rett_Ta-1'!$A$3:$AAA$3,0))</f>
        <v>0</v>
      </c>
      <c r="I809" s="88">
        <f>INDEX('Rett_Ta-1'!$A$3:$AAA$100,MATCH($G809,'Rett_Ta-1'!$A$3:$A$100,0),MATCH(I$1,'Rett_Ta-1'!$A$3:$AAA$3,0))</f>
        <v>0</v>
      </c>
      <c r="J809" s="88">
        <f>INDEX('Rett_Ta-1'!$A$3:$AAA$100,MATCH($G809,'Rett_Ta-1'!$A$3:$A$100,0),MATCH(J$1,'Rett_Ta-1'!$A$3:$AAA$3,0))</f>
        <v>0</v>
      </c>
    </row>
    <row r="810" spans="1:10" x14ac:dyDescent="0.2">
      <c r="A810" s="86" t="s">
        <v>7794</v>
      </c>
      <c r="B810" s="447" t="str">
        <f>IN_Anagrafica!$B$9</f>
        <v>NO</v>
      </c>
      <c r="C810" s="369" t="str">
        <f>IF(B810="SI","SI","NO")</f>
        <v>NO</v>
      </c>
      <c r="D810" s="1027" t="s">
        <v>6535</v>
      </c>
      <c r="E810" s="447" t="s">
        <v>8370</v>
      </c>
      <c r="F810" s="1034" t="s">
        <v>6535</v>
      </c>
      <c r="G810" s="1034" t="s">
        <v>6577</v>
      </c>
      <c r="H810" s="88">
        <f>INDEX('Rett_Ta-1'!$A$3:$AAA$100,MATCH($G810,'Rett_Ta-1'!$A$3:$A$100,0),MATCH(H$1,'Rett_Ta-1'!$A$3:$AAA$3,0))</f>
        <v>0</v>
      </c>
      <c r="I810" s="88">
        <f>INDEX('Rett_Ta-1'!$A$3:$AAA$100,MATCH($G810,'Rett_Ta-1'!$A$3:$A$100,0),MATCH(I$1,'Rett_Ta-1'!$A$3:$AAA$3,0))</f>
        <v>0</v>
      </c>
      <c r="J810" s="88">
        <f>INDEX('Rett_Ta-1'!$A$3:$AAA$100,MATCH($G810,'Rett_Ta-1'!$A$3:$A$100,0),MATCH(J$1,'Rett_Ta-1'!$A$3:$AAA$3,0))</f>
        <v>0</v>
      </c>
    </row>
    <row r="811" spans="1:10" x14ac:dyDescent="0.2">
      <c r="A811" s="86" t="s">
        <v>7795</v>
      </c>
      <c r="B811" s="1067" t="s">
        <v>105</v>
      </c>
      <c r="C811" s="1037" t="s">
        <v>219</v>
      </c>
      <c r="D811" s="1027" t="s">
        <v>6535</v>
      </c>
      <c r="E811" s="447" t="s">
        <v>380</v>
      </c>
      <c r="F811" s="1034" t="s">
        <v>6535</v>
      </c>
      <c r="G811" s="1034" t="s">
        <v>6609</v>
      </c>
      <c r="H811" s="88">
        <f>INDEX('Rett_Ta-1'!$A$3:$AAA$100,MATCH($G811,'Rett_Ta-1'!$A$3:$A$100,0),MATCH(H$1,'Rett_Ta-1'!$A$3:$AAA$3,0))</f>
        <v>0</v>
      </c>
      <c r="I811" s="88">
        <f>INDEX('Rett_Ta-1'!$A$3:$AAA$100,MATCH($G811,'Rett_Ta-1'!$A$3:$A$100,0),MATCH(I$1,'Rett_Ta-1'!$A$3:$AAA$3,0))</f>
        <v>0</v>
      </c>
      <c r="J811" s="88">
        <f>INDEX('Rett_Ta-1'!$A$3:$AAA$100,MATCH($G811,'Rett_Ta-1'!$A$3:$A$100,0),MATCH(J$1,'Rett_Ta-1'!$A$3:$AAA$3,0))</f>
        <v>0</v>
      </c>
    </row>
    <row r="812" spans="1:10" x14ac:dyDescent="0.2">
      <c r="A812" s="86" t="s">
        <v>7796</v>
      </c>
      <c r="B812" s="447" t="str">
        <f>IN_Anagrafica!$B$9</f>
        <v>NO</v>
      </c>
      <c r="C812" s="369" t="str">
        <f>IF(B812="SI","SI","NO")</f>
        <v>NO</v>
      </c>
      <c r="D812" s="1027" t="s">
        <v>6535</v>
      </c>
      <c r="E812" s="447" t="s">
        <v>382</v>
      </c>
      <c r="F812" s="1034" t="s">
        <v>6535</v>
      </c>
      <c r="G812" s="1034" t="s">
        <v>6610</v>
      </c>
      <c r="H812" s="88">
        <f>INDEX('Rett_Ta-1'!$A$3:$AAA$100,MATCH($G812,'Rett_Ta-1'!$A$3:$A$100,0),MATCH(H$1,'Rett_Ta-1'!$A$3:$AAA$3,0))</f>
        <v>0</v>
      </c>
      <c r="I812" s="88">
        <f>INDEX('Rett_Ta-1'!$A$3:$AAA$100,MATCH($G812,'Rett_Ta-1'!$A$3:$A$100,0),MATCH(I$1,'Rett_Ta-1'!$A$3:$AAA$3,0))</f>
        <v>0</v>
      </c>
      <c r="J812" s="88">
        <f>INDEX('Rett_Ta-1'!$A$3:$AAA$100,MATCH($G812,'Rett_Ta-1'!$A$3:$A$100,0),MATCH(J$1,'Rett_Ta-1'!$A$3:$AAA$3,0))</f>
        <v>0</v>
      </c>
    </row>
    <row r="813" spans="1:10" x14ac:dyDescent="0.2">
      <c r="A813" s="86" t="s">
        <v>7797</v>
      </c>
      <c r="B813" s="1067" t="s">
        <v>105</v>
      </c>
      <c r="C813" s="1037" t="s">
        <v>219</v>
      </c>
      <c r="D813" s="1027" t="s">
        <v>6535</v>
      </c>
      <c r="E813" s="447" t="s">
        <v>361</v>
      </c>
      <c r="F813" s="1034" t="s">
        <v>6535</v>
      </c>
      <c r="G813" s="1034" t="s">
        <v>6541</v>
      </c>
      <c r="H813" s="88">
        <f>INDEX('Rett_Ta-1'!$A$3:$AAA$100,MATCH($G813,'Rett_Ta-1'!$A$3:$A$100,0),MATCH(H$1,'Rett_Ta-1'!$A$3:$AAA$3,0))</f>
        <v>0</v>
      </c>
      <c r="I813" s="88">
        <f>INDEX('Rett_Ta-1'!$A$3:$AAA$100,MATCH($G813,'Rett_Ta-1'!$A$3:$A$100,0),MATCH(I$1,'Rett_Ta-1'!$A$3:$AAA$3,0))</f>
        <v>0</v>
      </c>
      <c r="J813" s="88">
        <f>INDEX('Rett_Ta-1'!$A$3:$AAA$100,MATCH($G813,'Rett_Ta-1'!$A$3:$A$100,0),MATCH(J$1,'Rett_Ta-1'!$A$3:$AAA$3,0))</f>
        <v>0</v>
      </c>
    </row>
    <row r="814" spans="1:10" x14ac:dyDescent="0.2">
      <c r="A814" s="86" t="s">
        <v>7798</v>
      </c>
      <c r="B814" s="447" t="str">
        <f>IN_Anagrafica!$B$9</f>
        <v>NO</v>
      </c>
      <c r="C814" s="369" t="str">
        <f>IF(B814="SI","SI","NO")</f>
        <v>NO</v>
      </c>
      <c r="D814" s="1027" t="s">
        <v>6535</v>
      </c>
      <c r="E814" s="447" t="s">
        <v>366</v>
      </c>
      <c r="F814" s="1034" t="s">
        <v>6535</v>
      </c>
      <c r="G814" s="1034" t="s">
        <v>6542</v>
      </c>
      <c r="H814" s="88">
        <f>INDEX('Rett_Ta-1'!$A$3:$AAA$100,MATCH($G814,'Rett_Ta-1'!$A$3:$A$100,0),MATCH(H$1,'Rett_Ta-1'!$A$3:$AAA$3,0))</f>
        <v>0</v>
      </c>
      <c r="I814" s="88">
        <f>INDEX('Rett_Ta-1'!$A$3:$AAA$100,MATCH($G814,'Rett_Ta-1'!$A$3:$A$100,0),MATCH(I$1,'Rett_Ta-1'!$A$3:$AAA$3,0))</f>
        <v>0</v>
      </c>
      <c r="J814" s="88">
        <f>INDEX('Rett_Ta-1'!$A$3:$AAA$100,MATCH($G814,'Rett_Ta-1'!$A$3:$A$100,0),MATCH(J$1,'Rett_Ta-1'!$A$3:$AAA$3,0))</f>
        <v>0</v>
      </c>
    </row>
    <row r="815" spans="1:10" x14ac:dyDescent="0.2">
      <c r="A815" s="86" t="s">
        <v>7799</v>
      </c>
      <c r="B815" s="1067" t="s">
        <v>105</v>
      </c>
      <c r="C815" s="1037" t="s">
        <v>219</v>
      </c>
      <c r="D815" s="1027" t="s">
        <v>6535</v>
      </c>
      <c r="E815" s="447" t="s">
        <v>8371</v>
      </c>
      <c r="F815" s="1034" t="s">
        <v>6535</v>
      </c>
      <c r="G815" s="1034" t="s">
        <v>6579</v>
      </c>
      <c r="H815" s="88">
        <f>INDEX('Rett_Ta-1'!$A$3:$AAA$100,MATCH($G815,'Rett_Ta-1'!$A$3:$A$100,0),MATCH(H$1,'Rett_Ta-1'!$A$3:$AAA$3,0))</f>
        <v>0</v>
      </c>
      <c r="I815" s="88">
        <f>INDEX('Rett_Ta-1'!$A$3:$AAA$100,MATCH($G815,'Rett_Ta-1'!$A$3:$A$100,0),MATCH(I$1,'Rett_Ta-1'!$A$3:$AAA$3,0))</f>
        <v>0</v>
      </c>
      <c r="J815" s="88">
        <f>INDEX('Rett_Ta-1'!$A$3:$AAA$100,MATCH($G815,'Rett_Ta-1'!$A$3:$A$100,0),MATCH(J$1,'Rett_Ta-1'!$A$3:$AAA$3,0))</f>
        <v>0</v>
      </c>
    </row>
    <row r="816" spans="1:10" x14ac:dyDescent="0.2">
      <c r="A816" s="86" t="s">
        <v>7800</v>
      </c>
      <c r="B816" s="447" t="str">
        <f>IN_Anagrafica!$B$9</f>
        <v>NO</v>
      </c>
      <c r="C816" s="369" t="str">
        <f>IF(B816="SI","SI","NO")</f>
        <v>NO</v>
      </c>
      <c r="D816" s="1027" t="s">
        <v>6535</v>
      </c>
      <c r="E816" s="447" t="s">
        <v>8372</v>
      </c>
      <c r="F816" s="1034" t="s">
        <v>6535</v>
      </c>
      <c r="G816" s="1034" t="s">
        <v>6580</v>
      </c>
      <c r="H816" s="88">
        <f>INDEX('Rett_Ta-1'!$A$3:$AAA$100,MATCH($G816,'Rett_Ta-1'!$A$3:$A$100,0),MATCH(H$1,'Rett_Ta-1'!$A$3:$AAA$3,0))</f>
        <v>0</v>
      </c>
      <c r="I816" s="88">
        <f>INDEX('Rett_Ta-1'!$A$3:$AAA$100,MATCH($G816,'Rett_Ta-1'!$A$3:$A$100,0),MATCH(I$1,'Rett_Ta-1'!$A$3:$AAA$3,0))</f>
        <v>0</v>
      </c>
      <c r="J816" s="88">
        <f>INDEX('Rett_Ta-1'!$A$3:$AAA$100,MATCH($G816,'Rett_Ta-1'!$A$3:$A$100,0),MATCH(J$1,'Rett_Ta-1'!$A$3:$AAA$3,0))</f>
        <v>0</v>
      </c>
    </row>
    <row r="817" spans="1:10" x14ac:dyDescent="0.2">
      <c r="A817" s="86" t="s">
        <v>7801</v>
      </c>
      <c r="B817" s="1067" t="s">
        <v>105</v>
      </c>
      <c r="C817" s="1037" t="s">
        <v>219</v>
      </c>
      <c r="D817" s="1027" t="s">
        <v>6535</v>
      </c>
      <c r="E817" s="447" t="s">
        <v>381</v>
      </c>
      <c r="F817" s="1034" t="s">
        <v>6535</v>
      </c>
      <c r="G817" s="1034" t="s">
        <v>6612</v>
      </c>
      <c r="H817" s="88">
        <f>INDEX('Rett_Ta-1'!$A$3:$AAA$100,MATCH($G817,'Rett_Ta-1'!$A$3:$A$100,0),MATCH(H$1,'Rett_Ta-1'!$A$3:$AAA$3,0))</f>
        <v>0</v>
      </c>
      <c r="I817" s="88">
        <f>INDEX('Rett_Ta-1'!$A$3:$AAA$100,MATCH($G817,'Rett_Ta-1'!$A$3:$A$100,0),MATCH(I$1,'Rett_Ta-1'!$A$3:$AAA$3,0))</f>
        <v>0</v>
      </c>
      <c r="J817" s="88">
        <f>INDEX('Rett_Ta-1'!$A$3:$AAA$100,MATCH($G817,'Rett_Ta-1'!$A$3:$A$100,0),MATCH(J$1,'Rett_Ta-1'!$A$3:$AAA$3,0))</f>
        <v>0</v>
      </c>
    </row>
    <row r="818" spans="1:10" x14ac:dyDescent="0.2">
      <c r="A818" s="86" t="s">
        <v>7802</v>
      </c>
      <c r="B818" s="447" t="str">
        <f>IN_Anagrafica!$B$9</f>
        <v>NO</v>
      </c>
      <c r="C818" s="369" t="str">
        <f>IF(B818="SI","SI","NO")</f>
        <v>NO</v>
      </c>
      <c r="D818" s="1027" t="s">
        <v>6535</v>
      </c>
      <c r="E818" s="447" t="s">
        <v>383</v>
      </c>
      <c r="F818" s="1034" t="s">
        <v>6535</v>
      </c>
      <c r="G818" s="1034" t="s">
        <v>6613</v>
      </c>
      <c r="H818" s="88">
        <f>INDEX('Rett_Ta-1'!$A$3:$AAA$100,MATCH($G818,'Rett_Ta-1'!$A$3:$A$100,0),MATCH(H$1,'Rett_Ta-1'!$A$3:$AAA$3,0))</f>
        <v>0</v>
      </c>
      <c r="I818" s="88">
        <f>INDEX('Rett_Ta-1'!$A$3:$AAA$100,MATCH($G818,'Rett_Ta-1'!$A$3:$A$100,0),MATCH(I$1,'Rett_Ta-1'!$A$3:$AAA$3,0))</f>
        <v>0</v>
      </c>
      <c r="J818" s="88">
        <f>INDEX('Rett_Ta-1'!$A$3:$AAA$100,MATCH($G818,'Rett_Ta-1'!$A$3:$A$100,0),MATCH(J$1,'Rett_Ta-1'!$A$3:$AAA$3,0))</f>
        <v>0</v>
      </c>
    </row>
    <row r="819" spans="1:10" x14ac:dyDescent="0.2">
      <c r="A819" s="86" t="s">
        <v>7803</v>
      </c>
      <c r="B819" s="1067" t="s">
        <v>105</v>
      </c>
      <c r="C819" s="1037" t="s">
        <v>219</v>
      </c>
      <c r="D819" s="1027" t="s">
        <v>3109</v>
      </c>
      <c r="E819" s="447" t="s">
        <v>295</v>
      </c>
      <c r="F819" s="1034" t="s">
        <v>3109</v>
      </c>
      <c r="G819" s="1034" t="s">
        <v>3112</v>
      </c>
      <c r="H819" s="88">
        <f>INDEX('IN_Detr 4.5 del_397'!$A$3:$AAA$1193,MATCH($G819,'IN_Detr 4.5 del_397'!$A$3:$A$1193,0),MATCH(H$1,'IN_Detr 4.5 del_397'!$A$3:$AAA$3,0))</f>
        <v>0</v>
      </c>
      <c r="I819" s="88">
        <f>INDEX('IN_Detr 4.5 del_397'!$A$3:$AAA$1193,MATCH($G819,'IN_Detr 4.5 del_397'!$A$3:$A$1193,0),MATCH(I$1,'IN_Detr 4.5 del_397'!$A$3:$AAA$3,0))</f>
        <v>0</v>
      </c>
      <c r="J819" s="88">
        <f>INDEX('IN_Detr 4.5 del_397'!$A$3:$AAA$1193,MATCH($G819,'IN_Detr 4.5 del_397'!$A$3:$A$1193,0),MATCH(J$1,'IN_Detr 4.5 del_397'!$A$3:$AAA$3,0))</f>
        <v>0</v>
      </c>
    </row>
    <row r="820" spans="1:10" x14ac:dyDescent="0.2">
      <c r="A820" s="86" t="s">
        <v>7804</v>
      </c>
      <c r="B820" s="447" t="str">
        <f>IN_Anagrafica!$B$9</f>
        <v>NO</v>
      </c>
      <c r="C820" s="369" t="str">
        <f>IF(B820="SI","SI","NO")</f>
        <v>NO</v>
      </c>
      <c r="D820" s="1027" t="s">
        <v>3109</v>
      </c>
      <c r="E820" s="447" t="s">
        <v>8282</v>
      </c>
      <c r="F820" s="1034" t="s">
        <v>3109</v>
      </c>
      <c r="G820" s="1034" t="s">
        <v>3115</v>
      </c>
      <c r="H820" s="88">
        <f>INDEX('IN_Detr 4.5 del_397'!$A$3:$AAA$1193,MATCH($G820,'IN_Detr 4.5 del_397'!$A$3:$A$1193,0),MATCH(H$1,'IN_Detr 4.5 del_397'!$A$3:$AAA$3,0))</f>
        <v>0</v>
      </c>
      <c r="I820" s="88">
        <f>INDEX('IN_Detr 4.5 del_397'!$A$3:$AAA$1193,MATCH($G820,'IN_Detr 4.5 del_397'!$A$3:$A$1193,0),MATCH(I$1,'IN_Detr 4.5 del_397'!$A$3:$AAA$3,0))</f>
        <v>0</v>
      </c>
      <c r="J820" s="88">
        <f>INDEX('IN_Detr 4.5 del_397'!$A$3:$AAA$1193,MATCH($G820,'IN_Detr 4.5 del_397'!$A$3:$A$1193,0),MATCH(J$1,'IN_Detr 4.5 del_397'!$A$3:$AAA$3,0))</f>
        <v>0</v>
      </c>
    </row>
    <row r="821" spans="1:10" x14ac:dyDescent="0.2">
      <c r="A821" s="86" t="s">
        <v>7805</v>
      </c>
      <c r="B821" s="1067" t="s">
        <v>105</v>
      </c>
      <c r="C821" s="1037" t="s">
        <v>219</v>
      </c>
      <c r="D821" s="1027" t="s">
        <v>3109</v>
      </c>
      <c r="E821" s="447" t="s">
        <v>8283</v>
      </c>
      <c r="F821" s="1034" t="s">
        <v>3109</v>
      </c>
      <c r="G821" s="1034" t="s">
        <v>3269</v>
      </c>
      <c r="H821" s="88">
        <f>INDEX('IN_Detr 4.5 del_397'!$A$3:$AAA$1193,MATCH($G821,'IN_Detr 4.5 del_397'!$A$3:$A$1193,0),MATCH(H$1,'IN_Detr 4.5 del_397'!$A$3:$AAA$3,0))</f>
        <v>0</v>
      </c>
      <c r="I821" s="88">
        <f>INDEX('IN_Detr 4.5 del_397'!$A$3:$AAA$1193,MATCH($G821,'IN_Detr 4.5 del_397'!$A$3:$A$1193,0),MATCH(I$1,'IN_Detr 4.5 del_397'!$A$3:$AAA$3,0))</f>
        <v>0</v>
      </c>
      <c r="J821" s="88">
        <f>INDEX('IN_Detr 4.5 del_397'!$A$3:$AAA$1193,MATCH($G821,'IN_Detr 4.5 del_397'!$A$3:$A$1193,0),MATCH(J$1,'IN_Detr 4.5 del_397'!$A$3:$AAA$3,0))</f>
        <v>0</v>
      </c>
    </row>
    <row r="822" spans="1:10" x14ac:dyDescent="0.2">
      <c r="A822" s="86" t="s">
        <v>7806</v>
      </c>
      <c r="B822" s="447" t="str">
        <f>IN_Anagrafica!$B$9</f>
        <v>NO</v>
      </c>
      <c r="C822" s="369" t="str">
        <f>IF(B822="SI","SI","NO")</f>
        <v>NO</v>
      </c>
      <c r="D822" s="1027" t="s">
        <v>3109</v>
      </c>
      <c r="E822" s="447" t="s">
        <v>8284</v>
      </c>
      <c r="F822" s="1034" t="s">
        <v>3109</v>
      </c>
      <c r="G822" s="1034" t="s">
        <v>3272</v>
      </c>
      <c r="H822" s="88">
        <f>INDEX('IN_Detr 4.5 del_397'!$A$3:$AAA$1193,MATCH($G822,'IN_Detr 4.5 del_397'!$A$3:$A$1193,0),MATCH(H$1,'IN_Detr 4.5 del_397'!$A$3:$AAA$3,0))</f>
        <v>0</v>
      </c>
      <c r="I822" s="88">
        <f>INDEX('IN_Detr 4.5 del_397'!$A$3:$AAA$1193,MATCH($G822,'IN_Detr 4.5 del_397'!$A$3:$A$1193,0),MATCH(I$1,'IN_Detr 4.5 del_397'!$A$3:$AAA$3,0))</f>
        <v>0</v>
      </c>
      <c r="J822" s="88">
        <f>INDEX('IN_Detr 4.5 del_397'!$A$3:$AAA$1193,MATCH($G822,'IN_Detr 4.5 del_397'!$A$3:$A$1193,0),MATCH(J$1,'IN_Detr 4.5 del_397'!$A$3:$AAA$3,0))</f>
        <v>0</v>
      </c>
    </row>
    <row r="823" spans="1:10" x14ac:dyDescent="0.2">
      <c r="A823" s="86" t="s">
        <v>7807</v>
      </c>
      <c r="B823" s="1067" t="s">
        <v>105</v>
      </c>
      <c r="C823" s="1037" t="s">
        <v>219</v>
      </c>
      <c r="D823" s="1027" t="s">
        <v>3109</v>
      </c>
      <c r="E823" s="447" t="s">
        <v>374</v>
      </c>
      <c r="F823" s="1034" t="s">
        <v>3109</v>
      </c>
      <c r="G823" s="1034" t="s">
        <v>4053</v>
      </c>
      <c r="H823" s="88">
        <f>INDEX('IN_Detr 4.5 del_397'!$A$3:$AAA$1193,MATCH($G823,'IN_Detr 4.5 del_397'!$A$3:$A$1193,0),MATCH(H$1,'IN_Detr 4.5 del_397'!$A$3:$AAA$3,0))</f>
        <v>0</v>
      </c>
      <c r="I823" s="88">
        <f>INDEX('IN_Detr 4.5 del_397'!$A$3:$AAA$1193,MATCH($G823,'IN_Detr 4.5 del_397'!$A$3:$A$1193,0),MATCH(I$1,'IN_Detr 4.5 del_397'!$A$3:$AAA$3,0))</f>
        <v>0</v>
      </c>
      <c r="J823" s="88">
        <f>INDEX('IN_Detr 4.5 del_397'!$A$3:$AAA$1193,MATCH($G823,'IN_Detr 4.5 del_397'!$A$3:$A$1193,0),MATCH(J$1,'IN_Detr 4.5 del_397'!$A$3:$AAA$3,0))</f>
        <v>0</v>
      </c>
    </row>
    <row r="824" spans="1:10" x14ac:dyDescent="0.2">
      <c r="A824" s="86" t="s">
        <v>7808</v>
      </c>
      <c r="B824" s="447" t="str">
        <f>IN_Anagrafica!$B$9</f>
        <v>NO</v>
      </c>
      <c r="C824" s="369" t="str">
        <f>IF(B824="SI","SI","NO")</f>
        <v>NO</v>
      </c>
      <c r="D824" s="1027" t="s">
        <v>3109</v>
      </c>
      <c r="E824" s="447" t="s">
        <v>377</v>
      </c>
      <c r="F824" s="1034" t="s">
        <v>3109</v>
      </c>
      <c r="G824" s="1034" t="s">
        <v>4056</v>
      </c>
      <c r="H824" s="88">
        <f>INDEX('IN_Detr 4.5 del_397'!$A$3:$AAA$1193,MATCH($G824,'IN_Detr 4.5 del_397'!$A$3:$A$1193,0),MATCH(H$1,'IN_Detr 4.5 del_397'!$A$3:$AAA$3,0))</f>
        <v>0</v>
      </c>
      <c r="I824" s="88">
        <f>INDEX('IN_Detr 4.5 del_397'!$A$3:$AAA$1193,MATCH($G824,'IN_Detr 4.5 del_397'!$A$3:$A$1193,0),MATCH(I$1,'IN_Detr 4.5 del_397'!$A$3:$AAA$3,0))</f>
        <v>0</v>
      </c>
      <c r="J824" s="88">
        <f>INDEX('IN_Detr 4.5 del_397'!$A$3:$AAA$1193,MATCH($G824,'IN_Detr 4.5 del_397'!$A$3:$A$1193,0),MATCH(J$1,'IN_Detr 4.5 del_397'!$A$3:$AAA$3,0))</f>
        <v>0</v>
      </c>
    </row>
    <row r="825" spans="1:10" x14ac:dyDescent="0.2">
      <c r="A825" s="86" t="s">
        <v>7809</v>
      </c>
      <c r="B825" s="1067" t="s">
        <v>105</v>
      </c>
      <c r="C825" s="1037" t="s">
        <v>219</v>
      </c>
      <c r="D825" s="1027" t="s">
        <v>3109</v>
      </c>
      <c r="E825" s="447" t="s">
        <v>388</v>
      </c>
      <c r="F825" s="1034" t="s">
        <v>3109</v>
      </c>
      <c r="G825" s="1034" t="s">
        <v>4258</v>
      </c>
      <c r="H825" s="88">
        <f>INDEX('IN_Detr 4.5 del_397'!$A$3:$AAA$1193,MATCH($G825,'IN_Detr 4.5 del_397'!$A$3:$A$1193,0),MATCH(H$1,'IN_Detr 4.5 del_397'!$A$3:$AAA$3,0))</f>
        <v>0</v>
      </c>
      <c r="I825" s="88">
        <f>INDEX('IN_Detr 4.5 del_397'!$A$3:$AAA$1193,MATCH($G825,'IN_Detr 4.5 del_397'!$A$3:$A$1193,0),MATCH(I$1,'IN_Detr 4.5 del_397'!$A$3:$AAA$3,0))</f>
        <v>0</v>
      </c>
      <c r="J825" s="88">
        <f>INDEX('IN_Detr 4.5 del_397'!$A$3:$AAA$1193,MATCH($G825,'IN_Detr 4.5 del_397'!$A$3:$A$1193,0),MATCH(J$1,'IN_Detr 4.5 del_397'!$A$3:$AAA$3,0))</f>
        <v>0</v>
      </c>
    </row>
    <row r="826" spans="1:10" x14ac:dyDescent="0.2">
      <c r="A826" s="86" t="s">
        <v>7810</v>
      </c>
      <c r="B826" s="447" t="str">
        <f>IN_Anagrafica!$B$9</f>
        <v>NO</v>
      </c>
      <c r="C826" s="369" t="str">
        <f>IF(B826="SI","SI","NO")</f>
        <v>NO</v>
      </c>
      <c r="D826" s="1027" t="s">
        <v>3109</v>
      </c>
      <c r="E826" s="447" t="s">
        <v>391</v>
      </c>
      <c r="F826" s="1034" t="s">
        <v>3109</v>
      </c>
      <c r="G826" s="1034" t="s">
        <v>4261</v>
      </c>
      <c r="H826" s="88">
        <f>INDEX('IN_Detr 4.5 del_397'!$A$3:$AAA$1193,MATCH($G826,'IN_Detr 4.5 del_397'!$A$3:$A$1193,0),MATCH(H$1,'IN_Detr 4.5 del_397'!$A$3:$AAA$3,0))</f>
        <v>0</v>
      </c>
      <c r="I826" s="88">
        <f>INDEX('IN_Detr 4.5 del_397'!$A$3:$AAA$1193,MATCH($G826,'IN_Detr 4.5 del_397'!$A$3:$A$1193,0),MATCH(I$1,'IN_Detr 4.5 del_397'!$A$3:$AAA$3,0))</f>
        <v>0</v>
      </c>
      <c r="J826" s="88">
        <f>INDEX('IN_Detr 4.5 del_397'!$A$3:$AAA$1193,MATCH($G826,'IN_Detr 4.5 del_397'!$A$3:$A$1193,0),MATCH(J$1,'IN_Detr 4.5 del_397'!$A$3:$AAA$3,0))</f>
        <v>0</v>
      </c>
    </row>
    <row r="827" spans="1:10" x14ac:dyDescent="0.2">
      <c r="A827" s="86" t="s">
        <v>7811</v>
      </c>
      <c r="B827" s="1067" t="s">
        <v>105</v>
      </c>
      <c r="C827" s="1037" t="s">
        <v>219</v>
      </c>
      <c r="D827" s="1027" t="s">
        <v>3109</v>
      </c>
      <c r="E827" s="447" t="s">
        <v>357</v>
      </c>
      <c r="F827" s="1034" t="s">
        <v>3109</v>
      </c>
      <c r="G827" s="1034" t="s">
        <v>3118</v>
      </c>
      <c r="H827" s="88">
        <f>INDEX('IN_Detr 4.5 del_397'!$A$3:$AAA$1193,MATCH($G827,'IN_Detr 4.5 del_397'!$A$3:$A$1193,0),MATCH(H$1,'IN_Detr 4.5 del_397'!$A$3:$AAA$3,0))</f>
        <v>0</v>
      </c>
      <c r="I827" s="88">
        <f>INDEX('IN_Detr 4.5 del_397'!$A$3:$AAA$1193,MATCH($G827,'IN_Detr 4.5 del_397'!$A$3:$A$1193,0),MATCH(I$1,'IN_Detr 4.5 del_397'!$A$3:$AAA$3,0))</f>
        <v>0</v>
      </c>
      <c r="J827" s="88">
        <f>INDEX('IN_Detr 4.5 del_397'!$A$3:$AAA$1193,MATCH($G827,'IN_Detr 4.5 del_397'!$A$3:$A$1193,0),MATCH(J$1,'IN_Detr 4.5 del_397'!$A$3:$AAA$3,0))</f>
        <v>0</v>
      </c>
    </row>
    <row r="828" spans="1:10" x14ac:dyDescent="0.2">
      <c r="A828" s="86" t="s">
        <v>7812</v>
      </c>
      <c r="B828" s="447" t="str">
        <f>IN_Anagrafica!$B$9</f>
        <v>NO</v>
      </c>
      <c r="C828" s="369" t="str">
        <f>IF(B828="SI","SI","NO")</f>
        <v>NO</v>
      </c>
      <c r="D828" s="1027" t="s">
        <v>3109</v>
      </c>
      <c r="E828" s="447" t="s">
        <v>362</v>
      </c>
      <c r="F828" s="1034" t="s">
        <v>3109</v>
      </c>
      <c r="G828" s="1034" t="s">
        <v>3121</v>
      </c>
      <c r="H828" s="88">
        <f>INDEX('IN_Detr 4.5 del_397'!$A$3:$AAA$1193,MATCH($G828,'IN_Detr 4.5 del_397'!$A$3:$A$1193,0),MATCH(H$1,'IN_Detr 4.5 del_397'!$A$3:$AAA$3,0))</f>
        <v>0</v>
      </c>
      <c r="I828" s="88">
        <f>INDEX('IN_Detr 4.5 del_397'!$A$3:$AAA$1193,MATCH($G828,'IN_Detr 4.5 del_397'!$A$3:$A$1193,0),MATCH(I$1,'IN_Detr 4.5 del_397'!$A$3:$AAA$3,0))</f>
        <v>0</v>
      </c>
      <c r="J828" s="88">
        <f>INDEX('IN_Detr 4.5 del_397'!$A$3:$AAA$1193,MATCH($G828,'IN_Detr 4.5 del_397'!$A$3:$A$1193,0),MATCH(J$1,'IN_Detr 4.5 del_397'!$A$3:$AAA$3,0))</f>
        <v>0</v>
      </c>
    </row>
    <row r="829" spans="1:10" x14ac:dyDescent="0.2">
      <c r="A829" s="86" t="s">
        <v>7813</v>
      </c>
      <c r="B829" s="1067" t="s">
        <v>105</v>
      </c>
      <c r="C829" s="1037" t="s">
        <v>219</v>
      </c>
      <c r="D829" s="1027" t="s">
        <v>3109</v>
      </c>
      <c r="E829" s="447" t="s">
        <v>8285</v>
      </c>
      <c r="F829" s="1034" t="s">
        <v>3109</v>
      </c>
      <c r="G829" s="1034" t="s">
        <v>3275</v>
      </c>
      <c r="H829" s="88">
        <f>INDEX('IN_Detr 4.5 del_397'!$A$3:$AAA$1193,MATCH($G829,'IN_Detr 4.5 del_397'!$A$3:$A$1193,0),MATCH(H$1,'IN_Detr 4.5 del_397'!$A$3:$AAA$3,0))</f>
        <v>0</v>
      </c>
      <c r="I829" s="88">
        <f>INDEX('IN_Detr 4.5 del_397'!$A$3:$AAA$1193,MATCH($G829,'IN_Detr 4.5 del_397'!$A$3:$A$1193,0),MATCH(I$1,'IN_Detr 4.5 del_397'!$A$3:$AAA$3,0))</f>
        <v>0</v>
      </c>
      <c r="J829" s="88">
        <f>INDEX('IN_Detr 4.5 del_397'!$A$3:$AAA$1193,MATCH($G829,'IN_Detr 4.5 del_397'!$A$3:$A$1193,0),MATCH(J$1,'IN_Detr 4.5 del_397'!$A$3:$AAA$3,0))</f>
        <v>0</v>
      </c>
    </row>
    <row r="830" spans="1:10" x14ac:dyDescent="0.2">
      <c r="A830" s="86" t="s">
        <v>7814</v>
      </c>
      <c r="B830" s="447" t="str">
        <f>IN_Anagrafica!$B$9</f>
        <v>NO</v>
      </c>
      <c r="C830" s="369" t="str">
        <f>IF(B830="SI","SI","NO")</f>
        <v>NO</v>
      </c>
      <c r="D830" s="1027" t="s">
        <v>3109</v>
      </c>
      <c r="E830" s="447" t="s">
        <v>8286</v>
      </c>
      <c r="F830" s="1034" t="s">
        <v>3109</v>
      </c>
      <c r="G830" s="1034" t="s">
        <v>3278</v>
      </c>
      <c r="H830" s="88">
        <f>INDEX('IN_Detr 4.5 del_397'!$A$3:$AAA$1193,MATCH($G830,'IN_Detr 4.5 del_397'!$A$3:$A$1193,0),MATCH(H$1,'IN_Detr 4.5 del_397'!$A$3:$AAA$3,0))</f>
        <v>0</v>
      </c>
      <c r="I830" s="88">
        <f>INDEX('IN_Detr 4.5 del_397'!$A$3:$AAA$1193,MATCH($G830,'IN_Detr 4.5 del_397'!$A$3:$A$1193,0),MATCH(I$1,'IN_Detr 4.5 del_397'!$A$3:$AAA$3,0))</f>
        <v>0</v>
      </c>
      <c r="J830" s="88">
        <f>INDEX('IN_Detr 4.5 del_397'!$A$3:$AAA$1193,MATCH($G830,'IN_Detr 4.5 del_397'!$A$3:$A$1193,0),MATCH(J$1,'IN_Detr 4.5 del_397'!$A$3:$AAA$3,0))</f>
        <v>0</v>
      </c>
    </row>
    <row r="831" spans="1:10" x14ac:dyDescent="0.2">
      <c r="A831" s="86" t="s">
        <v>7815</v>
      </c>
      <c r="B831" s="1067" t="s">
        <v>105</v>
      </c>
      <c r="C831" s="1037" t="s">
        <v>219</v>
      </c>
      <c r="D831" s="1027" t="s">
        <v>3109</v>
      </c>
      <c r="E831" s="447" t="s">
        <v>375</v>
      </c>
      <c r="F831" s="1034" t="s">
        <v>3109</v>
      </c>
      <c r="G831" s="1034" t="s">
        <v>4059</v>
      </c>
      <c r="H831" s="88">
        <f>INDEX('IN_Detr 4.5 del_397'!$A$3:$AAA$1193,MATCH($G831,'IN_Detr 4.5 del_397'!$A$3:$A$1193,0),MATCH(H$1,'IN_Detr 4.5 del_397'!$A$3:$AAA$3,0))</f>
        <v>0</v>
      </c>
      <c r="I831" s="88">
        <f>INDEX('IN_Detr 4.5 del_397'!$A$3:$AAA$1193,MATCH($G831,'IN_Detr 4.5 del_397'!$A$3:$A$1193,0),MATCH(I$1,'IN_Detr 4.5 del_397'!$A$3:$AAA$3,0))</f>
        <v>0</v>
      </c>
      <c r="J831" s="88">
        <f>INDEX('IN_Detr 4.5 del_397'!$A$3:$AAA$1193,MATCH($G831,'IN_Detr 4.5 del_397'!$A$3:$A$1193,0),MATCH(J$1,'IN_Detr 4.5 del_397'!$A$3:$AAA$3,0))</f>
        <v>0</v>
      </c>
    </row>
    <row r="832" spans="1:10" x14ac:dyDescent="0.2">
      <c r="A832" s="86" t="s">
        <v>7816</v>
      </c>
      <c r="B832" s="447" t="str">
        <f>IN_Anagrafica!$B$9</f>
        <v>NO</v>
      </c>
      <c r="C832" s="369" t="str">
        <f>IF(B832="SI","SI","NO")</f>
        <v>NO</v>
      </c>
      <c r="D832" s="1027" t="s">
        <v>3109</v>
      </c>
      <c r="E832" s="447" t="s">
        <v>378</v>
      </c>
      <c r="F832" s="1034" t="s">
        <v>3109</v>
      </c>
      <c r="G832" s="1034" t="s">
        <v>4062</v>
      </c>
      <c r="H832" s="88">
        <f>INDEX('IN_Detr 4.5 del_397'!$A$3:$AAA$1193,MATCH($G832,'IN_Detr 4.5 del_397'!$A$3:$A$1193,0),MATCH(H$1,'IN_Detr 4.5 del_397'!$A$3:$AAA$3,0))</f>
        <v>0</v>
      </c>
      <c r="I832" s="88">
        <f>INDEX('IN_Detr 4.5 del_397'!$A$3:$AAA$1193,MATCH($G832,'IN_Detr 4.5 del_397'!$A$3:$A$1193,0),MATCH(I$1,'IN_Detr 4.5 del_397'!$A$3:$AAA$3,0))</f>
        <v>0</v>
      </c>
      <c r="J832" s="88">
        <f>INDEX('IN_Detr 4.5 del_397'!$A$3:$AAA$1193,MATCH($G832,'IN_Detr 4.5 del_397'!$A$3:$A$1193,0),MATCH(J$1,'IN_Detr 4.5 del_397'!$A$3:$AAA$3,0))</f>
        <v>0</v>
      </c>
    </row>
    <row r="833" spans="1:10" x14ac:dyDescent="0.2">
      <c r="A833" s="86" t="s">
        <v>7817</v>
      </c>
      <c r="B833" s="1067" t="s">
        <v>105</v>
      </c>
      <c r="C833" s="1037" t="s">
        <v>219</v>
      </c>
      <c r="D833" s="1027" t="s">
        <v>3109</v>
      </c>
      <c r="E833" s="447" t="s">
        <v>389</v>
      </c>
      <c r="F833" s="1034" t="s">
        <v>3109</v>
      </c>
      <c r="G833" s="1034" t="s">
        <v>4264</v>
      </c>
      <c r="H833" s="88">
        <f>INDEX('IN_Detr 4.5 del_397'!$A$3:$AAA$1193,MATCH($G833,'IN_Detr 4.5 del_397'!$A$3:$A$1193,0),MATCH(H$1,'IN_Detr 4.5 del_397'!$A$3:$AAA$3,0))</f>
        <v>0</v>
      </c>
      <c r="I833" s="88">
        <f>INDEX('IN_Detr 4.5 del_397'!$A$3:$AAA$1193,MATCH($G833,'IN_Detr 4.5 del_397'!$A$3:$A$1193,0),MATCH(I$1,'IN_Detr 4.5 del_397'!$A$3:$AAA$3,0))</f>
        <v>0</v>
      </c>
      <c r="J833" s="88">
        <f>INDEX('IN_Detr 4.5 del_397'!$A$3:$AAA$1193,MATCH($G833,'IN_Detr 4.5 del_397'!$A$3:$A$1193,0),MATCH(J$1,'IN_Detr 4.5 del_397'!$A$3:$AAA$3,0))</f>
        <v>0</v>
      </c>
    </row>
    <row r="834" spans="1:10" x14ac:dyDescent="0.2">
      <c r="A834" s="86" t="s">
        <v>7818</v>
      </c>
      <c r="B834" s="447" t="str">
        <f>IN_Anagrafica!$B$9</f>
        <v>NO</v>
      </c>
      <c r="C834" s="369" t="str">
        <f>IF(B834="SI","SI","NO")</f>
        <v>NO</v>
      </c>
      <c r="D834" s="1027" t="s">
        <v>3109</v>
      </c>
      <c r="E834" s="447" t="s">
        <v>392</v>
      </c>
      <c r="F834" s="1034" t="s">
        <v>3109</v>
      </c>
      <c r="G834" s="1034" t="s">
        <v>4267</v>
      </c>
      <c r="H834" s="88">
        <f>INDEX('IN_Detr 4.5 del_397'!$A$3:$AAA$1193,MATCH($G834,'IN_Detr 4.5 del_397'!$A$3:$A$1193,0),MATCH(H$1,'IN_Detr 4.5 del_397'!$A$3:$AAA$3,0))</f>
        <v>0</v>
      </c>
      <c r="I834" s="88">
        <f>INDEX('IN_Detr 4.5 del_397'!$A$3:$AAA$1193,MATCH($G834,'IN_Detr 4.5 del_397'!$A$3:$A$1193,0),MATCH(I$1,'IN_Detr 4.5 del_397'!$A$3:$AAA$3,0))</f>
        <v>0</v>
      </c>
      <c r="J834" s="88">
        <f>INDEX('IN_Detr 4.5 del_397'!$A$3:$AAA$1193,MATCH($G834,'IN_Detr 4.5 del_397'!$A$3:$A$1193,0),MATCH(J$1,'IN_Detr 4.5 del_397'!$A$3:$AAA$3,0))</f>
        <v>0</v>
      </c>
    </row>
    <row r="835" spans="1:10" x14ac:dyDescent="0.2">
      <c r="A835" s="86" t="s">
        <v>7819</v>
      </c>
      <c r="B835" s="1067" t="s">
        <v>105</v>
      </c>
      <c r="C835" s="1037" t="s">
        <v>219</v>
      </c>
      <c r="D835" s="1027" t="s">
        <v>3109</v>
      </c>
      <c r="E835" s="447" t="s">
        <v>358</v>
      </c>
      <c r="F835" s="1034" t="s">
        <v>3109</v>
      </c>
      <c r="G835" s="1034" t="s">
        <v>3124</v>
      </c>
      <c r="H835" s="88">
        <f>INDEX('IN_Detr 4.5 del_397'!$A$3:$AAA$1193,MATCH($G835,'IN_Detr 4.5 del_397'!$A$3:$A$1193,0),MATCH(H$1,'IN_Detr 4.5 del_397'!$A$3:$AAA$3,0))</f>
        <v>0</v>
      </c>
      <c r="I835" s="88">
        <f>INDEX('IN_Detr 4.5 del_397'!$A$3:$AAA$1193,MATCH($G835,'IN_Detr 4.5 del_397'!$A$3:$A$1193,0),MATCH(I$1,'IN_Detr 4.5 del_397'!$A$3:$AAA$3,0))</f>
        <v>0</v>
      </c>
      <c r="J835" s="88">
        <f>INDEX('IN_Detr 4.5 del_397'!$A$3:$AAA$1193,MATCH($G835,'IN_Detr 4.5 del_397'!$A$3:$A$1193,0),MATCH(J$1,'IN_Detr 4.5 del_397'!$A$3:$AAA$3,0))</f>
        <v>0</v>
      </c>
    </row>
    <row r="836" spans="1:10" x14ac:dyDescent="0.2">
      <c r="A836" s="86" t="s">
        <v>7820</v>
      </c>
      <c r="B836" s="447" t="str">
        <f>IN_Anagrafica!$B$9</f>
        <v>NO</v>
      </c>
      <c r="C836" s="369" t="str">
        <f>IF(B836="SI","SI","NO")</f>
        <v>NO</v>
      </c>
      <c r="D836" s="1027" t="s">
        <v>3109</v>
      </c>
      <c r="E836" s="447" t="s">
        <v>363</v>
      </c>
      <c r="F836" s="1034" t="s">
        <v>3109</v>
      </c>
      <c r="G836" s="1034" t="s">
        <v>3127</v>
      </c>
      <c r="H836" s="88">
        <f>INDEX('IN_Detr 4.5 del_397'!$A$3:$AAA$1193,MATCH($G836,'IN_Detr 4.5 del_397'!$A$3:$A$1193,0),MATCH(H$1,'IN_Detr 4.5 del_397'!$A$3:$AAA$3,0))</f>
        <v>0</v>
      </c>
      <c r="I836" s="88">
        <f>INDEX('IN_Detr 4.5 del_397'!$A$3:$AAA$1193,MATCH($G836,'IN_Detr 4.5 del_397'!$A$3:$A$1193,0),MATCH(I$1,'IN_Detr 4.5 del_397'!$A$3:$AAA$3,0))</f>
        <v>0</v>
      </c>
      <c r="J836" s="88">
        <f>INDEX('IN_Detr 4.5 del_397'!$A$3:$AAA$1193,MATCH($G836,'IN_Detr 4.5 del_397'!$A$3:$A$1193,0),MATCH(J$1,'IN_Detr 4.5 del_397'!$A$3:$AAA$3,0))</f>
        <v>0</v>
      </c>
    </row>
    <row r="837" spans="1:10" x14ac:dyDescent="0.2">
      <c r="A837" s="86" t="s">
        <v>7821</v>
      </c>
      <c r="B837" s="1067" t="s">
        <v>105</v>
      </c>
      <c r="C837" s="1037" t="s">
        <v>219</v>
      </c>
      <c r="D837" s="1027" t="s">
        <v>3109</v>
      </c>
      <c r="E837" s="447" t="s">
        <v>373</v>
      </c>
      <c r="F837" s="1034" t="s">
        <v>3109</v>
      </c>
      <c r="G837" s="1034" t="s">
        <v>3281</v>
      </c>
      <c r="H837" s="88">
        <f>INDEX('IN_Detr 4.5 del_397'!$A$3:$AAA$1193,MATCH($G837,'IN_Detr 4.5 del_397'!$A$3:$A$1193,0),MATCH(H$1,'IN_Detr 4.5 del_397'!$A$3:$AAA$3,0))</f>
        <v>0</v>
      </c>
      <c r="I837" s="88">
        <f>INDEX('IN_Detr 4.5 del_397'!$A$3:$AAA$1193,MATCH($G837,'IN_Detr 4.5 del_397'!$A$3:$A$1193,0),MATCH(I$1,'IN_Detr 4.5 del_397'!$A$3:$AAA$3,0))</f>
        <v>0</v>
      </c>
      <c r="J837" s="88">
        <f>INDEX('IN_Detr 4.5 del_397'!$A$3:$AAA$1193,MATCH($G837,'IN_Detr 4.5 del_397'!$A$3:$A$1193,0),MATCH(J$1,'IN_Detr 4.5 del_397'!$A$3:$AAA$3,0))</f>
        <v>0</v>
      </c>
    </row>
    <row r="838" spans="1:10" x14ac:dyDescent="0.2">
      <c r="A838" s="86" t="s">
        <v>7822</v>
      </c>
      <c r="B838" s="447" t="str">
        <f>IN_Anagrafica!$B$9</f>
        <v>NO</v>
      </c>
      <c r="C838" s="369" t="str">
        <f>IF(B838="SI","SI","NO")</f>
        <v>NO</v>
      </c>
      <c r="D838" s="1027" t="s">
        <v>3109</v>
      </c>
      <c r="E838" s="447" t="s">
        <v>8107</v>
      </c>
      <c r="F838" s="1034" t="s">
        <v>3109</v>
      </c>
      <c r="G838" s="1034" t="s">
        <v>3284</v>
      </c>
      <c r="H838" s="88">
        <f>INDEX('IN_Detr 4.5 del_397'!$A$3:$AAA$1193,MATCH($G838,'IN_Detr 4.5 del_397'!$A$3:$A$1193,0),MATCH(H$1,'IN_Detr 4.5 del_397'!$A$3:$AAA$3,0))</f>
        <v>0</v>
      </c>
      <c r="I838" s="88">
        <f>INDEX('IN_Detr 4.5 del_397'!$A$3:$AAA$1193,MATCH($G838,'IN_Detr 4.5 del_397'!$A$3:$A$1193,0),MATCH(I$1,'IN_Detr 4.5 del_397'!$A$3:$AAA$3,0))</f>
        <v>0</v>
      </c>
      <c r="J838" s="88">
        <f>INDEX('IN_Detr 4.5 del_397'!$A$3:$AAA$1193,MATCH($G838,'IN_Detr 4.5 del_397'!$A$3:$A$1193,0),MATCH(J$1,'IN_Detr 4.5 del_397'!$A$3:$AAA$3,0))</f>
        <v>0</v>
      </c>
    </row>
    <row r="839" spans="1:10" x14ac:dyDescent="0.2">
      <c r="A839" s="86" t="s">
        <v>7823</v>
      </c>
      <c r="B839" s="1067" t="s">
        <v>105</v>
      </c>
      <c r="C839" s="1037" t="s">
        <v>219</v>
      </c>
      <c r="D839" s="1027" t="s">
        <v>3109</v>
      </c>
      <c r="E839" s="447" t="s">
        <v>376</v>
      </c>
      <c r="F839" s="1034" t="s">
        <v>3109</v>
      </c>
      <c r="G839" s="1034" t="s">
        <v>4065</v>
      </c>
      <c r="H839" s="88">
        <f>INDEX('IN_Detr 4.5 del_397'!$A$3:$AAA$1193,MATCH($G839,'IN_Detr 4.5 del_397'!$A$3:$A$1193,0),MATCH(H$1,'IN_Detr 4.5 del_397'!$A$3:$AAA$3,0))</f>
        <v>0</v>
      </c>
      <c r="I839" s="88">
        <f>INDEX('IN_Detr 4.5 del_397'!$A$3:$AAA$1193,MATCH($G839,'IN_Detr 4.5 del_397'!$A$3:$A$1193,0),MATCH(I$1,'IN_Detr 4.5 del_397'!$A$3:$AAA$3,0))</f>
        <v>0</v>
      </c>
      <c r="J839" s="88">
        <f>INDEX('IN_Detr 4.5 del_397'!$A$3:$AAA$1193,MATCH($G839,'IN_Detr 4.5 del_397'!$A$3:$A$1193,0),MATCH(J$1,'IN_Detr 4.5 del_397'!$A$3:$AAA$3,0))</f>
        <v>0</v>
      </c>
    </row>
    <row r="840" spans="1:10" x14ac:dyDescent="0.2">
      <c r="A840" s="86" t="s">
        <v>7824</v>
      </c>
      <c r="B840" s="447" t="str">
        <f>IN_Anagrafica!$B$9</f>
        <v>NO</v>
      </c>
      <c r="C840" s="369" t="str">
        <f>IF(B840="SI","SI","NO")</f>
        <v>NO</v>
      </c>
      <c r="D840" s="1027" t="s">
        <v>3109</v>
      </c>
      <c r="E840" s="447" t="s">
        <v>379</v>
      </c>
      <c r="F840" s="1034" t="s">
        <v>3109</v>
      </c>
      <c r="G840" s="1034" t="s">
        <v>4068</v>
      </c>
      <c r="H840" s="88">
        <f>INDEX('IN_Detr 4.5 del_397'!$A$3:$AAA$1193,MATCH($G840,'IN_Detr 4.5 del_397'!$A$3:$A$1193,0),MATCH(H$1,'IN_Detr 4.5 del_397'!$A$3:$AAA$3,0))</f>
        <v>0</v>
      </c>
      <c r="I840" s="88">
        <f>INDEX('IN_Detr 4.5 del_397'!$A$3:$AAA$1193,MATCH($G840,'IN_Detr 4.5 del_397'!$A$3:$A$1193,0),MATCH(I$1,'IN_Detr 4.5 del_397'!$A$3:$AAA$3,0))</f>
        <v>0</v>
      </c>
      <c r="J840" s="88">
        <f>INDEX('IN_Detr 4.5 del_397'!$A$3:$AAA$1193,MATCH($G840,'IN_Detr 4.5 del_397'!$A$3:$A$1193,0),MATCH(J$1,'IN_Detr 4.5 del_397'!$A$3:$AAA$3,0))</f>
        <v>0</v>
      </c>
    </row>
    <row r="841" spans="1:10" x14ac:dyDescent="0.2">
      <c r="A841" s="86" t="s">
        <v>7825</v>
      </c>
      <c r="B841" s="1067" t="s">
        <v>105</v>
      </c>
      <c r="C841" s="1037" t="s">
        <v>219</v>
      </c>
      <c r="D841" s="1027" t="s">
        <v>3109</v>
      </c>
      <c r="E841" s="447" t="s">
        <v>390</v>
      </c>
      <c r="F841" s="1034" t="s">
        <v>3109</v>
      </c>
      <c r="G841" s="1034" t="s">
        <v>4270</v>
      </c>
      <c r="H841" s="88">
        <f>INDEX('IN_Detr 4.5 del_397'!$A$3:$AAA$1193,MATCH($G841,'IN_Detr 4.5 del_397'!$A$3:$A$1193,0),MATCH(H$1,'IN_Detr 4.5 del_397'!$A$3:$AAA$3,0))</f>
        <v>0</v>
      </c>
      <c r="I841" s="88">
        <f>INDEX('IN_Detr 4.5 del_397'!$A$3:$AAA$1193,MATCH($G841,'IN_Detr 4.5 del_397'!$A$3:$A$1193,0),MATCH(I$1,'IN_Detr 4.5 del_397'!$A$3:$AAA$3,0))</f>
        <v>0</v>
      </c>
      <c r="J841" s="88">
        <f>INDEX('IN_Detr 4.5 del_397'!$A$3:$AAA$1193,MATCH($G841,'IN_Detr 4.5 del_397'!$A$3:$A$1193,0),MATCH(J$1,'IN_Detr 4.5 del_397'!$A$3:$AAA$3,0))</f>
        <v>0</v>
      </c>
    </row>
    <row r="842" spans="1:10" x14ac:dyDescent="0.2">
      <c r="A842" s="86" t="s">
        <v>7826</v>
      </c>
      <c r="B842" s="447" t="str">
        <f>IN_Anagrafica!$B$9</f>
        <v>NO</v>
      </c>
      <c r="C842" s="369" t="str">
        <f>IF(B842="SI","SI","NO")</f>
        <v>NO</v>
      </c>
      <c r="D842" s="1027" t="s">
        <v>3109</v>
      </c>
      <c r="E842" s="447" t="s">
        <v>393</v>
      </c>
      <c r="F842" s="1034" t="s">
        <v>3109</v>
      </c>
      <c r="G842" s="1034" t="s">
        <v>4273</v>
      </c>
      <c r="H842" s="88">
        <f>INDEX('IN_Detr 4.5 del_397'!$A$3:$AAA$1193,MATCH($G842,'IN_Detr 4.5 del_397'!$A$3:$A$1193,0),MATCH(H$1,'IN_Detr 4.5 del_397'!$A$3:$AAA$3,0))</f>
        <v>0</v>
      </c>
      <c r="I842" s="88">
        <f>INDEX('IN_Detr 4.5 del_397'!$A$3:$AAA$1193,MATCH($G842,'IN_Detr 4.5 del_397'!$A$3:$A$1193,0),MATCH(I$1,'IN_Detr 4.5 del_397'!$A$3:$AAA$3,0))</f>
        <v>0</v>
      </c>
      <c r="J842" s="88">
        <f>INDEX('IN_Detr 4.5 del_397'!$A$3:$AAA$1193,MATCH($G842,'IN_Detr 4.5 del_397'!$A$3:$A$1193,0),MATCH(J$1,'IN_Detr 4.5 del_397'!$A$3:$AAA$3,0))</f>
        <v>0</v>
      </c>
    </row>
    <row r="843" spans="1:10" x14ac:dyDescent="0.2">
      <c r="A843" s="86" t="s">
        <v>7827</v>
      </c>
      <c r="B843" s="1067" t="s">
        <v>105</v>
      </c>
      <c r="C843" s="1037" t="s">
        <v>219</v>
      </c>
      <c r="D843" s="1027" t="s">
        <v>3109</v>
      </c>
      <c r="E843" s="447" t="s">
        <v>296</v>
      </c>
      <c r="F843" s="1034" t="s">
        <v>3109</v>
      </c>
      <c r="G843" s="1034" t="s">
        <v>3130</v>
      </c>
      <c r="H843" s="88">
        <f>INDEX('IN_Detr 4.5 del_397'!$A$3:$AAA$1193,MATCH($G843,'IN_Detr 4.5 del_397'!$A$3:$A$1193,0),MATCH(H$1,'IN_Detr 4.5 del_397'!$A$3:$AAA$3,0))</f>
        <v>0</v>
      </c>
      <c r="I843" s="88">
        <f>INDEX('IN_Detr 4.5 del_397'!$A$3:$AAA$1193,MATCH($G843,'IN_Detr 4.5 del_397'!$A$3:$A$1193,0),MATCH(I$1,'IN_Detr 4.5 del_397'!$A$3:$AAA$3,0))</f>
        <v>0</v>
      </c>
      <c r="J843" s="88">
        <f>INDEX('IN_Detr 4.5 del_397'!$A$3:$AAA$1193,MATCH($G843,'IN_Detr 4.5 del_397'!$A$3:$A$1193,0),MATCH(J$1,'IN_Detr 4.5 del_397'!$A$3:$AAA$3,0))</f>
        <v>0</v>
      </c>
    </row>
    <row r="844" spans="1:10" x14ac:dyDescent="0.2">
      <c r="A844" s="86" t="s">
        <v>7828</v>
      </c>
      <c r="B844" s="447" t="str">
        <f>IN_Anagrafica!$B$9</f>
        <v>NO</v>
      </c>
      <c r="C844" s="369" t="str">
        <f>IF(B844="SI","SI","NO")</f>
        <v>NO</v>
      </c>
      <c r="D844" s="1027" t="s">
        <v>3109</v>
      </c>
      <c r="E844" s="447" t="s">
        <v>398</v>
      </c>
      <c r="F844" s="1034" t="s">
        <v>3109</v>
      </c>
      <c r="G844" s="1034" t="s">
        <v>3133</v>
      </c>
      <c r="H844" s="88">
        <f>INDEX('IN_Detr 4.5 del_397'!$A$3:$AAA$1193,MATCH($G844,'IN_Detr 4.5 del_397'!$A$3:$A$1193,0),MATCH(H$1,'IN_Detr 4.5 del_397'!$A$3:$AAA$3,0))</f>
        <v>0</v>
      </c>
      <c r="I844" s="88">
        <f>INDEX('IN_Detr 4.5 del_397'!$A$3:$AAA$1193,MATCH($G844,'IN_Detr 4.5 del_397'!$A$3:$A$1193,0),MATCH(I$1,'IN_Detr 4.5 del_397'!$A$3:$AAA$3,0))</f>
        <v>0</v>
      </c>
      <c r="J844" s="88">
        <f>INDEX('IN_Detr 4.5 del_397'!$A$3:$AAA$1193,MATCH($G844,'IN_Detr 4.5 del_397'!$A$3:$A$1193,0),MATCH(J$1,'IN_Detr 4.5 del_397'!$A$3:$AAA$3,0))</f>
        <v>0</v>
      </c>
    </row>
    <row r="845" spans="1:10" x14ac:dyDescent="0.2">
      <c r="A845" s="86" t="s">
        <v>7829</v>
      </c>
      <c r="B845" s="1067" t="s">
        <v>105</v>
      </c>
      <c r="C845" s="1037" t="s">
        <v>219</v>
      </c>
      <c r="D845" s="1027" t="s">
        <v>3109</v>
      </c>
      <c r="E845" s="447" t="s">
        <v>400</v>
      </c>
      <c r="F845" s="1034" t="s">
        <v>3109</v>
      </c>
      <c r="G845" s="1034" t="s">
        <v>3287</v>
      </c>
      <c r="H845" s="88">
        <f>INDEX('IN_Detr 4.5 del_397'!$A$3:$AAA$1193,MATCH($G845,'IN_Detr 4.5 del_397'!$A$3:$A$1193,0),MATCH(H$1,'IN_Detr 4.5 del_397'!$A$3:$AAA$3,0))</f>
        <v>0</v>
      </c>
      <c r="I845" s="88">
        <f>INDEX('IN_Detr 4.5 del_397'!$A$3:$AAA$1193,MATCH($G845,'IN_Detr 4.5 del_397'!$A$3:$A$1193,0),MATCH(I$1,'IN_Detr 4.5 del_397'!$A$3:$AAA$3,0))</f>
        <v>0</v>
      </c>
      <c r="J845" s="88">
        <f>INDEX('IN_Detr 4.5 del_397'!$A$3:$AAA$1193,MATCH($G845,'IN_Detr 4.5 del_397'!$A$3:$A$1193,0),MATCH(J$1,'IN_Detr 4.5 del_397'!$A$3:$AAA$3,0))</f>
        <v>0</v>
      </c>
    </row>
    <row r="846" spans="1:10" x14ac:dyDescent="0.2">
      <c r="A846" s="86" t="s">
        <v>7830</v>
      </c>
      <c r="B846" s="447" t="str">
        <f>IN_Anagrafica!$B$9</f>
        <v>NO</v>
      </c>
      <c r="C846" s="369" t="str">
        <f>IF(B846="SI","SI","NO")</f>
        <v>NO</v>
      </c>
      <c r="D846" s="1027" t="s">
        <v>3109</v>
      </c>
      <c r="E846" s="447" t="s">
        <v>8287</v>
      </c>
      <c r="F846" s="1034" t="s">
        <v>3109</v>
      </c>
      <c r="G846" s="1034" t="s">
        <v>3290</v>
      </c>
      <c r="H846" s="88">
        <f>INDEX('IN_Detr 4.5 del_397'!$A$3:$AAA$1193,MATCH($G846,'IN_Detr 4.5 del_397'!$A$3:$A$1193,0),MATCH(H$1,'IN_Detr 4.5 del_397'!$A$3:$AAA$3,0))</f>
        <v>0</v>
      </c>
      <c r="I846" s="88">
        <f>INDEX('IN_Detr 4.5 del_397'!$A$3:$AAA$1193,MATCH($G846,'IN_Detr 4.5 del_397'!$A$3:$A$1193,0),MATCH(I$1,'IN_Detr 4.5 del_397'!$A$3:$AAA$3,0))</f>
        <v>0</v>
      </c>
      <c r="J846" s="88">
        <f>INDEX('IN_Detr 4.5 del_397'!$A$3:$AAA$1193,MATCH($G846,'IN_Detr 4.5 del_397'!$A$3:$A$1193,0),MATCH(J$1,'IN_Detr 4.5 del_397'!$A$3:$AAA$3,0))</f>
        <v>0</v>
      </c>
    </row>
    <row r="847" spans="1:10" x14ac:dyDescent="0.2">
      <c r="A847" s="86" t="s">
        <v>7831</v>
      </c>
      <c r="B847" s="1067" t="s">
        <v>105</v>
      </c>
      <c r="C847" s="1037" t="s">
        <v>219</v>
      </c>
      <c r="D847" s="1027" t="s">
        <v>3109</v>
      </c>
      <c r="E847" s="447" t="s">
        <v>401</v>
      </c>
      <c r="F847" s="1034" t="s">
        <v>3109</v>
      </c>
      <c r="G847" s="1034" t="s">
        <v>4071</v>
      </c>
      <c r="H847" s="88">
        <f>INDEX('IN_Detr 4.5 del_397'!$A$3:$AAA$1193,MATCH($G847,'IN_Detr 4.5 del_397'!$A$3:$A$1193,0),MATCH(H$1,'IN_Detr 4.5 del_397'!$A$3:$AAA$3,0))</f>
        <v>0</v>
      </c>
      <c r="I847" s="88">
        <f>INDEX('IN_Detr 4.5 del_397'!$A$3:$AAA$1193,MATCH($G847,'IN_Detr 4.5 del_397'!$A$3:$A$1193,0),MATCH(I$1,'IN_Detr 4.5 del_397'!$A$3:$AAA$3,0))</f>
        <v>0</v>
      </c>
      <c r="J847" s="88">
        <f>INDEX('IN_Detr 4.5 del_397'!$A$3:$AAA$1193,MATCH($G847,'IN_Detr 4.5 del_397'!$A$3:$A$1193,0),MATCH(J$1,'IN_Detr 4.5 del_397'!$A$3:$AAA$3,0))</f>
        <v>0</v>
      </c>
    </row>
    <row r="848" spans="1:10" x14ac:dyDescent="0.2">
      <c r="A848" s="86" t="s">
        <v>7832</v>
      </c>
      <c r="B848" s="447" t="str">
        <f>IN_Anagrafica!$B$9</f>
        <v>NO</v>
      </c>
      <c r="C848" s="369" t="str">
        <f>IF(B848="SI","SI","NO")</f>
        <v>NO</v>
      </c>
      <c r="D848" s="1027" t="s">
        <v>3109</v>
      </c>
      <c r="E848" s="447" t="s">
        <v>449</v>
      </c>
      <c r="F848" s="1034" t="s">
        <v>3109</v>
      </c>
      <c r="G848" s="1034" t="s">
        <v>4074</v>
      </c>
      <c r="H848" s="88">
        <f>INDEX('IN_Detr 4.5 del_397'!$A$3:$AAA$1193,MATCH($G848,'IN_Detr 4.5 del_397'!$A$3:$A$1193,0),MATCH(H$1,'IN_Detr 4.5 del_397'!$A$3:$AAA$3,0))</f>
        <v>0</v>
      </c>
      <c r="I848" s="88">
        <f>INDEX('IN_Detr 4.5 del_397'!$A$3:$AAA$1193,MATCH($G848,'IN_Detr 4.5 del_397'!$A$3:$A$1193,0),MATCH(I$1,'IN_Detr 4.5 del_397'!$A$3:$AAA$3,0))</f>
        <v>0</v>
      </c>
      <c r="J848" s="88">
        <f>INDEX('IN_Detr 4.5 del_397'!$A$3:$AAA$1193,MATCH($G848,'IN_Detr 4.5 del_397'!$A$3:$A$1193,0),MATCH(J$1,'IN_Detr 4.5 del_397'!$A$3:$AAA$3,0))</f>
        <v>0</v>
      </c>
    </row>
    <row r="849" spans="1:10" x14ac:dyDescent="0.2">
      <c r="A849" s="86" t="s">
        <v>7833</v>
      </c>
      <c r="B849" s="1067" t="s">
        <v>105</v>
      </c>
      <c r="C849" s="1037" t="s">
        <v>219</v>
      </c>
      <c r="D849" s="1027" t="s">
        <v>3109</v>
      </c>
      <c r="E849" s="447" t="s">
        <v>403</v>
      </c>
      <c r="F849" s="1034" t="s">
        <v>3109</v>
      </c>
      <c r="G849" s="1034" t="s">
        <v>4276</v>
      </c>
      <c r="H849" s="88">
        <f>INDEX('IN_Detr 4.5 del_397'!$A$3:$AAA$1193,MATCH($G849,'IN_Detr 4.5 del_397'!$A$3:$A$1193,0),MATCH(H$1,'IN_Detr 4.5 del_397'!$A$3:$AAA$3,0))</f>
        <v>0</v>
      </c>
      <c r="I849" s="88">
        <f>INDEX('IN_Detr 4.5 del_397'!$A$3:$AAA$1193,MATCH($G849,'IN_Detr 4.5 del_397'!$A$3:$A$1193,0),MATCH(I$1,'IN_Detr 4.5 del_397'!$A$3:$AAA$3,0))</f>
        <v>0</v>
      </c>
      <c r="J849" s="88">
        <f>INDEX('IN_Detr 4.5 del_397'!$A$3:$AAA$1193,MATCH($G849,'IN_Detr 4.5 del_397'!$A$3:$A$1193,0),MATCH(J$1,'IN_Detr 4.5 del_397'!$A$3:$AAA$3,0))</f>
        <v>0</v>
      </c>
    </row>
    <row r="850" spans="1:10" x14ac:dyDescent="0.2">
      <c r="A850" s="86" t="s">
        <v>7834</v>
      </c>
      <c r="B850" s="447" t="str">
        <f>IN_Anagrafica!$B$9</f>
        <v>NO</v>
      </c>
      <c r="C850" s="369" t="str">
        <f>IF(B850="SI","SI","NO")</f>
        <v>NO</v>
      </c>
      <c r="D850" s="1027" t="s">
        <v>3109</v>
      </c>
      <c r="E850" s="447" t="s">
        <v>404</v>
      </c>
      <c r="F850" s="1034" t="s">
        <v>3109</v>
      </c>
      <c r="G850" s="1034" t="s">
        <v>4279</v>
      </c>
      <c r="H850" s="88">
        <f>INDEX('IN_Detr 4.5 del_397'!$A$3:$AAA$1193,MATCH($G850,'IN_Detr 4.5 del_397'!$A$3:$A$1193,0),MATCH(H$1,'IN_Detr 4.5 del_397'!$A$3:$AAA$3,0))</f>
        <v>0</v>
      </c>
      <c r="I850" s="88">
        <f>INDEX('IN_Detr 4.5 del_397'!$A$3:$AAA$1193,MATCH($G850,'IN_Detr 4.5 del_397'!$A$3:$A$1193,0),MATCH(I$1,'IN_Detr 4.5 del_397'!$A$3:$AAA$3,0))</f>
        <v>0</v>
      </c>
      <c r="J850" s="88">
        <f>INDEX('IN_Detr 4.5 del_397'!$A$3:$AAA$1193,MATCH($G850,'IN_Detr 4.5 del_397'!$A$3:$A$1193,0),MATCH(J$1,'IN_Detr 4.5 del_397'!$A$3:$AAA$3,0))</f>
        <v>0</v>
      </c>
    </row>
    <row r="851" spans="1:10" x14ac:dyDescent="0.2">
      <c r="A851" s="86" t="s">
        <v>7835</v>
      </c>
      <c r="B851" s="1067" t="s">
        <v>105</v>
      </c>
      <c r="C851" s="1037" t="s">
        <v>219</v>
      </c>
      <c r="D851" s="1027" t="s">
        <v>3109</v>
      </c>
      <c r="E851" s="447" t="s">
        <v>8189</v>
      </c>
      <c r="F851" s="1034" t="s">
        <v>3109</v>
      </c>
      <c r="G851" s="1034" t="s">
        <v>3581</v>
      </c>
      <c r="H851" s="88">
        <f>INDEX('IN_Detr 4.5 del_397'!$A$3:$AAA$1193,MATCH($G851,'IN_Detr 4.5 del_397'!$A$3:$A$1193,0),MATCH(H$1,'IN_Detr 4.5 del_397'!$A$3:$AAA$3,0))</f>
        <v>0</v>
      </c>
      <c r="I851" s="88">
        <f>INDEX('IN_Detr 4.5 del_397'!$A$3:$AAA$1193,MATCH($G851,'IN_Detr 4.5 del_397'!$A$3:$A$1193,0),MATCH(I$1,'IN_Detr 4.5 del_397'!$A$3:$AAA$3,0))</f>
        <v>0</v>
      </c>
      <c r="J851" s="88">
        <f>INDEX('IN_Detr 4.5 del_397'!$A$3:$AAA$1193,MATCH($G851,'IN_Detr 4.5 del_397'!$A$3:$A$1193,0),MATCH(J$1,'IN_Detr 4.5 del_397'!$A$3:$AAA$3,0))</f>
        <v>0</v>
      </c>
    </row>
    <row r="852" spans="1:10" x14ac:dyDescent="0.2">
      <c r="A852" s="86" t="s">
        <v>7836</v>
      </c>
      <c r="B852" s="447" t="str">
        <f>IN_Anagrafica!$B$9</f>
        <v>NO</v>
      </c>
      <c r="C852" s="369" t="str">
        <f>IF(B852="SI","SI","NO")</f>
        <v>NO</v>
      </c>
      <c r="D852" s="1027" t="s">
        <v>3109</v>
      </c>
      <c r="E852" s="447" t="s">
        <v>8373</v>
      </c>
      <c r="F852" s="1034" t="s">
        <v>3109</v>
      </c>
      <c r="G852" s="1034" t="s">
        <v>3607</v>
      </c>
      <c r="H852" s="88">
        <f>INDEX('IN_Detr 4.5 del_397'!$A$3:$AAA$1193,MATCH($G852,'IN_Detr 4.5 del_397'!$A$3:$A$1193,0),MATCH(H$1,'IN_Detr 4.5 del_397'!$A$3:$AAA$3,0))</f>
        <v>0</v>
      </c>
      <c r="I852" s="88">
        <f>INDEX('IN_Detr 4.5 del_397'!$A$3:$AAA$1193,MATCH($G852,'IN_Detr 4.5 del_397'!$A$3:$A$1193,0),MATCH(I$1,'IN_Detr 4.5 del_397'!$A$3:$AAA$3,0))</f>
        <v>0</v>
      </c>
      <c r="J852" s="88">
        <f>INDEX('IN_Detr 4.5 del_397'!$A$3:$AAA$1193,MATCH($G852,'IN_Detr 4.5 del_397'!$A$3:$A$1193,0),MATCH(J$1,'IN_Detr 4.5 del_397'!$A$3:$AAA$3,0))</f>
        <v>0</v>
      </c>
    </row>
    <row r="853" spans="1:10" x14ac:dyDescent="0.2">
      <c r="A853" s="86" t="s">
        <v>7837</v>
      </c>
      <c r="B853" s="1067" t="s">
        <v>105</v>
      </c>
      <c r="C853" s="1037" t="s">
        <v>219</v>
      </c>
      <c r="D853" s="1027" t="s">
        <v>3109</v>
      </c>
      <c r="E853" s="447" t="s">
        <v>8374</v>
      </c>
      <c r="F853" s="1034" t="s">
        <v>3109</v>
      </c>
      <c r="G853" s="1034" t="s">
        <v>3738</v>
      </c>
      <c r="H853" s="88">
        <f>INDEX('IN_Detr 4.5 del_397'!$A$3:$AAA$1193,MATCH($G853,'IN_Detr 4.5 del_397'!$A$3:$A$1193,0),MATCH(H$1,'IN_Detr 4.5 del_397'!$A$3:$AAA$3,0))</f>
        <v>0</v>
      </c>
      <c r="I853" s="88">
        <f>INDEX('IN_Detr 4.5 del_397'!$A$3:$AAA$1193,MATCH($G853,'IN_Detr 4.5 del_397'!$A$3:$A$1193,0),MATCH(I$1,'IN_Detr 4.5 del_397'!$A$3:$AAA$3,0))</f>
        <v>0</v>
      </c>
      <c r="J853" s="88">
        <f>INDEX('IN_Detr 4.5 del_397'!$A$3:$AAA$1193,MATCH($G853,'IN_Detr 4.5 del_397'!$A$3:$A$1193,0),MATCH(J$1,'IN_Detr 4.5 del_397'!$A$3:$AAA$3,0))</f>
        <v>0</v>
      </c>
    </row>
    <row r="854" spans="1:10" x14ac:dyDescent="0.2">
      <c r="A854" s="86" t="s">
        <v>7838</v>
      </c>
      <c r="B854" s="447" t="str">
        <f>IN_Anagrafica!$B$9</f>
        <v>NO</v>
      </c>
      <c r="C854" s="369" t="str">
        <f>IF(B854="SI","SI","NO")</f>
        <v>NO</v>
      </c>
      <c r="D854" s="1027" t="s">
        <v>3109</v>
      </c>
      <c r="E854" s="447" t="s">
        <v>8375</v>
      </c>
      <c r="F854" s="1034" t="s">
        <v>3109</v>
      </c>
      <c r="G854" s="1034" t="s">
        <v>3754</v>
      </c>
      <c r="H854" s="88">
        <f>INDEX('IN_Detr 4.5 del_397'!$A$3:$AAA$1193,MATCH($G854,'IN_Detr 4.5 del_397'!$A$3:$A$1193,0),MATCH(H$1,'IN_Detr 4.5 del_397'!$A$3:$AAA$3,0))</f>
        <v>0</v>
      </c>
      <c r="I854" s="88">
        <f>INDEX('IN_Detr 4.5 del_397'!$A$3:$AAA$1193,MATCH($G854,'IN_Detr 4.5 del_397'!$A$3:$A$1193,0),MATCH(I$1,'IN_Detr 4.5 del_397'!$A$3:$AAA$3,0))</f>
        <v>0</v>
      </c>
      <c r="J854" s="88">
        <f>INDEX('IN_Detr 4.5 del_397'!$A$3:$AAA$1193,MATCH($G854,'IN_Detr 4.5 del_397'!$A$3:$A$1193,0),MATCH(J$1,'IN_Detr 4.5 del_397'!$A$3:$AAA$3,0))</f>
        <v>0</v>
      </c>
    </row>
    <row r="855" spans="1:10" x14ac:dyDescent="0.2">
      <c r="A855" s="86" t="s">
        <v>7839</v>
      </c>
      <c r="B855" s="1067" t="s">
        <v>105</v>
      </c>
      <c r="C855" s="1037" t="s">
        <v>219</v>
      </c>
      <c r="D855" s="1027" t="s">
        <v>3109</v>
      </c>
      <c r="E855" s="447" t="s">
        <v>440</v>
      </c>
      <c r="F855" s="1034" t="s">
        <v>3109</v>
      </c>
      <c r="G855" s="1034" t="s">
        <v>4076</v>
      </c>
      <c r="H855" s="88">
        <f>INDEX('IN_Detr 4.5 del_397'!$A$3:$AAA$1193,MATCH($G855,'IN_Detr 4.5 del_397'!$A$3:$A$1193,0),MATCH(H$1,'IN_Detr 4.5 del_397'!$A$3:$AAA$3,0))</f>
        <v>0</v>
      </c>
      <c r="I855" s="88">
        <f>INDEX('IN_Detr 4.5 del_397'!$A$3:$AAA$1193,MATCH($G855,'IN_Detr 4.5 del_397'!$A$3:$A$1193,0),MATCH(I$1,'IN_Detr 4.5 del_397'!$A$3:$AAA$3,0))</f>
        <v>0</v>
      </c>
      <c r="J855" s="88">
        <f>INDEX('IN_Detr 4.5 del_397'!$A$3:$AAA$1193,MATCH($G855,'IN_Detr 4.5 del_397'!$A$3:$A$1193,0),MATCH(J$1,'IN_Detr 4.5 del_397'!$A$3:$AAA$3,0))</f>
        <v>0</v>
      </c>
    </row>
    <row r="856" spans="1:10" x14ac:dyDescent="0.2">
      <c r="A856" s="86" t="s">
        <v>7840</v>
      </c>
      <c r="B856" s="447" t="str">
        <f>IN_Anagrafica!$B$9</f>
        <v>NO</v>
      </c>
      <c r="C856" s="369" t="str">
        <f>IF(B856="SI","SI","NO")</f>
        <v>NO</v>
      </c>
      <c r="D856" s="1027" t="s">
        <v>3109</v>
      </c>
      <c r="E856" s="447" t="s">
        <v>442</v>
      </c>
      <c r="F856" s="1034" t="s">
        <v>3109</v>
      </c>
      <c r="G856" s="1034" t="s">
        <v>4100</v>
      </c>
      <c r="H856" s="88">
        <f>INDEX('IN_Detr 4.5 del_397'!$A$3:$AAA$1193,MATCH($G856,'IN_Detr 4.5 del_397'!$A$3:$A$1193,0),MATCH(H$1,'IN_Detr 4.5 del_397'!$A$3:$AAA$3,0))</f>
        <v>0</v>
      </c>
      <c r="I856" s="88">
        <f>INDEX('IN_Detr 4.5 del_397'!$A$3:$AAA$1193,MATCH($G856,'IN_Detr 4.5 del_397'!$A$3:$A$1193,0),MATCH(I$1,'IN_Detr 4.5 del_397'!$A$3:$AAA$3,0))</f>
        <v>0</v>
      </c>
      <c r="J856" s="88">
        <f>INDEX('IN_Detr 4.5 del_397'!$A$3:$AAA$1193,MATCH($G856,'IN_Detr 4.5 del_397'!$A$3:$A$1193,0),MATCH(J$1,'IN_Detr 4.5 del_397'!$A$3:$AAA$3,0))</f>
        <v>0</v>
      </c>
    </row>
    <row r="857" spans="1:10" x14ac:dyDescent="0.2">
      <c r="A857" s="86" t="s">
        <v>7841</v>
      </c>
      <c r="B857" s="1067" t="s">
        <v>105</v>
      </c>
      <c r="C857" s="1037" t="s">
        <v>219</v>
      </c>
      <c r="D857" s="1027" t="s">
        <v>3109</v>
      </c>
      <c r="E857" s="447" t="s">
        <v>444</v>
      </c>
      <c r="F857" s="1034" t="s">
        <v>3109</v>
      </c>
      <c r="G857" s="1034" t="s">
        <v>4281</v>
      </c>
      <c r="H857" s="88">
        <f>INDEX('IN_Detr 4.5 del_397'!$A$3:$AAA$1193,MATCH($G857,'IN_Detr 4.5 del_397'!$A$3:$A$1193,0),MATCH(H$1,'IN_Detr 4.5 del_397'!$A$3:$AAA$3,0))</f>
        <v>0</v>
      </c>
      <c r="I857" s="88">
        <f>INDEX('IN_Detr 4.5 del_397'!$A$3:$AAA$1193,MATCH($G857,'IN_Detr 4.5 del_397'!$A$3:$A$1193,0),MATCH(I$1,'IN_Detr 4.5 del_397'!$A$3:$AAA$3,0))</f>
        <v>0</v>
      </c>
      <c r="J857" s="88">
        <f>INDEX('IN_Detr 4.5 del_397'!$A$3:$AAA$1193,MATCH($G857,'IN_Detr 4.5 del_397'!$A$3:$A$1193,0),MATCH(J$1,'IN_Detr 4.5 del_397'!$A$3:$AAA$3,0))</f>
        <v>0</v>
      </c>
    </row>
    <row r="858" spans="1:10" x14ac:dyDescent="0.2">
      <c r="A858" s="86" t="s">
        <v>7842</v>
      </c>
      <c r="B858" s="447" t="str">
        <f>IN_Anagrafica!$B$9</f>
        <v>NO</v>
      </c>
      <c r="C858" s="369" t="str">
        <f>IF(B858="SI","SI","NO")</f>
        <v>NO</v>
      </c>
      <c r="D858" s="1027" t="s">
        <v>3109</v>
      </c>
      <c r="E858" s="447" t="s">
        <v>446</v>
      </c>
      <c r="F858" s="1034" t="s">
        <v>3109</v>
      </c>
      <c r="G858" s="1034" t="s">
        <v>4303</v>
      </c>
      <c r="H858" s="88">
        <f>INDEX('IN_Detr 4.5 del_397'!$A$3:$AAA$1193,MATCH($G858,'IN_Detr 4.5 del_397'!$A$3:$A$1193,0),MATCH(H$1,'IN_Detr 4.5 del_397'!$A$3:$AAA$3,0))</f>
        <v>0</v>
      </c>
      <c r="I858" s="88">
        <f>INDEX('IN_Detr 4.5 del_397'!$A$3:$AAA$1193,MATCH($G858,'IN_Detr 4.5 del_397'!$A$3:$A$1193,0),MATCH(I$1,'IN_Detr 4.5 del_397'!$A$3:$AAA$3,0))</f>
        <v>0</v>
      </c>
      <c r="J858" s="88">
        <f>INDEX('IN_Detr 4.5 del_397'!$A$3:$AAA$1193,MATCH($G858,'IN_Detr 4.5 del_397'!$A$3:$A$1193,0),MATCH(J$1,'IN_Detr 4.5 del_397'!$A$3:$AAA$3,0))</f>
        <v>0</v>
      </c>
    </row>
    <row r="859" spans="1:10" x14ac:dyDescent="0.2">
      <c r="A859" s="86" t="s">
        <v>7843</v>
      </c>
      <c r="B859" s="1067" t="s">
        <v>105</v>
      </c>
      <c r="C859" s="1037" t="s">
        <v>219</v>
      </c>
      <c r="D859" s="1027" t="s">
        <v>3109</v>
      </c>
      <c r="E859" s="447" t="s">
        <v>299</v>
      </c>
      <c r="F859" s="1034" t="s">
        <v>3109</v>
      </c>
      <c r="G859" s="1034" t="s">
        <v>3438</v>
      </c>
      <c r="H859" s="88">
        <f>INDEX('IN_Detr 4.5 del_397'!$A$3:$AAA$1193,MATCH($G859,'IN_Detr 4.5 del_397'!$A$3:$A$1193,0),MATCH(H$1,'IN_Detr 4.5 del_397'!$A$3:$AAA$3,0))</f>
        <v>0</v>
      </c>
      <c r="I859" s="88">
        <f>INDEX('IN_Detr 4.5 del_397'!$A$3:$AAA$1193,MATCH($G859,'IN_Detr 4.5 del_397'!$A$3:$A$1193,0),MATCH(I$1,'IN_Detr 4.5 del_397'!$A$3:$AAA$3,0))</f>
        <v>0</v>
      </c>
      <c r="J859" s="88">
        <f>INDEX('IN_Detr 4.5 del_397'!$A$3:$AAA$1193,MATCH($G859,'IN_Detr 4.5 del_397'!$A$3:$A$1193,0),MATCH(J$1,'IN_Detr 4.5 del_397'!$A$3:$AAA$3,0))</f>
        <v>0</v>
      </c>
    </row>
    <row r="860" spans="1:10" x14ac:dyDescent="0.2">
      <c r="A860" s="86" t="s">
        <v>7844</v>
      </c>
      <c r="B860" s="447" t="str">
        <f>IN_Anagrafica!$B$9</f>
        <v>NO</v>
      </c>
      <c r="C860" s="369" t="str">
        <f>IF(B860="SI","SI","NO")</f>
        <v>NO</v>
      </c>
      <c r="D860" s="1027" t="s">
        <v>3109</v>
      </c>
      <c r="E860" s="447" t="s">
        <v>315</v>
      </c>
      <c r="F860" s="1034" t="s">
        <v>3109</v>
      </c>
      <c r="G860" s="1034" t="s">
        <v>3465</v>
      </c>
      <c r="H860" s="88">
        <f>INDEX('IN_Detr 4.5 del_397'!$A$3:$AAA$1193,MATCH($G860,'IN_Detr 4.5 del_397'!$A$3:$A$1193,0),MATCH(H$1,'IN_Detr 4.5 del_397'!$A$3:$AAA$3,0))</f>
        <v>0</v>
      </c>
      <c r="I860" s="88">
        <f>INDEX('IN_Detr 4.5 del_397'!$A$3:$AAA$1193,MATCH($G860,'IN_Detr 4.5 del_397'!$A$3:$A$1193,0),MATCH(I$1,'IN_Detr 4.5 del_397'!$A$3:$AAA$3,0))</f>
        <v>0</v>
      </c>
      <c r="J860" s="88">
        <f>INDEX('IN_Detr 4.5 del_397'!$A$3:$AAA$1193,MATCH($G860,'IN_Detr 4.5 del_397'!$A$3:$A$1193,0),MATCH(J$1,'IN_Detr 4.5 del_397'!$A$3:$AAA$3,0))</f>
        <v>0</v>
      </c>
    </row>
    <row r="861" spans="1:10" x14ac:dyDescent="0.2">
      <c r="A861" s="86" t="s">
        <v>7845</v>
      </c>
      <c r="B861" s="1067" t="s">
        <v>105</v>
      </c>
      <c r="C861" s="1037" t="s">
        <v>219</v>
      </c>
      <c r="D861" s="1027" t="s">
        <v>3109</v>
      </c>
      <c r="E861" s="447" t="s">
        <v>321</v>
      </c>
      <c r="F861" s="1034" t="s">
        <v>3109</v>
      </c>
      <c r="G861" s="1034" t="s">
        <v>3740</v>
      </c>
      <c r="H861" s="88">
        <f>INDEX('IN_Detr 4.5 del_397'!$A$3:$AAA$1193,MATCH($G861,'IN_Detr 4.5 del_397'!$A$3:$A$1193,0),MATCH(H$1,'IN_Detr 4.5 del_397'!$A$3:$AAA$3,0))</f>
        <v>0</v>
      </c>
      <c r="I861" s="88">
        <f>INDEX('IN_Detr 4.5 del_397'!$A$3:$AAA$1193,MATCH($G861,'IN_Detr 4.5 del_397'!$A$3:$A$1193,0),MATCH(I$1,'IN_Detr 4.5 del_397'!$A$3:$AAA$3,0))</f>
        <v>0</v>
      </c>
      <c r="J861" s="88">
        <f>INDEX('IN_Detr 4.5 del_397'!$A$3:$AAA$1193,MATCH($G861,'IN_Detr 4.5 del_397'!$A$3:$A$1193,0),MATCH(J$1,'IN_Detr 4.5 del_397'!$A$3:$AAA$3,0))</f>
        <v>0</v>
      </c>
    </row>
    <row r="862" spans="1:10" x14ac:dyDescent="0.2">
      <c r="A862" s="86" t="s">
        <v>7846</v>
      </c>
      <c r="B862" s="447" t="str">
        <f>IN_Anagrafica!$B$9</f>
        <v>NO</v>
      </c>
      <c r="C862" s="369" t="str">
        <f>IF(B862="SI","SI","NO")</f>
        <v>NO</v>
      </c>
      <c r="D862" s="1027" t="s">
        <v>3109</v>
      </c>
      <c r="E862" s="447" t="s">
        <v>8376</v>
      </c>
      <c r="F862" s="1034" t="s">
        <v>3109</v>
      </c>
      <c r="G862" s="1034" t="s">
        <v>3756</v>
      </c>
      <c r="H862" s="88">
        <f>INDEX('IN_Detr 4.5 del_397'!$A$3:$AAA$1193,MATCH($G862,'IN_Detr 4.5 del_397'!$A$3:$A$1193,0),MATCH(H$1,'IN_Detr 4.5 del_397'!$A$3:$AAA$3,0))</f>
        <v>0</v>
      </c>
      <c r="I862" s="88">
        <f>INDEX('IN_Detr 4.5 del_397'!$A$3:$AAA$1193,MATCH($G862,'IN_Detr 4.5 del_397'!$A$3:$A$1193,0),MATCH(I$1,'IN_Detr 4.5 del_397'!$A$3:$AAA$3,0))</f>
        <v>0</v>
      </c>
      <c r="J862" s="88">
        <f>INDEX('IN_Detr 4.5 del_397'!$A$3:$AAA$1193,MATCH($G862,'IN_Detr 4.5 del_397'!$A$3:$A$1193,0),MATCH(J$1,'IN_Detr 4.5 del_397'!$A$3:$AAA$3,0))</f>
        <v>0</v>
      </c>
    </row>
    <row r="863" spans="1:10" x14ac:dyDescent="0.2">
      <c r="A863" s="86" t="s">
        <v>7847</v>
      </c>
      <c r="B863" s="1067" t="s">
        <v>105</v>
      </c>
      <c r="C863" s="1037" t="s">
        <v>219</v>
      </c>
      <c r="D863" s="1027" t="s">
        <v>3109</v>
      </c>
      <c r="E863" s="447" t="s">
        <v>441</v>
      </c>
      <c r="F863" s="1034" t="s">
        <v>3109</v>
      </c>
      <c r="G863" s="1034" t="s">
        <v>4078</v>
      </c>
      <c r="H863" s="88">
        <f>INDEX('IN_Detr 4.5 del_397'!$A$3:$AAA$1193,MATCH($G863,'IN_Detr 4.5 del_397'!$A$3:$A$1193,0),MATCH(H$1,'IN_Detr 4.5 del_397'!$A$3:$AAA$3,0))</f>
        <v>0</v>
      </c>
      <c r="I863" s="88">
        <f>INDEX('IN_Detr 4.5 del_397'!$A$3:$AAA$1193,MATCH($G863,'IN_Detr 4.5 del_397'!$A$3:$A$1193,0),MATCH(I$1,'IN_Detr 4.5 del_397'!$A$3:$AAA$3,0))</f>
        <v>0</v>
      </c>
      <c r="J863" s="88">
        <f>INDEX('IN_Detr 4.5 del_397'!$A$3:$AAA$1193,MATCH($G863,'IN_Detr 4.5 del_397'!$A$3:$A$1193,0),MATCH(J$1,'IN_Detr 4.5 del_397'!$A$3:$AAA$3,0))</f>
        <v>0</v>
      </c>
    </row>
    <row r="864" spans="1:10" x14ac:dyDescent="0.2">
      <c r="A864" s="86" t="s">
        <v>7848</v>
      </c>
      <c r="B864" s="447" t="str">
        <f>IN_Anagrafica!$B$9</f>
        <v>NO</v>
      </c>
      <c r="C864" s="369" t="str">
        <f>IF(B864="SI","SI","NO")</f>
        <v>NO</v>
      </c>
      <c r="D864" s="1027" t="s">
        <v>3109</v>
      </c>
      <c r="E864" s="447" t="s">
        <v>443</v>
      </c>
      <c r="F864" s="1034" t="s">
        <v>3109</v>
      </c>
      <c r="G864" s="1034" t="s">
        <v>4102</v>
      </c>
      <c r="H864" s="88">
        <f>INDEX('IN_Detr 4.5 del_397'!$A$3:$AAA$1193,MATCH($G864,'IN_Detr 4.5 del_397'!$A$3:$A$1193,0),MATCH(H$1,'IN_Detr 4.5 del_397'!$A$3:$AAA$3,0))</f>
        <v>0</v>
      </c>
      <c r="I864" s="88">
        <f>INDEX('IN_Detr 4.5 del_397'!$A$3:$AAA$1193,MATCH($G864,'IN_Detr 4.5 del_397'!$A$3:$A$1193,0),MATCH(I$1,'IN_Detr 4.5 del_397'!$A$3:$AAA$3,0))</f>
        <v>0</v>
      </c>
      <c r="J864" s="88">
        <f>INDEX('IN_Detr 4.5 del_397'!$A$3:$AAA$1193,MATCH($G864,'IN_Detr 4.5 del_397'!$A$3:$A$1193,0),MATCH(J$1,'IN_Detr 4.5 del_397'!$A$3:$AAA$3,0))</f>
        <v>0</v>
      </c>
    </row>
    <row r="865" spans="1:10" x14ac:dyDescent="0.2">
      <c r="A865" s="86" t="s">
        <v>7849</v>
      </c>
      <c r="B865" s="1067" t="s">
        <v>105</v>
      </c>
      <c r="C865" s="1037" t="s">
        <v>219</v>
      </c>
      <c r="D865" s="1027" t="s">
        <v>3109</v>
      </c>
      <c r="E865" s="447" t="s">
        <v>445</v>
      </c>
      <c r="F865" s="1034" t="s">
        <v>3109</v>
      </c>
      <c r="G865" s="1034" t="s">
        <v>4283</v>
      </c>
      <c r="H865" s="88">
        <f>INDEX('IN_Detr 4.5 del_397'!$A$3:$AAA$1193,MATCH($G865,'IN_Detr 4.5 del_397'!$A$3:$A$1193,0),MATCH(H$1,'IN_Detr 4.5 del_397'!$A$3:$AAA$3,0))</f>
        <v>0</v>
      </c>
      <c r="I865" s="88">
        <f>INDEX('IN_Detr 4.5 del_397'!$A$3:$AAA$1193,MATCH($G865,'IN_Detr 4.5 del_397'!$A$3:$A$1193,0),MATCH(I$1,'IN_Detr 4.5 del_397'!$A$3:$AAA$3,0))</f>
        <v>0</v>
      </c>
      <c r="J865" s="88">
        <f>INDEX('IN_Detr 4.5 del_397'!$A$3:$AAA$1193,MATCH($G865,'IN_Detr 4.5 del_397'!$A$3:$A$1193,0),MATCH(J$1,'IN_Detr 4.5 del_397'!$A$3:$AAA$3,0))</f>
        <v>0</v>
      </c>
    </row>
    <row r="866" spans="1:10" x14ac:dyDescent="0.2">
      <c r="A866" s="86" t="s">
        <v>7850</v>
      </c>
      <c r="B866" s="447" t="str">
        <f>IN_Anagrafica!$B$9</f>
        <v>NO</v>
      </c>
      <c r="C866" s="369" t="str">
        <f>IF(B866="SI","SI","NO")</f>
        <v>NO</v>
      </c>
      <c r="D866" s="1027" t="s">
        <v>3109</v>
      </c>
      <c r="E866" s="447" t="s">
        <v>447</v>
      </c>
      <c r="F866" s="1034" t="s">
        <v>3109</v>
      </c>
      <c r="G866" s="1034" t="s">
        <v>4305</v>
      </c>
      <c r="H866" s="88">
        <f>INDEX('IN_Detr 4.5 del_397'!$A$3:$AAA$1193,MATCH($G866,'IN_Detr 4.5 del_397'!$A$3:$A$1193,0),MATCH(H$1,'IN_Detr 4.5 del_397'!$A$3:$AAA$3,0))</f>
        <v>0</v>
      </c>
      <c r="I866" s="88">
        <f>INDEX('IN_Detr 4.5 del_397'!$A$3:$AAA$1193,MATCH($G866,'IN_Detr 4.5 del_397'!$A$3:$A$1193,0),MATCH(I$1,'IN_Detr 4.5 del_397'!$A$3:$AAA$3,0))</f>
        <v>0</v>
      </c>
      <c r="J866" s="88">
        <f>INDEX('IN_Detr 4.5 del_397'!$A$3:$AAA$1193,MATCH($G866,'IN_Detr 4.5 del_397'!$A$3:$A$1193,0),MATCH(J$1,'IN_Detr 4.5 del_397'!$A$3:$AAA$3,0))</f>
        <v>0</v>
      </c>
    </row>
    <row r="867" spans="1:10" x14ac:dyDescent="0.2">
      <c r="A867" s="86" t="s">
        <v>7851</v>
      </c>
      <c r="B867" s="1067" t="s">
        <v>105</v>
      </c>
      <c r="C867" s="1037" t="s">
        <v>219</v>
      </c>
      <c r="D867" s="1027" t="s">
        <v>3109</v>
      </c>
      <c r="E867" s="447" t="s">
        <v>300</v>
      </c>
      <c r="F867" s="1034" t="s">
        <v>3109</v>
      </c>
      <c r="G867" s="1034" t="s">
        <v>3135</v>
      </c>
      <c r="H867" s="88">
        <f>INDEX('IN_Detr 4.5 del_397'!$A$3:$AAA$1193,MATCH($G867,'IN_Detr 4.5 del_397'!$A$3:$A$1193,0),MATCH(H$1,'IN_Detr 4.5 del_397'!$A$3:$AAA$3,0))</f>
        <v>0</v>
      </c>
      <c r="I867" s="88">
        <f>INDEX('IN_Detr 4.5 del_397'!$A$3:$AAA$1193,MATCH($G867,'IN_Detr 4.5 del_397'!$A$3:$A$1193,0),MATCH(I$1,'IN_Detr 4.5 del_397'!$A$3:$AAA$3,0))</f>
        <v>0</v>
      </c>
      <c r="J867" s="88">
        <f>INDEX('IN_Detr 4.5 del_397'!$A$3:$AAA$1193,MATCH($G867,'IN_Detr 4.5 del_397'!$A$3:$A$1193,0),MATCH(J$1,'IN_Detr 4.5 del_397'!$A$3:$AAA$3,0))</f>
        <v>0</v>
      </c>
    </row>
    <row r="868" spans="1:10" x14ac:dyDescent="0.2">
      <c r="A868" s="86" t="s">
        <v>7852</v>
      </c>
      <c r="B868" s="447" t="str">
        <f>IN_Anagrafica!$B$9</f>
        <v>NO</v>
      </c>
      <c r="C868" s="369" t="str">
        <f>IF(B868="SI","SI","NO")</f>
        <v>NO</v>
      </c>
      <c r="D868" s="1027" t="s">
        <v>3109</v>
      </c>
      <c r="E868" s="447" t="s">
        <v>316</v>
      </c>
      <c r="F868" s="1034" t="s">
        <v>3109</v>
      </c>
      <c r="G868" s="1034" t="s">
        <v>3143</v>
      </c>
      <c r="H868" s="88">
        <f>INDEX('IN_Detr 4.5 del_397'!$A$3:$AAA$1193,MATCH($G868,'IN_Detr 4.5 del_397'!$A$3:$A$1193,0),MATCH(H$1,'IN_Detr 4.5 del_397'!$A$3:$AAA$3,0))</f>
        <v>0</v>
      </c>
      <c r="I868" s="88">
        <f>INDEX('IN_Detr 4.5 del_397'!$A$3:$AAA$1193,MATCH($G868,'IN_Detr 4.5 del_397'!$A$3:$A$1193,0),MATCH(I$1,'IN_Detr 4.5 del_397'!$A$3:$AAA$3,0))</f>
        <v>0</v>
      </c>
      <c r="J868" s="88">
        <f>INDEX('IN_Detr 4.5 del_397'!$A$3:$AAA$1193,MATCH($G868,'IN_Detr 4.5 del_397'!$A$3:$A$1193,0),MATCH(J$1,'IN_Detr 4.5 del_397'!$A$3:$AAA$3,0))</f>
        <v>0</v>
      </c>
    </row>
    <row r="869" spans="1:10" x14ac:dyDescent="0.2">
      <c r="A869" s="86" t="s">
        <v>7853</v>
      </c>
      <c r="B869" s="1067" t="s">
        <v>105</v>
      </c>
      <c r="C869" s="1037" t="s">
        <v>219</v>
      </c>
      <c r="D869" s="1027" t="s">
        <v>3109</v>
      </c>
      <c r="E869" s="447" t="s">
        <v>322</v>
      </c>
      <c r="F869" s="1034" t="s">
        <v>3109</v>
      </c>
      <c r="G869" s="1034" t="s">
        <v>3292</v>
      </c>
      <c r="H869" s="88">
        <f>INDEX('IN_Detr 4.5 del_397'!$A$3:$AAA$1193,MATCH($G869,'IN_Detr 4.5 del_397'!$A$3:$A$1193,0),MATCH(H$1,'IN_Detr 4.5 del_397'!$A$3:$AAA$3,0))</f>
        <v>0</v>
      </c>
      <c r="I869" s="88">
        <f>INDEX('IN_Detr 4.5 del_397'!$A$3:$AAA$1193,MATCH($G869,'IN_Detr 4.5 del_397'!$A$3:$A$1193,0),MATCH(I$1,'IN_Detr 4.5 del_397'!$A$3:$AAA$3,0))</f>
        <v>0</v>
      </c>
      <c r="J869" s="88">
        <f>INDEX('IN_Detr 4.5 del_397'!$A$3:$AAA$1193,MATCH($G869,'IN_Detr 4.5 del_397'!$A$3:$A$1193,0),MATCH(J$1,'IN_Detr 4.5 del_397'!$A$3:$AAA$3,0))</f>
        <v>0</v>
      </c>
    </row>
    <row r="870" spans="1:10" x14ac:dyDescent="0.2">
      <c r="A870" s="86" t="s">
        <v>7854</v>
      </c>
      <c r="B870" s="447" t="str">
        <f>IN_Anagrafica!$B$9</f>
        <v>NO</v>
      </c>
      <c r="C870" s="369" t="str">
        <f>IF(B870="SI","SI","NO")</f>
        <v>NO</v>
      </c>
      <c r="D870" s="1027" t="s">
        <v>3109</v>
      </c>
      <c r="E870" s="447" t="s">
        <v>8377</v>
      </c>
      <c r="F870" s="1034" t="s">
        <v>3109</v>
      </c>
      <c r="G870" s="1034" t="s">
        <v>3300</v>
      </c>
      <c r="H870" s="88">
        <f>INDEX('IN_Detr 4.5 del_397'!$A$3:$AAA$1193,MATCH($G870,'IN_Detr 4.5 del_397'!$A$3:$A$1193,0),MATCH(H$1,'IN_Detr 4.5 del_397'!$A$3:$AAA$3,0))</f>
        <v>0</v>
      </c>
      <c r="I870" s="88">
        <f>INDEX('IN_Detr 4.5 del_397'!$A$3:$AAA$1193,MATCH($G870,'IN_Detr 4.5 del_397'!$A$3:$A$1193,0),MATCH(I$1,'IN_Detr 4.5 del_397'!$A$3:$AAA$3,0))</f>
        <v>0</v>
      </c>
      <c r="J870" s="88">
        <f>INDEX('IN_Detr 4.5 del_397'!$A$3:$AAA$1193,MATCH($G870,'IN_Detr 4.5 del_397'!$A$3:$A$1193,0),MATCH(J$1,'IN_Detr 4.5 del_397'!$A$3:$AAA$3,0))</f>
        <v>0</v>
      </c>
    </row>
    <row r="871" spans="1:10" x14ac:dyDescent="0.2">
      <c r="A871" s="86" t="s">
        <v>7855</v>
      </c>
      <c r="B871" s="1067" t="s">
        <v>105</v>
      </c>
      <c r="C871" s="1037" t="s">
        <v>219</v>
      </c>
      <c r="D871" s="1027" t="s">
        <v>3109</v>
      </c>
      <c r="E871" s="447" t="s">
        <v>384</v>
      </c>
      <c r="F871" s="1034" t="s">
        <v>3109</v>
      </c>
      <c r="G871" s="1034" t="s">
        <v>4080</v>
      </c>
      <c r="H871" s="88">
        <f>INDEX('IN_Detr 4.5 del_397'!$A$3:$AAA$1193,MATCH($G871,'IN_Detr 4.5 del_397'!$A$3:$A$1193,0),MATCH(H$1,'IN_Detr 4.5 del_397'!$A$3:$AAA$3,0))</f>
        <v>0</v>
      </c>
      <c r="I871" s="88">
        <f>INDEX('IN_Detr 4.5 del_397'!$A$3:$AAA$1193,MATCH($G871,'IN_Detr 4.5 del_397'!$A$3:$A$1193,0),MATCH(I$1,'IN_Detr 4.5 del_397'!$A$3:$AAA$3,0))</f>
        <v>0</v>
      </c>
      <c r="J871" s="88">
        <f>INDEX('IN_Detr 4.5 del_397'!$A$3:$AAA$1193,MATCH($G871,'IN_Detr 4.5 del_397'!$A$3:$A$1193,0),MATCH(J$1,'IN_Detr 4.5 del_397'!$A$3:$AAA$3,0))</f>
        <v>0</v>
      </c>
    </row>
    <row r="872" spans="1:10" x14ac:dyDescent="0.2">
      <c r="A872" s="86" t="s">
        <v>7856</v>
      </c>
      <c r="B872" s="447" t="str">
        <f>IN_Anagrafica!$B$9</f>
        <v>NO</v>
      </c>
      <c r="C872" s="369" t="str">
        <f>IF(B872="SI","SI","NO")</f>
        <v>NO</v>
      </c>
      <c r="D872" s="1027" t="s">
        <v>3109</v>
      </c>
      <c r="E872" s="447" t="s">
        <v>386</v>
      </c>
      <c r="F872" s="1034" t="s">
        <v>3109</v>
      </c>
      <c r="G872" s="1034" t="s">
        <v>4104</v>
      </c>
      <c r="H872" s="88">
        <f>INDEX('IN_Detr 4.5 del_397'!$A$3:$AAA$1193,MATCH($G872,'IN_Detr 4.5 del_397'!$A$3:$A$1193,0),MATCH(H$1,'IN_Detr 4.5 del_397'!$A$3:$AAA$3,0))</f>
        <v>0</v>
      </c>
      <c r="I872" s="88">
        <f>INDEX('IN_Detr 4.5 del_397'!$A$3:$AAA$1193,MATCH($G872,'IN_Detr 4.5 del_397'!$A$3:$A$1193,0),MATCH(I$1,'IN_Detr 4.5 del_397'!$A$3:$AAA$3,0))</f>
        <v>0</v>
      </c>
      <c r="J872" s="88">
        <f>INDEX('IN_Detr 4.5 del_397'!$A$3:$AAA$1193,MATCH($G872,'IN_Detr 4.5 del_397'!$A$3:$A$1193,0),MATCH(J$1,'IN_Detr 4.5 del_397'!$A$3:$AAA$3,0))</f>
        <v>0</v>
      </c>
    </row>
    <row r="873" spans="1:10" x14ac:dyDescent="0.2">
      <c r="A873" s="86" t="s">
        <v>7857</v>
      </c>
      <c r="B873" s="1067" t="s">
        <v>105</v>
      </c>
      <c r="C873" s="1037" t="s">
        <v>219</v>
      </c>
      <c r="D873" s="1027" t="s">
        <v>3109</v>
      </c>
      <c r="E873" s="447" t="s">
        <v>394</v>
      </c>
      <c r="F873" s="1034" t="s">
        <v>3109</v>
      </c>
      <c r="G873" s="1034" t="s">
        <v>4285</v>
      </c>
      <c r="H873" s="88">
        <f>INDEX('IN_Detr 4.5 del_397'!$A$3:$AAA$1193,MATCH($G873,'IN_Detr 4.5 del_397'!$A$3:$A$1193,0),MATCH(H$1,'IN_Detr 4.5 del_397'!$A$3:$AAA$3,0))</f>
        <v>0</v>
      </c>
      <c r="I873" s="88">
        <f>INDEX('IN_Detr 4.5 del_397'!$A$3:$AAA$1193,MATCH($G873,'IN_Detr 4.5 del_397'!$A$3:$A$1193,0),MATCH(I$1,'IN_Detr 4.5 del_397'!$A$3:$AAA$3,0))</f>
        <v>0</v>
      </c>
      <c r="J873" s="88">
        <f>INDEX('IN_Detr 4.5 del_397'!$A$3:$AAA$1193,MATCH($G873,'IN_Detr 4.5 del_397'!$A$3:$A$1193,0),MATCH(J$1,'IN_Detr 4.5 del_397'!$A$3:$AAA$3,0))</f>
        <v>0</v>
      </c>
    </row>
    <row r="874" spans="1:10" x14ac:dyDescent="0.2">
      <c r="A874" s="86" t="s">
        <v>7858</v>
      </c>
      <c r="B874" s="447" t="str">
        <f>IN_Anagrafica!$B$9</f>
        <v>NO</v>
      </c>
      <c r="C874" s="369" t="str">
        <f>IF(B874="SI","SI","NO")</f>
        <v>NO</v>
      </c>
      <c r="D874" s="1027" t="s">
        <v>3109</v>
      </c>
      <c r="E874" s="447" t="s">
        <v>396</v>
      </c>
      <c r="F874" s="1034" t="s">
        <v>3109</v>
      </c>
      <c r="G874" s="1034" t="s">
        <v>4307</v>
      </c>
      <c r="H874" s="88">
        <f>INDEX('IN_Detr 4.5 del_397'!$A$3:$AAA$1193,MATCH($G874,'IN_Detr 4.5 del_397'!$A$3:$A$1193,0),MATCH(H$1,'IN_Detr 4.5 del_397'!$A$3:$AAA$3,0))</f>
        <v>0</v>
      </c>
      <c r="I874" s="88">
        <f>INDEX('IN_Detr 4.5 del_397'!$A$3:$AAA$1193,MATCH($G874,'IN_Detr 4.5 del_397'!$A$3:$A$1193,0),MATCH(I$1,'IN_Detr 4.5 del_397'!$A$3:$AAA$3,0))</f>
        <v>0</v>
      </c>
      <c r="J874" s="88">
        <f>INDEX('IN_Detr 4.5 del_397'!$A$3:$AAA$1193,MATCH($G874,'IN_Detr 4.5 del_397'!$A$3:$A$1193,0),MATCH(J$1,'IN_Detr 4.5 del_397'!$A$3:$AAA$3,0))</f>
        <v>0</v>
      </c>
    </row>
    <row r="875" spans="1:10" x14ac:dyDescent="0.2">
      <c r="A875" s="86" t="s">
        <v>7859</v>
      </c>
      <c r="B875" s="1067" t="s">
        <v>105</v>
      </c>
      <c r="C875" s="1037" t="s">
        <v>219</v>
      </c>
      <c r="D875" s="1027" t="s">
        <v>3109</v>
      </c>
      <c r="E875" s="447" t="s">
        <v>304</v>
      </c>
      <c r="F875" s="1034" t="s">
        <v>3109</v>
      </c>
      <c r="G875" s="1034" t="s">
        <v>3137</v>
      </c>
      <c r="H875" s="88">
        <f>INDEX('IN_Detr 4.5 del_397'!$A$3:$AAA$1193,MATCH($G875,'IN_Detr 4.5 del_397'!$A$3:$A$1193,0),MATCH(H$1,'IN_Detr 4.5 del_397'!$A$3:$AAA$3,0))</f>
        <v>0</v>
      </c>
      <c r="I875" s="88">
        <f>INDEX('IN_Detr 4.5 del_397'!$A$3:$AAA$1193,MATCH($G875,'IN_Detr 4.5 del_397'!$A$3:$A$1193,0),MATCH(I$1,'IN_Detr 4.5 del_397'!$A$3:$AAA$3,0))</f>
        <v>0</v>
      </c>
      <c r="J875" s="88">
        <f>INDEX('IN_Detr 4.5 del_397'!$A$3:$AAA$1193,MATCH($G875,'IN_Detr 4.5 del_397'!$A$3:$A$1193,0),MATCH(J$1,'IN_Detr 4.5 del_397'!$A$3:$AAA$3,0))</f>
        <v>0</v>
      </c>
    </row>
    <row r="876" spans="1:10" x14ac:dyDescent="0.2">
      <c r="A876" s="86" t="s">
        <v>7860</v>
      </c>
      <c r="B876" s="447" t="str">
        <f>IN_Anagrafica!$B$9</f>
        <v>NO</v>
      </c>
      <c r="C876" s="369" t="str">
        <f>IF(B876="SI","SI","NO")</f>
        <v>NO</v>
      </c>
      <c r="D876" s="1027" t="s">
        <v>3109</v>
      </c>
      <c r="E876" s="447" t="s">
        <v>320</v>
      </c>
      <c r="F876" s="1034" t="s">
        <v>3109</v>
      </c>
      <c r="G876" s="1034" t="s">
        <v>3145</v>
      </c>
      <c r="H876" s="88">
        <f>INDEX('IN_Detr 4.5 del_397'!$A$3:$AAA$1193,MATCH($G876,'IN_Detr 4.5 del_397'!$A$3:$A$1193,0),MATCH(H$1,'IN_Detr 4.5 del_397'!$A$3:$AAA$3,0))</f>
        <v>0</v>
      </c>
      <c r="I876" s="88">
        <f>INDEX('IN_Detr 4.5 del_397'!$A$3:$AAA$1193,MATCH($G876,'IN_Detr 4.5 del_397'!$A$3:$A$1193,0),MATCH(I$1,'IN_Detr 4.5 del_397'!$A$3:$AAA$3,0))</f>
        <v>0</v>
      </c>
      <c r="J876" s="88">
        <f>INDEX('IN_Detr 4.5 del_397'!$A$3:$AAA$1193,MATCH($G876,'IN_Detr 4.5 del_397'!$A$3:$A$1193,0),MATCH(J$1,'IN_Detr 4.5 del_397'!$A$3:$AAA$3,0))</f>
        <v>0</v>
      </c>
    </row>
    <row r="877" spans="1:10" x14ac:dyDescent="0.2">
      <c r="A877" s="86" t="s">
        <v>7861</v>
      </c>
      <c r="B877" s="1067" t="s">
        <v>105</v>
      </c>
      <c r="C877" s="1037" t="s">
        <v>219</v>
      </c>
      <c r="D877" s="1027" t="s">
        <v>3109</v>
      </c>
      <c r="E877" s="447" t="s">
        <v>325</v>
      </c>
      <c r="F877" s="1034" t="s">
        <v>3109</v>
      </c>
      <c r="G877" s="1034" t="s">
        <v>3294</v>
      </c>
      <c r="H877" s="88">
        <f>INDEX('IN_Detr 4.5 del_397'!$A$3:$AAA$1193,MATCH($G877,'IN_Detr 4.5 del_397'!$A$3:$A$1193,0),MATCH(H$1,'IN_Detr 4.5 del_397'!$A$3:$AAA$3,0))</f>
        <v>0</v>
      </c>
      <c r="I877" s="88">
        <f>INDEX('IN_Detr 4.5 del_397'!$A$3:$AAA$1193,MATCH($G877,'IN_Detr 4.5 del_397'!$A$3:$A$1193,0),MATCH(I$1,'IN_Detr 4.5 del_397'!$A$3:$AAA$3,0))</f>
        <v>0</v>
      </c>
      <c r="J877" s="88">
        <f>INDEX('IN_Detr 4.5 del_397'!$A$3:$AAA$1193,MATCH($G877,'IN_Detr 4.5 del_397'!$A$3:$A$1193,0),MATCH(J$1,'IN_Detr 4.5 del_397'!$A$3:$AAA$3,0))</f>
        <v>0</v>
      </c>
    </row>
    <row r="878" spans="1:10" x14ac:dyDescent="0.2">
      <c r="A878" s="86" t="s">
        <v>7862</v>
      </c>
      <c r="B878" s="447" t="str">
        <f>IN_Anagrafica!$B$9</f>
        <v>NO</v>
      </c>
      <c r="C878" s="369" t="str">
        <f>IF(B878="SI","SI","NO")</f>
        <v>NO</v>
      </c>
      <c r="D878" s="1027" t="s">
        <v>3109</v>
      </c>
      <c r="E878" s="447" t="s">
        <v>8378</v>
      </c>
      <c r="F878" s="1034" t="s">
        <v>3109</v>
      </c>
      <c r="G878" s="1034" t="s">
        <v>3302</v>
      </c>
      <c r="H878" s="88">
        <f>INDEX('IN_Detr 4.5 del_397'!$A$3:$AAA$1193,MATCH($G878,'IN_Detr 4.5 del_397'!$A$3:$A$1193,0),MATCH(H$1,'IN_Detr 4.5 del_397'!$A$3:$AAA$3,0))</f>
        <v>0</v>
      </c>
      <c r="I878" s="88">
        <f>INDEX('IN_Detr 4.5 del_397'!$A$3:$AAA$1193,MATCH($G878,'IN_Detr 4.5 del_397'!$A$3:$A$1193,0),MATCH(I$1,'IN_Detr 4.5 del_397'!$A$3:$AAA$3,0))</f>
        <v>0</v>
      </c>
      <c r="J878" s="88">
        <f>INDEX('IN_Detr 4.5 del_397'!$A$3:$AAA$1193,MATCH($G878,'IN_Detr 4.5 del_397'!$A$3:$A$1193,0),MATCH(J$1,'IN_Detr 4.5 del_397'!$A$3:$AAA$3,0))</f>
        <v>0</v>
      </c>
    </row>
    <row r="879" spans="1:10" x14ac:dyDescent="0.2">
      <c r="A879" s="86" t="s">
        <v>7863</v>
      </c>
      <c r="B879" s="1067" t="s">
        <v>105</v>
      </c>
      <c r="C879" s="1037" t="s">
        <v>219</v>
      </c>
      <c r="D879" s="1027" t="s">
        <v>3109</v>
      </c>
      <c r="E879" s="447" t="s">
        <v>8379</v>
      </c>
      <c r="F879" s="1034" t="s">
        <v>3109</v>
      </c>
      <c r="G879" s="1034" t="s">
        <v>4088</v>
      </c>
      <c r="H879" s="88">
        <f>INDEX('IN_Detr 4.5 del_397'!$A$3:$AAA$1193,MATCH($G879,'IN_Detr 4.5 del_397'!$A$3:$A$1193,0),MATCH(H$1,'IN_Detr 4.5 del_397'!$A$3:$AAA$3,0))</f>
        <v>0</v>
      </c>
      <c r="I879" s="88">
        <f>INDEX('IN_Detr 4.5 del_397'!$A$3:$AAA$1193,MATCH($G879,'IN_Detr 4.5 del_397'!$A$3:$A$1193,0),MATCH(I$1,'IN_Detr 4.5 del_397'!$A$3:$AAA$3,0))</f>
        <v>0</v>
      </c>
      <c r="J879" s="88">
        <f>INDEX('IN_Detr 4.5 del_397'!$A$3:$AAA$1193,MATCH($G879,'IN_Detr 4.5 del_397'!$A$3:$A$1193,0),MATCH(J$1,'IN_Detr 4.5 del_397'!$A$3:$AAA$3,0))</f>
        <v>0</v>
      </c>
    </row>
    <row r="880" spans="1:10" x14ac:dyDescent="0.2">
      <c r="A880" s="86" t="s">
        <v>7862</v>
      </c>
      <c r="B880" s="447" t="str">
        <f>IN_Anagrafica!$B$9</f>
        <v>NO</v>
      </c>
      <c r="C880" s="369" t="str">
        <f>IF(B880="SI","SI","NO")</f>
        <v>NO</v>
      </c>
      <c r="D880" s="1027" t="s">
        <v>3109</v>
      </c>
      <c r="E880" s="447" t="s">
        <v>8380</v>
      </c>
      <c r="F880" s="1034" t="s">
        <v>3109</v>
      </c>
      <c r="G880" s="1034" t="s">
        <v>4112</v>
      </c>
      <c r="H880" s="88">
        <f>INDEX('IN_Detr 4.5 del_397'!$A$3:$AAA$1193,MATCH($G880,'IN_Detr 4.5 del_397'!$A$3:$A$1193,0),MATCH(H$1,'IN_Detr 4.5 del_397'!$A$3:$AAA$3,0))</f>
        <v>0</v>
      </c>
      <c r="I880" s="88">
        <f>INDEX('IN_Detr 4.5 del_397'!$A$3:$AAA$1193,MATCH($G880,'IN_Detr 4.5 del_397'!$A$3:$A$1193,0),MATCH(I$1,'IN_Detr 4.5 del_397'!$A$3:$AAA$3,0))</f>
        <v>0</v>
      </c>
      <c r="J880" s="88">
        <f>INDEX('IN_Detr 4.5 del_397'!$A$3:$AAA$1193,MATCH($G880,'IN_Detr 4.5 del_397'!$A$3:$A$1193,0),MATCH(J$1,'IN_Detr 4.5 del_397'!$A$3:$AAA$3,0))</f>
        <v>0</v>
      </c>
    </row>
    <row r="881" spans="1:10" x14ac:dyDescent="0.2">
      <c r="A881" s="86" t="s">
        <v>7864</v>
      </c>
      <c r="B881" s="1067" t="s">
        <v>105</v>
      </c>
      <c r="C881" s="1037" t="s">
        <v>219</v>
      </c>
      <c r="D881" s="1027" t="s">
        <v>3109</v>
      </c>
      <c r="E881" s="447" t="s">
        <v>8381</v>
      </c>
      <c r="F881" s="1034" t="s">
        <v>3109</v>
      </c>
      <c r="G881" s="1034" t="s">
        <v>4293</v>
      </c>
      <c r="H881" s="88">
        <f>INDEX('IN_Detr 4.5 del_397'!$A$3:$AAA$1193,MATCH($G881,'IN_Detr 4.5 del_397'!$A$3:$A$1193,0),MATCH(H$1,'IN_Detr 4.5 del_397'!$A$3:$AAA$3,0))</f>
        <v>0</v>
      </c>
      <c r="I881" s="88">
        <f>INDEX('IN_Detr 4.5 del_397'!$A$3:$AAA$1193,MATCH($G881,'IN_Detr 4.5 del_397'!$A$3:$A$1193,0),MATCH(I$1,'IN_Detr 4.5 del_397'!$A$3:$AAA$3,0))</f>
        <v>0</v>
      </c>
      <c r="J881" s="88">
        <f>INDEX('IN_Detr 4.5 del_397'!$A$3:$AAA$1193,MATCH($G881,'IN_Detr 4.5 del_397'!$A$3:$A$1193,0),MATCH(J$1,'IN_Detr 4.5 del_397'!$A$3:$AAA$3,0))</f>
        <v>0</v>
      </c>
    </row>
    <row r="882" spans="1:10" x14ac:dyDescent="0.2">
      <c r="A882" s="86" t="s">
        <v>7865</v>
      </c>
      <c r="B882" s="447" t="str">
        <f>IN_Anagrafica!$B$9</f>
        <v>NO</v>
      </c>
      <c r="C882" s="369" t="str">
        <f>IF(B882="SI","SI","NO")</f>
        <v>NO</v>
      </c>
      <c r="D882" s="1027" t="s">
        <v>3109</v>
      </c>
      <c r="E882" s="447" t="s">
        <v>8382</v>
      </c>
      <c r="F882" s="1034" t="s">
        <v>3109</v>
      </c>
      <c r="G882" s="1034" t="s">
        <v>4315</v>
      </c>
      <c r="H882" s="88">
        <f>INDEX('IN_Detr 4.5 del_397'!$A$3:$AAA$1193,MATCH($G882,'IN_Detr 4.5 del_397'!$A$3:$A$1193,0),MATCH(H$1,'IN_Detr 4.5 del_397'!$A$3:$AAA$3,0))</f>
        <v>0</v>
      </c>
      <c r="I882" s="88">
        <f>INDEX('IN_Detr 4.5 del_397'!$A$3:$AAA$1193,MATCH($G882,'IN_Detr 4.5 del_397'!$A$3:$A$1193,0),MATCH(I$1,'IN_Detr 4.5 del_397'!$A$3:$AAA$3,0))</f>
        <v>0</v>
      </c>
      <c r="J882" s="88">
        <f>INDEX('IN_Detr 4.5 del_397'!$A$3:$AAA$1193,MATCH($G882,'IN_Detr 4.5 del_397'!$A$3:$A$1193,0),MATCH(J$1,'IN_Detr 4.5 del_397'!$A$3:$AAA$3,0))</f>
        <v>0</v>
      </c>
    </row>
    <row r="883" spans="1:10" x14ac:dyDescent="0.2">
      <c r="A883" s="86" t="s">
        <v>7866</v>
      </c>
      <c r="B883" s="1067" t="s">
        <v>105</v>
      </c>
      <c r="C883" s="1037" t="s">
        <v>219</v>
      </c>
      <c r="D883" s="1027" t="s">
        <v>3109</v>
      </c>
      <c r="E883" s="447" t="s">
        <v>675</v>
      </c>
      <c r="F883" s="1034" t="s">
        <v>3109</v>
      </c>
      <c r="G883" s="1034" t="s">
        <v>3139</v>
      </c>
      <c r="H883" s="88">
        <f>INDEX('IN_Detr 4.5 del_397'!$A$3:$AAA$1193,MATCH($G883,'IN_Detr 4.5 del_397'!$A$3:$A$1193,0),MATCH(H$1,'IN_Detr 4.5 del_397'!$A$3:$AAA$3,0))</f>
        <v>0</v>
      </c>
      <c r="I883" s="88">
        <f>INDEX('IN_Detr 4.5 del_397'!$A$3:$AAA$1193,MATCH($G883,'IN_Detr 4.5 del_397'!$A$3:$A$1193,0),MATCH(I$1,'IN_Detr 4.5 del_397'!$A$3:$AAA$3,0))</f>
        <v>0</v>
      </c>
      <c r="J883" s="88">
        <f>INDEX('IN_Detr 4.5 del_397'!$A$3:$AAA$1193,MATCH($G883,'IN_Detr 4.5 del_397'!$A$3:$A$1193,0),MATCH(J$1,'IN_Detr 4.5 del_397'!$A$3:$AAA$3,0))</f>
        <v>0</v>
      </c>
    </row>
    <row r="884" spans="1:10" x14ac:dyDescent="0.2">
      <c r="A884" s="86" t="s">
        <v>7867</v>
      </c>
      <c r="B884" s="447" t="str">
        <f>IN_Anagrafica!$B$9</f>
        <v>NO</v>
      </c>
      <c r="C884" s="369" t="str">
        <f>IF(B884="SI","SI","NO")</f>
        <v>NO</v>
      </c>
      <c r="D884" s="1027" t="s">
        <v>3109</v>
      </c>
      <c r="E884" s="447" t="s">
        <v>680</v>
      </c>
      <c r="F884" s="1034" t="s">
        <v>3109</v>
      </c>
      <c r="G884" s="1034" t="s">
        <v>3147</v>
      </c>
      <c r="H884" s="88">
        <f>INDEX('IN_Detr 4.5 del_397'!$A$3:$AAA$1193,MATCH($G884,'IN_Detr 4.5 del_397'!$A$3:$A$1193,0),MATCH(H$1,'IN_Detr 4.5 del_397'!$A$3:$AAA$3,0))</f>
        <v>0</v>
      </c>
      <c r="I884" s="88">
        <f>INDEX('IN_Detr 4.5 del_397'!$A$3:$AAA$1193,MATCH($G884,'IN_Detr 4.5 del_397'!$A$3:$A$1193,0),MATCH(I$1,'IN_Detr 4.5 del_397'!$A$3:$AAA$3,0))</f>
        <v>0</v>
      </c>
      <c r="J884" s="88">
        <f>INDEX('IN_Detr 4.5 del_397'!$A$3:$AAA$1193,MATCH($G884,'IN_Detr 4.5 del_397'!$A$3:$A$1193,0),MATCH(J$1,'IN_Detr 4.5 del_397'!$A$3:$AAA$3,0))</f>
        <v>0</v>
      </c>
    </row>
    <row r="885" spans="1:10" x14ac:dyDescent="0.2">
      <c r="A885" s="86" t="s">
        <v>7868</v>
      </c>
      <c r="B885" s="1067" t="s">
        <v>105</v>
      </c>
      <c r="C885" s="1037" t="s">
        <v>219</v>
      </c>
      <c r="D885" s="1027" t="s">
        <v>3109</v>
      </c>
      <c r="E885" s="447" t="s">
        <v>8192</v>
      </c>
      <c r="F885" s="1034" t="s">
        <v>3109</v>
      </c>
      <c r="G885" s="1034" t="s">
        <v>3296</v>
      </c>
      <c r="H885" s="88">
        <f>INDEX('IN_Detr 4.5 del_397'!$A$3:$AAA$1193,MATCH($G885,'IN_Detr 4.5 del_397'!$A$3:$A$1193,0),MATCH(H$1,'IN_Detr 4.5 del_397'!$A$3:$AAA$3,0))</f>
        <v>0</v>
      </c>
      <c r="I885" s="88">
        <f>INDEX('IN_Detr 4.5 del_397'!$A$3:$AAA$1193,MATCH($G885,'IN_Detr 4.5 del_397'!$A$3:$A$1193,0),MATCH(I$1,'IN_Detr 4.5 del_397'!$A$3:$AAA$3,0))</f>
        <v>0</v>
      </c>
      <c r="J885" s="88">
        <f>INDEX('IN_Detr 4.5 del_397'!$A$3:$AAA$1193,MATCH($G885,'IN_Detr 4.5 del_397'!$A$3:$A$1193,0),MATCH(J$1,'IN_Detr 4.5 del_397'!$A$3:$AAA$3,0))</f>
        <v>0</v>
      </c>
    </row>
    <row r="886" spans="1:10" x14ac:dyDescent="0.2">
      <c r="A886" s="86" t="s">
        <v>7869</v>
      </c>
      <c r="B886" s="447" t="str">
        <f>IN_Anagrafica!$B$9</f>
        <v>NO</v>
      </c>
      <c r="C886" s="369" t="str">
        <f>IF(B886="SI","SI","NO")</f>
        <v>NO</v>
      </c>
      <c r="D886" s="1027" t="s">
        <v>3109</v>
      </c>
      <c r="E886" s="447" t="s">
        <v>8383</v>
      </c>
      <c r="F886" s="1034" t="s">
        <v>3109</v>
      </c>
      <c r="G886" s="1034" t="s">
        <v>3304</v>
      </c>
      <c r="H886" s="88">
        <f>INDEX('IN_Detr 4.5 del_397'!$A$3:$AAA$1193,MATCH($G886,'IN_Detr 4.5 del_397'!$A$3:$A$1193,0),MATCH(H$1,'IN_Detr 4.5 del_397'!$A$3:$AAA$3,0))</f>
        <v>0</v>
      </c>
      <c r="I886" s="88">
        <f>INDEX('IN_Detr 4.5 del_397'!$A$3:$AAA$1193,MATCH($G886,'IN_Detr 4.5 del_397'!$A$3:$A$1193,0),MATCH(I$1,'IN_Detr 4.5 del_397'!$A$3:$AAA$3,0))</f>
        <v>0</v>
      </c>
      <c r="J886" s="88">
        <f>INDEX('IN_Detr 4.5 del_397'!$A$3:$AAA$1193,MATCH($G886,'IN_Detr 4.5 del_397'!$A$3:$A$1193,0),MATCH(J$1,'IN_Detr 4.5 del_397'!$A$3:$AAA$3,0))</f>
        <v>0</v>
      </c>
    </row>
    <row r="887" spans="1:10" x14ac:dyDescent="0.2">
      <c r="A887" s="86" t="s">
        <v>7870</v>
      </c>
      <c r="B887" s="1067" t="s">
        <v>105</v>
      </c>
      <c r="C887" s="1037" t="s">
        <v>219</v>
      </c>
      <c r="D887" s="1027" t="s">
        <v>3109</v>
      </c>
      <c r="E887" s="447" t="s">
        <v>8384</v>
      </c>
      <c r="F887" s="1034" t="s">
        <v>3109</v>
      </c>
      <c r="G887" s="1034" t="s">
        <v>4090</v>
      </c>
      <c r="H887" s="88">
        <f>INDEX('IN_Detr 4.5 del_397'!$A$3:$AAA$1193,MATCH($G887,'IN_Detr 4.5 del_397'!$A$3:$A$1193,0),MATCH(H$1,'IN_Detr 4.5 del_397'!$A$3:$AAA$3,0))</f>
        <v>0</v>
      </c>
      <c r="I887" s="88">
        <f>INDEX('IN_Detr 4.5 del_397'!$A$3:$AAA$1193,MATCH($G887,'IN_Detr 4.5 del_397'!$A$3:$A$1193,0),MATCH(I$1,'IN_Detr 4.5 del_397'!$A$3:$AAA$3,0))</f>
        <v>0</v>
      </c>
      <c r="J887" s="88">
        <f>INDEX('IN_Detr 4.5 del_397'!$A$3:$AAA$1193,MATCH($G887,'IN_Detr 4.5 del_397'!$A$3:$A$1193,0),MATCH(J$1,'IN_Detr 4.5 del_397'!$A$3:$AAA$3,0))</f>
        <v>0</v>
      </c>
    </row>
    <row r="888" spans="1:10" x14ac:dyDescent="0.2">
      <c r="A888" s="86" t="s">
        <v>7871</v>
      </c>
      <c r="B888" s="447" t="str">
        <f>IN_Anagrafica!$B$9</f>
        <v>NO</v>
      </c>
      <c r="C888" s="369" t="str">
        <f>IF(B888="SI","SI","NO")</f>
        <v>NO</v>
      </c>
      <c r="D888" s="1027" t="s">
        <v>3109</v>
      </c>
      <c r="E888" s="447" t="s">
        <v>8385</v>
      </c>
      <c r="F888" s="1034" t="s">
        <v>3109</v>
      </c>
      <c r="G888" s="1034" t="s">
        <v>4114</v>
      </c>
      <c r="H888" s="88">
        <f>INDEX('IN_Detr 4.5 del_397'!$A$3:$AAA$1193,MATCH($G888,'IN_Detr 4.5 del_397'!$A$3:$A$1193,0),MATCH(H$1,'IN_Detr 4.5 del_397'!$A$3:$AAA$3,0))</f>
        <v>0</v>
      </c>
      <c r="I888" s="88">
        <f>INDEX('IN_Detr 4.5 del_397'!$A$3:$AAA$1193,MATCH($G888,'IN_Detr 4.5 del_397'!$A$3:$A$1193,0),MATCH(I$1,'IN_Detr 4.5 del_397'!$A$3:$AAA$3,0))</f>
        <v>0</v>
      </c>
      <c r="J888" s="88">
        <f>INDEX('IN_Detr 4.5 del_397'!$A$3:$AAA$1193,MATCH($G888,'IN_Detr 4.5 del_397'!$A$3:$A$1193,0),MATCH(J$1,'IN_Detr 4.5 del_397'!$A$3:$AAA$3,0))</f>
        <v>0</v>
      </c>
    </row>
    <row r="889" spans="1:10" x14ac:dyDescent="0.2">
      <c r="A889" s="86" t="s">
        <v>7872</v>
      </c>
      <c r="B889" s="1067" t="s">
        <v>105</v>
      </c>
      <c r="C889" s="1037" t="s">
        <v>219</v>
      </c>
      <c r="D889" s="1027" t="s">
        <v>3109</v>
      </c>
      <c r="E889" s="447" t="s">
        <v>8386</v>
      </c>
      <c r="F889" s="1034" t="s">
        <v>3109</v>
      </c>
      <c r="G889" s="1034" t="s">
        <v>4295</v>
      </c>
      <c r="H889" s="88">
        <f>INDEX('IN_Detr 4.5 del_397'!$A$3:$AAA$1193,MATCH($G889,'IN_Detr 4.5 del_397'!$A$3:$A$1193,0),MATCH(H$1,'IN_Detr 4.5 del_397'!$A$3:$AAA$3,0))</f>
        <v>0</v>
      </c>
      <c r="I889" s="88">
        <f>INDEX('IN_Detr 4.5 del_397'!$A$3:$AAA$1193,MATCH($G889,'IN_Detr 4.5 del_397'!$A$3:$A$1193,0),MATCH(I$1,'IN_Detr 4.5 del_397'!$A$3:$AAA$3,0))</f>
        <v>0</v>
      </c>
      <c r="J889" s="88">
        <f>INDEX('IN_Detr 4.5 del_397'!$A$3:$AAA$1193,MATCH($G889,'IN_Detr 4.5 del_397'!$A$3:$A$1193,0),MATCH(J$1,'IN_Detr 4.5 del_397'!$A$3:$AAA$3,0))</f>
        <v>0</v>
      </c>
    </row>
    <row r="890" spans="1:10" x14ac:dyDescent="0.2">
      <c r="A890" s="86" t="s">
        <v>7873</v>
      </c>
      <c r="B890" s="447" t="str">
        <f>IN_Anagrafica!$B$9</f>
        <v>NO</v>
      </c>
      <c r="C890" s="369" t="str">
        <f>IF(B890="SI","SI","NO")</f>
        <v>NO</v>
      </c>
      <c r="D890" s="1027" t="s">
        <v>3109</v>
      </c>
      <c r="E890" s="447" t="s">
        <v>8387</v>
      </c>
      <c r="F890" s="1034" t="s">
        <v>3109</v>
      </c>
      <c r="G890" s="1034" t="s">
        <v>4317</v>
      </c>
      <c r="H890" s="88">
        <f>INDEX('IN_Detr 4.5 del_397'!$A$3:$AAA$1193,MATCH($G890,'IN_Detr 4.5 del_397'!$A$3:$A$1193,0),MATCH(H$1,'IN_Detr 4.5 del_397'!$A$3:$AAA$3,0))</f>
        <v>0</v>
      </c>
      <c r="I890" s="88">
        <f>INDEX('IN_Detr 4.5 del_397'!$A$3:$AAA$1193,MATCH($G890,'IN_Detr 4.5 del_397'!$A$3:$A$1193,0),MATCH(I$1,'IN_Detr 4.5 del_397'!$A$3:$AAA$3,0))</f>
        <v>0</v>
      </c>
      <c r="J890" s="88">
        <f>INDEX('IN_Detr 4.5 del_397'!$A$3:$AAA$1193,MATCH($G890,'IN_Detr 4.5 del_397'!$A$3:$A$1193,0),MATCH(J$1,'IN_Detr 4.5 del_397'!$A$3:$AAA$3,0))</f>
        <v>0</v>
      </c>
    </row>
    <row r="891" spans="1:10" x14ac:dyDescent="0.2">
      <c r="A891" s="86" t="s">
        <v>7874</v>
      </c>
      <c r="B891" s="1067" t="s">
        <v>105</v>
      </c>
      <c r="C891" s="1037" t="s">
        <v>219</v>
      </c>
      <c r="D891" s="1027" t="s">
        <v>3109</v>
      </c>
      <c r="E891" s="447" t="s">
        <v>676</v>
      </c>
      <c r="F891" s="1034" t="s">
        <v>3109</v>
      </c>
      <c r="G891" s="1034" t="s">
        <v>3454</v>
      </c>
      <c r="H891" s="88">
        <f>INDEX('IN_Detr 4.5 del_397'!$A$3:$AAA$1193,MATCH($G891,'IN_Detr 4.5 del_397'!$A$3:$A$1193,0),MATCH(H$1,'IN_Detr 4.5 del_397'!$A$3:$AAA$3,0))</f>
        <v>0</v>
      </c>
      <c r="I891" s="88">
        <f>INDEX('IN_Detr 4.5 del_397'!$A$3:$AAA$1193,MATCH($G891,'IN_Detr 4.5 del_397'!$A$3:$A$1193,0),MATCH(I$1,'IN_Detr 4.5 del_397'!$A$3:$AAA$3,0))</f>
        <v>0</v>
      </c>
      <c r="J891" s="88">
        <f>INDEX('IN_Detr 4.5 del_397'!$A$3:$AAA$1193,MATCH($G891,'IN_Detr 4.5 del_397'!$A$3:$A$1193,0),MATCH(J$1,'IN_Detr 4.5 del_397'!$A$3:$AAA$3,0))</f>
        <v>0</v>
      </c>
    </row>
    <row r="892" spans="1:10" x14ac:dyDescent="0.2">
      <c r="A892" s="86" t="s">
        <v>7875</v>
      </c>
      <c r="B892" s="447" t="str">
        <f>IN_Anagrafica!$B$9</f>
        <v>NO</v>
      </c>
      <c r="C892" s="369" t="str">
        <f>IF(B892="SI","SI","NO")</f>
        <v>NO</v>
      </c>
      <c r="D892" s="1027" t="s">
        <v>3109</v>
      </c>
      <c r="E892" s="447" t="s">
        <v>681</v>
      </c>
      <c r="F892" s="1034" t="s">
        <v>3109</v>
      </c>
      <c r="G892" s="1034" t="s">
        <v>3473</v>
      </c>
      <c r="H892" s="88">
        <f>INDEX('IN_Detr 4.5 del_397'!$A$3:$AAA$1193,MATCH($G892,'IN_Detr 4.5 del_397'!$A$3:$A$1193,0),MATCH(H$1,'IN_Detr 4.5 del_397'!$A$3:$AAA$3,0))</f>
        <v>0</v>
      </c>
      <c r="I892" s="88">
        <f>INDEX('IN_Detr 4.5 del_397'!$A$3:$AAA$1193,MATCH($G892,'IN_Detr 4.5 del_397'!$A$3:$A$1193,0),MATCH(I$1,'IN_Detr 4.5 del_397'!$A$3:$AAA$3,0))</f>
        <v>0</v>
      </c>
      <c r="J892" s="88">
        <f>INDEX('IN_Detr 4.5 del_397'!$A$3:$AAA$1193,MATCH($G892,'IN_Detr 4.5 del_397'!$A$3:$A$1193,0),MATCH(J$1,'IN_Detr 4.5 del_397'!$A$3:$AAA$3,0))</f>
        <v>0</v>
      </c>
    </row>
    <row r="893" spans="1:10" x14ac:dyDescent="0.2">
      <c r="A893" s="86" t="s">
        <v>7876</v>
      </c>
      <c r="B893" s="1067" t="s">
        <v>105</v>
      </c>
      <c r="C893" s="1037" t="s">
        <v>219</v>
      </c>
      <c r="D893" s="1027" t="s">
        <v>3109</v>
      </c>
      <c r="E893" s="447" t="s">
        <v>8197</v>
      </c>
      <c r="F893" s="1034" t="s">
        <v>3109</v>
      </c>
      <c r="G893" s="1034" t="s">
        <v>3748</v>
      </c>
      <c r="H893" s="88">
        <f>INDEX('IN_Detr 4.5 del_397'!$A$3:$AAA$1193,MATCH($G893,'IN_Detr 4.5 del_397'!$A$3:$A$1193,0),MATCH(H$1,'IN_Detr 4.5 del_397'!$A$3:$AAA$3,0))</f>
        <v>0</v>
      </c>
      <c r="I893" s="88">
        <f>INDEX('IN_Detr 4.5 del_397'!$A$3:$AAA$1193,MATCH($G893,'IN_Detr 4.5 del_397'!$A$3:$A$1193,0),MATCH(I$1,'IN_Detr 4.5 del_397'!$A$3:$AAA$3,0))</f>
        <v>0</v>
      </c>
      <c r="J893" s="88">
        <f>INDEX('IN_Detr 4.5 del_397'!$A$3:$AAA$1193,MATCH($G893,'IN_Detr 4.5 del_397'!$A$3:$A$1193,0),MATCH(J$1,'IN_Detr 4.5 del_397'!$A$3:$AAA$3,0))</f>
        <v>0</v>
      </c>
    </row>
    <row r="894" spans="1:10" x14ac:dyDescent="0.2">
      <c r="A894" s="86" t="s">
        <v>7877</v>
      </c>
      <c r="B894" s="447" t="str">
        <f>IN_Anagrafica!$B$9</f>
        <v>NO</v>
      </c>
      <c r="C894" s="369" t="str">
        <f>IF(B894="SI","SI","NO")</f>
        <v>NO</v>
      </c>
      <c r="D894" s="1027" t="s">
        <v>3109</v>
      </c>
      <c r="E894" s="447" t="s">
        <v>8388</v>
      </c>
      <c r="F894" s="1034" t="s">
        <v>3109</v>
      </c>
      <c r="G894" s="1034" t="s">
        <v>3764</v>
      </c>
      <c r="H894" s="88">
        <f>INDEX('IN_Detr 4.5 del_397'!$A$3:$AAA$1193,MATCH($G894,'IN_Detr 4.5 del_397'!$A$3:$A$1193,0),MATCH(H$1,'IN_Detr 4.5 del_397'!$A$3:$AAA$3,0))</f>
        <v>0</v>
      </c>
      <c r="I894" s="88">
        <f>INDEX('IN_Detr 4.5 del_397'!$A$3:$AAA$1193,MATCH($G894,'IN_Detr 4.5 del_397'!$A$3:$A$1193,0),MATCH(I$1,'IN_Detr 4.5 del_397'!$A$3:$AAA$3,0))</f>
        <v>0</v>
      </c>
      <c r="J894" s="88">
        <f>INDEX('IN_Detr 4.5 del_397'!$A$3:$AAA$1193,MATCH($G894,'IN_Detr 4.5 del_397'!$A$3:$A$1193,0),MATCH(J$1,'IN_Detr 4.5 del_397'!$A$3:$AAA$3,0))</f>
        <v>0</v>
      </c>
    </row>
    <row r="895" spans="1:10" x14ac:dyDescent="0.2">
      <c r="A895" s="86" t="s">
        <v>7878</v>
      </c>
      <c r="B895" s="1067" t="s">
        <v>105</v>
      </c>
      <c r="C895" s="1037" t="s">
        <v>219</v>
      </c>
      <c r="D895" s="1027" t="s">
        <v>3109</v>
      </c>
      <c r="E895" s="447" t="s">
        <v>336</v>
      </c>
      <c r="F895" s="1034" t="s">
        <v>3109</v>
      </c>
      <c r="G895" s="1034" t="s">
        <v>6953</v>
      </c>
      <c r="H895" s="88">
        <f>INDEX('IN_Detr 4.5 del_397'!$A$3:$AAA$1193,MATCH($G895,'IN_Detr 4.5 del_397'!$A$3:$A$1193,0),MATCH(H$1,'IN_Detr 4.5 del_397'!$A$3:$AAA$3,0))</f>
        <v>0</v>
      </c>
      <c r="I895" s="88">
        <f>INDEX('IN_Detr 4.5 del_397'!$A$3:$AAA$1193,MATCH($G895,'IN_Detr 4.5 del_397'!$A$3:$A$1193,0),MATCH(I$1,'IN_Detr 4.5 del_397'!$A$3:$AAA$3,0))</f>
        <v>0</v>
      </c>
      <c r="J895" s="88">
        <f>INDEX('IN_Detr 4.5 del_397'!$A$3:$AAA$1193,MATCH($G895,'IN_Detr 4.5 del_397'!$A$3:$A$1193,0),MATCH(J$1,'IN_Detr 4.5 del_397'!$A$3:$AAA$3,0))</f>
        <v>0</v>
      </c>
    </row>
    <row r="896" spans="1:10" x14ac:dyDescent="0.2">
      <c r="A896" s="86" t="s">
        <v>7879</v>
      </c>
      <c r="B896" s="447" t="str">
        <f>IN_Anagrafica!$B$9</f>
        <v>NO</v>
      </c>
      <c r="C896" s="369" t="str">
        <f>IF(B896="SI","SI","NO")</f>
        <v>NO</v>
      </c>
      <c r="D896" s="1027" t="s">
        <v>3109</v>
      </c>
      <c r="E896" s="447" t="s">
        <v>8389</v>
      </c>
      <c r="F896" s="1034" t="s">
        <v>3109</v>
      </c>
      <c r="G896" s="1034" t="s">
        <v>6954</v>
      </c>
      <c r="H896" s="88">
        <f>INDEX('IN_Detr 4.5 del_397'!$A$3:$AAA$1193,MATCH($G896,'IN_Detr 4.5 del_397'!$A$3:$A$1193,0),MATCH(H$1,'IN_Detr 4.5 del_397'!$A$3:$AAA$3,0))</f>
        <v>0</v>
      </c>
      <c r="I896" s="88">
        <f>INDEX('IN_Detr 4.5 del_397'!$A$3:$AAA$1193,MATCH($G896,'IN_Detr 4.5 del_397'!$A$3:$A$1193,0),MATCH(I$1,'IN_Detr 4.5 del_397'!$A$3:$AAA$3,0))</f>
        <v>0</v>
      </c>
      <c r="J896" s="88">
        <f>INDEX('IN_Detr 4.5 del_397'!$A$3:$AAA$1193,MATCH($G896,'IN_Detr 4.5 del_397'!$A$3:$A$1193,0),MATCH(J$1,'IN_Detr 4.5 del_397'!$A$3:$AAA$3,0))</f>
        <v>0</v>
      </c>
    </row>
    <row r="897" spans="1:10" x14ac:dyDescent="0.2">
      <c r="A897" s="86" t="s">
        <v>7880</v>
      </c>
      <c r="B897" s="1067" t="s">
        <v>105</v>
      </c>
      <c r="C897" s="1037" t="s">
        <v>219</v>
      </c>
      <c r="D897" s="1027" t="s">
        <v>3109</v>
      </c>
      <c r="E897" s="447" t="s">
        <v>8390</v>
      </c>
      <c r="F897" s="1034" t="s">
        <v>3109</v>
      </c>
      <c r="G897" s="1034" t="s">
        <v>6958</v>
      </c>
      <c r="H897" s="88">
        <f>INDEX('IN_Detr 4.5 del_397'!$A$3:$AAA$1193,MATCH($G897,'IN_Detr 4.5 del_397'!$A$3:$A$1193,0),MATCH(H$1,'IN_Detr 4.5 del_397'!$A$3:$AAA$3,0))</f>
        <v>0</v>
      </c>
      <c r="I897" s="88">
        <f>INDEX('IN_Detr 4.5 del_397'!$A$3:$AAA$1193,MATCH($G897,'IN_Detr 4.5 del_397'!$A$3:$A$1193,0),MATCH(I$1,'IN_Detr 4.5 del_397'!$A$3:$AAA$3,0))</f>
        <v>0</v>
      </c>
      <c r="J897" s="88">
        <f>INDEX('IN_Detr 4.5 del_397'!$A$3:$AAA$1193,MATCH($G897,'IN_Detr 4.5 del_397'!$A$3:$A$1193,0),MATCH(J$1,'IN_Detr 4.5 del_397'!$A$3:$AAA$3,0))</f>
        <v>0</v>
      </c>
    </row>
    <row r="898" spans="1:10" x14ac:dyDescent="0.2">
      <c r="A898" s="86" t="s">
        <v>7881</v>
      </c>
      <c r="B898" s="447" t="str">
        <f>IN_Anagrafica!$B$9</f>
        <v>NO</v>
      </c>
      <c r="C898" s="369" t="str">
        <f>IF(B898="SI","SI","NO")</f>
        <v>NO</v>
      </c>
      <c r="D898" s="1027" t="s">
        <v>3109</v>
      </c>
      <c r="E898" s="447" t="s">
        <v>8208</v>
      </c>
      <c r="F898" s="1034" t="s">
        <v>3109</v>
      </c>
      <c r="G898" s="1034" t="s">
        <v>6959</v>
      </c>
      <c r="H898" s="88">
        <f>INDEX('IN_Detr 4.5 del_397'!$A$3:$AAA$1193,MATCH($G898,'IN_Detr 4.5 del_397'!$A$3:$A$1193,0),MATCH(H$1,'IN_Detr 4.5 del_397'!$A$3:$AAA$3,0))</f>
        <v>0</v>
      </c>
      <c r="I898" s="88">
        <f>INDEX('IN_Detr 4.5 del_397'!$A$3:$AAA$1193,MATCH($G898,'IN_Detr 4.5 del_397'!$A$3:$A$1193,0),MATCH(I$1,'IN_Detr 4.5 del_397'!$A$3:$AAA$3,0))</f>
        <v>0</v>
      </c>
      <c r="J898" s="88">
        <f>INDEX('IN_Detr 4.5 del_397'!$A$3:$AAA$1193,MATCH($G898,'IN_Detr 4.5 del_397'!$A$3:$A$1193,0),MATCH(J$1,'IN_Detr 4.5 del_397'!$A$3:$AAA$3,0))</f>
        <v>0</v>
      </c>
    </row>
    <row r="899" spans="1:10" x14ac:dyDescent="0.2">
      <c r="A899" s="86" t="s">
        <v>7882</v>
      </c>
      <c r="B899" s="1067" t="s">
        <v>105</v>
      </c>
      <c r="C899" s="1037" t="s">
        <v>219</v>
      </c>
      <c r="D899" s="1027" t="s">
        <v>3109</v>
      </c>
      <c r="E899" s="447" t="s">
        <v>722</v>
      </c>
      <c r="F899" s="1034" t="s">
        <v>3109</v>
      </c>
      <c r="G899" s="1034" t="s">
        <v>6964</v>
      </c>
      <c r="H899" s="88">
        <f>INDEX('IN_Detr 4.5 del_397'!$A$3:$AAA$1193,MATCH($G899,'IN_Detr 4.5 del_397'!$A$3:$A$1193,0),MATCH(H$1,'IN_Detr 4.5 del_397'!$A$3:$AAA$3,0))</f>
        <v>0</v>
      </c>
      <c r="I899" s="88">
        <f>INDEX('IN_Detr 4.5 del_397'!$A$3:$AAA$1193,MATCH($G899,'IN_Detr 4.5 del_397'!$A$3:$A$1193,0),MATCH(I$1,'IN_Detr 4.5 del_397'!$A$3:$AAA$3,0))</f>
        <v>0</v>
      </c>
      <c r="J899" s="88">
        <f>INDEX('IN_Detr 4.5 del_397'!$A$3:$AAA$1193,MATCH($G899,'IN_Detr 4.5 del_397'!$A$3:$A$1193,0),MATCH(J$1,'IN_Detr 4.5 del_397'!$A$3:$AAA$3,0))</f>
        <v>0</v>
      </c>
    </row>
    <row r="900" spans="1:10" x14ac:dyDescent="0.2">
      <c r="A900" s="86" t="s">
        <v>7883</v>
      </c>
      <c r="B900" s="447" t="str">
        <f>IN_Anagrafica!$B$9</f>
        <v>NO</v>
      </c>
      <c r="C900" s="369" t="str">
        <f>IF(B900="SI","SI","NO")</f>
        <v>NO</v>
      </c>
      <c r="D900" s="1027" t="s">
        <v>3109</v>
      </c>
      <c r="E900" s="447" t="s">
        <v>724</v>
      </c>
      <c r="F900" s="1034" t="s">
        <v>3109</v>
      </c>
      <c r="G900" s="1034" t="s">
        <v>6963</v>
      </c>
      <c r="H900" s="88">
        <f>INDEX('IN_Detr 4.5 del_397'!$A$3:$AAA$1193,MATCH($G900,'IN_Detr 4.5 del_397'!$A$3:$A$1193,0),MATCH(H$1,'IN_Detr 4.5 del_397'!$A$3:$AAA$3,0))</f>
        <v>0</v>
      </c>
      <c r="I900" s="88">
        <f>INDEX('IN_Detr 4.5 del_397'!$A$3:$AAA$1193,MATCH($G900,'IN_Detr 4.5 del_397'!$A$3:$A$1193,0),MATCH(I$1,'IN_Detr 4.5 del_397'!$A$3:$AAA$3,0))</f>
        <v>0</v>
      </c>
      <c r="J900" s="88">
        <f>INDEX('IN_Detr 4.5 del_397'!$A$3:$AAA$1193,MATCH($G900,'IN_Detr 4.5 del_397'!$A$3:$A$1193,0),MATCH(J$1,'IN_Detr 4.5 del_397'!$A$3:$AAA$3,0))</f>
        <v>0</v>
      </c>
    </row>
    <row r="901" spans="1:10" x14ac:dyDescent="0.2">
      <c r="A901" s="86" t="s">
        <v>7884</v>
      </c>
      <c r="B901" s="1067" t="s">
        <v>105</v>
      </c>
      <c r="C901" s="1037" t="s">
        <v>219</v>
      </c>
      <c r="D901" s="1027" t="s">
        <v>3109</v>
      </c>
      <c r="E901" s="447" t="s">
        <v>726</v>
      </c>
      <c r="F901" s="1034" t="s">
        <v>3109</v>
      </c>
      <c r="G901" s="1034" t="s">
        <v>6965</v>
      </c>
      <c r="H901" s="88">
        <f>INDEX('IN_Detr 4.5 del_397'!$A$3:$AAA$1193,MATCH($G901,'IN_Detr 4.5 del_397'!$A$3:$A$1193,0),MATCH(H$1,'IN_Detr 4.5 del_397'!$A$3:$AAA$3,0))</f>
        <v>0</v>
      </c>
      <c r="I901" s="88">
        <f>INDEX('IN_Detr 4.5 del_397'!$A$3:$AAA$1193,MATCH($G901,'IN_Detr 4.5 del_397'!$A$3:$A$1193,0),MATCH(I$1,'IN_Detr 4.5 del_397'!$A$3:$AAA$3,0))</f>
        <v>0</v>
      </c>
      <c r="J901" s="88">
        <f>INDEX('IN_Detr 4.5 del_397'!$A$3:$AAA$1193,MATCH($G901,'IN_Detr 4.5 del_397'!$A$3:$A$1193,0),MATCH(J$1,'IN_Detr 4.5 del_397'!$A$3:$AAA$3,0))</f>
        <v>0</v>
      </c>
    </row>
    <row r="902" spans="1:10" x14ac:dyDescent="0.2">
      <c r="A902" s="86" t="s">
        <v>7885</v>
      </c>
      <c r="B902" s="447" t="str">
        <f>IN_Anagrafica!$B$9</f>
        <v>NO</v>
      </c>
      <c r="C902" s="369" t="str">
        <f t="shared" ref="C902:C906" si="9">IF(B902="SI","SI","NO")</f>
        <v>NO</v>
      </c>
      <c r="D902" s="1027" t="s">
        <v>3109</v>
      </c>
      <c r="E902" s="447" t="s">
        <v>728</v>
      </c>
      <c r="F902" s="1034" t="s">
        <v>3109</v>
      </c>
      <c r="G902" s="1034" t="s">
        <v>6966</v>
      </c>
      <c r="H902" s="88">
        <f>INDEX('IN_Detr 4.5 del_397'!$A$3:$AAA$1193,MATCH($G902,'IN_Detr 4.5 del_397'!$A$3:$A$1193,0),MATCH(H$1,'IN_Detr 4.5 del_397'!$A$3:$AAA$3,0))</f>
        <v>0</v>
      </c>
      <c r="I902" s="88">
        <f>INDEX('IN_Detr 4.5 del_397'!$A$3:$AAA$1193,MATCH($G902,'IN_Detr 4.5 del_397'!$A$3:$A$1193,0),MATCH(I$1,'IN_Detr 4.5 del_397'!$A$3:$AAA$3,0))</f>
        <v>0</v>
      </c>
      <c r="J902" s="88">
        <f>INDEX('IN_Detr 4.5 del_397'!$A$3:$AAA$1193,MATCH($G902,'IN_Detr 4.5 del_397'!$A$3:$A$1193,0),MATCH(J$1,'IN_Detr 4.5 del_397'!$A$3:$AAA$3,0))</f>
        <v>0</v>
      </c>
    </row>
    <row r="903" spans="1:10" x14ac:dyDescent="0.2">
      <c r="A903" s="86" t="s">
        <v>7886</v>
      </c>
      <c r="B903" s="447" t="str">
        <f>IN_Anagrafica!$B$9</f>
        <v>NO</v>
      </c>
      <c r="C903" s="369" t="str">
        <f t="shared" si="9"/>
        <v>NO</v>
      </c>
      <c r="D903" s="1027" t="s">
        <v>3109</v>
      </c>
      <c r="E903" s="447" t="s">
        <v>8219</v>
      </c>
      <c r="F903" s="1034" t="s">
        <v>3109</v>
      </c>
      <c r="G903" s="1034" t="s">
        <v>3152</v>
      </c>
      <c r="H903" s="88">
        <f>INDEX('IN_Detr 4.5 del_397'!$A$3:$AAA$1193,MATCH($G903,'IN_Detr 4.5 del_397'!$A$3:$A$1193,0),MATCH(H$1,'IN_Detr 4.5 del_397'!$A$3:$AAA$3,0))</f>
        <v>0</v>
      </c>
      <c r="I903" s="88">
        <f>INDEX('IN_Detr 4.5 del_397'!$A$3:$AAA$1193,MATCH($G903,'IN_Detr 4.5 del_397'!$A$3:$A$1193,0),MATCH(I$1,'IN_Detr 4.5 del_397'!$A$3:$AAA$3,0))</f>
        <v>0</v>
      </c>
      <c r="J903" s="88">
        <f>INDEX('IN_Detr 4.5 del_397'!$A$3:$AAA$1193,MATCH($G903,'IN_Detr 4.5 del_397'!$A$3:$A$1193,0),MATCH(J$1,'IN_Detr 4.5 del_397'!$A$3:$AAA$3,0))</f>
        <v>0</v>
      </c>
    </row>
    <row r="904" spans="1:10" x14ac:dyDescent="0.2">
      <c r="A904" s="86" t="s">
        <v>7887</v>
      </c>
      <c r="B904" s="447" t="str">
        <f>IN_Anagrafica!$B$9</f>
        <v>NO</v>
      </c>
      <c r="C904" s="369" t="str">
        <f t="shared" si="9"/>
        <v>NO</v>
      </c>
      <c r="D904" s="1027" t="s">
        <v>3109</v>
      </c>
      <c r="E904" s="447" t="s">
        <v>8330</v>
      </c>
      <c r="F904" s="1034" t="s">
        <v>3109</v>
      </c>
      <c r="G904" s="1034" t="s">
        <v>3309</v>
      </c>
      <c r="H904" s="88">
        <f>INDEX('IN_Detr 4.5 del_397'!$A$3:$AAA$1193,MATCH($G904,'IN_Detr 4.5 del_397'!$A$3:$A$1193,0),MATCH(H$1,'IN_Detr 4.5 del_397'!$A$3:$AAA$3,0))</f>
        <v>0</v>
      </c>
      <c r="I904" s="88">
        <f>INDEX('IN_Detr 4.5 del_397'!$A$3:$AAA$1193,MATCH($G904,'IN_Detr 4.5 del_397'!$A$3:$A$1193,0),MATCH(I$1,'IN_Detr 4.5 del_397'!$A$3:$AAA$3,0))</f>
        <v>0</v>
      </c>
      <c r="J904" s="88">
        <f>INDEX('IN_Detr 4.5 del_397'!$A$3:$AAA$1193,MATCH($G904,'IN_Detr 4.5 del_397'!$A$3:$A$1193,0),MATCH(J$1,'IN_Detr 4.5 del_397'!$A$3:$AAA$3,0))</f>
        <v>0</v>
      </c>
    </row>
    <row r="905" spans="1:10" x14ac:dyDescent="0.2">
      <c r="A905" s="86" t="s">
        <v>7888</v>
      </c>
      <c r="B905" s="447" t="str">
        <f>IN_Anagrafica!$B$9</f>
        <v>NO</v>
      </c>
      <c r="C905" s="369" t="str">
        <f t="shared" si="9"/>
        <v>NO</v>
      </c>
      <c r="D905" s="1027" t="s">
        <v>3109</v>
      </c>
      <c r="E905" s="447" t="s">
        <v>8391</v>
      </c>
      <c r="F905" s="1034" t="s">
        <v>3109</v>
      </c>
      <c r="G905" s="1034" t="s">
        <v>4125</v>
      </c>
      <c r="H905" s="88">
        <f>INDEX('IN_Detr 4.5 del_397'!$A$3:$AAA$1193,MATCH($G905,'IN_Detr 4.5 del_397'!$A$3:$A$1193,0),MATCH(H$1,'IN_Detr 4.5 del_397'!$A$3:$AAA$3,0))</f>
        <v>0</v>
      </c>
      <c r="I905" s="88">
        <f>INDEX('IN_Detr 4.5 del_397'!$A$3:$AAA$1193,MATCH($G905,'IN_Detr 4.5 del_397'!$A$3:$A$1193,0),MATCH(I$1,'IN_Detr 4.5 del_397'!$A$3:$AAA$3,0))</f>
        <v>0</v>
      </c>
      <c r="J905" s="88">
        <f>INDEX('IN_Detr 4.5 del_397'!$A$3:$AAA$1193,MATCH($G905,'IN_Detr 4.5 del_397'!$A$3:$A$1193,0),MATCH(J$1,'IN_Detr 4.5 del_397'!$A$3:$AAA$3,0))</f>
        <v>0</v>
      </c>
    </row>
    <row r="906" spans="1:10" x14ac:dyDescent="0.2">
      <c r="A906" s="86" t="s">
        <v>7889</v>
      </c>
      <c r="B906" s="447" t="str">
        <f>IN_Anagrafica!$B$9</f>
        <v>NO</v>
      </c>
      <c r="C906" s="369" t="str">
        <f t="shared" si="9"/>
        <v>NO</v>
      </c>
      <c r="D906" s="1027" t="s">
        <v>3109</v>
      </c>
      <c r="E906" s="447" t="s">
        <v>8392</v>
      </c>
      <c r="F906" s="1034" t="s">
        <v>3109</v>
      </c>
      <c r="G906" s="1034" t="s">
        <v>4326</v>
      </c>
      <c r="H906" s="88">
        <f>INDEX('IN_Detr 4.5 del_397'!$A$3:$AAA$1193,MATCH($G906,'IN_Detr 4.5 del_397'!$A$3:$A$1193,0),MATCH(H$1,'IN_Detr 4.5 del_397'!$A$3:$AAA$3,0))</f>
        <v>0</v>
      </c>
      <c r="I906" s="88">
        <f>INDEX('IN_Detr 4.5 del_397'!$A$3:$AAA$1193,MATCH($G906,'IN_Detr 4.5 del_397'!$A$3:$A$1193,0),MATCH(I$1,'IN_Detr 4.5 del_397'!$A$3:$AAA$3,0))</f>
        <v>0</v>
      </c>
      <c r="J906" s="88">
        <f>INDEX('IN_Detr 4.5 del_397'!$A$3:$AAA$1193,MATCH($G906,'IN_Detr 4.5 del_397'!$A$3:$A$1193,0),MATCH(J$1,'IN_Detr 4.5 del_397'!$A$3:$AAA$3,0))</f>
        <v>0</v>
      </c>
    </row>
    <row r="907" spans="1:10" x14ac:dyDescent="0.2">
      <c r="A907" s="86" t="s">
        <v>7890</v>
      </c>
      <c r="B907" s="1067" t="s">
        <v>105</v>
      </c>
      <c r="C907" s="1037" t="s">
        <v>219</v>
      </c>
      <c r="D907" s="1027" t="s">
        <v>3109</v>
      </c>
      <c r="E907" s="447" t="s">
        <v>343</v>
      </c>
      <c r="F907" s="1034" t="s">
        <v>3109</v>
      </c>
      <c r="G907" s="1034" t="s">
        <v>3155</v>
      </c>
      <c r="H907" s="88">
        <f>INDEX('IN_Detr 4.5 del_397'!$A$3:$AAA$1193,MATCH($G907,'IN_Detr 4.5 del_397'!$A$3:$A$1193,0),MATCH(H$1,'IN_Detr 4.5 del_397'!$A$3:$AAA$3,0))</f>
        <v>0</v>
      </c>
      <c r="I907" s="88">
        <f>INDEX('IN_Detr 4.5 del_397'!$A$3:$AAA$1193,MATCH($G907,'IN_Detr 4.5 del_397'!$A$3:$A$1193,0),MATCH(I$1,'IN_Detr 4.5 del_397'!$A$3:$AAA$3,0))</f>
        <v>0</v>
      </c>
      <c r="J907" s="88">
        <f>INDEX('IN_Detr 4.5 del_397'!$A$3:$AAA$1193,MATCH($G907,'IN_Detr 4.5 del_397'!$A$3:$A$1193,0),MATCH(J$1,'IN_Detr 4.5 del_397'!$A$3:$AAA$3,0))</f>
        <v>0</v>
      </c>
    </row>
    <row r="908" spans="1:10" x14ac:dyDescent="0.2">
      <c r="A908" s="86" t="s">
        <v>7891</v>
      </c>
      <c r="B908" s="447" t="str">
        <f>IN_Anagrafica!$B$9</f>
        <v>NO</v>
      </c>
      <c r="C908" s="369" t="str">
        <f>IF(B908="SI","SI","NO")</f>
        <v>NO</v>
      </c>
      <c r="D908" s="1027" t="s">
        <v>3109</v>
      </c>
      <c r="E908" s="447" t="s">
        <v>372</v>
      </c>
      <c r="F908" s="1034" t="s">
        <v>3109</v>
      </c>
      <c r="G908" s="1034" t="s">
        <v>3158</v>
      </c>
      <c r="H908" s="88">
        <f>INDEX('IN_Detr 4.5 del_397'!$A$3:$AAA$1193,MATCH($G908,'IN_Detr 4.5 del_397'!$A$3:$A$1193,0),MATCH(H$1,'IN_Detr 4.5 del_397'!$A$3:$AAA$3,0))</f>
        <v>0</v>
      </c>
      <c r="I908" s="88">
        <f>INDEX('IN_Detr 4.5 del_397'!$A$3:$AAA$1193,MATCH($G908,'IN_Detr 4.5 del_397'!$A$3:$A$1193,0),MATCH(I$1,'IN_Detr 4.5 del_397'!$A$3:$AAA$3,0))</f>
        <v>0</v>
      </c>
      <c r="J908" s="88">
        <f>INDEX('IN_Detr 4.5 del_397'!$A$3:$AAA$1193,MATCH($G908,'IN_Detr 4.5 del_397'!$A$3:$A$1193,0),MATCH(J$1,'IN_Detr 4.5 del_397'!$A$3:$AAA$3,0))</f>
        <v>0</v>
      </c>
    </row>
    <row r="909" spans="1:10" x14ac:dyDescent="0.2">
      <c r="A909" s="86" t="s">
        <v>7892</v>
      </c>
      <c r="B909" s="1067" t="s">
        <v>105</v>
      </c>
      <c r="C909" s="1037" t="s">
        <v>219</v>
      </c>
      <c r="D909" s="1027" t="s">
        <v>3109</v>
      </c>
      <c r="E909" s="447" t="s">
        <v>8393</v>
      </c>
      <c r="F909" s="1034" t="s">
        <v>3109</v>
      </c>
      <c r="G909" s="1034" t="s">
        <v>3312</v>
      </c>
      <c r="H909" s="88">
        <f>INDEX('IN_Detr 4.5 del_397'!$A$3:$AAA$1193,MATCH($G909,'IN_Detr 4.5 del_397'!$A$3:$A$1193,0),MATCH(H$1,'IN_Detr 4.5 del_397'!$A$3:$AAA$3,0))</f>
        <v>0</v>
      </c>
      <c r="I909" s="88">
        <f>INDEX('IN_Detr 4.5 del_397'!$A$3:$AAA$1193,MATCH($G909,'IN_Detr 4.5 del_397'!$A$3:$A$1193,0),MATCH(I$1,'IN_Detr 4.5 del_397'!$A$3:$AAA$3,0))</f>
        <v>0</v>
      </c>
      <c r="J909" s="88">
        <f>INDEX('IN_Detr 4.5 del_397'!$A$3:$AAA$1193,MATCH($G909,'IN_Detr 4.5 del_397'!$A$3:$A$1193,0),MATCH(J$1,'IN_Detr 4.5 del_397'!$A$3:$AAA$3,0))</f>
        <v>0</v>
      </c>
    </row>
    <row r="910" spans="1:10" x14ac:dyDescent="0.2">
      <c r="A910" s="86" t="s">
        <v>7893</v>
      </c>
      <c r="B910" s="447" t="str">
        <f>IN_Anagrafica!$B$9</f>
        <v>NO</v>
      </c>
      <c r="C910" s="369" t="str">
        <f>IF(B910="SI","SI","NO")</f>
        <v>NO</v>
      </c>
      <c r="D910" s="1027" t="s">
        <v>3109</v>
      </c>
      <c r="E910" s="447" t="s">
        <v>8259</v>
      </c>
      <c r="F910" s="1034" t="s">
        <v>3109</v>
      </c>
      <c r="G910" s="1034" t="s">
        <v>3315</v>
      </c>
      <c r="H910" s="88">
        <f>INDEX('IN_Detr 4.5 del_397'!$A$3:$AAA$1193,MATCH($G910,'IN_Detr 4.5 del_397'!$A$3:$A$1193,0),MATCH(H$1,'IN_Detr 4.5 del_397'!$A$3:$AAA$3,0))</f>
        <v>0</v>
      </c>
      <c r="I910" s="88">
        <f>INDEX('IN_Detr 4.5 del_397'!$A$3:$AAA$1193,MATCH($G910,'IN_Detr 4.5 del_397'!$A$3:$A$1193,0),MATCH(I$1,'IN_Detr 4.5 del_397'!$A$3:$AAA$3,0))</f>
        <v>0</v>
      </c>
      <c r="J910" s="88">
        <f>INDEX('IN_Detr 4.5 del_397'!$A$3:$AAA$1193,MATCH($G910,'IN_Detr 4.5 del_397'!$A$3:$A$1193,0),MATCH(J$1,'IN_Detr 4.5 del_397'!$A$3:$AAA$3,0))</f>
        <v>0</v>
      </c>
    </row>
    <row r="911" spans="1:10" x14ac:dyDescent="0.2">
      <c r="A911" s="86" t="s">
        <v>7894</v>
      </c>
      <c r="B911" s="1067" t="s">
        <v>105</v>
      </c>
      <c r="C911" s="1037" t="s">
        <v>219</v>
      </c>
      <c r="D911" s="1027" t="s">
        <v>3109</v>
      </c>
      <c r="E911" s="447" t="s">
        <v>8394</v>
      </c>
      <c r="F911" s="1034" t="s">
        <v>3109</v>
      </c>
      <c r="G911" s="1034" t="s">
        <v>4128</v>
      </c>
      <c r="H911" s="88">
        <f>INDEX('IN_Detr 4.5 del_397'!$A$3:$AAA$1193,MATCH($G911,'IN_Detr 4.5 del_397'!$A$3:$A$1193,0),MATCH(H$1,'IN_Detr 4.5 del_397'!$A$3:$AAA$3,0))</f>
        <v>0</v>
      </c>
      <c r="I911" s="88">
        <f>INDEX('IN_Detr 4.5 del_397'!$A$3:$AAA$1193,MATCH($G911,'IN_Detr 4.5 del_397'!$A$3:$A$1193,0),MATCH(I$1,'IN_Detr 4.5 del_397'!$A$3:$AAA$3,0))</f>
        <v>0</v>
      </c>
      <c r="J911" s="88">
        <f>INDEX('IN_Detr 4.5 del_397'!$A$3:$AAA$1193,MATCH($G911,'IN_Detr 4.5 del_397'!$A$3:$A$1193,0),MATCH(J$1,'IN_Detr 4.5 del_397'!$A$3:$AAA$3,0))</f>
        <v>0</v>
      </c>
    </row>
    <row r="912" spans="1:10" x14ac:dyDescent="0.2">
      <c r="A912" s="86" t="s">
        <v>7895</v>
      </c>
      <c r="B912" s="447" t="str">
        <f>IN_Anagrafica!$B$9</f>
        <v>NO</v>
      </c>
      <c r="C912" s="369" t="str">
        <f>IF(B912="SI","SI","NO")</f>
        <v>NO</v>
      </c>
      <c r="D912" s="1027" t="s">
        <v>3109</v>
      </c>
      <c r="E912" s="447" t="s">
        <v>8395</v>
      </c>
      <c r="F912" s="1034" t="s">
        <v>3109</v>
      </c>
      <c r="G912" s="1034" t="s">
        <v>4131</v>
      </c>
      <c r="H912" s="88">
        <f>INDEX('IN_Detr 4.5 del_397'!$A$3:$AAA$1193,MATCH($G912,'IN_Detr 4.5 del_397'!$A$3:$A$1193,0),MATCH(H$1,'IN_Detr 4.5 del_397'!$A$3:$AAA$3,0))</f>
        <v>0</v>
      </c>
      <c r="I912" s="88">
        <f>INDEX('IN_Detr 4.5 del_397'!$A$3:$AAA$1193,MATCH($G912,'IN_Detr 4.5 del_397'!$A$3:$A$1193,0),MATCH(I$1,'IN_Detr 4.5 del_397'!$A$3:$AAA$3,0))</f>
        <v>0</v>
      </c>
      <c r="J912" s="88">
        <f>INDEX('IN_Detr 4.5 del_397'!$A$3:$AAA$1193,MATCH($G912,'IN_Detr 4.5 del_397'!$A$3:$A$1193,0),MATCH(J$1,'IN_Detr 4.5 del_397'!$A$3:$AAA$3,0))</f>
        <v>0</v>
      </c>
    </row>
    <row r="913" spans="1:10" x14ac:dyDescent="0.2">
      <c r="A913" s="86" t="s">
        <v>7896</v>
      </c>
      <c r="B913" s="1067" t="s">
        <v>105</v>
      </c>
      <c r="C913" s="1037" t="s">
        <v>219</v>
      </c>
      <c r="D913" s="1027" t="s">
        <v>3109</v>
      </c>
      <c r="E913" s="447" t="s">
        <v>8396</v>
      </c>
      <c r="F913" s="1034" t="s">
        <v>3109</v>
      </c>
      <c r="G913" s="1034" t="s">
        <v>4329</v>
      </c>
      <c r="H913" s="88">
        <f>INDEX('IN_Detr 4.5 del_397'!$A$3:$AAA$1193,MATCH($G913,'IN_Detr 4.5 del_397'!$A$3:$A$1193,0),MATCH(H$1,'IN_Detr 4.5 del_397'!$A$3:$AAA$3,0))</f>
        <v>0</v>
      </c>
      <c r="I913" s="88">
        <f>INDEX('IN_Detr 4.5 del_397'!$A$3:$AAA$1193,MATCH($G913,'IN_Detr 4.5 del_397'!$A$3:$A$1193,0),MATCH(I$1,'IN_Detr 4.5 del_397'!$A$3:$AAA$3,0))</f>
        <v>0</v>
      </c>
      <c r="J913" s="88">
        <f>INDEX('IN_Detr 4.5 del_397'!$A$3:$AAA$1193,MATCH($G913,'IN_Detr 4.5 del_397'!$A$3:$A$1193,0),MATCH(J$1,'IN_Detr 4.5 del_397'!$A$3:$AAA$3,0))</f>
        <v>0</v>
      </c>
    </row>
    <row r="914" spans="1:10" x14ac:dyDescent="0.2">
      <c r="A914" s="86" t="s">
        <v>7897</v>
      </c>
      <c r="B914" s="447" t="str">
        <f>IN_Anagrafica!$B$9</f>
        <v>NO</v>
      </c>
      <c r="C914" s="369" t="str">
        <f>IF(B914="SI","SI","NO")</f>
        <v>NO</v>
      </c>
      <c r="D914" s="1027" t="s">
        <v>3109</v>
      </c>
      <c r="E914" s="447" t="s">
        <v>8397</v>
      </c>
      <c r="F914" s="1034" t="s">
        <v>3109</v>
      </c>
      <c r="G914" s="1034" t="s">
        <v>4332</v>
      </c>
      <c r="H914" s="88">
        <f>INDEX('IN_Detr 4.5 del_397'!$A$3:$AAA$1193,MATCH($G914,'IN_Detr 4.5 del_397'!$A$3:$A$1193,0),MATCH(H$1,'IN_Detr 4.5 del_397'!$A$3:$AAA$3,0))</f>
        <v>0</v>
      </c>
      <c r="I914" s="88">
        <f>INDEX('IN_Detr 4.5 del_397'!$A$3:$AAA$1193,MATCH($G914,'IN_Detr 4.5 del_397'!$A$3:$A$1193,0),MATCH(I$1,'IN_Detr 4.5 del_397'!$A$3:$AAA$3,0))</f>
        <v>0</v>
      </c>
      <c r="J914" s="88">
        <f>INDEX('IN_Detr 4.5 del_397'!$A$3:$AAA$1193,MATCH($G914,'IN_Detr 4.5 del_397'!$A$3:$A$1193,0),MATCH(J$1,'IN_Detr 4.5 del_397'!$A$3:$AAA$3,0))</f>
        <v>0</v>
      </c>
    </row>
    <row r="915" spans="1:10" x14ac:dyDescent="0.2">
      <c r="A915" s="86" t="s">
        <v>7898</v>
      </c>
      <c r="B915" s="1067" t="s">
        <v>105</v>
      </c>
      <c r="C915" s="1037" t="s">
        <v>219</v>
      </c>
      <c r="D915" s="1027" t="s">
        <v>3109</v>
      </c>
      <c r="E915" s="447" t="s">
        <v>344</v>
      </c>
      <c r="F915" s="1034" t="s">
        <v>3109</v>
      </c>
      <c r="G915" s="1034" t="s">
        <v>3161</v>
      </c>
      <c r="H915" s="88">
        <f>INDEX('IN_Detr 4.5 del_397'!$A$3:$AAA$1193,MATCH($G915,'IN_Detr 4.5 del_397'!$A$3:$A$1193,0),MATCH(H$1,'IN_Detr 4.5 del_397'!$A$3:$AAA$3,0))</f>
        <v>0</v>
      </c>
      <c r="I915" s="88">
        <f>INDEX('IN_Detr 4.5 del_397'!$A$3:$AAA$1193,MATCH($G915,'IN_Detr 4.5 del_397'!$A$3:$A$1193,0),MATCH(I$1,'IN_Detr 4.5 del_397'!$A$3:$AAA$3,0))</f>
        <v>0</v>
      </c>
      <c r="J915" s="88">
        <f>INDEX('IN_Detr 4.5 del_397'!$A$3:$AAA$1193,MATCH($G915,'IN_Detr 4.5 del_397'!$A$3:$A$1193,0),MATCH(J$1,'IN_Detr 4.5 del_397'!$A$3:$AAA$3,0))</f>
        <v>0</v>
      </c>
    </row>
    <row r="916" spans="1:10" x14ac:dyDescent="0.2">
      <c r="A916" s="86" t="s">
        <v>7899</v>
      </c>
      <c r="B916" s="447" t="str">
        <f>IN_Anagrafica!$B$9</f>
        <v>NO</v>
      </c>
      <c r="C916" s="369" t="str">
        <f>IF(B916="SI","SI","NO")</f>
        <v>NO</v>
      </c>
      <c r="D916" s="1027" t="s">
        <v>3109</v>
      </c>
      <c r="E916" s="447" t="s">
        <v>405</v>
      </c>
      <c r="F916" s="1034" t="s">
        <v>3109</v>
      </c>
      <c r="G916" s="1034" t="s">
        <v>3164</v>
      </c>
      <c r="H916" s="88">
        <f>INDEX('IN_Detr 4.5 del_397'!$A$3:$AAA$1193,MATCH($G916,'IN_Detr 4.5 del_397'!$A$3:$A$1193,0),MATCH(H$1,'IN_Detr 4.5 del_397'!$A$3:$AAA$3,0))</f>
        <v>0</v>
      </c>
      <c r="I916" s="88">
        <f>INDEX('IN_Detr 4.5 del_397'!$A$3:$AAA$1193,MATCH($G916,'IN_Detr 4.5 del_397'!$A$3:$A$1193,0),MATCH(I$1,'IN_Detr 4.5 del_397'!$A$3:$AAA$3,0))</f>
        <v>0</v>
      </c>
      <c r="J916" s="88">
        <f>INDEX('IN_Detr 4.5 del_397'!$A$3:$AAA$1193,MATCH($G916,'IN_Detr 4.5 del_397'!$A$3:$A$1193,0),MATCH(J$1,'IN_Detr 4.5 del_397'!$A$3:$AAA$3,0))</f>
        <v>0</v>
      </c>
    </row>
    <row r="917" spans="1:10" x14ac:dyDescent="0.2">
      <c r="A917" s="86" t="s">
        <v>7900</v>
      </c>
      <c r="B917" s="1067" t="s">
        <v>105</v>
      </c>
      <c r="C917" s="1037" t="s">
        <v>219</v>
      </c>
      <c r="D917" s="1027" t="s">
        <v>3109</v>
      </c>
      <c r="E917" s="447" t="s">
        <v>8331</v>
      </c>
      <c r="F917" s="1034" t="s">
        <v>3109</v>
      </c>
      <c r="G917" s="1034" t="s">
        <v>3318</v>
      </c>
      <c r="H917" s="88">
        <f>INDEX('IN_Detr 4.5 del_397'!$A$3:$AAA$1193,MATCH($G917,'IN_Detr 4.5 del_397'!$A$3:$A$1193,0),MATCH(H$1,'IN_Detr 4.5 del_397'!$A$3:$AAA$3,0))</f>
        <v>0</v>
      </c>
      <c r="I917" s="88">
        <f>INDEX('IN_Detr 4.5 del_397'!$A$3:$AAA$1193,MATCH($G917,'IN_Detr 4.5 del_397'!$A$3:$A$1193,0),MATCH(I$1,'IN_Detr 4.5 del_397'!$A$3:$AAA$3,0))</f>
        <v>0</v>
      </c>
      <c r="J917" s="88">
        <f>INDEX('IN_Detr 4.5 del_397'!$A$3:$AAA$1193,MATCH($G917,'IN_Detr 4.5 del_397'!$A$3:$A$1193,0),MATCH(J$1,'IN_Detr 4.5 del_397'!$A$3:$AAA$3,0))</f>
        <v>0</v>
      </c>
    </row>
    <row r="918" spans="1:10" x14ac:dyDescent="0.2">
      <c r="A918" s="86" t="s">
        <v>7901</v>
      </c>
      <c r="B918" s="447" t="str">
        <f>IN_Anagrafica!$B$9</f>
        <v>NO</v>
      </c>
      <c r="C918" s="369" t="str">
        <f>IF(B918="SI","SI","NO")</f>
        <v>NO</v>
      </c>
      <c r="D918" s="1027" t="s">
        <v>3109</v>
      </c>
      <c r="E918" s="447" t="s">
        <v>8261</v>
      </c>
      <c r="F918" s="1034" t="s">
        <v>3109</v>
      </c>
      <c r="G918" s="1034" t="s">
        <v>3321</v>
      </c>
      <c r="H918" s="88">
        <f>INDEX('IN_Detr 4.5 del_397'!$A$3:$AAA$1193,MATCH($G918,'IN_Detr 4.5 del_397'!$A$3:$A$1193,0),MATCH(H$1,'IN_Detr 4.5 del_397'!$A$3:$AAA$3,0))</f>
        <v>0</v>
      </c>
      <c r="I918" s="88">
        <f>INDEX('IN_Detr 4.5 del_397'!$A$3:$AAA$1193,MATCH($G918,'IN_Detr 4.5 del_397'!$A$3:$A$1193,0),MATCH(I$1,'IN_Detr 4.5 del_397'!$A$3:$AAA$3,0))</f>
        <v>0</v>
      </c>
      <c r="J918" s="88">
        <f>INDEX('IN_Detr 4.5 del_397'!$A$3:$AAA$1193,MATCH($G918,'IN_Detr 4.5 del_397'!$A$3:$A$1193,0),MATCH(J$1,'IN_Detr 4.5 del_397'!$A$3:$AAA$3,0))</f>
        <v>0</v>
      </c>
    </row>
    <row r="919" spans="1:10" x14ac:dyDescent="0.2">
      <c r="A919" s="86" t="s">
        <v>7902</v>
      </c>
      <c r="B919" s="1067" t="s">
        <v>105</v>
      </c>
      <c r="C919" s="1037" t="s">
        <v>219</v>
      </c>
      <c r="D919" s="1027" t="s">
        <v>3109</v>
      </c>
      <c r="E919" s="447" t="s">
        <v>8332</v>
      </c>
      <c r="F919" s="1034" t="s">
        <v>3109</v>
      </c>
      <c r="G919" s="1034" t="s">
        <v>4134</v>
      </c>
      <c r="H919" s="88">
        <f>INDEX('IN_Detr 4.5 del_397'!$A$3:$AAA$1193,MATCH($G919,'IN_Detr 4.5 del_397'!$A$3:$A$1193,0),MATCH(H$1,'IN_Detr 4.5 del_397'!$A$3:$AAA$3,0))</f>
        <v>0</v>
      </c>
      <c r="I919" s="88">
        <f>INDEX('IN_Detr 4.5 del_397'!$A$3:$AAA$1193,MATCH($G919,'IN_Detr 4.5 del_397'!$A$3:$A$1193,0),MATCH(I$1,'IN_Detr 4.5 del_397'!$A$3:$AAA$3,0))</f>
        <v>0</v>
      </c>
      <c r="J919" s="88">
        <f>INDEX('IN_Detr 4.5 del_397'!$A$3:$AAA$1193,MATCH($G919,'IN_Detr 4.5 del_397'!$A$3:$A$1193,0),MATCH(J$1,'IN_Detr 4.5 del_397'!$A$3:$AAA$3,0))</f>
        <v>0</v>
      </c>
    </row>
    <row r="920" spans="1:10" x14ac:dyDescent="0.2">
      <c r="A920" s="86" t="s">
        <v>7903</v>
      </c>
      <c r="B920" s="447" t="str">
        <f>IN_Anagrafica!$B$9</f>
        <v>NO</v>
      </c>
      <c r="C920" s="369" t="str">
        <f>IF(B920="SI","SI","NO")</f>
        <v>NO</v>
      </c>
      <c r="D920" s="1027" t="s">
        <v>3109</v>
      </c>
      <c r="E920" s="447" t="s">
        <v>8333</v>
      </c>
      <c r="F920" s="1034" t="s">
        <v>3109</v>
      </c>
      <c r="G920" s="1034" t="s">
        <v>4137</v>
      </c>
      <c r="H920" s="88">
        <f>INDEX('IN_Detr 4.5 del_397'!$A$3:$AAA$1193,MATCH($G920,'IN_Detr 4.5 del_397'!$A$3:$A$1193,0),MATCH(H$1,'IN_Detr 4.5 del_397'!$A$3:$AAA$3,0))</f>
        <v>0</v>
      </c>
      <c r="I920" s="88">
        <f>INDEX('IN_Detr 4.5 del_397'!$A$3:$AAA$1193,MATCH($G920,'IN_Detr 4.5 del_397'!$A$3:$A$1193,0),MATCH(I$1,'IN_Detr 4.5 del_397'!$A$3:$AAA$3,0))</f>
        <v>0</v>
      </c>
      <c r="J920" s="88">
        <f>INDEX('IN_Detr 4.5 del_397'!$A$3:$AAA$1193,MATCH($G920,'IN_Detr 4.5 del_397'!$A$3:$A$1193,0),MATCH(J$1,'IN_Detr 4.5 del_397'!$A$3:$AAA$3,0))</f>
        <v>0</v>
      </c>
    </row>
    <row r="921" spans="1:10" x14ac:dyDescent="0.2">
      <c r="A921" s="86" t="s">
        <v>7904</v>
      </c>
      <c r="B921" s="1067" t="s">
        <v>105</v>
      </c>
      <c r="C921" s="1037" t="s">
        <v>219</v>
      </c>
      <c r="D921" s="1027" t="s">
        <v>3109</v>
      </c>
      <c r="E921" s="447" t="s">
        <v>8334</v>
      </c>
      <c r="F921" s="1034" t="s">
        <v>3109</v>
      </c>
      <c r="G921" s="1034" t="s">
        <v>4335</v>
      </c>
      <c r="H921" s="88">
        <f>INDEX('IN_Detr 4.5 del_397'!$A$3:$AAA$1193,MATCH($G921,'IN_Detr 4.5 del_397'!$A$3:$A$1193,0),MATCH(H$1,'IN_Detr 4.5 del_397'!$A$3:$AAA$3,0))</f>
        <v>0</v>
      </c>
      <c r="I921" s="88">
        <f>INDEX('IN_Detr 4.5 del_397'!$A$3:$AAA$1193,MATCH($G921,'IN_Detr 4.5 del_397'!$A$3:$A$1193,0),MATCH(I$1,'IN_Detr 4.5 del_397'!$A$3:$AAA$3,0))</f>
        <v>0</v>
      </c>
      <c r="J921" s="88">
        <f>INDEX('IN_Detr 4.5 del_397'!$A$3:$AAA$1193,MATCH($G921,'IN_Detr 4.5 del_397'!$A$3:$A$1193,0),MATCH(J$1,'IN_Detr 4.5 del_397'!$A$3:$AAA$3,0))</f>
        <v>0</v>
      </c>
    </row>
    <row r="922" spans="1:10" x14ac:dyDescent="0.2">
      <c r="A922" s="86" t="s">
        <v>7905</v>
      </c>
      <c r="B922" s="447" t="str">
        <f>IN_Anagrafica!$B$9</f>
        <v>NO</v>
      </c>
      <c r="C922" s="369" t="str">
        <f>IF(B922="SI","SI","NO")</f>
        <v>NO</v>
      </c>
      <c r="D922" s="1027" t="s">
        <v>3109</v>
      </c>
      <c r="E922" s="447" t="s">
        <v>8335</v>
      </c>
      <c r="F922" s="1034" t="s">
        <v>3109</v>
      </c>
      <c r="G922" s="1034" t="s">
        <v>4338</v>
      </c>
      <c r="H922" s="88">
        <f>INDEX('IN_Detr 4.5 del_397'!$A$3:$AAA$1193,MATCH($G922,'IN_Detr 4.5 del_397'!$A$3:$A$1193,0),MATCH(H$1,'IN_Detr 4.5 del_397'!$A$3:$AAA$3,0))</f>
        <v>0</v>
      </c>
      <c r="I922" s="88">
        <f>INDEX('IN_Detr 4.5 del_397'!$A$3:$AAA$1193,MATCH($G922,'IN_Detr 4.5 del_397'!$A$3:$A$1193,0),MATCH(I$1,'IN_Detr 4.5 del_397'!$A$3:$AAA$3,0))</f>
        <v>0</v>
      </c>
      <c r="J922" s="88">
        <f>INDEX('IN_Detr 4.5 del_397'!$A$3:$AAA$1193,MATCH($G922,'IN_Detr 4.5 del_397'!$A$3:$A$1193,0),MATCH(J$1,'IN_Detr 4.5 del_397'!$A$3:$AAA$3,0))</f>
        <v>0</v>
      </c>
    </row>
    <row r="923" spans="1:10" x14ac:dyDescent="0.2">
      <c r="A923" s="86" t="s">
        <v>7906</v>
      </c>
      <c r="B923" s="1067" t="s">
        <v>105</v>
      </c>
      <c r="C923" s="1037" t="s">
        <v>219</v>
      </c>
      <c r="D923" s="1027" t="s">
        <v>3109</v>
      </c>
      <c r="E923" s="447" t="s">
        <v>345</v>
      </c>
      <c r="F923" s="1034" t="s">
        <v>3109</v>
      </c>
      <c r="G923" s="1034" t="s">
        <v>3167</v>
      </c>
      <c r="H923" s="88">
        <f>INDEX('IN_Detr 4.5 del_397'!$A$3:$AAA$1193,MATCH($G923,'IN_Detr 4.5 del_397'!$A$3:$A$1193,0),MATCH(H$1,'IN_Detr 4.5 del_397'!$A$3:$AAA$3,0))</f>
        <v>0</v>
      </c>
      <c r="I923" s="88">
        <f>INDEX('IN_Detr 4.5 del_397'!$A$3:$AAA$1193,MATCH($G923,'IN_Detr 4.5 del_397'!$A$3:$A$1193,0),MATCH(I$1,'IN_Detr 4.5 del_397'!$A$3:$AAA$3,0))</f>
        <v>0</v>
      </c>
      <c r="J923" s="88">
        <f>INDEX('IN_Detr 4.5 del_397'!$A$3:$AAA$1193,MATCH($G923,'IN_Detr 4.5 del_397'!$A$3:$A$1193,0),MATCH(J$1,'IN_Detr 4.5 del_397'!$A$3:$AAA$3,0))</f>
        <v>0</v>
      </c>
    </row>
    <row r="924" spans="1:10" x14ac:dyDescent="0.2">
      <c r="A924" s="86" t="s">
        <v>7907</v>
      </c>
      <c r="B924" s="447" t="str">
        <f>IN_Anagrafica!$B$9</f>
        <v>NO</v>
      </c>
      <c r="C924" s="369" t="str">
        <f>IF(B924="SI","SI","NO")</f>
        <v>NO</v>
      </c>
      <c r="D924" s="1027" t="s">
        <v>3109</v>
      </c>
      <c r="E924" s="447" t="s">
        <v>8398</v>
      </c>
      <c r="F924" s="1034" t="s">
        <v>3109</v>
      </c>
      <c r="G924" s="1034" t="s">
        <v>3170</v>
      </c>
      <c r="H924" s="88">
        <f>INDEX('IN_Detr 4.5 del_397'!$A$3:$AAA$1193,MATCH($G924,'IN_Detr 4.5 del_397'!$A$3:$A$1193,0),MATCH(H$1,'IN_Detr 4.5 del_397'!$A$3:$AAA$3,0))</f>
        <v>0</v>
      </c>
      <c r="I924" s="88">
        <f>INDEX('IN_Detr 4.5 del_397'!$A$3:$AAA$1193,MATCH($G924,'IN_Detr 4.5 del_397'!$A$3:$A$1193,0),MATCH(I$1,'IN_Detr 4.5 del_397'!$A$3:$AAA$3,0))</f>
        <v>0</v>
      </c>
      <c r="J924" s="88">
        <f>INDEX('IN_Detr 4.5 del_397'!$A$3:$AAA$1193,MATCH($G924,'IN_Detr 4.5 del_397'!$A$3:$A$1193,0),MATCH(J$1,'IN_Detr 4.5 del_397'!$A$3:$AAA$3,0))</f>
        <v>0</v>
      </c>
    </row>
    <row r="925" spans="1:10" x14ac:dyDescent="0.2">
      <c r="A925" s="86" t="s">
        <v>7908</v>
      </c>
      <c r="B925" s="1067" t="s">
        <v>105</v>
      </c>
      <c r="C925" s="1037" t="s">
        <v>219</v>
      </c>
      <c r="D925" s="1027" t="s">
        <v>3109</v>
      </c>
      <c r="E925" s="447" t="s">
        <v>8399</v>
      </c>
      <c r="F925" s="1034" t="s">
        <v>3109</v>
      </c>
      <c r="G925" s="1034" t="s">
        <v>3324</v>
      </c>
      <c r="H925" s="88">
        <f>INDEX('IN_Detr 4.5 del_397'!$A$3:$AAA$1193,MATCH($G925,'IN_Detr 4.5 del_397'!$A$3:$A$1193,0),MATCH(H$1,'IN_Detr 4.5 del_397'!$A$3:$AAA$3,0))</f>
        <v>0</v>
      </c>
      <c r="I925" s="88">
        <f>INDEX('IN_Detr 4.5 del_397'!$A$3:$AAA$1193,MATCH($G925,'IN_Detr 4.5 del_397'!$A$3:$A$1193,0),MATCH(I$1,'IN_Detr 4.5 del_397'!$A$3:$AAA$3,0))</f>
        <v>0</v>
      </c>
      <c r="J925" s="88">
        <f>INDEX('IN_Detr 4.5 del_397'!$A$3:$AAA$1193,MATCH($G925,'IN_Detr 4.5 del_397'!$A$3:$A$1193,0),MATCH(J$1,'IN_Detr 4.5 del_397'!$A$3:$AAA$3,0))</f>
        <v>0</v>
      </c>
    </row>
    <row r="926" spans="1:10" x14ac:dyDescent="0.2">
      <c r="A926" s="86" t="s">
        <v>7909</v>
      </c>
      <c r="B926" s="447" t="str">
        <f>IN_Anagrafica!$B$9</f>
        <v>NO</v>
      </c>
      <c r="C926" s="369" t="str">
        <f>IF(B926="SI","SI","NO")</f>
        <v>NO</v>
      </c>
      <c r="D926" s="1027" t="s">
        <v>3109</v>
      </c>
      <c r="E926" s="447" t="s">
        <v>8400</v>
      </c>
      <c r="F926" s="1034" t="s">
        <v>3109</v>
      </c>
      <c r="G926" s="1034" t="s">
        <v>3327</v>
      </c>
      <c r="H926" s="88">
        <f>INDEX('IN_Detr 4.5 del_397'!$A$3:$AAA$1193,MATCH($G926,'IN_Detr 4.5 del_397'!$A$3:$A$1193,0),MATCH(H$1,'IN_Detr 4.5 del_397'!$A$3:$AAA$3,0))</f>
        <v>0</v>
      </c>
      <c r="I926" s="88">
        <f>INDEX('IN_Detr 4.5 del_397'!$A$3:$AAA$1193,MATCH($G926,'IN_Detr 4.5 del_397'!$A$3:$A$1193,0),MATCH(I$1,'IN_Detr 4.5 del_397'!$A$3:$AAA$3,0))</f>
        <v>0</v>
      </c>
      <c r="J926" s="88">
        <f>INDEX('IN_Detr 4.5 del_397'!$A$3:$AAA$1193,MATCH($G926,'IN_Detr 4.5 del_397'!$A$3:$A$1193,0),MATCH(J$1,'IN_Detr 4.5 del_397'!$A$3:$AAA$3,0))</f>
        <v>0</v>
      </c>
    </row>
    <row r="927" spans="1:10" x14ac:dyDescent="0.2">
      <c r="A927" s="86" t="s">
        <v>7910</v>
      </c>
      <c r="B927" s="1067" t="s">
        <v>105</v>
      </c>
      <c r="C927" s="1037" t="s">
        <v>219</v>
      </c>
      <c r="D927" s="1027" t="s">
        <v>3109</v>
      </c>
      <c r="E927" s="447" t="s">
        <v>406</v>
      </c>
      <c r="F927" s="1034" t="s">
        <v>3109</v>
      </c>
      <c r="G927" s="1034" t="s">
        <v>4140</v>
      </c>
      <c r="H927" s="88">
        <f>INDEX('IN_Detr 4.5 del_397'!$A$3:$AAA$1193,MATCH($G927,'IN_Detr 4.5 del_397'!$A$3:$A$1193,0),MATCH(H$1,'IN_Detr 4.5 del_397'!$A$3:$AAA$3,0))</f>
        <v>0</v>
      </c>
      <c r="I927" s="88">
        <f>INDEX('IN_Detr 4.5 del_397'!$A$3:$AAA$1193,MATCH($G927,'IN_Detr 4.5 del_397'!$A$3:$A$1193,0),MATCH(I$1,'IN_Detr 4.5 del_397'!$A$3:$AAA$3,0))</f>
        <v>0</v>
      </c>
      <c r="J927" s="88">
        <f>INDEX('IN_Detr 4.5 del_397'!$A$3:$AAA$1193,MATCH($G927,'IN_Detr 4.5 del_397'!$A$3:$A$1193,0),MATCH(J$1,'IN_Detr 4.5 del_397'!$A$3:$AAA$3,0))</f>
        <v>0</v>
      </c>
    </row>
    <row r="928" spans="1:10" x14ac:dyDescent="0.2">
      <c r="A928" s="86" t="s">
        <v>7911</v>
      </c>
      <c r="B928" s="447" t="str">
        <f>IN_Anagrafica!$B$9</f>
        <v>NO</v>
      </c>
      <c r="C928" s="369" t="str">
        <f>IF(B928="SI","SI","NO")</f>
        <v>NO</v>
      </c>
      <c r="D928" s="1027" t="s">
        <v>3109</v>
      </c>
      <c r="E928" s="447" t="s">
        <v>414</v>
      </c>
      <c r="F928" s="1034" t="s">
        <v>3109</v>
      </c>
      <c r="G928" s="1034" t="s">
        <v>4143</v>
      </c>
      <c r="H928" s="88">
        <f>INDEX('IN_Detr 4.5 del_397'!$A$3:$AAA$1193,MATCH($G928,'IN_Detr 4.5 del_397'!$A$3:$A$1193,0),MATCH(H$1,'IN_Detr 4.5 del_397'!$A$3:$AAA$3,0))</f>
        <v>0</v>
      </c>
      <c r="I928" s="88">
        <f>INDEX('IN_Detr 4.5 del_397'!$A$3:$AAA$1193,MATCH($G928,'IN_Detr 4.5 del_397'!$A$3:$A$1193,0),MATCH(I$1,'IN_Detr 4.5 del_397'!$A$3:$AAA$3,0))</f>
        <v>0</v>
      </c>
      <c r="J928" s="88">
        <f>INDEX('IN_Detr 4.5 del_397'!$A$3:$AAA$1193,MATCH($G928,'IN_Detr 4.5 del_397'!$A$3:$A$1193,0),MATCH(J$1,'IN_Detr 4.5 del_397'!$A$3:$AAA$3,0))</f>
        <v>0</v>
      </c>
    </row>
    <row r="929" spans="1:10" x14ac:dyDescent="0.2">
      <c r="A929" s="86" t="s">
        <v>7912</v>
      </c>
      <c r="B929" s="1067" t="s">
        <v>105</v>
      </c>
      <c r="C929" s="1037" t="s">
        <v>219</v>
      </c>
      <c r="D929" s="1027" t="s">
        <v>3109</v>
      </c>
      <c r="E929" s="447" t="s">
        <v>423</v>
      </c>
      <c r="F929" s="1034" t="s">
        <v>3109</v>
      </c>
      <c r="G929" s="1034" t="s">
        <v>4341</v>
      </c>
      <c r="H929" s="88">
        <f>INDEX('IN_Detr 4.5 del_397'!$A$3:$AAA$1193,MATCH($G929,'IN_Detr 4.5 del_397'!$A$3:$A$1193,0),MATCH(H$1,'IN_Detr 4.5 del_397'!$A$3:$AAA$3,0))</f>
        <v>0</v>
      </c>
      <c r="I929" s="88">
        <f>INDEX('IN_Detr 4.5 del_397'!$A$3:$AAA$1193,MATCH($G929,'IN_Detr 4.5 del_397'!$A$3:$A$1193,0),MATCH(I$1,'IN_Detr 4.5 del_397'!$A$3:$AAA$3,0))</f>
        <v>0</v>
      </c>
      <c r="J929" s="88">
        <f>INDEX('IN_Detr 4.5 del_397'!$A$3:$AAA$1193,MATCH($G929,'IN_Detr 4.5 del_397'!$A$3:$A$1193,0),MATCH(J$1,'IN_Detr 4.5 del_397'!$A$3:$AAA$3,0))</f>
        <v>0</v>
      </c>
    </row>
    <row r="930" spans="1:10" x14ac:dyDescent="0.2">
      <c r="A930" s="86" t="s">
        <v>7913</v>
      </c>
      <c r="B930" s="447" t="str">
        <f>IN_Anagrafica!$B$9</f>
        <v>NO</v>
      </c>
      <c r="C930" s="369" t="str">
        <f>IF(B930="SI","SI","NO")</f>
        <v>NO</v>
      </c>
      <c r="D930" s="1027" t="s">
        <v>3109</v>
      </c>
      <c r="E930" s="447" t="s">
        <v>431</v>
      </c>
      <c r="F930" s="1034" t="s">
        <v>3109</v>
      </c>
      <c r="G930" s="1034" t="s">
        <v>4344</v>
      </c>
      <c r="H930" s="88">
        <f>INDEX('IN_Detr 4.5 del_397'!$A$3:$AAA$1193,MATCH($G930,'IN_Detr 4.5 del_397'!$A$3:$A$1193,0),MATCH(H$1,'IN_Detr 4.5 del_397'!$A$3:$AAA$3,0))</f>
        <v>0</v>
      </c>
      <c r="I930" s="88">
        <f>INDEX('IN_Detr 4.5 del_397'!$A$3:$AAA$1193,MATCH($G930,'IN_Detr 4.5 del_397'!$A$3:$A$1193,0),MATCH(I$1,'IN_Detr 4.5 del_397'!$A$3:$AAA$3,0))</f>
        <v>0</v>
      </c>
      <c r="J930" s="88">
        <f>INDEX('IN_Detr 4.5 del_397'!$A$3:$AAA$1193,MATCH($G930,'IN_Detr 4.5 del_397'!$A$3:$A$1193,0),MATCH(J$1,'IN_Detr 4.5 del_397'!$A$3:$AAA$3,0))</f>
        <v>0</v>
      </c>
    </row>
    <row r="931" spans="1:10" x14ac:dyDescent="0.2">
      <c r="A931" s="86" t="s">
        <v>7914</v>
      </c>
      <c r="B931" s="1067" t="s">
        <v>105</v>
      </c>
      <c r="C931" s="1037" t="s">
        <v>219</v>
      </c>
      <c r="D931" s="1027" t="s">
        <v>3109</v>
      </c>
      <c r="E931" s="447" t="s">
        <v>346</v>
      </c>
      <c r="F931" s="1034" t="s">
        <v>3109</v>
      </c>
      <c r="G931" s="1034" t="s">
        <v>3173</v>
      </c>
      <c r="H931" s="88">
        <f>INDEX('IN_Detr 4.5 del_397'!$A$3:$AAA$1193,MATCH($G931,'IN_Detr 4.5 del_397'!$A$3:$A$1193,0),MATCH(H$1,'IN_Detr 4.5 del_397'!$A$3:$AAA$3,0))</f>
        <v>0</v>
      </c>
      <c r="I931" s="88">
        <f>INDEX('IN_Detr 4.5 del_397'!$A$3:$AAA$1193,MATCH($G931,'IN_Detr 4.5 del_397'!$A$3:$A$1193,0),MATCH(I$1,'IN_Detr 4.5 del_397'!$A$3:$AAA$3,0))</f>
        <v>0</v>
      </c>
      <c r="J931" s="88">
        <f>INDEX('IN_Detr 4.5 del_397'!$A$3:$AAA$1193,MATCH($G931,'IN_Detr 4.5 del_397'!$A$3:$A$1193,0),MATCH(J$1,'IN_Detr 4.5 del_397'!$A$3:$AAA$3,0))</f>
        <v>0</v>
      </c>
    </row>
    <row r="932" spans="1:10" x14ac:dyDescent="0.2">
      <c r="A932" s="86" t="s">
        <v>7915</v>
      </c>
      <c r="B932" s="447" t="str">
        <f>IN_Anagrafica!$B$9</f>
        <v>NO</v>
      </c>
      <c r="C932" s="369" t="str">
        <f>IF(B932="SI","SI","NO")</f>
        <v>NO</v>
      </c>
      <c r="D932" s="1027" t="s">
        <v>3109</v>
      </c>
      <c r="E932" s="447" t="s">
        <v>8401</v>
      </c>
      <c r="F932" s="1034" t="s">
        <v>3109</v>
      </c>
      <c r="G932" s="1034" t="s">
        <v>3176</v>
      </c>
      <c r="H932" s="88">
        <f>INDEX('IN_Detr 4.5 del_397'!$A$3:$AAA$1193,MATCH($G932,'IN_Detr 4.5 del_397'!$A$3:$A$1193,0),MATCH(H$1,'IN_Detr 4.5 del_397'!$A$3:$AAA$3,0))</f>
        <v>0</v>
      </c>
      <c r="I932" s="88">
        <f>INDEX('IN_Detr 4.5 del_397'!$A$3:$AAA$1193,MATCH($G932,'IN_Detr 4.5 del_397'!$A$3:$A$1193,0),MATCH(I$1,'IN_Detr 4.5 del_397'!$A$3:$AAA$3,0))</f>
        <v>0</v>
      </c>
      <c r="J932" s="88">
        <f>INDEX('IN_Detr 4.5 del_397'!$A$3:$AAA$1193,MATCH($G932,'IN_Detr 4.5 del_397'!$A$3:$A$1193,0),MATCH(J$1,'IN_Detr 4.5 del_397'!$A$3:$AAA$3,0))</f>
        <v>0</v>
      </c>
    </row>
    <row r="933" spans="1:10" x14ac:dyDescent="0.2">
      <c r="A933" s="86" t="s">
        <v>7916</v>
      </c>
      <c r="B933" s="1067" t="s">
        <v>105</v>
      </c>
      <c r="C933" s="1037" t="s">
        <v>219</v>
      </c>
      <c r="D933" s="1027" t="s">
        <v>3109</v>
      </c>
      <c r="E933" s="447" t="s">
        <v>8402</v>
      </c>
      <c r="F933" s="1034" t="s">
        <v>3109</v>
      </c>
      <c r="G933" s="1034" t="s">
        <v>3330</v>
      </c>
      <c r="H933" s="88">
        <f>INDEX('IN_Detr 4.5 del_397'!$A$3:$AAA$1193,MATCH($G933,'IN_Detr 4.5 del_397'!$A$3:$A$1193,0),MATCH(H$1,'IN_Detr 4.5 del_397'!$A$3:$AAA$3,0))</f>
        <v>0</v>
      </c>
      <c r="I933" s="88">
        <f>INDEX('IN_Detr 4.5 del_397'!$A$3:$AAA$1193,MATCH($G933,'IN_Detr 4.5 del_397'!$A$3:$A$1193,0),MATCH(I$1,'IN_Detr 4.5 del_397'!$A$3:$AAA$3,0))</f>
        <v>0</v>
      </c>
      <c r="J933" s="88">
        <f>INDEX('IN_Detr 4.5 del_397'!$A$3:$AAA$1193,MATCH($G933,'IN_Detr 4.5 del_397'!$A$3:$A$1193,0),MATCH(J$1,'IN_Detr 4.5 del_397'!$A$3:$AAA$3,0))</f>
        <v>0</v>
      </c>
    </row>
    <row r="934" spans="1:10" x14ac:dyDescent="0.2">
      <c r="A934" s="86" t="s">
        <v>7917</v>
      </c>
      <c r="B934" s="447" t="str">
        <f>IN_Anagrafica!$B$9</f>
        <v>NO</v>
      </c>
      <c r="C934" s="369" t="str">
        <f>IF(B934="SI","SI","NO")</f>
        <v>NO</v>
      </c>
      <c r="D934" s="1027" t="s">
        <v>3109</v>
      </c>
      <c r="E934" s="447" t="s">
        <v>8403</v>
      </c>
      <c r="F934" s="1034" t="s">
        <v>3109</v>
      </c>
      <c r="G934" s="1034" t="s">
        <v>3333</v>
      </c>
      <c r="H934" s="88">
        <f>INDEX('IN_Detr 4.5 del_397'!$A$3:$AAA$1193,MATCH($G934,'IN_Detr 4.5 del_397'!$A$3:$A$1193,0),MATCH(H$1,'IN_Detr 4.5 del_397'!$A$3:$AAA$3,0))</f>
        <v>0</v>
      </c>
      <c r="I934" s="88">
        <f>INDEX('IN_Detr 4.5 del_397'!$A$3:$AAA$1193,MATCH($G934,'IN_Detr 4.5 del_397'!$A$3:$A$1193,0),MATCH(I$1,'IN_Detr 4.5 del_397'!$A$3:$AAA$3,0))</f>
        <v>0</v>
      </c>
      <c r="J934" s="88">
        <f>INDEX('IN_Detr 4.5 del_397'!$A$3:$AAA$1193,MATCH($G934,'IN_Detr 4.5 del_397'!$A$3:$A$1193,0),MATCH(J$1,'IN_Detr 4.5 del_397'!$A$3:$AAA$3,0))</f>
        <v>0</v>
      </c>
    </row>
    <row r="935" spans="1:10" x14ac:dyDescent="0.2">
      <c r="A935" s="86" t="s">
        <v>7918</v>
      </c>
      <c r="B935" s="1067" t="s">
        <v>105</v>
      </c>
      <c r="C935" s="1037" t="s">
        <v>219</v>
      </c>
      <c r="D935" s="1027" t="s">
        <v>3109</v>
      </c>
      <c r="E935" s="447" t="s">
        <v>407</v>
      </c>
      <c r="F935" s="1034" t="s">
        <v>3109</v>
      </c>
      <c r="G935" s="1034" t="s">
        <v>4146</v>
      </c>
      <c r="H935" s="88">
        <f>INDEX('IN_Detr 4.5 del_397'!$A$3:$AAA$1193,MATCH($G935,'IN_Detr 4.5 del_397'!$A$3:$A$1193,0),MATCH(H$1,'IN_Detr 4.5 del_397'!$A$3:$AAA$3,0))</f>
        <v>0</v>
      </c>
      <c r="I935" s="88">
        <f>INDEX('IN_Detr 4.5 del_397'!$A$3:$AAA$1193,MATCH($G935,'IN_Detr 4.5 del_397'!$A$3:$A$1193,0),MATCH(I$1,'IN_Detr 4.5 del_397'!$A$3:$AAA$3,0))</f>
        <v>0</v>
      </c>
      <c r="J935" s="88">
        <f>INDEX('IN_Detr 4.5 del_397'!$A$3:$AAA$1193,MATCH($G935,'IN_Detr 4.5 del_397'!$A$3:$A$1193,0),MATCH(J$1,'IN_Detr 4.5 del_397'!$A$3:$AAA$3,0))</f>
        <v>0</v>
      </c>
    </row>
    <row r="936" spans="1:10" x14ac:dyDescent="0.2">
      <c r="A936" s="86" t="s">
        <v>7919</v>
      </c>
      <c r="B936" s="447" t="str">
        <f>IN_Anagrafica!$B$9</f>
        <v>NO</v>
      </c>
      <c r="C936" s="369" t="str">
        <f>IF(B936="SI","SI","NO")</f>
        <v>NO</v>
      </c>
      <c r="D936" s="1027" t="s">
        <v>3109</v>
      </c>
      <c r="E936" s="447" t="s">
        <v>415</v>
      </c>
      <c r="F936" s="1034" t="s">
        <v>3109</v>
      </c>
      <c r="G936" s="1034" t="s">
        <v>4149</v>
      </c>
      <c r="H936" s="88">
        <f>INDEX('IN_Detr 4.5 del_397'!$A$3:$AAA$1193,MATCH($G936,'IN_Detr 4.5 del_397'!$A$3:$A$1193,0),MATCH(H$1,'IN_Detr 4.5 del_397'!$A$3:$AAA$3,0))</f>
        <v>0</v>
      </c>
      <c r="I936" s="88">
        <f>INDEX('IN_Detr 4.5 del_397'!$A$3:$AAA$1193,MATCH($G936,'IN_Detr 4.5 del_397'!$A$3:$A$1193,0),MATCH(I$1,'IN_Detr 4.5 del_397'!$A$3:$AAA$3,0))</f>
        <v>0</v>
      </c>
      <c r="J936" s="88">
        <f>INDEX('IN_Detr 4.5 del_397'!$A$3:$AAA$1193,MATCH($G936,'IN_Detr 4.5 del_397'!$A$3:$A$1193,0),MATCH(J$1,'IN_Detr 4.5 del_397'!$A$3:$AAA$3,0))</f>
        <v>0</v>
      </c>
    </row>
    <row r="937" spans="1:10" x14ac:dyDescent="0.2">
      <c r="A937" s="86" t="s">
        <v>7920</v>
      </c>
      <c r="B937" s="1067" t="s">
        <v>105</v>
      </c>
      <c r="C937" s="1037" t="s">
        <v>219</v>
      </c>
      <c r="D937" s="1027" t="s">
        <v>3109</v>
      </c>
      <c r="E937" s="447" t="s">
        <v>424</v>
      </c>
      <c r="F937" s="1034" t="s">
        <v>3109</v>
      </c>
      <c r="G937" s="1034" t="s">
        <v>4347</v>
      </c>
      <c r="H937" s="88">
        <f>INDEX('IN_Detr 4.5 del_397'!$A$3:$AAA$1193,MATCH($G937,'IN_Detr 4.5 del_397'!$A$3:$A$1193,0),MATCH(H$1,'IN_Detr 4.5 del_397'!$A$3:$AAA$3,0))</f>
        <v>0</v>
      </c>
      <c r="I937" s="88">
        <f>INDEX('IN_Detr 4.5 del_397'!$A$3:$AAA$1193,MATCH($G937,'IN_Detr 4.5 del_397'!$A$3:$A$1193,0),MATCH(I$1,'IN_Detr 4.5 del_397'!$A$3:$AAA$3,0))</f>
        <v>0</v>
      </c>
      <c r="J937" s="88">
        <f>INDEX('IN_Detr 4.5 del_397'!$A$3:$AAA$1193,MATCH($G937,'IN_Detr 4.5 del_397'!$A$3:$A$1193,0),MATCH(J$1,'IN_Detr 4.5 del_397'!$A$3:$AAA$3,0))</f>
        <v>0</v>
      </c>
    </row>
    <row r="938" spans="1:10" x14ac:dyDescent="0.2">
      <c r="A938" s="86" t="s">
        <v>7921</v>
      </c>
      <c r="B938" s="447" t="str">
        <f>IN_Anagrafica!$B$9</f>
        <v>NO</v>
      </c>
      <c r="C938" s="369" t="str">
        <f>IF(B938="SI","SI","NO")</f>
        <v>NO</v>
      </c>
      <c r="D938" s="1027" t="s">
        <v>3109</v>
      </c>
      <c r="E938" s="447" t="s">
        <v>432</v>
      </c>
      <c r="F938" s="1034" t="s">
        <v>3109</v>
      </c>
      <c r="G938" s="1034" t="s">
        <v>4350</v>
      </c>
      <c r="H938" s="88">
        <f>INDEX('IN_Detr 4.5 del_397'!$A$3:$AAA$1193,MATCH($G938,'IN_Detr 4.5 del_397'!$A$3:$A$1193,0),MATCH(H$1,'IN_Detr 4.5 del_397'!$A$3:$AAA$3,0))</f>
        <v>0</v>
      </c>
      <c r="I938" s="88">
        <f>INDEX('IN_Detr 4.5 del_397'!$A$3:$AAA$1193,MATCH($G938,'IN_Detr 4.5 del_397'!$A$3:$A$1193,0),MATCH(I$1,'IN_Detr 4.5 del_397'!$A$3:$AAA$3,0))</f>
        <v>0</v>
      </c>
      <c r="J938" s="88">
        <f>INDEX('IN_Detr 4.5 del_397'!$A$3:$AAA$1193,MATCH($G938,'IN_Detr 4.5 del_397'!$A$3:$A$1193,0),MATCH(J$1,'IN_Detr 4.5 del_397'!$A$3:$AAA$3,0))</f>
        <v>0</v>
      </c>
    </row>
    <row r="939" spans="1:10" x14ac:dyDescent="0.2">
      <c r="A939" s="86" t="s">
        <v>7922</v>
      </c>
      <c r="B939" s="1067" t="s">
        <v>105</v>
      </c>
      <c r="C939" s="1037" t="s">
        <v>219</v>
      </c>
      <c r="D939" s="1027" t="s">
        <v>3109</v>
      </c>
      <c r="E939" s="447" t="s">
        <v>347</v>
      </c>
      <c r="F939" s="1034" t="s">
        <v>3109</v>
      </c>
      <c r="G939" s="1034" t="s">
        <v>3179</v>
      </c>
      <c r="H939" s="88">
        <f>INDEX('IN_Detr 4.5 del_397'!$A$3:$AAA$1193,MATCH($G939,'IN_Detr 4.5 del_397'!$A$3:$A$1193,0),MATCH(H$1,'IN_Detr 4.5 del_397'!$A$3:$AAA$3,0))</f>
        <v>0</v>
      </c>
      <c r="I939" s="88">
        <f>INDEX('IN_Detr 4.5 del_397'!$A$3:$AAA$1193,MATCH($G939,'IN_Detr 4.5 del_397'!$A$3:$A$1193,0),MATCH(I$1,'IN_Detr 4.5 del_397'!$A$3:$AAA$3,0))</f>
        <v>0</v>
      </c>
      <c r="J939" s="88">
        <f>INDEX('IN_Detr 4.5 del_397'!$A$3:$AAA$1193,MATCH($G939,'IN_Detr 4.5 del_397'!$A$3:$A$1193,0),MATCH(J$1,'IN_Detr 4.5 del_397'!$A$3:$AAA$3,0))</f>
        <v>0</v>
      </c>
    </row>
    <row r="940" spans="1:10" x14ac:dyDescent="0.2">
      <c r="A940" s="86" t="s">
        <v>7923</v>
      </c>
      <c r="B940" s="447" t="str">
        <f>IN_Anagrafica!$B$9</f>
        <v>NO</v>
      </c>
      <c r="C940" s="369" t="str">
        <f>IF(B940="SI","SI","NO")</f>
        <v>NO</v>
      </c>
      <c r="D940" s="1027" t="s">
        <v>3109</v>
      </c>
      <c r="E940" s="447" t="s">
        <v>8404</v>
      </c>
      <c r="F940" s="1034" t="s">
        <v>3109</v>
      </c>
      <c r="G940" s="1034" t="s">
        <v>3182</v>
      </c>
      <c r="H940" s="88">
        <f>INDEX('IN_Detr 4.5 del_397'!$A$3:$AAA$1193,MATCH($G940,'IN_Detr 4.5 del_397'!$A$3:$A$1193,0),MATCH(H$1,'IN_Detr 4.5 del_397'!$A$3:$AAA$3,0))</f>
        <v>0</v>
      </c>
      <c r="I940" s="88">
        <f>INDEX('IN_Detr 4.5 del_397'!$A$3:$AAA$1193,MATCH($G940,'IN_Detr 4.5 del_397'!$A$3:$A$1193,0),MATCH(I$1,'IN_Detr 4.5 del_397'!$A$3:$AAA$3,0))</f>
        <v>0</v>
      </c>
      <c r="J940" s="88">
        <f>INDEX('IN_Detr 4.5 del_397'!$A$3:$AAA$1193,MATCH($G940,'IN_Detr 4.5 del_397'!$A$3:$A$1193,0),MATCH(J$1,'IN_Detr 4.5 del_397'!$A$3:$AAA$3,0))</f>
        <v>0</v>
      </c>
    </row>
    <row r="941" spans="1:10" x14ac:dyDescent="0.2">
      <c r="A941" s="86" t="s">
        <v>7924</v>
      </c>
      <c r="B941" s="1067" t="s">
        <v>105</v>
      </c>
      <c r="C941" s="1037" t="s">
        <v>219</v>
      </c>
      <c r="D941" s="1027" t="s">
        <v>3109</v>
      </c>
      <c r="E941" s="447" t="s">
        <v>8405</v>
      </c>
      <c r="F941" s="1034" t="s">
        <v>3109</v>
      </c>
      <c r="G941" s="1034" t="s">
        <v>3336</v>
      </c>
      <c r="H941" s="88">
        <f>INDEX('IN_Detr 4.5 del_397'!$A$3:$AAA$1193,MATCH($G941,'IN_Detr 4.5 del_397'!$A$3:$A$1193,0),MATCH(H$1,'IN_Detr 4.5 del_397'!$A$3:$AAA$3,0))</f>
        <v>0</v>
      </c>
      <c r="I941" s="88">
        <f>INDEX('IN_Detr 4.5 del_397'!$A$3:$AAA$1193,MATCH($G941,'IN_Detr 4.5 del_397'!$A$3:$A$1193,0),MATCH(I$1,'IN_Detr 4.5 del_397'!$A$3:$AAA$3,0))</f>
        <v>0</v>
      </c>
      <c r="J941" s="88">
        <f>INDEX('IN_Detr 4.5 del_397'!$A$3:$AAA$1193,MATCH($G941,'IN_Detr 4.5 del_397'!$A$3:$A$1193,0),MATCH(J$1,'IN_Detr 4.5 del_397'!$A$3:$AAA$3,0))</f>
        <v>0</v>
      </c>
    </row>
    <row r="942" spans="1:10" x14ac:dyDescent="0.2">
      <c r="A942" s="86" t="s">
        <v>7925</v>
      </c>
      <c r="B942" s="447" t="str">
        <f>IN_Anagrafica!$B$9</f>
        <v>NO</v>
      </c>
      <c r="C942" s="369" t="str">
        <f>IF(B942="SI","SI","NO")</f>
        <v>NO</v>
      </c>
      <c r="D942" s="1027" t="s">
        <v>3109</v>
      </c>
      <c r="E942" s="447" t="s">
        <v>8406</v>
      </c>
      <c r="F942" s="1034" t="s">
        <v>3109</v>
      </c>
      <c r="G942" s="1034" t="s">
        <v>3339</v>
      </c>
      <c r="H942" s="88">
        <f>INDEX('IN_Detr 4.5 del_397'!$A$3:$AAA$1193,MATCH($G942,'IN_Detr 4.5 del_397'!$A$3:$A$1193,0),MATCH(H$1,'IN_Detr 4.5 del_397'!$A$3:$AAA$3,0))</f>
        <v>0</v>
      </c>
      <c r="I942" s="88">
        <f>INDEX('IN_Detr 4.5 del_397'!$A$3:$AAA$1193,MATCH($G942,'IN_Detr 4.5 del_397'!$A$3:$A$1193,0),MATCH(I$1,'IN_Detr 4.5 del_397'!$A$3:$AAA$3,0))</f>
        <v>0</v>
      </c>
      <c r="J942" s="88">
        <f>INDEX('IN_Detr 4.5 del_397'!$A$3:$AAA$1193,MATCH($G942,'IN_Detr 4.5 del_397'!$A$3:$A$1193,0),MATCH(J$1,'IN_Detr 4.5 del_397'!$A$3:$AAA$3,0))</f>
        <v>0</v>
      </c>
    </row>
    <row r="943" spans="1:10" x14ac:dyDescent="0.2">
      <c r="A943" s="86" t="s">
        <v>7926</v>
      </c>
      <c r="B943" s="1067" t="s">
        <v>105</v>
      </c>
      <c r="C943" s="1037" t="s">
        <v>219</v>
      </c>
      <c r="D943" s="1027" t="s">
        <v>3109</v>
      </c>
      <c r="E943" s="447" t="s">
        <v>408</v>
      </c>
      <c r="F943" s="1034" t="s">
        <v>3109</v>
      </c>
      <c r="G943" s="1034" t="s">
        <v>4152</v>
      </c>
      <c r="H943" s="88">
        <f>INDEX('IN_Detr 4.5 del_397'!$A$3:$AAA$1193,MATCH($G943,'IN_Detr 4.5 del_397'!$A$3:$A$1193,0),MATCH(H$1,'IN_Detr 4.5 del_397'!$A$3:$AAA$3,0))</f>
        <v>0</v>
      </c>
      <c r="I943" s="88">
        <f>INDEX('IN_Detr 4.5 del_397'!$A$3:$AAA$1193,MATCH($G943,'IN_Detr 4.5 del_397'!$A$3:$A$1193,0),MATCH(I$1,'IN_Detr 4.5 del_397'!$A$3:$AAA$3,0))</f>
        <v>0</v>
      </c>
      <c r="J943" s="88">
        <f>INDEX('IN_Detr 4.5 del_397'!$A$3:$AAA$1193,MATCH($G943,'IN_Detr 4.5 del_397'!$A$3:$A$1193,0),MATCH(J$1,'IN_Detr 4.5 del_397'!$A$3:$AAA$3,0))</f>
        <v>0</v>
      </c>
    </row>
    <row r="944" spans="1:10" x14ac:dyDescent="0.2">
      <c r="A944" s="86" t="s">
        <v>7927</v>
      </c>
      <c r="B944" s="447" t="str">
        <f>IN_Anagrafica!$B$9</f>
        <v>NO</v>
      </c>
      <c r="C944" s="369" t="str">
        <f>IF(B944="SI","SI","NO")</f>
        <v>NO</v>
      </c>
      <c r="D944" s="1027" t="s">
        <v>3109</v>
      </c>
      <c r="E944" s="447" t="s">
        <v>416</v>
      </c>
      <c r="F944" s="1034" t="s">
        <v>3109</v>
      </c>
      <c r="G944" s="1034" t="s">
        <v>4155</v>
      </c>
      <c r="H944" s="88">
        <f>INDEX('IN_Detr 4.5 del_397'!$A$3:$AAA$1193,MATCH($G944,'IN_Detr 4.5 del_397'!$A$3:$A$1193,0),MATCH(H$1,'IN_Detr 4.5 del_397'!$A$3:$AAA$3,0))</f>
        <v>0</v>
      </c>
      <c r="I944" s="88">
        <f>INDEX('IN_Detr 4.5 del_397'!$A$3:$AAA$1193,MATCH($G944,'IN_Detr 4.5 del_397'!$A$3:$A$1193,0),MATCH(I$1,'IN_Detr 4.5 del_397'!$A$3:$AAA$3,0))</f>
        <v>0</v>
      </c>
      <c r="J944" s="88">
        <f>INDEX('IN_Detr 4.5 del_397'!$A$3:$AAA$1193,MATCH($G944,'IN_Detr 4.5 del_397'!$A$3:$A$1193,0),MATCH(J$1,'IN_Detr 4.5 del_397'!$A$3:$AAA$3,0))</f>
        <v>0</v>
      </c>
    </row>
    <row r="945" spans="1:10" x14ac:dyDescent="0.2">
      <c r="A945" s="86" t="s">
        <v>7928</v>
      </c>
      <c r="B945" s="1067" t="s">
        <v>105</v>
      </c>
      <c r="C945" s="1037" t="s">
        <v>219</v>
      </c>
      <c r="D945" s="1027" t="s">
        <v>3109</v>
      </c>
      <c r="E945" s="447" t="s">
        <v>425</v>
      </c>
      <c r="F945" s="1034" t="s">
        <v>3109</v>
      </c>
      <c r="G945" s="1034" t="s">
        <v>4353</v>
      </c>
      <c r="H945" s="88">
        <f>INDEX('IN_Detr 4.5 del_397'!$A$3:$AAA$1193,MATCH($G945,'IN_Detr 4.5 del_397'!$A$3:$A$1193,0),MATCH(H$1,'IN_Detr 4.5 del_397'!$A$3:$AAA$3,0))</f>
        <v>0</v>
      </c>
      <c r="I945" s="88">
        <f>INDEX('IN_Detr 4.5 del_397'!$A$3:$AAA$1193,MATCH($G945,'IN_Detr 4.5 del_397'!$A$3:$A$1193,0),MATCH(I$1,'IN_Detr 4.5 del_397'!$A$3:$AAA$3,0))</f>
        <v>0</v>
      </c>
      <c r="J945" s="88">
        <f>INDEX('IN_Detr 4.5 del_397'!$A$3:$AAA$1193,MATCH($G945,'IN_Detr 4.5 del_397'!$A$3:$A$1193,0),MATCH(J$1,'IN_Detr 4.5 del_397'!$A$3:$AAA$3,0))</f>
        <v>0</v>
      </c>
    </row>
    <row r="946" spans="1:10" x14ac:dyDescent="0.2">
      <c r="A946" s="86" t="s">
        <v>7929</v>
      </c>
      <c r="B946" s="447" t="str">
        <f>IN_Anagrafica!$B$9</f>
        <v>NO</v>
      </c>
      <c r="C946" s="369" t="str">
        <f>IF(B946="SI","SI","NO")</f>
        <v>NO</v>
      </c>
      <c r="D946" s="1027" t="s">
        <v>3109</v>
      </c>
      <c r="E946" s="447" t="s">
        <v>433</v>
      </c>
      <c r="F946" s="1034" t="s">
        <v>3109</v>
      </c>
      <c r="G946" s="1034" t="s">
        <v>4356</v>
      </c>
      <c r="H946" s="88">
        <f>INDEX('IN_Detr 4.5 del_397'!$A$3:$AAA$1193,MATCH($G946,'IN_Detr 4.5 del_397'!$A$3:$A$1193,0),MATCH(H$1,'IN_Detr 4.5 del_397'!$A$3:$AAA$3,0))</f>
        <v>0</v>
      </c>
      <c r="I946" s="88">
        <f>INDEX('IN_Detr 4.5 del_397'!$A$3:$AAA$1193,MATCH($G946,'IN_Detr 4.5 del_397'!$A$3:$A$1193,0),MATCH(I$1,'IN_Detr 4.5 del_397'!$A$3:$AAA$3,0))</f>
        <v>0</v>
      </c>
      <c r="J946" s="88">
        <f>INDEX('IN_Detr 4.5 del_397'!$A$3:$AAA$1193,MATCH($G946,'IN_Detr 4.5 del_397'!$A$3:$A$1193,0),MATCH(J$1,'IN_Detr 4.5 del_397'!$A$3:$AAA$3,0))</f>
        <v>0</v>
      </c>
    </row>
    <row r="947" spans="1:10" x14ac:dyDescent="0.2">
      <c r="A947" s="86" t="s">
        <v>7930</v>
      </c>
      <c r="B947" s="1067" t="s">
        <v>105</v>
      </c>
      <c r="C947" s="1037" t="s">
        <v>219</v>
      </c>
      <c r="D947" s="1027" t="s">
        <v>3109</v>
      </c>
      <c r="E947" s="447" t="s">
        <v>349</v>
      </c>
      <c r="F947" s="1034" t="s">
        <v>3109</v>
      </c>
      <c r="G947" s="1034" t="s">
        <v>3185</v>
      </c>
      <c r="H947" s="88">
        <f>INDEX('IN_Detr 4.5 del_397'!$A$3:$AAA$1193,MATCH($G947,'IN_Detr 4.5 del_397'!$A$3:$A$1193,0),MATCH(H$1,'IN_Detr 4.5 del_397'!$A$3:$AAA$3,0))</f>
        <v>0</v>
      </c>
      <c r="I947" s="88">
        <f>INDEX('IN_Detr 4.5 del_397'!$A$3:$AAA$1193,MATCH($G947,'IN_Detr 4.5 del_397'!$A$3:$A$1193,0),MATCH(I$1,'IN_Detr 4.5 del_397'!$A$3:$AAA$3,0))</f>
        <v>0</v>
      </c>
      <c r="J947" s="88">
        <f>INDEX('IN_Detr 4.5 del_397'!$A$3:$AAA$1193,MATCH($G947,'IN_Detr 4.5 del_397'!$A$3:$A$1193,0),MATCH(J$1,'IN_Detr 4.5 del_397'!$A$3:$AAA$3,0))</f>
        <v>0</v>
      </c>
    </row>
    <row r="948" spans="1:10" x14ac:dyDescent="0.2">
      <c r="A948" s="86" t="s">
        <v>7931</v>
      </c>
      <c r="B948" s="447" t="str">
        <f>IN_Anagrafica!$B$9</f>
        <v>NO</v>
      </c>
      <c r="C948" s="369" t="str">
        <f>IF(B948="SI","SI","NO")</f>
        <v>NO</v>
      </c>
      <c r="D948" s="1027" t="s">
        <v>3109</v>
      </c>
      <c r="E948" s="447" t="s">
        <v>8336</v>
      </c>
      <c r="F948" s="1034" t="s">
        <v>3109</v>
      </c>
      <c r="G948" s="1034" t="s">
        <v>3188</v>
      </c>
      <c r="H948" s="88">
        <f>INDEX('IN_Detr 4.5 del_397'!$A$3:$AAA$1193,MATCH($G948,'IN_Detr 4.5 del_397'!$A$3:$A$1193,0),MATCH(H$1,'IN_Detr 4.5 del_397'!$A$3:$AAA$3,0))</f>
        <v>0</v>
      </c>
      <c r="I948" s="88">
        <f>INDEX('IN_Detr 4.5 del_397'!$A$3:$AAA$1193,MATCH($G948,'IN_Detr 4.5 del_397'!$A$3:$A$1193,0),MATCH(I$1,'IN_Detr 4.5 del_397'!$A$3:$AAA$3,0))</f>
        <v>0</v>
      </c>
      <c r="J948" s="88">
        <f>INDEX('IN_Detr 4.5 del_397'!$A$3:$AAA$1193,MATCH($G948,'IN_Detr 4.5 del_397'!$A$3:$A$1193,0),MATCH(J$1,'IN_Detr 4.5 del_397'!$A$3:$AAA$3,0))</f>
        <v>0</v>
      </c>
    </row>
    <row r="949" spans="1:10" x14ac:dyDescent="0.2">
      <c r="A949" s="86" t="s">
        <v>7932</v>
      </c>
      <c r="B949" s="1067" t="s">
        <v>105</v>
      </c>
      <c r="C949" s="1037" t="s">
        <v>219</v>
      </c>
      <c r="D949" s="1027" t="s">
        <v>3109</v>
      </c>
      <c r="E949" s="447" t="s">
        <v>8337</v>
      </c>
      <c r="F949" s="1034" t="s">
        <v>3109</v>
      </c>
      <c r="G949" s="1034" t="s">
        <v>3342</v>
      </c>
      <c r="H949" s="88">
        <f>INDEX('IN_Detr 4.5 del_397'!$A$3:$AAA$1193,MATCH($G949,'IN_Detr 4.5 del_397'!$A$3:$A$1193,0),MATCH(H$1,'IN_Detr 4.5 del_397'!$A$3:$AAA$3,0))</f>
        <v>0</v>
      </c>
      <c r="I949" s="88">
        <f>INDEX('IN_Detr 4.5 del_397'!$A$3:$AAA$1193,MATCH($G949,'IN_Detr 4.5 del_397'!$A$3:$A$1193,0),MATCH(I$1,'IN_Detr 4.5 del_397'!$A$3:$AAA$3,0))</f>
        <v>0</v>
      </c>
      <c r="J949" s="88">
        <f>INDEX('IN_Detr 4.5 del_397'!$A$3:$AAA$1193,MATCH($G949,'IN_Detr 4.5 del_397'!$A$3:$A$1193,0),MATCH(J$1,'IN_Detr 4.5 del_397'!$A$3:$AAA$3,0))</f>
        <v>0</v>
      </c>
    </row>
    <row r="950" spans="1:10" x14ac:dyDescent="0.2">
      <c r="A950" s="86" t="s">
        <v>7933</v>
      </c>
      <c r="B950" s="447" t="str">
        <f>IN_Anagrafica!$B$9</f>
        <v>NO</v>
      </c>
      <c r="C950" s="369" t="str">
        <f>IF(B950="SI","SI","NO")</f>
        <v>NO</v>
      </c>
      <c r="D950" s="1027" t="s">
        <v>3109</v>
      </c>
      <c r="E950" s="447" t="s">
        <v>8338</v>
      </c>
      <c r="F950" s="1034" t="s">
        <v>3109</v>
      </c>
      <c r="G950" s="1034" t="s">
        <v>3345</v>
      </c>
      <c r="H950" s="88">
        <f>INDEX('IN_Detr 4.5 del_397'!$A$3:$AAA$1193,MATCH($G950,'IN_Detr 4.5 del_397'!$A$3:$A$1193,0),MATCH(H$1,'IN_Detr 4.5 del_397'!$A$3:$AAA$3,0))</f>
        <v>0</v>
      </c>
      <c r="I950" s="88">
        <f>INDEX('IN_Detr 4.5 del_397'!$A$3:$AAA$1193,MATCH($G950,'IN_Detr 4.5 del_397'!$A$3:$A$1193,0),MATCH(I$1,'IN_Detr 4.5 del_397'!$A$3:$AAA$3,0))</f>
        <v>0</v>
      </c>
      <c r="J950" s="88">
        <f>INDEX('IN_Detr 4.5 del_397'!$A$3:$AAA$1193,MATCH($G950,'IN_Detr 4.5 del_397'!$A$3:$A$1193,0),MATCH(J$1,'IN_Detr 4.5 del_397'!$A$3:$AAA$3,0))</f>
        <v>0</v>
      </c>
    </row>
    <row r="951" spans="1:10" x14ac:dyDescent="0.2">
      <c r="A951" s="86" t="s">
        <v>7934</v>
      </c>
      <c r="B951" s="1067" t="s">
        <v>105</v>
      </c>
      <c r="C951" s="1037" t="s">
        <v>219</v>
      </c>
      <c r="D951" s="1027" t="s">
        <v>3109</v>
      </c>
      <c r="E951" s="447" t="s">
        <v>755</v>
      </c>
      <c r="F951" s="1034" t="s">
        <v>3109</v>
      </c>
      <c r="G951" s="1034" t="s">
        <v>4158</v>
      </c>
      <c r="H951" s="88">
        <f>INDEX('IN_Detr 4.5 del_397'!$A$3:$AAA$1193,MATCH($G951,'IN_Detr 4.5 del_397'!$A$3:$A$1193,0),MATCH(H$1,'IN_Detr 4.5 del_397'!$A$3:$AAA$3,0))</f>
        <v>0</v>
      </c>
      <c r="I951" s="88">
        <f>INDEX('IN_Detr 4.5 del_397'!$A$3:$AAA$1193,MATCH($G951,'IN_Detr 4.5 del_397'!$A$3:$A$1193,0),MATCH(I$1,'IN_Detr 4.5 del_397'!$A$3:$AAA$3,0))</f>
        <v>0</v>
      </c>
      <c r="J951" s="88">
        <f>INDEX('IN_Detr 4.5 del_397'!$A$3:$AAA$1193,MATCH($G951,'IN_Detr 4.5 del_397'!$A$3:$A$1193,0),MATCH(J$1,'IN_Detr 4.5 del_397'!$A$3:$AAA$3,0))</f>
        <v>0</v>
      </c>
    </row>
    <row r="952" spans="1:10" x14ac:dyDescent="0.2">
      <c r="A952" s="86" t="s">
        <v>7935</v>
      </c>
      <c r="B952" s="447" t="str">
        <f>IN_Anagrafica!$B$9</f>
        <v>NO</v>
      </c>
      <c r="C952" s="369" t="str">
        <f>IF(B952="SI","SI","NO")</f>
        <v>NO</v>
      </c>
      <c r="D952" s="1027" t="s">
        <v>3109</v>
      </c>
      <c r="E952" s="447" t="s">
        <v>417</v>
      </c>
      <c r="F952" s="1034" t="s">
        <v>3109</v>
      </c>
      <c r="G952" s="1034" t="s">
        <v>4161</v>
      </c>
      <c r="H952" s="88">
        <f>INDEX('IN_Detr 4.5 del_397'!$A$3:$AAA$1193,MATCH($G952,'IN_Detr 4.5 del_397'!$A$3:$A$1193,0),MATCH(H$1,'IN_Detr 4.5 del_397'!$A$3:$AAA$3,0))</f>
        <v>0</v>
      </c>
      <c r="I952" s="88">
        <f>INDEX('IN_Detr 4.5 del_397'!$A$3:$AAA$1193,MATCH($G952,'IN_Detr 4.5 del_397'!$A$3:$A$1193,0),MATCH(I$1,'IN_Detr 4.5 del_397'!$A$3:$AAA$3,0))</f>
        <v>0</v>
      </c>
      <c r="J952" s="88">
        <f>INDEX('IN_Detr 4.5 del_397'!$A$3:$AAA$1193,MATCH($G952,'IN_Detr 4.5 del_397'!$A$3:$A$1193,0),MATCH(J$1,'IN_Detr 4.5 del_397'!$A$3:$AAA$3,0))</f>
        <v>0</v>
      </c>
    </row>
    <row r="953" spans="1:10" x14ac:dyDescent="0.2">
      <c r="A953" s="86" t="s">
        <v>7936</v>
      </c>
      <c r="B953" s="1067" t="s">
        <v>105</v>
      </c>
      <c r="C953" s="1037" t="s">
        <v>219</v>
      </c>
      <c r="D953" s="1027" t="s">
        <v>3109</v>
      </c>
      <c r="E953" s="447" t="s">
        <v>761</v>
      </c>
      <c r="F953" s="1034" t="s">
        <v>3109</v>
      </c>
      <c r="G953" s="1034" t="s">
        <v>4359</v>
      </c>
      <c r="H953" s="88">
        <f>INDEX('IN_Detr 4.5 del_397'!$A$3:$AAA$1193,MATCH($G953,'IN_Detr 4.5 del_397'!$A$3:$A$1193,0),MATCH(H$1,'IN_Detr 4.5 del_397'!$A$3:$AAA$3,0))</f>
        <v>0</v>
      </c>
      <c r="I953" s="88">
        <f>INDEX('IN_Detr 4.5 del_397'!$A$3:$AAA$1193,MATCH($G953,'IN_Detr 4.5 del_397'!$A$3:$A$1193,0),MATCH(I$1,'IN_Detr 4.5 del_397'!$A$3:$AAA$3,0))</f>
        <v>0</v>
      </c>
      <c r="J953" s="88">
        <f>INDEX('IN_Detr 4.5 del_397'!$A$3:$AAA$1193,MATCH($G953,'IN_Detr 4.5 del_397'!$A$3:$A$1193,0),MATCH(J$1,'IN_Detr 4.5 del_397'!$A$3:$AAA$3,0))</f>
        <v>0</v>
      </c>
    </row>
    <row r="954" spans="1:10" x14ac:dyDescent="0.2">
      <c r="A954" s="86" t="s">
        <v>7937</v>
      </c>
      <c r="B954" s="447" t="str">
        <f>IN_Anagrafica!$B$9</f>
        <v>NO</v>
      </c>
      <c r="C954" s="369" t="str">
        <f>IF(B954="SI","SI","NO")</f>
        <v>NO</v>
      </c>
      <c r="D954" s="1027" t="s">
        <v>3109</v>
      </c>
      <c r="E954" s="447" t="s">
        <v>764</v>
      </c>
      <c r="F954" s="1034" t="s">
        <v>3109</v>
      </c>
      <c r="G954" s="1034" t="s">
        <v>4362</v>
      </c>
      <c r="H954" s="88">
        <f>INDEX('IN_Detr 4.5 del_397'!$A$3:$AAA$1193,MATCH($G954,'IN_Detr 4.5 del_397'!$A$3:$A$1193,0),MATCH(H$1,'IN_Detr 4.5 del_397'!$A$3:$AAA$3,0))</f>
        <v>0</v>
      </c>
      <c r="I954" s="88">
        <f>INDEX('IN_Detr 4.5 del_397'!$A$3:$AAA$1193,MATCH($G954,'IN_Detr 4.5 del_397'!$A$3:$A$1193,0),MATCH(I$1,'IN_Detr 4.5 del_397'!$A$3:$AAA$3,0))</f>
        <v>0</v>
      </c>
      <c r="J954" s="88">
        <f>INDEX('IN_Detr 4.5 del_397'!$A$3:$AAA$1193,MATCH($G954,'IN_Detr 4.5 del_397'!$A$3:$A$1193,0),MATCH(J$1,'IN_Detr 4.5 del_397'!$A$3:$AAA$3,0))</f>
        <v>0</v>
      </c>
    </row>
    <row r="955" spans="1:10" x14ac:dyDescent="0.2">
      <c r="A955" s="86" t="s">
        <v>7938</v>
      </c>
      <c r="B955" s="1067" t="s">
        <v>105</v>
      </c>
      <c r="C955" s="1037" t="s">
        <v>219</v>
      </c>
      <c r="D955" s="1027" t="s">
        <v>3109</v>
      </c>
      <c r="E955" s="447" t="s">
        <v>8214</v>
      </c>
      <c r="F955" s="1034" t="s">
        <v>3109</v>
      </c>
      <c r="G955" s="1034" t="s">
        <v>3191</v>
      </c>
      <c r="H955" s="88">
        <f>INDEX('IN_Detr 4.5 del_397'!$A$3:$AAA$1193,MATCH($G955,'IN_Detr 4.5 del_397'!$A$3:$A$1193,0),MATCH(H$1,'IN_Detr 4.5 del_397'!$A$3:$AAA$3,0))</f>
        <v>0</v>
      </c>
      <c r="I955" s="88">
        <f>INDEX('IN_Detr 4.5 del_397'!$A$3:$AAA$1193,MATCH($G955,'IN_Detr 4.5 del_397'!$A$3:$A$1193,0),MATCH(I$1,'IN_Detr 4.5 del_397'!$A$3:$AAA$3,0))</f>
        <v>0</v>
      </c>
      <c r="J955" s="88">
        <f>INDEX('IN_Detr 4.5 del_397'!$A$3:$AAA$1193,MATCH($G955,'IN_Detr 4.5 del_397'!$A$3:$A$1193,0),MATCH(J$1,'IN_Detr 4.5 del_397'!$A$3:$AAA$3,0))</f>
        <v>0</v>
      </c>
    </row>
    <row r="956" spans="1:10" x14ac:dyDescent="0.2">
      <c r="A956" s="86" t="s">
        <v>7939</v>
      </c>
      <c r="B956" s="447" t="str">
        <f>IN_Anagrafica!$B$9</f>
        <v>NO</v>
      </c>
      <c r="C956" s="369" t="str">
        <f>IF(B956="SI","SI","NO")</f>
        <v>NO</v>
      </c>
      <c r="D956" s="1027" t="s">
        <v>3109</v>
      </c>
      <c r="E956" s="447" t="s">
        <v>8407</v>
      </c>
      <c r="F956" s="1034" t="s">
        <v>3109</v>
      </c>
      <c r="G956" s="1034" t="s">
        <v>3206</v>
      </c>
      <c r="H956" s="88">
        <f>INDEX('IN_Detr 4.5 del_397'!$A$3:$AAA$1193,MATCH($G956,'IN_Detr 4.5 del_397'!$A$3:$A$1193,0),MATCH(H$1,'IN_Detr 4.5 del_397'!$A$3:$AAA$3,0))</f>
        <v>0</v>
      </c>
      <c r="I956" s="88">
        <f>INDEX('IN_Detr 4.5 del_397'!$A$3:$AAA$1193,MATCH($G956,'IN_Detr 4.5 del_397'!$A$3:$A$1193,0),MATCH(I$1,'IN_Detr 4.5 del_397'!$A$3:$AAA$3,0))</f>
        <v>0</v>
      </c>
      <c r="J956" s="88">
        <f>INDEX('IN_Detr 4.5 del_397'!$A$3:$AAA$1193,MATCH($G956,'IN_Detr 4.5 del_397'!$A$3:$A$1193,0),MATCH(J$1,'IN_Detr 4.5 del_397'!$A$3:$AAA$3,0))</f>
        <v>0</v>
      </c>
    </row>
    <row r="957" spans="1:10" x14ac:dyDescent="0.2">
      <c r="A957" s="86" t="s">
        <v>7940</v>
      </c>
      <c r="B957" s="1067" t="s">
        <v>105</v>
      </c>
      <c r="C957" s="1037" t="s">
        <v>219</v>
      </c>
      <c r="D957" s="1027" t="s">
        <v>3109</v>
      </c>
      <c r="E957" s="447" t="s">
        <v>8408</v>
      </c>
      <c r="F957" s="1034" t="s">
        <v>3109</v>
      </c>
      <c r="G957" s="1034" t="s">
        <v>3348</v>
      </c>
      <c r="H957" s="88">
        <f>INDEX('IN_Detr 4.5 del_397'!$A$3:$AAA$1193,MATCH($G957,'IN_Detr 4.5 del_397'!$A$3:$A$1193,0),MATCH(H$1,'IN_Detr 4.5 del_397'!$A$3:$AAA$3,0))</f>
        <v>0</v>
      </c>
      <c r="I957" s="88">
        <f>INDEX('IN_Detr 4.5 del_397'!$A$3:$AAA$1193,MATCH($G957,'IN_Detr 4.5 del_397'!$A$3:$A$1193,0),MATCH(I$1,'IN_Detr 4.5 del_397'!$A$3:$AAA$3,0))</f>
        <v>0</v>
      </c>
      <c r="J957" s="88">
        <f>INDEX('IN_Detr 4.5 del_397'!$A$3:$AAA$1193,MATCH($G957,'IN_Detr 4.5 del_397'!$A$3:$A$1193,0),MATCH(J$1,'IN_Detr 4.5 del_397'!$A$3:$AAA$3,0))</f>
        <v>0</v>
      </c>
    </row>
    <row r="958" spans="1:10" x14ac:dyDescent="0.2">
      <c r="A958" s="86" t="s">
        <v>7941</v>
      </c>
      <c r="B958" s="447" t="str">
        <f>IN_Anagrafica!$B$9</f>
        <v>NO</v>
      </c>
      <c r="C958" s="369" t="str">
        <f>IF(B958="SI","SI","NO")</f>
        <v>NO</v>
      </c>
      <c r="D958" s="1027" t="s">
        <v>3109</v>
      </c>
      <c r="E958" s="447" t="s">
        <v>8409</v>
      </c>
      <c r="F958" s="1034" t="s">
        <v>3109</v>
      </c>
      <c r="G958" s="1034" t="s">
        <v>3363</v>
      </c>
      <c r="H958" s="88">
        <f>INDEX('IN_Detr 4.5 del_397'!$A$3:$AAA$1193,MATCH($G958,'IN_Detr 4.5 del_397'!$A$3:$A$1193,0),MATCH(H$1,'IN_Detr 4.5 del_397'!$A$3:$AAA$3,0))</f>
        <v>0</v>
      </c>
      <c r="I958" s="88">
        <f>INDEX('IN_Detr 4.5 del_397'!$A$3:$AAA$1193,MATCH($G958,'IN_Detr 4.5 del_397'!$A$3:$A$1193,0),MATCH(I$1,'IN_Detr 4.5 del_397'!$A$3:$AAA$3,0))</f>
        <v>0</v>
      </c>
      <c r="J958" s="88">
        <f>INDEX('IN_Detr 4.5 del_397'!$A$3:$AAA$1193,MATCH($G958,'IN_Detr 4.5 del_397'!$A$3:$A$1193,0),MATCH(J$1,'IN_Detr 4.5 del_397'!$A$3:$AAA$3,0))</f>
        <v>0</v>
      </c>
    </row>
    <row r="959" spans="1:10" x14ac:dyDescent="0.2">
      <c r="A959" s="86" t="s">
        <v>7942</v>
      </c>
      <c r="B959" s="1067" t="s">
        <v>105</v>
      </c>
      <c r="C959" s="1037" t="s">
        <v>219</v>
      </c>
      <c r="D959" s="1027" t="s">
        <v>3109</v>
      </c>
      <c r="E959" s="447" t="s">
        <v>756</v>
      </c>
      <c r="F959" s="1034" t="s">
        <v>3109</v>
      </c>
      <c r="G959" s="1034" t="s">
        <v>4164</v>
      </c>
      <c r="H959" s="88">
        <f>INDEX('IN_Detr 4.5 del_397'!$A$3:$AAA$1193,MATCH($G959,'IN_Detr 4.5 del_397'!$A$3:$A$1193,0),MATCH(H$1,'IN_Detr 4.5 del_397'!$A$3:$AAA$3,0))</f>
        <v>0</v>
      </c>
      <c r="I959" s="88">
        <f>INDEX('IN_Detr 4.5 del_397'!$A$3:$AAA$1193,MATCH($G959,'IN_Detr 4.5 del_397'!$A$3:$A$1193,0),MATCH(I$1,'IN_Detr 4.5 del_397'!$A$3:$AAA$3,0))</f>
        <v>0</v>
      </c>
      <c r="J959" s="88">
        <f>INDEX('IN_Detr 4.5 del_397'!$A$3:$AAA$1193,MATCH($G959,'IN_Detr 4.5 del_397'!$A$3:$A$1193,0),MATCH(J$1,'IN_Detr 4.5 del_397'!$A$3:$AAA$3,0))</f>
        <v>0</v>
      </c>
    </row>
    <row r="960" spans="1:10" x14ac:dyDescent="0.2">
      <c r="A960" s="86" t="s">
        <v>7943</v>
      </c>
      <c r="B960" s="447" t="str">
        <f>IN_Anagrafica!$B$9</f>
        <v>NO</v>
      </c>
      <c r="C960" s="369" t="str">
        <f>IF(B960="SI","SI","NO")</f>
        <v>NO</v>
      </c>
      <c r="D960" s="1027" t="s">
        <v>3109</v>
      </c>
      <c r="E960" s="447" t="s">
        <v>759</v>
      </c>
      <c r="F960" s="1034" t="s">
        <v>3109</v>
      </c>
      <c r="G960" s="1034" t="s">
        <v>4179</v>
      </c>
      <c r="H960" s="88">
        <f>INDEX('IN_Detr 4.5 del_397'!$A$3:$AAA$1193,MATCH($G960,'IN_Detr 4.5 del_397'!$A$3:$A$1193,0),MATCH(H$1,'IN_Detr 4.5 del_397'!$A$3:$AAA$3,0))</f>
        <v>0</v>
      </c>
      <c r="I960" s="88">
        <f>INDEX('IN_Detr 4.5 del_397'!$A$3:$AAA$1193,MATCH($G960,'IN_Detr 4.5 del_397'!$A$3:$A$1193,0),MATCH(I$1,'IN_Detr 4.5 del_397'!$A$3:$AAA$3,0))</f>
        <v>0</v>
      </c>
      <c r="J960" s="88">
        <f>INDEX('IN_Detr 4.5 del_397'!$A$3:$AAA$1193,MATCH($G960,'IN_Detr 4.5 del_397'!$A$3:$A$1193,0),MATCH(J$1,'IN_Detr 4.5 del_397'!$A$3:$AAA$3,0))</f>
        <v>0</v>
      </c>
    </row>
    <row r="961" spans="1:10" x14ac:dyDescent="0.2">
      <c r="A961" s="86" t="s">
        <v>7944</v>
      </c>
      <c r="B961" s="1067" t="s">
        <v>105</v>
      </c>
      <c r="C961" s="1037" t="s">
        <v>219</v>
      </c>
      <c r="D961" s="1027" t="s">
        <v>3109</v>
      </c>
      <c r="E961" s="447" t="s">
        <v>762</v>
      </c>
      <c r="F961" s="1034" t="s">
        <v>3109</v>
      </c>
      <c r="G961" s="1034" t="s">
        <v>4365</v>
      </c>
      <c r="H961" s="88">
        <f>INDEX('IN_Detr 4.5 del_397'!$A$3:$AAA$1193,MATCH($G961,'IN_Detr 4.5 del_397'!$A$3:$A$1193,0),MATCH(H$1,'IN_Detr 4.5 del_397'!$A$3:$AAA$3,0))</f>
        <v>0</v>
      </c>
      <c r="I961" s="88">
        <f>INDEX('IN_Detr 4.5 del_397'!$A$3:$AAA$1193,MATCH($G961,'IN_Detr 4.5 del_397'!$A$3:$A$1193,0),MATCH(I$1,'IN_Detr 4.5 del_397'!$A$3:$AAA$3,0))</f>
        <v>0</v>
      </c>
      <c r="J961" s="88">
        <f>INDEX('IN_Detr 4.5 del_397'!$A$3:$AAA$1193,MATCH($G961,'IN_Detr 4.5 del_397'!$A$3:$A$1193,0),MATCH(J$1,'IN_Detr 4.5 del_397'!$A$3:$AAA$3,0))</f>
        <v>0</v>
      </c>
    </row>
    <row r="962" spans="1:10" x14ac:dyDescent="0.2">
      <c r="A962" s="86" t="s">
        <v>7945</v>
      </c>
      <c r="B962" s="447" t="str">
        <f>IN_Anagrafica!$B$9</f>
        <v>NO</v>
      </c>
      <c r="C962" s="369" t="str">
        <f>IF(B962="SI","SI","NO")</f>
        <v>NO</v>
      </c>
      <c r="D962" s="1027" t="s">
        <v>3109</v>
      </c>
      <c r="E962" s="447" t="s">
        <v>765</v>
      </c>
      <c r="F962" s="1034" t="s">
        <v>3109</v>
      </c>
      <c r="G962" s="1034" t="s">
        <v>4380</v>
      </c>
      <c r="H962" s="88">
        <f>INDEX('IN_Detr 4.5 del_397'!$A$3:$AAA$1193,MATCH($G962,'IN_Detr 4.5 del_397'!$A$3:$A$1193,0),MATCH(H$1,'IN_Detr 4.5 del_397'!$A$3:$AAA$3,0))</f>
        <v>0</v>
      </c>
      <c r="I962" s="88">
        <f>INDEX('IN_Detr 4.5 del_397'!$A$3:$AAA$1193,MATCH($G962,'IN_Detr 4.5 del_397'!$A$3:$A$1193,0),MATCH(I$1,'IN_Detr 4.5 del_397'!$A$3:$AAA$3,0))</f>
        <v>0</v>
      </c>
      <c r="J962" s="88">
        <f>INDEX('IN_Detr 4.5 del_397'!$A$3:$AAA$1193,MATCH($G962,'IN_Detr 4.5 del_397'!$A$3:$A$1193,0),MATCH(J$1,'IN_Detr 4.5 del_397'!$A$3:$AAA$3,0))</f>
        <v>0</v>
      </c>
    </row>
    <row r="963" spans="1:10" x14ac:dyDescent="0.2">
      <c r="A963" s="86" t="s">
        <v>7946</v>
      </c>
      <c r="B963" s="1067" t="s">
        <v>105</v>
      </c>
      <c r="C963" s="1037" t="s">
        <v>219</v>
      </c>
      <c r="D963" s="1027" t="s">
        <v>3109</v>
      </c>
      <c r="E963" s="447" t="s">
        <v>8410</v>
      </c>
      <c r="F963" s="1034" t="s">
        <v>3109</v>
      </c>
      <c r="G963" s="1034" t="s">
        <v>3194</v>
      </c>
      <c r="H963" s="88">
        <f>INDEX('IN_Detr 4.5 del_397'!$A$3:$AAA$1193,MATCH($G963,'IN_Detr 4.5 del_397'!$A$3:$A$1193,0),MATCH(H$1,'IN_Detr 4.5 del_397'!$A$3:$AAA$3,0))</f>
        <v>0</v>
      </c>
      <c r="I963" s="88">
        <f>INDEX('IN_Detr 4.5 del_397'!$A$3:$AAA$1193,MATCH($G963,'IN_Detr 4.5 del_397'!$A$3:$A$1193,0),MATCH(I$1,'IN_Detr 4.5 del_397'!$A$3:$AAA$3,0))</f>
        <v>0</v>
      </c>
      <c r="J963" s="88">
        <f>INDEX('IN_Detr 4.5 del_397'!$A$3:$AAA$1193,MATCH($G963,'IN_Detr 4.5 del_397'!$A$3:$A$1193,0),MATCH(J$1,'IN_Detr 4.5 del_397'!$A$3:$AAA$3,0))</f>
        <v>0</v>
      </c>
    </row>
    <row r="964" spans="1:10" x14ac:dyDescent="0.2">
      <c r="A964" s="86" t="s">
        <v>7947</v>
      </c>
      <c r="B964" s="447" t="str">
        <f>IN_Anagrafica!$B$9</f>
        <v>NO</v>
      </c>
      <c r="C964" s="369" t="str">
        <f>IF(B964="SI","SI","NO")</f>
        <v>NO</v>
      </c>
      <c r="D964" s="1027" t="s">
        <v>3109</v>
      </c>
      <c r="E964" s="447" t="s">
        <v>8411</v>
      </c>
      <c r="F964" s="1034" t="s">
        <v>3109</v>
      </c>
      <c r="G964" s="1034" t="s">
        <v>3209</v>
      </c>
      <c r="H964" s="88">
        <f>INDEX('IN_Detr 4.5 del_397'!$A$3:$AAA$1193,MATCH($G964,'IN_Detr 4.5 del_397'!$A$3:$A$1193,0),MATCH(H$1,'IN_Detr 4.5 del_397'!$A$3:$AAA$3,0))</f>
        <v>0</v>
      </c>
      <c r="I964" s="88">
        <f>INDEX('IN_Detr 4.5 del_397'!$A$3:$AAA$1193,MATCH($G964,'IN_Detr 4.5 del_397'!$A$3:$A$1193,0),MATCH(I$1,'IN_Detr 4.5 del_397'!$A$3:$AAA$3,0))</f>
        <v>0</v>
      </c>
      <c r="J964" s="88">
        <f>INDEX('IN_Detr 4.5 del_397'!$A$3:$AAA$1193,MATCH($G964,'IN_Detr 4.5 del_397'!$A$3:$A$1193,0),MATCH(J$1,'IN_Detr 4.5 del_397'!$A$3:$AAA$3,0))</f>
        <v>0</v>
      </c>
    </row>
    <row r="965" spans="1:10" x14ac:dyDescent="0.2">
      <c r="A965" s="86" t="s">
        <v>7948</v>
      </c>
      <c r="B965" s="1067" t="s">
        <v>105</v>
      </c>
      <c r="C965" s="1037" t="s">
        <v>219</v>
      </c>
      <c r="D965" s="1027" t="s">
        <v>3109</v>
      </c>
      <c r="E965" s="447" t="s">
        <v>8412</v>
      </c>
      <c r="F965" s="1034" t="s">
        <v>3109</v>
      </c>
      <c r="G965" s="1034" t="s">
        <v>3351</v>
      </c>
      <c r="H965" s="88">
        <f>INDEX('IN_Detr 4.5 del_397'!$A$3:$AAA$1193,MATCH($G965,'IN_Detr 4.5 del_397'!$A$3:$A$1193,0),MATCH(H$1,'IN_Detr 4.5 del_397'!$A$3:$AAA$3,0))</f>
        <v>0</v>
      </c>
      <c r="I965" s="88">
        <f>INDEX('IN_Detr 4.5 del_397'!$A$3:$AAA$1193,MATCH($G965,'IN_Detr 4.5 del_397'!$A$3:$A$1193,0),MATCH(I$1,'IN_Detr 4.5 del_397'!$A$3:$AAA$3,0))</f>
        <v>0</v>
      </c>
      <c r="J965" s="88">
        <f>INDEX('IN_Detr 4.5 del_397'!$A$3:$AAA$1193,MATCH($G965,'IN_Detr 4.5 del_397'!$A$3:$A$1193,0),MATCH(J$1,'IN_Detr 4.5 del_397'!$A$3:$AAA$3,0))</f>
        <v>0</v>
      </c>
    </row>
    <row r="966" spans="1:10" x14ac:dyDescent="0.2">
      <c r="A966" s="86" t="s">
        <v>7949</v>
      </c>
      <c r="B966" s="447" t="str">
        <f>IN_Anagrafica!$B$9</f>
        <v>NO</v>
      </c>
      <c r="C966" s="369" t="str">
        <f>IF(B966="SI","SI","NO")</f>
        <v>NO</v>
      </c>
      <c r="D966" s="1027" t="s">
        <v>3109</v>
      </c>
      <c r="E966" s="447" t="s">
        <v>8413</v>
      </c>
      <c r="F966" s="1034" t="s">
        <v>3109</v>
      </c>
      <c r="G966" s="1034" t="s">
        <v>3366</v>
      </c>
      <c r="H966" s="88">
        <f>INDEX('IN_Detr 4.5 del_397'!$A$3:$AAA$1193,MATCH($G966,'IN_Detr 4.5 del_397'!$A$3:$A$1193,0),MATCH(H$1,'IN_Detr 4.5 del_397'!$A$3:$AAA$3,0))</f>
        <v>0</v>
      </c>
      <c r="I966" s="88">
        <f>INDEX('IN_Detr 4.5 del_397'!$A$3:$AAA$1193,MATCH($G966,'IN_Detr 4.5 del_397'!$A$3:$A$1193,0),MATCH(I$1,'IN_Detr 4.5 del_397'!$A$3:$AAA$3,0))</f>
        <v>0</v>
      </c>
      <c r="J966" s="88">
        <f>INDEX('IN_Detr 4.5 del_397'!$A$3:$AAA$1193,MATCH($G966,'IN_Detr 4.5 del_397'!$A$3:$A$1193,0),MATCH(J$1,'IN_Detr 4.5 del_397'!$A$3:$AAA$3,0))</f>
        <v>0</v>
      </c>
    </row>
    <row r="967" spans="1:10" x14ac:dyDescent="0.2">
      <c r="A967" s="86" t="s">
        <v>7950</v>
      </c>
      <c r="B967" s="1067" t="s">
        <v>105</v>
      </c>
      <c r="C967" s="1037" t="s">
        <v>219</v>
      </c>
      <c r="D967" s="1027" t="s">
        <v>3109</v>
      </c>
      <c r="E967" s="447" t="s">
        <v>8414</v>
      </c>
      <c r="F967" s="1034" t="s">
        <v>3109</v>
      </c>
      <c r="G967" s="1034" t="s">
        <v>4167</v>
      </c>
      <c r="H967" s="88">
        <f>INDEX('IN_Detr 4.5 del_397'!$A$3:$AAA$1193,MATCH($G967,'IN_Detr 4.5 del_397'!$A$3:$A$1193,0),MATCH(H$1,'IN_Detr 4.5 del_397'!$A$3:$AAA$3,0))</f>
        <v>0</v>
      </c>
      <c r="I967" s="88">
        <f>INDEX('IN_Detr 4.5 del_397'!$A$3:$AAA$1193,MATCH($G967,'IN_Detr 4.5 del_397'!$A$3:$A$1193,0),MATCH(I$1,'IN_Detr 4.5 del_397'!$A$3:$AAA$3,0))</f>
        <v>0</v>
      </c>
      <c r="J967" s="88">
        <f>INDEX('IN_Detr 4.5 del_397'!$A$3:$AAA$1193,MATCH($G967,'IN_Detr 4.5 del_397'!$A$3:$A$1193,0),MATCH(J$1,'IN_Detr 4.5 del_397'!$A$3:$AAA$3,0))</f>
        <v>0</v>
      </c>
    </row>
    <row r="968" spans="1:10" x14ac:dyDescent="0.2">
      <c r="A968" s="86" t="s">
        <v>7951</v>
      </c>
      <c r="B968" s="447" t="str">
        <f>IN_Anagrafica!$B$9</f>
        <v>NO</v>
      </c>
      <c r="C968" s="369" t="str">
        <f>IF(B968="SI","SI","NO")</f>
        <v>NO</v>
      </c>
      <c r="D968" s="1027" t="s">
        <v>3109</v>
      </c>
      <c r="E968" s="447" t="s">
        <v>8415</v>
      </c>
      <c r="F968" s="1034" t="s">
        <v>3109</v>
      </c>
      <c r="G968" s="1034" t="s">
        <v>4182</v>
      </c>
      <c r="H968" s="88">
        <f>INDEX('IN_Detr 4.5 del_397'!$A$3:$AAA$1193,MATCH($G968,'IN_Detr 4.5 del_397'!$A$3:$A$1193,0),MATCH(H$1,'IN_Detr 4.5 del_397'!$A$3:$AAA$3,0))</f>
        <v>0</v>
      </c>
      <c r="I968" s="88">
        <f>INDEX('IN_Detr 4.5 del_397'!$A$3:$AAA$1193,MATCH($G968,'IN_Detr 4.5 del_397'!$A$3:$A$1193,0),MATCH(I$1,'IN_Detr 4.5 del_397'!$A$3:$AAA$3,0))</f>
        <v>0</v>
      </c>
      <c r="J968" s="88">
        <f>INDEX('IN_Detr 4.5 del_397'!$A$3:$AAA$1193,MATCH($G968,'IN_Detr 4.5 del_397'!$A$3:$A$1193,0),MATCH(J$1,'IN_Detr 4.5 del_397'!$A$3:$AAA$3,0))</f>
        <v>0</v>
      </c>
    </row>
    <row r="969" spans="1:10" x14ac:dyDescent="0.2">
      <c r="A969" s="86" t="s">
        <v>7952</v>
      </c>
      <c r="B969" s="1067" t="s">
        <v>105</v>
      </c>
      <c r="C969" s="1037" t="s">
        <v>219</v>
      </c>
      <c r="D969" s="1027" t="s">
        <v>3109</v>
      </c>
      <c r="E969" s="447" t="s">
        <v>8416</v>
      </c>
      <c r="F969" s="1034" t="s">
        <v>3109</v>
      </c>
      <c r="G969" s="1034" t="s">
        <v>4368</v>
      </c>
      <c r="H969" s="88">
        <f>INDEX('IN_Detr 4.5 del_397'!$A$3:$AAA$1193,MATCH($G969,'IN_Detr 4.5 del_397'!$A$3:$A$1193,0),MATCH(H$1,'IN_Detr 4.5 del_397'!$A$3:$AAA$3,0))</f>
        <v>0</v>
      </c>
      <c r="I969" s="88">
        <f>INDEX('IN_Detr 4.5 del_397'!$A$3:$AAA$1193,MATCH($G969,'IN_Detr 4.5 del_397'!$A$3:$A$1193,0),MATCH(I$1,'IN_Detr 4.5 del_397'!$A$3:$AAA$3,0))</f>
        <v>0</v>
      </c>
      <c r="J969" s="88">
        <f>INDEX('IN_Detr 4.5 del_397'!$A$3:$AAA$1193,MATCH($G969,'IN_Detr 4.5 del_397'!$A$3:$A$1193,0),MATCH(J$1,'IN_Detr 4.5 del_397'!$A$3:$AAA$3,0))</f>
        <v>0</v>
      </c>
    </row>
    <row r="970" spans="1:10" x14ac:dyDescent="0.2">
      <c r="A970" s="86" t="s">
        <v>7953</v>
      </c>
      <c r="B970" s="447" t="str">
        <f>IN_Anagrafica!$B$9</f>
        <v>NO</v>
      </c>
      <c r="C970" s="369" t="str">
        <f>IF(B970="SI","SI","NO")</f>
        <v>NO</v>
      </c>
      <c r="D970" s="1027" t="s">
        <v>3109</v>
      </c>
      <c r="E970" s="447" t="s">
        <v>8417</v>
      </c>
      <c r="F970" s="1034" t="s">
        <v>3109</v>
      </c>
      <c r="G970" s="1034" t="s">
        <v>4383</v>
      </c>
      <c r="H970" s="88">
        <f>INDEX('IN_Detr 4.5 del_397'!$A$3:$AAA$1193,MATCH($G970,'IN_Detr 4.5 del_397'!$A$3:$A$1193,0),MATCH(H$1,'IN_Detr 4.5 del_397'!$A$3:$AAA$3,0))</f>
        <v>0</v>
      </c>
      <c r="I970" s="88">
        <f>INDEX('IN_Detr 4.5 del_397'!$A$3:$AAA$1193,MATCH($G970,'IN_Detr 4.5 del_397'!$A$3:$A$1193,0),MATCH(I$1,'IN_Detr 4.5 del_397'!$A$3:$AAA$3,0))</f>
        <v>0</v>
      </c>
      <c r="J970" s="88">
        <f>INDEX('IN_Detr 4.5 del_397'!$A$3:$AAA$1193,MATCH($G970,'IN_Detr 4.5 del_397'!$A$3:$A$1193,0),MATCH(J$1,'IN_Detr 4.5 del_397'!$A$3:$AAA$3,0))</f>
        <v>0</v>
      </c>
    </row>
    <row r="971" spans="1:10" x14ac:dyDescent="0.2">
      <c r="A971" s="86" t="s">
        <v>7954</v>
      </c>
      <c r="B971" s="1067" t="s">
        <v>105</v>
      </c>
      <c r="C971" s="1037" t="s">
        <v>219</v>
      </c>
      <c r="D971" s="1027" t="s">
        <v>3109</v>
      </c>
      <c r="E971" s="447" t="s">
        <v>8418</v>
      </c>
      <c r="F971" s="1034" t="s">
        <v>3109</v>
      </c>
      <c r="G971" s="1034" t="s">
        <v>3197</v>
      </c>
      <c r="H971" s="88">
        <f>INDEX('IN_Detr 4.5 del_397'!$A$3:$AAA$1193,MATCH($G971,'IN_Detr 4.5 del_397'!$A$3:$A$1193,0),MATCH(H$1,'IN_Detr 4.5 del_397'!$A$3:$AAA$3,0))</f>
        <v>0</v>
      </c>
      <c r="I971" s="88">
        <f>INDEX('IN_Detr 4.5 del_397'!$A$3:$AAA$1193,MATCH($G971,'IN_Detr 4.5 del_397'!$A$3:$A$1193,0),MATCH(I$1,'IN_Detr 4.5 del_397'!$A$3:$AAA$3,0))</f>
        <v>0</v>
      </c>
      <c r="J971" s="88">
        <f>INDEX('IN_Detr 4.5 del_397'!$A$3:$AAA$1193,MATCH($G971,'IN_Detr 4.5 del_397'!$A$3:$A$1193,0),MATCH(J$1,'IN_Detr 4.5 del_397'!$A$3:$AAA$3,0))</f>
        <v>0</v>
      </c>
    </row>
    <row r="972" spans="1:10" x14ac:dyDescent="0.2">
      <c r="A972" s="86" t="s">
        <v>7955</v>
      </c>
      <c r="B972" s="447" t="str">
        <f>IN_Anagrafica!$B$9</f>
        <v>NO</v>
      </c>
      <c r="C972" s="369" t="str">
        <f>IF(B972="SI","SI","NO")</f>
        <v>NO</v>
      </c>
      <c r="D972" s="1027" t="s">
        <v>3109</v>
      </c>
      <c r="E972" s="447" t="s">
        <v>8128</v>
      </c>
      <c r="F972" s="1034" t="s">
        <v>3109</v>
      </c>
      <c r="G972" s="1034" t="s">
        <v>3212</v>
      </c>
      <c r="H972" s="88">
        <f>INDEX('IN_Detr 4.5 del_397'!$A$3:$AAA$1193,MATCH($G972,'IN_Detr 4.5 del_397'!$A$3:$A$1193,0),MATCH(H$1,'IN_Detr 4.5 del_397'!$A$3:$AAA$3,0))</f>
        <v>0</v>
      </c>
      <c r="I972" s="88">
        <f>INDEX('IN_Detr 4.5 del_397'!$A$3:$AAA$1193,MATCH($G972,'IN_Detr 4.5 del_397'!$A$3:$A$1193,0),MATCH(I$1,'IN_Detr 4.5 del_397'!$A$3:$AAA$3,0))</f>
        <v>0</v>
      </c>
      <c r="J972" s="88">
        <f>INDEX('IN_Detr 4.5 del_397'!$A$3:$AAA$1193,MATCH($G972,'IN_Detr 4.5 del_397'!$A$3:$A$1193,0),MATCH(J$1,'IN_Detr 4.5 del_397'!$A$3:$AAA$3,0))</f>
        <v>0</v>
      </c>
    </row>
    <row r="973" spans="1:10" x14ac:dyDescent="0.2">
      <c r="A973" s="86" t="s">
        <v>7956</v>
      </c>
      <c r="B973" s="1067" t="s">
        <v>105</v>
      </c>
      <c r="C973" s="1037" t="s">
        <v>219</v>
      </c>
      <c r="D973" s="1027" t="s">
        <v>3109</v>
      </c>
      <c r="E973" s="447" t="s">
        <v>8129</v>
      </c>
      <c r="F973" s="1034" t="s">
        <v>3109</v>
      </c>
      <c r="G973" s="1034" t="s">
        <v>3354</v>
      </c>
      <c r="H973" s="88">
        <f>INDEX('IN_Detr 4.5 del_397'!$A$3:$AAA$1193,MATCH($G973,'IN_Detr 4.5 del_397'!$A$3:$A$1193,0),MATCH(H$1,'IN_Detr 4.5 del_397'!$A$3:$AAA$3,0))</f>
        <v>0</v>
      </c>
      <c r="I973" s="88">
        <f>INDEX('IN_Detr 4.5 del_397'!$A$3:$AAA$1193,MATCH($G973,'IN_Detr 4.5 del_397'!$A$3:$A$1193,0),MATCH(I$1,'IN_Detr 4.5 del_397'!$A$3:$AAA$3,0))</f>
        <v>0</v>
      </c>
      <c r="J973" s="88">
        <f>INDEX('IN_Detr 4.5 del_397'!$A$3:$AAA$1193,MATCH($G973,'IN_Detr 4.5 del_397'!$A$3:$A$1193,0),MATCH(J$1,'IN_Detr 4.5 del_397'!$A$3:$AAA$3,0))</f>
        <v>0</v>
      </c>
    </row>
    <row r="974" spans="1:10" x14ac:dyDescent="0.2">
      <c r="A974" s="86" t="s">
        <v>7957</v>
      </c>
      <c r="B974" s="447" t="str">
        <f>IN_Anagrafica!$B$9</f>
        <v>NO</v>
      </c>
      <c r="C974" s="369" t="str">
        <f>IF(B974="SI","SI","NO")</f>
        <v>NO</v>
      </c>
      <c r="D974" s="1027" t="s">
        <v>3109</v>
      </c>
      <c r="E974" s="447" t="s">
        <v>8419</v>
      </c>
      <c r="F974" s="1034" t="s">
        <v>3109</v>
      </c>
      <c r="G974" s="1034" t="s">
        <v>3369</v>
      </c>
      <c r="H974" s="88">
        <f>INDEX('IN_Detr 4.5 del_397'!$A$3:$AAA$1193,MATCH($G974,'IN_Detr 4.5 del_397'!$A$3:$A$1193,0),MATCH(H$1,'IN_Detr 4.5 del_397'!$A$3:$AAA$3,0))</f>
        <v>0</v>
      </c>
      <c r="I974" s="88">
        <f>INDEX('IN_Detr 4.5 del_397'!$A$3:$AAA$1193,MATCH($G974,'IN_Detr 4.5 del_397'!$A$3:$A$1193,0),MATCH(I$1,'IN_Detr 4.5 del_397'!$A$3:$AAA$3,0))</f>
        <v>0</v>
      </c>
      <c r="J974" s="88">
        <f>INDEX('IN_Detr 4.5 del_397'!$A$3:$AAA$1193,MATCH($G974,'IN_Detr 4.5 del_397'!$A$3:$A$1193,0),MATCH(J$1,'IN_Detr 4.5 del_397'!$A$3:$AAA$3,0))</f>
        <v>0</v>
      </c>
    </row>
    <row r="975" spans="1:10" x14ac:dyDescent="0.2">
      <c r="A975" s="86" t="s">
        <v>7958</v>
      </c>
      <c r="B975" s="1067" t="s">
        <v>105</v>
      </c>
      <c r="C975" s="1037" t="s">
        <v>219</v>
      </c>
      <c r="D975" s="1027" t="s">
        <v>3109</v>
      </c>
      <c r="E975" s="447" t="s">
        <v>409</v>
      </c>
      <c r="F975" s="1034" t="s">
        <v>3109</v>
      </c>
      <c r="G975" s="1034" t="s">
        <v>4170</v>
      </c>
      <c r="H975" s="88">
        <f>INDEX('IN_Detr 4.5 del_397'!$A$3:$AAA$1193,MATCH($G975,'IN_Detr 4.5 del_397'!$A$3:$A$1193,0),MATCH(H$1,'IN_Detr 4.5 del_397'!$A$3:$AAA$3,0))</f>
        <v>0</v>
      </c>
      <c r="I975" s="88">
        <f>INDEX('IN_Detr 4.5 del_397'!$A$3:$AAA$1193,MATCH($G975,'IN_Detr 4.5 del_397'!$A$3:$A$1193,0),MATCH(I$1,'IN_Detr 4.5 del_397'!$A$3:$AAA$3,0))</f>
        <v>0</v>
      </c>
      <c r="J975" s="88">
        <f>INDEX('IN_Detr 4.5 del_397'!$A$3:$AAA$1193,MATCH($G975,'IN_Detr 4.5 del_397'!$A$3:$A$1193,0),MATCH(J$1,'IN_Detr 4.5 del_397'!$A$3:$AAA$3,0))</f>
        <v>0</v>
      </c>
    </row>
    <row r="976" spans="1:10" x14ac:dyDescent="0.2">
      <c r="A976" s="86" t="s">
        <v>7959</v>
      </c>
      <c r="B976" s="447" t="str">
        <f>IN_Anagrafica!$B$9</f>
        <v>NO</v>
      </c>
      <c r="C976" s="369" t="str">
        <f>IF(B976="SI","SI","NO")</f>
        <v>NO</v>
      </c>
      <c r="D976" s="1027" t="s">
        <v>3109</v>
      </c>
      <c r="E976" s="447" t="s">
        <v>418</v>
      </c>
      <c r="F976" s="1034" t="s">
        <v>3109</v>
      </c>
      <c r="G976" s="1034" t="s">
        <v>4185</v>
      </c>
      <c r="H976" s="88">
        <f>INDEX('IN_Detr 4.5 del_397'!$A$3:$AAA$1193,MATCH($G976,'IN_Detr 4.5 del_397'!$A$3:$A$1193,0),MATCH(H$1,'IN_Detr 4.5 del_397'!$A$3:$AAA$3,0))</f>
        <v>0</v>
      </c>
      <c r="I976" s="88">
        <f>INDEX('IN_Detr 4.5 del_397'!$A$3:$AAA$1193,MATCH($G976,'IN_Detr 4.5 del_397'!$A$3:$A$1193,0),MATCH(I$1,'IN_Detr 4.5 del_397'!$A$3:$AAA$3,0))</f>
        <v>0</v>
      </c>
      <c r="J976" s="88">
        <f>INDEX('IN_Detr 4.5 del_397'!$A$3:$AAA$1193,MATCH($G976,'IN_Detr 4.5 del_397'!$A$3:$A$1193,0),MATCH(J$1,'IN_Detr 4.5 del_397'!$A$3:$AAA$3,0))</f>
        <v>0</v>
      </c>
    </row>
    <row r="977" spans="1:10" x14ac:dyDescent="0.2">
      <c r="A977" s="86" t="s">
        <v>7960</v>
      </c>
      <c r="B977" s="1067" t="s">
        <v>105</v>
      </c>
      <c r="C977" s="1037" t="s">
        <v>219</v>
      </c>
      <c r="D977" s="1027" t="s">
        <v>3109</v>
      </c>
      <c r="E977" s="447" t="s">
        <v>426</v>
      </c>
      <c r="F977" s="1034" t="s">
        <v>3109</v>
      </c>
      <c r="G977" s="1034" t="s">
        <v>4371</v>
      </c>
      <c r="H977" s="88">
        <f>INDEX('IN_Detr 4.5 del_397'!$A$3:$AAA$1193,MATCH($G977,'IN_Detr 4.5 del_397'!$A$3:$A$1193,0),MATCH(H$1,'IN_Detr 4.5 del_397'!$A$3:$AAA$3,0))</f>
        <v>0</v>
      </c>
      <c r="I977" s="88">
        <f>INDEX('IN_Detr 4.5 del_397'!$A$3:$AAA$1193,MATCH($G977,'IN_Detr 4.5 del_397'!$A$3:$A$1193,0),MATCH(I$1,'IN_Detr 4.5 del_397'!$A$3:$AAA$3,0))</f>
        <v>0</v>
      </c>
      <c r="J977" s="88">
        <f>INDEX('IN_Detr 4.5 del_397'!$A$3:$AAA$1193,MATCH($G977,'IN_Detr 4.5 del_397'!$A$3:$A$1193,0),MATCH(J$1,'IN_Detr 4.5 del_397'!$A$3:$AAA$3,0))</f>
        <v>0</v>
      </c>
    </row>
    <row r="978" spans="1:10" x14ac:dyDescent="0.2">
      <c r="A978" s="86" t="s">
        <v>7961</v>
      </c>
      <c r="B978" s="447" t="str">
        <f>IN_Anagrafica!$B$9</f>
        <v>NO</v>
      </c>
      <c r="C978" s="369" t="str">
        <f>IF(B978="SI","SI","NO")</f>
        <v>NO</v>
      </c>
      <c r="D978" s="1027" t="s">
        <v>3109</v>
      </c>
      <c r="E978" s="447" t="s">
        <v>434</v>
      </c>
      <c r="F978" s="1034" t="s">
        <v>3109</v>
      </c>
      <c r="G978" s="1034" t="s">
        <v>4386</v>
      </c>
      <c r="H978" s="88">
        <f>INDEX('IN_Detr 4.5 del_397'!$A$3:$AAA$1193,MATCH($G978,'IN_Detr 4.5 del_397'!$A$3:$A$1193,0),MATCH(H$1,'IN_Detr 4.5 del_397'!$A$3:$AAA$3,0))</f>
        <v>0</v>
      </c>
      <c r="I978" s="88">
        <f>INDEX('IN_Detr 4.5 del_397'!$A$3:$AAA$1193,MATCH($G978,'IN_Detr 4.5 del_397'!$A$3:$A$1193,0),MATCH(I$1,'IN_Detr 4.5 del_397'!$A$3:$AAA$3,0))</f>
        <v>0</v>
      </c>
      <c r="J978" s="88">
        <f>INDEX('IN_Detr 4.5 del_397'!$A$3:$AAA$1193,MATCH($G978,'IN_Detr 4.5 del_397'!$A$3:$A$1193,0),MATCH(J$1,'IN_Detr 4.5 del_397'!$A$3:$AAA$3,0))</f>
        <v>0</v>
      </c>
    </row>
    <row r="979" spans="1:10" x14ac:dyDescent="0.2">
      <c r="A979" s="86" t="s">
        <v>7962</v>
      </c>
      <c r="B979" s="1067" t="s">
        <v>105</v>
      </c>
      <c r="C979" s="1037" t="s">
        <v>219</v>
      </c>
      <c r="D979" s="1027" t="s">
        <v>3109</v>
      </c>
      <c r="E979" s="447" t="s">
        <v>8420</v>
      </c>
      <c r="F979" s="1034" t="s">
        <v>3109</v>
      </c>
      <c r="G979" s="1034" t="s">
        <v>3200</v>
      </c>
      <c r="H979" s="88">
        <f>INDEX('IN_Detr 4.5 del_397'!$A$3:$AAA$1193,MATCH($G979,'IN_Detr 4.5 del_397'!$A$3:$A$1193,0),MATCH(H$1,'IN_Detr 4.5 del_397'!$A$3:$AAA$3,0))</f>
        <v>0</v>
      </c>
      <c r="I979" s="88">
        <f>INDEX('IN_Detr 4.5 del_397'!$A$3:$AAA$1193,MATCH($G979,'IN_Detr 4.5 del_397'!$A$3:$A$1193,0),MATCH(I$1,'IN_Detr 4.5 del_397'!$A$3:$AAA$3,0))</f>
        <v>0</v>
      </c>
      <c r="J979" s="88">
        <f>INDEX('IN_Detr 4.5 del_397'!$A$3:$AAA$1193,MATCH($G979,'IN_Detr 4.5 del_397'!$A$3:$A$1193,0),MATCH(J$1,'IN_Detr 4.5 del_397'!$A$3:$AAA$3,0))</f>
        <v>0</v>
      </c>
    </row>
    <row r="980" spans="1:10" x14ac:dyDescent="0.2">
      <c r="A980" s="86" t="s">
        <v>7963</v>
      </c>
      <c r="B980" s="447" t="str">
        <f>IN_Anagrafica!$B$9</f>
        <v>NO</v>
      </c>
      <c r="C980" s="369" t="str">
        <f>IF(B980="SI","SI","NO")</f>
        <v>NO</v>
      </c>
      <c r="D980" s="1027" t="s">
        <v>3109</v>
      </c>
      <c r="E980" s="447" t="s">
        <v>8421</v>
      </c>
      <c r="F980" s="1034" t="s">
        <v>3109</v>
      </c>
      <c r="G980" s="1034" t="s">
        <v>3215</v>
      </c>
      <c r="H980" s="88">
        <f>INDEX('IN_Detr 4.5 del_397'!$A$3:$AAA$1193,MATCH($G980,'IN_Detr 4.5 del_397'!$A$3:$A$1193,0),MATCH(H$1,'IN_Detr 4.5 del_397'!$A$3:$AAA$3,0))</f>
        <v>0</v>
      </c>
      <c r="I980" s="88">
        <f>INDEX('IN_Detr 4.5 del_397'!$A$3:$AAA$1193,MATCH($G980,'IN_Detr 4.5 del_397'!$A$3:$A$1193,0),MATCH(I$1,'IN_Detr 4.5 del_397'!$A$3:$AAA$3,0))</f>
        <v>0</v>
      </c>
      <c r="J980" s="88">
        <f>INDEX('IN_Detr 4.5 del_397'!$A$3:$AAA$1193,MATCH($G980,'IN_Detr 4.5 del_397'!$A$3:$A$1193,0),MATCH(J$1,'IN_Detr 4.5 del_397'!$A$3:$AAA$3,0))</f>
        <v>0</v>
      </c>
    </row>
    <row r="981" spans="1:10" x14ac:dyDescent="0.2">
      <c r="A981" s="86" t="s">
        <v>7964</v>
      </c>
      <c r="B981" s="1067" t="s">
        <v>105</v>
      </c>
      <c r="C981" s="1037" t="s">
        <v>219</v>
      </c>
      <c r="D981" s="1027" t="s">
        <v>3109</v>
      </c>
      <c r="E981" s="447" t="s">
        <v>8422</v>
      </c>
      <c r="F981" s="1034" t="s">
        <v>3109</v>
      </c>
      <c r="G981" s="1034" t="s">
        <v>3357</v>
      </c>
      <c r="H981" s="88">
        <f>INDEX('IN_Detr 4.5 del_397'!$A$3:$AAA$1193,MATCH($G981,'IN_Detr 4.5 del_397'!$A$3:$A$1193,0),MATCH(H$1,'IN_Detr 4.5 del_397'!$A$3:$AAA$3,0))</f>
        <v>0</v>
      </c>
      <c r="I981" s="88">
        <f>INDEX('IN_Detr 4.5 del_397'!$A$3:$AAA$1193,MATCH($G981,'IN_Detr 4.5 del_397'!$A$3:$A$1193,0),MATCH(I$1,'IN_Detr 4.5 del_397'!$A$3:$AAA$3,0))</f>
        <v>0</v>
      </c>
      <c r="J981" s="88">
        <f>INDEX('IN_Detr 4.5 del_397'!$A$3:$AAA$1193,MATCH($G981,'IN_Detr 4.5 del_397'!$A$3:$A$1193,0),MATCH(J$1,'IN_Detr 4.5 del_397'!$A$3:$AAA$3,0))</f>
        <v>0</v>
      </c>
    </row>
    <row r="982" spans="1:10" x14ac:dyDescent="0.2">
      <c r="A982" s="86" t="s">
        <v>7965</v>
      </c>
      <c r="B982" s="447" t="str">
        <f>IN_Anagrafica!$B$9</f>
        <v>NO</v>
      </c>
      <c r="C982" s="369" t="str">
        <f>IF(B982="SI","SI","NO")</f>
        <v>NO</v>
      </c>
      <c r="D982" s="1027" t="s">
        <v>3109</v>
      </c>
      <c r="E982" s="447" t="s">
        <v>8423</v>
      </c>
      <c r="F982" s="1034" t="s">
        <v>3109</v>
      </c>
      <c r="G982" s="1034" t="s">
        <v>3372</v>
      </c>
      <c r="H982" s="88">
        <f>INDEX('IN_Detr 4.5 del_397'!$A$3:$AAA$1193,MATCH($G982,'IN_Detr 4.5 del_397'!$A$3:$A$1193,0),MATCH(H$1,'IN_Detr 4.5 del_397'!$A$3:$AAA$3,0))</f>
        <v>0</v>
      </c>
      <c r="I982" s="88">
        <f>INDEX('IN_Detr 4.5 del_397'!$A$3:$AAA$1193,MATCH($G982,'IN_Detr 4.5 del_397'!$A$3:$A$1193,0),MATCH(I$1,'IN_Detr 4.5 del_397'!$A$3:$AAA$3,0))</f>
        <v>0</v>
      </c>
      <c r="J982" s="88">
        <f>INDEX('IN_Detr 4.5 del_397'!$A$3:$AAA$1193,MATCH($G982,'IN_Detr 4.5 del_397'!$A$3:$A$1193,0),MATCH(J$1,'IN_Detr 4.5 del_397'!$A$3:$AAA$3,0))</f>
        <v>0</v>
      </c>
    </row>
    <row r="983" spans="1:10" x14ac:dyDescent="0.2">
      <c r="A983" s="86" t="s">
        <v>7966</v>
      </c>
      <c r="B983" s="1067" t="s">
        <v>105</v>
      </c>
      <c r="C983" s="1037" t="s">
        <v>219</v>
      </c>
      <c r="D983" s="1027" t="s">
        <v>3109</v>
      </c>
      <c r="E983" s="447" t="s">
        <v>410</v>
      </c>
      <c r="F983" s="1034" t="s">
        <v>3109</v>
      </c>
      <c r="G983" s="1034" t="s">
        <v>4173</v>
      </c>
      <c r="H983" s="88">
        <f>INDEX('IN_Detr 4.5 del_397'!$A$3:$AAA$1193,MATCH($G983,'IN_Detr 4.5 del_397'!$A$3:$A$1193,0),MATCH(H$1,'IN_Detr 4.5 del_397'!$A$3:$AAA$3,0))</f>
        <v>0</v>
      </c>
      <c r="I983" s="88">
        <f>INDEX('IN_Detr 4.5 del_397'!$A$3:$AAA$1193,MATCH($G983,'IN_Detr 4.5 del_397'!$A$3:$A$1193,0),MATCH(I$1,'IN_Detr 4.5 del_397'!$A$3:$AAA$3,0))</f>
        <v>0</v>
      </c>
      <c r="J983" s="88">
        <f>INDEX('IN_Detr 4.5 del_397'!$A$3:$AAA$1193,MATCH($G983,'IN_Detr 4.5 del_397'!$A$3:$A$1193,0),MATCH(J$1,'IN_Detr 4.5 del_397'!$A$3:$AAA$3,0))</f>
        <v>0</v>
      </c>
    </row>
    <row r="984" spans="1:10" x14ac:dyDescent="0.2">
      <c r="A984" s="86" t="s">
        <v>7967</v>
      </c>
      <c r="B984" s="447" t="str">
        <f>IN_Anagrafica!$B$9</f>
        <v>NO</v>
      </c>
      <c r="C984" s="369" t="str">
        <f>IF(B984="SI","SI","NO")</f>
        <v>NO</v>
      </c>
      <c r="D984" s="1027" t="s">
        <v>3109</v>
      </c>
      <c r="E984" s="447" t="s">
        <v>419</v>
      </c>
      <c r="F984" s="1034" t="s">
        <v>3109</v>
      </c>
      <c r="G984" s="1034" t="s">
        <v>4188</v>
      </c>
      <c r="H984" s="88">
        <f>INDEX('IN_Detr 4.5 del_397'!$A$3:$AAA$1193,MATCH($G984,'IN_Detr 4.5 del_397'!$A$3:$A$1193,0),MATCH(H$1,'IN_Detr 4.5 del_397'!$A$3:$AAA$3,0))</f>
        <v>0</v>
      </c>
      <c r="I984" s="88">
        <f>INDEX('IN_Detr 4.5 del_397'!$A$3:$AAA$1193,MATCH($G984,'IN_Detr 4.5 del_397'!$A$3:$A$1193,0),MATCH(I$1,'IN_Detr 4.5 del_397'!$A$3:$AAA$3,0))</f>
        <v>0</v>
      </c>
      <c r="J984" s="88">
        <f>INDEX('IN_Detr 4.5 del_397'!$A$3:$AAA$1193,MATCH($G984,'IN_Detr 4.5 del_397'!$A$3:$A$1193,0),MATCH(J$1,'IN_Detr 4.5 del_397'!$A$3:$AAA$3,0))</f>
        <v>0</v>
      </c>
    </row>
    <row r="985" spans="1:10" x14ac:dyDescent="0.2">
      <c r="A985" s="86" t="s">
        <v>7968</v>
      </c>
      <c r="B985" s="1067" t="s">
        <v>105</v>
      </c>
      <c r="C985" s="1037" t="s">
        <v>219</v>
      </c>
      <c r="D985" s="1027" t="s">
        <v>3109</v>
      </c>
      <c r="E985" s="447" t="s">
        <v>427</v>
      </c>
      <c r="F985" s="1034" t="s">
        <v>3109</v>
      </c>
      <c r="G985" s="1034" t="s">
        <v>4374</v>
      </c>
      <c r="H985" s="88">
        <f>INDEX('IN_Detr 4.5 del_397'!$A$3:$AAA$1193,MATCH($G985,'IN_Detr 4.5 del_397'!$A$3:$A$1193,0),MATCH(H$1,'IN_Detr 4.5 del_397'!$A$3:$AAA$3,0))</f>
        <v>0</v>
      </c>
      <c r="I985" s="88">
        <f>INDEX('IN_Detr 4.5 del_397'!$A$3:$AAA$1193,MATCH($G985,'IN_Detr 4.5 del_397'!$A$3:$A$1193,0),MATCH(I$1,'IN_Detr 4.5 del_397'!$A$3:$AAA$3,0))</f>
        <v>0</v>
      </c>
      <c r="J985" s="88">
        <f>INDEX('IN_Detr 4.5 del_397'!$A$3:$AAA$1193,MATCH($G985,'IN_Detr 4.5 del_397'!$A$3:$A$1193,0),MATCH(J$1,'IN_Detr 4.5 del_397'!$A$3:$AAA$3,0))</f>
        <v>0</v>
      </c>
    </row>
    <row r="986" spans="1:10" x14ac:dyDescent="0.2">
      <c r="A986" s="86" t="s">
        <v>7969</v>
      </c>
      <c r="B986" s="447" t="str">
        <f>IN_Anagrafica!$B$9</f>
        <v>NO</v>
      </c>
      <c r="C986" s="369" t="str">
        <f>IF(B986="SI","SI","NO")</f>
        <v>NO</v>
      </c>
      <c r="D986" s="1027" t="s">
        <v>3109</v>
      </c>
      <c r="E986" s="447" t="s">
        <v>435</v>
      </c>
      <c r="F986" s="1034" t="s">
        <v>3109</v>
      </c>
      <c r="G986" s="1034" t="s">
        <v>4389</v>
      </c>
      <c r="H986" s="88">
        <f>INDEX('IN_Detr 4.5 del_397'!$A$3:$AAA$1193,MATCH($G986,'IN_Detr 4.5 del_397'!$A$3:$A$1193,0),MATCH(H$1,'IN_Detr 4.5 del_397'!$A$3:$AAA$3,0))</f>
        <v>0</v>
      </c>
      <c r="I986" s="88">
        <f>INDEX('IN_Detr 4.5 del_397'!$A$3:$AAA$1193,MATCH($G986,'IN_Detr 4.5 del_397'!$A$3:$A$1193,0),MATCH(I$1,'IN_Detr 4.5 del_397'!$A$3:$AAA$3,0))</f>
        <v>0</v>
      </c>
      <c r="J986" s="88">
        <f>INDEX('IN_Detr 4.5 del_397'!$A$3:$AAA$1193,MATCH($G986,'IN_Detr 4.5 del_397'!$A$3:$A$1193,0),MATCH(J$1,'IN_Detr 4.5 del_397'!$A$3:$AAA$3,0))</f>
        <v>0</v>
      </c>
    </row>
    <row r="987" spans="1:10" x14ac:dyDescent="0.2">
      <c r="A987" s="86" t="s">
        <v>7970</v>
      </c>
      <c r="B987" s="1067" t="s">
        <v>105</v>
      </c>
      <c r="C987" s="1037" t="s">
        <v>219</v>
      </c>
      <c r="D987" s="1027" t="s">
        <v>3109</v>
      </c>
      <c r="E987" s="447" t="s">
        <v>8424</v>
      </c>
      <c r="F987" s="1034" t="s">
        <v>3109</v>
      </c>
      <c r="G987" s="1034" t="s">
        <v>3221</v>
      </c>
      <c r="H987" s="88">
        <f>INDEX('IN_Detr 4.5 del_397'!$A$3:$AAA$1193,MATCH($G987,'IN_Detr 4.5 del_397'!$A$3:$A$1193,0),MATCH(H$1,'IN_Detr 4.5 del_397'!$A$3:$AAA$3,0))</f>
        <v>0</v>
      </c>
      <c r="I987" s="88">
        <f>INDEX('IN_Detr 4.5 del_397'!$A$3:$AAA$1193,MATCH($G987,'IN_Detr 4.5 del_397'!$A$3:$A$1193,0),MATCH(I$1,'IN_Detr 4.5 del_397'!$A$3:$AAA$3,0))</f>
        <v>0</v>
      </c>
      <c r="J987" s="88">
        <f>INDEX('IN_Detr 4.5 del_397'!$A$3:$AAA$1193,MATCH($G987,'IN_Detr 4.5 del_397'!$A$3:$A$1193,0),MATCH(J$1,'IN_Detr 4.5 del_397'!$A$3:$AAA$3,0))</f>
        <v>0</v>
      </c>
    </row>
    <row r="988" spans="1:10" x14ac:dyDescent="0.2">
      <c r="A988" s="86" t="s">
        <v>7971</v>
      </c>
      <c r="B988" s="447" t="str">
        <f>IN_Anagrafica!$B$9</f>
        <v>NO</v>
      </c>
      <c r="C988" s="369" t="str">
        <f>IF(B988="SI","SI","NO")</f>
        <v>NO</v>
      </c>
      <c r="D988" s="1027" t="s">
        <v>3109</v>
      </c>
      <c r="E988" s="447" t="s">
        <v>8425</v>
      </c>
      <c r="F988" s="1034" t="s">
        <v>3109</v>
      </c>
      <c r="G988" s="1034" t="s">
        <v>3224</v>
      </c>
      <c r="H988" s="88">
        <f>INDEX('IN_Detr 4.5 del_397'!$A$3:$AAA$1193,MATCH($G988,'IN_Detr 4.5 del_397'!$A$3:$A$1193,0),MATCH(H$1,'IN_Detr 4.5 del_397'!$A$3:$AAA$3,0))</f>
        <v>0</v>
      </c>
      <c r="I988" s="88">
        <f>INDEX('IN_Detr 4.5 del_397'!$A$3:$AAA$1193,MATCH($G988,'IN_Detr 4.5 del_397'!$A$3:$A$1193,0),MATCH(I$1,'IN_Detr 4.5 del_397'!$A$3:$AAA$3,0))</f>
        <v>0</v>
      </c>
      <c r="J988" s="88">
        <f>INDEX('IN_Detr 4.5 del_397'!$A$3:$AAA$1193,MATCH($G988,'IN_Detr 4.5 del_397'!$A$3:$A$1193,0),MATCH(J$1,'IN_Detr 4.5 del_397'!$A$3:$AAA$3,0))</f>
        <v>0</v>
      </c>
    </row>
    <row r="989" spans="1:10" x14ac:dyDescent="0.2">
      <c r="A989" s="86" t="s">
        <v>7972</v>
      </c>
      <c r="B989" s="1067" t="s">
        <v>105</v>
      </c>
      <c r="C989" s="1037" t="s">
        <v>219</v>
      </c>
      <c r="D989" s="1027" t="s">
        <v>3109</v>
      </c>
      <c r="E989" s="447" t="s">
        <v>8426</v>
      </c>
      <c r="F989" s="1034" t="s">
        <v>3109</v>
      </c>
      <c r="G989" s="1034" t="s">
        <v>3378</v>
      </c>
      <c r="H989" s="88">
        <f>INDEX('IN_Detr 4.5 del_397'!$A$3:$AAA$1193,MATCH($G989,'IN_Detr 4.5 del_397'!$A$3:$A$1193,0),MATCH(H$1,'IN_Detr 4.5 del_397'!$A$3:$AAA$3,0))</f>
        <v>0</v>
      </c>
      <c r="I989" s="88">
        <f>INDEX('IN_Detr 4.5 del_397'!$A$3:$AAA$1193,MATCH($G989,'IN_Detr 4.5 del_397'!$A$3:$A$1193,0),MATCH(I$1,'IN_Detr 4.5 del_397'!$A$3:$AAA$3,0))</f>
        <v>0</v>
      </c>
      <c r="J989" s="88">
        <f>INDEX('IN_Detr 4.5 del_397'!$A$3:$AAA$1193,MATCH($G989,'IN_Detr 4.5 del_397'!$A$3:$A$1193,0),MATCH(J$1,'IN_Detr 4.5 del_397'!$A$3:$AAA$3,0))</f>
        <v>0</v>
      </c>
    </row>
    <row r="990" spans="1:10" x14ac:dyDescent="0.2">
      <c r="A990" s="86" t="s">
        <v>7973</v>
      </c>
      <c r="B990" s="447" t="str">
        <f>IN_Anagrafica!$B$9</f>
        <v>NO</v>
      </c>
      <c r="C990" s="369" t="str">
        <f>IF(B990="SI","SI","NO")</f>
        <v>NO</v>
      </c>
      <c r="D990" s="1027" t="s">
        <v>3109</v>
      </c>
      <c r="E990" s="447" t="s">
        <v>8427</v>
      </c>
      <c r="F990" s="1034" t="s">
        <v>3109</v>
      </c>
      <c r="G990" s="1034" t="s">
        <v>3381</v>
      </c>
      <c r="H990" s="88">
        <f>INDEX('IN_Detr 4.5 del_397'!$A$3:$AAA$1193,MATCH($G990,'IN_Detr 4.5 del_397'!$A$3:$A$1193,0),MATCH(H$1,'IN_Detr 4.5 del_397'!$A$3:$AAA$3,0))</f>
        <v>0</v>
      </c>
      <c r="I990" s="88">
        <f>INDEX('IN_Detr 4.5 del_397'!$A$3:$AAA$1193,MATCH($G990,'IN_Detr 4.5 del_397'!$A$3:$A$1193,0),MATCH(I$1,'IN_Detr 4.5 del_397'!$A$3:$AAA$3,0))</f>
        <v>0</v>
      </c>
      <c r="J990" s="88">
        <f>INDEX('IN_Detr 4.5 del_397'!$A$3:$AAA$1193,MATCH($G990,'IN_Detr 4.5 del_397'!$A$3:$A$1193,0),MATCH(J$1,'IN_Detr 4.5 del_397'!$A$3:$AAA$3,0))</f>
        <v>0</v>
      </c>
    </row>
    <row r="991" spans="1:10" x14ac:dyDescent="0.2">
      <c r="A991" s="86" t="s">
        <v>7974</v>
      </c>
      <c r="B991" s="1067" t="s">
        <v>105</v>
      </c>
      <c r="C991" s="1037" t="s">
        <v>219</v>
      </c>
      <c r="D991" s="1027" t="s">
        <v>3109</v>
      </c>
      <c r="E991" s="447" t="s">
        <v>411</v>
      </c>
      <c r="F991" s="1034" t="s">
        <v>3109</v>
      </c>
      <c r="G991" s="1034" t="s">
        <v>4194</v>
      </c>
      <c r="H991" s="88">
        <f>INDEX('IN_Detr 4.5 del_397'!$A$3:$AAA$1193,MATCH($G991,'IN_Detr 4.5 del_397'!$A$3:$A$1193,0),MATCH(H$1,'IN_Detr 4.5 del_397'!$A$3:$AAA$3,0))</f>
        <v>0</v>
      </c>
      <c r="I991" s="88">
        <f>INDEX('IN_Detr 4.5 del_397'!$A$3:$AAA$1193,MATCH($G991,'IN_Detr 4.5 del_397'!$A$3:$A$1193,0),MATCH(I$1,'IN_Detr 4.5 del_397'!$A$3:$AAA$3,0))</f>
        <v>0</v>
      </c>
      <c r="J991" s="88">
        <f>INDEX('IN_Detr 4.5 del_397'!$A$3:$AAA$1193,MATCH($G991,'IN_Detr 4.5 del_397'!$A$3:$A$1193,0),MATCH(J$1,'IN_Detr 4.5 del_397'!$A$3:$AAA$3,0))</f>
        <v>0</v>
      </c>
    </row>
    <row r="992" spans="1:10" x14ac:dyDescent="0.2">
      <c r="A992" s="86" t="s">
        <v>7975</v>
      </c>
      <c r="B992" s="447" t="str">
        <f>IN_Anagrafica!$B$9</f>
        <v>NO</v>
      </c>
      <c r="C992" s="369" t="str">
        <f>IF(B992="SI","SI","NO")</f>
        <v>NO</v>
      </c>
      <c r="D992" s="1027" t="s">
        <v>3109</v>
      </c>
      <c r="E992" s="447" t="s">
        <v>420</v>
      </c>
      <c r="F992" s="1034" t="s">
        <v>3109</v>
      </c>
      <c r="G992" s="1034" t="s">
        <v>4197</v>
      </c>
      <c r="H992" s="88">
        <f>INDEX('IN_Detr 4.5 del_397'!$A$3:$AAA$1193,MATCH($G992,'IN_Detr 4.5 del_397'!$A$3:$A$1193,0),MATCH(H$1,'IN_Detr 4.5 del_397'!$A$3:$AAA$3,0))</f>
        <v>0</v>
      </c>
      <c r="I992" s="88">
        <f>INDEX('IN_Detr 4.5 del_397'!$A$3:$AAA$1193,MATCH($G992,'IN_Detr 4.5 del_397'!$A$3:$A$1193,0),MATCH(I$1,'IN_Detr 4.5 del_397'!$A$3:$AAA$3,0))</f>
        <v>0</v>
      </c>
      <c r="J992" s="88">
        <f>INDEX('IN_Detr 4.5 del_397'!$A$3:$AAA$1193,MATCH($G992,'IN_Detr 4.5 del_397'!$A$3:$A$1193,0),MATCH(J$1,'IN_Detr 4.5 del_397'!$A$3:$AAA$3,0))</f>
        <v>0</v>
      </c>
    </row>
    <row r="993" spans="1:10" x14ac:dyDescent="0.2">
      <c r="A993" s="86" t="s">
        <v>7976</v>
      </c>
      <c r="B993" s="1067" t="s">
        <v>105</v>
      </c>
      <c r="C993" s="1037" t="s">
        <v>219</v>
      </c>
      <c r="D993" s="1027" t="s">
        <v>3109</v>
      </c>
      <c r="E993" s="447" t="s">
        <v>428</v>
      </c>
      <c r="F993" s="1034" t="s">
        <v>3109</v>
      </c>
      <c r="G993" s="1034" t="s">
        <v>4395</v>
      </c>
      <c r="H993" s="88">
        <f>INDEX('IN_Detr 4.5 del_397'!$A$3:$AAA$1193,MATCH($G993,'IN_Detr 4.5 del_397'!$A$3:$A$1193,0),MATCH(H$1,'IN_Detr 4.5 del_397'!$A$3:$AAA$3,0))</f>
        <v>0</v>
      </c>
      <c r="I993" s="88">
        <f>INDEX('IN_Detr 4.5 del_397'!$A$3:$AAA$1193,MATCH($G993,'IN_Detr 4.5 del_397'!$A$3:$A$1193,0),MATCH(I$1,'IN_Detr 4.5 del_397'!$A$3:$AAA$3,0))</f>
        <v>0</v>
      </c>
      <c r="J993" s="88">
        <f>INDEX('IN_Detr 4.5 del_397'!$A$3:$AAA$1193,MATCH($G993,'IN_Detr 4.5 del_397'!$A$3:$A$1193,0),MATCH(J$1,'IN_Detr 4.5 del_397'!$A$3:$AAA$3,0))</f>
        <v>0</v>
      </c>
    </row>
    <row r="994" spans="1:10" x14ac:dyDescent="0.2">
      <c r="A994" s="86" t="s">
        <v>7977</v>
      </c>
      <c r="B994" s="447" t="str">
        <f>IN_Anagrafica!$B$9</f>
        <v>NO</v>
      </c>
      <c r="C994" s="369" t="str">
        <f>IF(B994="SI","SI","NO")</f>
        <v>NO</v>
      </c>
      <c r="D994" s="1027" t="s">
        <v>3109</v>
      </c>
      <c r="E994" s="447" t="s">
        <v>436</v>
      </c>
      <c r="F994" s="1034" t="s">
        <v>3109</v>
      </c>
      <c r="G994" s="1034" t="s">
        <v>4398</v>
      </c>
      <c r="H994" s="88">
        <f>INDEX('IN_Detr 4.5 del_397'!$A$3:$AAA$1193,MATCH($G994,'IN_Detr 4.5 del_397'!$A$3:$A$1193,0),MATCH(H$1,'IN_Detr 4.5 del_397'!$A$3:$AAA$3,0))</f>
        <v>0</v>
      </c>
      <c r="I994" s="88">
        <f>INDEX('IN_Detr 4.5 del_397'!$A$3:$AAA$1193,MATCH($G994,'IN_Detr 4.5 del_397'!$A$3:$A$1193,0),MATCH(I$1,'IN_Detr 4.5 del_397'!$A$3:$AAA$3,0))</f>
        <v>0</v>
      </c>
      <c r="J994" s="88">
        <f>INDEX('IN_Detr 4.5 del_397'!$A$3:$AAA$1193,MATCH($G994,'IN_Detr 4.5 del_397'!$A$3:$A$1193,0),MATCH(J$1,'IN_Detr 4.5 del_397'!$A$3:$AAA$3,0))</f>
        <v>0</v>
      </c>
    </row>
    <row r="995" spans="1:10" x14ac:dyDescent="0.2">
      <c r="A995" s="86" t="s">
        <v>7978</v>
      </c>
      <c r="B995" s="1067" t="s">
        <v>105</v>
      </c>
      <c r="C995" s="1037" t="s">
        <v>219</v>
      </c>
      <c r="D995" s="1027" t="s">
        <v>3109</v>
      </c>
      <c r="E995" s="447" t="s">
        <v>8428</v>
      </c>
      <c r="F995" s="1034" t="s">
        <v>3109</v>
      </c>
      <c r="G995" s="1034" t="s">
        <v>3227</v>
      </c>
      <c r="H995" s="88">
        <f>INDEX('IN_Detr 4.5 del_397'!$A$3:$AAA$1193,MATCH($G995,'IN_Detr 4.5 del_397'!$A$3:$A$1193,0),MATCH(H$1,'IN_Detr 4.5 del_397'!$A$3:$AAA$3,0))</f>
        <v>0</v>
      </c>
      <c r="I995" s="88">
        <f>INDEX('IN_Detr 4.5 del_397'!$A$3:$AAA$1193,MATCH($G995,'IN_Detr 4.5 del_397'!$A$3:$A$1193,0),MATCH(I$1,'IN_Detr 4.5 del_397'!$A$3:$AAA$3,0))</f>
        <v>0</v>
      </c>
      <c r="J995" s="88">
        <f>INDEX('IN_Detr 4.5 del_397'!$A$3:$AAA$1193,MATCH($G995,'IN_Detr 4.5 del_397'!$A$3:$A$1193,0),MATCH(J$1,'IN_Detr 4.5 del_397'!$A$3:$AAA$3,0))</f>
        <v>0</v>
      </c>
    </row>
    <row r="996" spans="1:10" x14ac:dyDescent="0.2">
      <c r="A996" s="86" t="s">
        <v>7979</v>
      </c>
      <c r="B996" s="447" t="str">
        <f>IN_Anagrafica!$B$9</f>
        <v>NO</v>
      </c>
      <c r="C996" s="369" t="str">
        <f>IF(B996="SI","SI","NO")</f>
        <v>NO</v>
      </c>
      <c r="D996" s="1027" t="s">
        <v>3109</v>
      </c>
      <c r="E996" s="447" t="s">
        <v>8429</v>
      </c>
      <c r="F996" s="1034" t="s">
        <v>3109</v>
      </c>
      <c r="G996" s="1034" t="s">
        <v>3230</v>
      </c>
      <c r="H996" s="88">
        <f>INDEX('IN_Detr 4.5 del_397'!$A$3:$AAA$1193,MATCH($G996,'IN_Detr 4.5 del_397'!$A$3:$A$1193,0),MATCH(H$1,'IN_Detr 4.5 del_397'!$A$3:$AAA$3,0))</f>
        <v>0</v>
      </c>
      <c r="I996" s="88">
        <f>INDEX('IN_Detr 4.5 del_397'!$A$3:$AAA$1193,MATCH($G996,'IN_Detr 4.5 del_397'!$A$3:$A$1193,0),MATCH(I$1,'IN_Detr 4.5 del_397'!$A$3:$AAA$3,0))</f>
        <v>0</v>
      </c>
      <c r="J996" s="88">
        <f>INDEX('IN_Detr 4.5 del_397'!$A$3:$AAA$1193,MATCH($G996,'IN_Detr 4.5 del_397'!$A$3:$A$1193,0),MATCH(J$1,'IN_Detr 4.5 del_397'!$A$3:$AAA$3,0))</f>
        <v>0</v>
      </c>
    </row>
    <row r="997" spans="1:10" x14ac:dyDescent="0.2">
      <c r="A997" s="86" t="s">
        <v>7980</v>
      </c>
      <c r="B997" s="1067" t="s">
        <v>105</v>
      </c>
      <c r="C997" s="1037" t="s">
        <v>219</v>
      </c>
      <c r="D997" s="1027" t="s">
        <v>3109</v>
      </c>
      <c r="E997" s="447" t="s">
        <v>8430</v>
      </c>
      <c r="F997" s="1034" t="s">
        <v>3109</v>
      </c>
      <c r="G997" s="1034" t="s">
        <v>3384</v>
      </c>
      <c r="H997" s="88">
        <f>INDEX('IN_Detr 4.5 del_397'!$A$3:$AAA$1193,MATCH($G997,'IN_Detr 4.5 del_397'!$A$3:$A$1193,0),MATCH(H$1,'IN_Detr 4.5 del_397'!$A$3:$AAA$3,0))</f>
        <v>0</v>
      </c>
      <c r="I997" s="88">
        <f>INDEX('IN_Detr 4.5 del_397'!$A$3:$AAA$1193,MATCH($G997,'IN_Detr 4.5 del_397'!$A$3:$A$1193,0),MATCH(I$1,'IN_Detr 4.5 del_397'!$A$3:$AAA$3,0))</f>
        <v>0</v>
      </c>
      <c r="J997" s="88">
        <f>INDEX('IN_Detr 4.5 del_397'!$A$3:$AAA$1193,MATCH($G997,'IN_Detr 4.5 del_397'!$A$3:$A$1193,0),MATCH(J$1,'IN_Detr 4.5 del_397'!$A$3:$AAA$3,0))</f>
        <v>0</v>
      </c>
    </row>
    <row r="998" spans="1:10" x14ac:dyDescent="0.2">
      <c r="A998" s="86" t="s">
        <v>7981</v>
      </c>
      <c r="B998" s="447" t="str">
        <f>IN_Anagrafica!$B$9</f>
        <v>NO</v>
      </c>
      <c r="C998" s="369" t="str">
        <f>IF(B998="SI","SI","NO")</f>
        <v>NO</v>
      </c>
      <c r="D998" s="1027" t="s">
        <v>3109</v>
      </c>
      <c r="E998" s="447" t="s">
        <v>8431</v>
      </c>
      <c r="F998" s="1034" t="s">
        <v>3109</v>
      </c>
      <c r="G998" s="1034" t="s">
        <v>3387</v>
      </c>
      <c r="H998" s="88">
        <f>INDEX('IN_Detr 4.5 del_397'!$A$3:$AAA$1193,MATCH($G998,'IN_Detr 4.5 del_397'!$A$3:$A$1193,0),MATCH(H$1,'IN_Detr 4.5 del_397'!$A$3:$AAA$3,0))</f>
        <v>0</v>
      </c>
      <c r="I998" s="88">
        <f>INDEX('IN_Detr 4.5 del_397'!$A$3:$AAA$1193,MATCH($G998,'IN_Detr 4.5 del_397'!$A$3:$A$1193,0),MATCH(I$1,'IN_Detr 4.5 del_397'!$A$3:$AAA$3,0))</f>
        <v>0</v>
      </c>
      <c r="J998" s="88">
        <f>INDEX('IN_Detr 4.5 del_397'!$A$3:$AAA$1193,MATCH($G998,'IN_Detr 4.5 del_397'!$A$3:$A$1193,0),MATCH(J$1,'IN_Detr 4.5 del_397'!$A$3:$AAA$3,0))</f>
        <v>0</v>
      </c>
    </row>
    <row r="999" spans="1:10" x14ac:dyDescent="0.2">
      <c r="A999" s="86" t="s">
        <v>7982</v>
      </c>
      <c r="B999" s="1067" t="s">
        <v>105</v>
      </c>
      <c r="C999" s="1037" t="s">
        <v>219</v>
      </c>
      <c r="D999" s="1027" t="s">
        <v>3109</v>
      </c>
      <c r="E999" s="447" t="s">
        <v>412</v>
      </c>
      <c r="F999" s="1034" t="s">
        <v>3109</v>
      </c>
      <c r="G999" s="1034" t="s">
        <v>4200</v>
      </c>
      <c r="H999" s="88">
        <f>INDEX('IN_Detr 4.5 del_397'!$A$3:$AAA$1193,MATCH($G999,'IN_Detr 4.5 del_397'!$A$3:$A$1193,0),MATCH(H$1,'IN_Detr 4.5 del_397'!$A$3:$AAA$3,0))</f>
        <v>0</v>
      </c>
      <c r="I999" s="88">
        <f>INDEX('IN_Detr 4.5 del_397'!$A$3:$AAA$1193,MATCH($G999,'IN_Detr 4.5 del_397'!$A$3:$A$1193,0),MATCH(I$1,'IN_Detr 4.5 del_397'!$A$3:$AAA$3,0))</f>
        <v>0</v>
      </c>
      <c r="J999" s="88">
        <f>INDEX('IN_Detr 4.5 del_397'!$A$3:$AAA$1193,MATCH($G999,'IN_Detr 4.5 del_397'!$A$3:$A$1193,0),MATCH(J$1,'IN_Detr 4.5 del_397'!$A$3:$AAA$3,0))</f>
        <v>0</v>
      </c>
    </row>
    <row r="1000" spans="1:10" x14ac:dyDescent="0.2">
      <c r="A1000" s="86" t="s">
        <v>7983</v>
      </c>
      <c r="B1000" s="447" t="str">
        <f>IN_Anagrafica!$B$9</f>
        <v>NO</v>
      </c>
      <c r="C1000" s="369" t="str">
        <f>IF(B1000="SI","SI","NO")</f>
        <v>NO</v>
      </c>
      <c r="D1000" s="1027" t="s">
        <v>3109</v>
      </c>
      <c r="E1000" s="447" t="s">
        <v>421</v>
      </c>
      <c r="F1000" s="1034" t="s">
        <v>3109</v>
      </c>
      <c r="G1000" s="1034" t="s">
        <v>4203</v>
      </c>
      <c r="H1000" s="88">
        <f>INDEX('IN_Detr 4.5 del_397'!$A$3:$AAA$1193,MATCH($G1000,'IN_Detr 4.5 del_397'!$A$3:$A$1193,0),MATCH(H$1,'IN_Detr 4.5 del_397'!$A$3:$AAA$3,0))</f>
        <v>0</v>
      </c>
      <c r="I1000" s="88">
        <f>INDEX('IN_Detr 4.5 del_397'!$A$3:$AAA$1193,MATCH($G1000,'IN_Detr 4.5 del_397'!$A$3:$A$1193,0),MATCH(I$1,'IN_Detr 4.5 del_397'!$A$3:$AAA$3,0))</f>
        <v>0</v>
      </c>
      <c r="J1000" s="88">
        <f>INDEX('IN_Detr 4.5 del_397'!$A$3:$AAA$1193,MATCH($G1000,'IN_Detr 4.5 del_397'!$A$3:$A$1193,0),MATCH(J$1,'IN_Detr 4.5 del_397'!$A$3:$AAA$3,0))</f>
        <v>0</v>
      </c>
    </row>
    <row r="1001" spans="1:10" x14ac:dyDescent="0.2">
      <c r="A1001" s="86" t="s">
        <v>7984</v>
      </c>
      <c r="B1001" s="1067" t="s">
        <v>105</v>
      </c>
      <c r="C1001" s="1037" t="s">
        <v>219</v>
      </c>
      <c r="D1001" s="1027" t="s">
        <v>3109</v>
      </c>
      <c r="E1001" s="447" t="s">
        <v>429</v>
      </c>
      <c r="F1001" s="1034" t="s">
        <v>3109</v>
      </c>
      <c r="G1001" s="1034" t="s">
        <v>4401</v>
      </c>
      <c r="H1001" s="88">
        <f>INDEX('IN_Detr 4.5 del_397'!$A$3:$AAA$1193,MATCH($G1001,'IN_Detr 4.5 del_397'!$A$3:$A$1193,0),MATCH(H$1,'IN_Detr 4.5 del_397'!$A$3:$AAA$3,0))</f>
        <v>0</v>
      </c>
      <c r="I1001" s="88">
        <f>INDEX('IN_Detr 4.5 del_397'!$A$3:$AAA$1193,MATCH($G1001,'IN_Detr 4.5 del_397'!$A$3:$A$1193,0),MATCH(I$1,'IN_Detr 4.5 del_397'!$A$3:$AAA$3,0))</f>
        <v>0</v>
      </c>
      <c r="J1001" s="88">
        <f>INDEX('IN_Detr 4.5 del_397'!$A$3:$AAA$1193,MATCH($G1001,'IN_Detr 4.5 del_397'!$A$3:$A$1193,0),MATCH(J$1,'IN_Detr 4.5 del_397'!$A$3:$AAA$3,0))</f>
        <v>0</v>
      </c>
    </row>
    <row r="1002" spans="1:10" x14ac:dyDescent="0.2">
      <c r="A1002" s="86" t="s">
        <v>7985</v>
      </c>
      <c r="B1002" s="447" t="str">
        <f>IN_Anagrafica!$B$9</f>
        <v>NO</v>
      </c>
      <c r="C1002" s="369" t="str">
        <f>IF(B1002="SI","SI","NO")</f>
        <v>NO</v>
      </c>
      <c r="D1002" s="1027" t="s">
        <v>3109</v>
      </c>
      <c r="E1002" s="447" t="s">
        <v>437</v>
      </c>
      <c r="F1002" s="1034" t="s">
        <v>3109</v>
      </c>
      <c r="G1002" s="1034" t="s">
        <v>4404</v>
      </c>
      <c r="H1002" s="88">
        <f>INDEX('IN_Detr 4.5 del_397'!$A$3:$AAA$1193,MATCH($G1002,'IN_Detr 4.5 del_397'!$A$3:$A$1193,0),MATCH(H$1,'IN_Detr 4.5 del_397'!$A$3:$AAA$3,0))</f>
        <v>0</v>
      </c>
      <c r="I1002" s="88">
        <f>INDEX('IN_Detr 4.5 del_397'!$A$3:$AAA$1193,MATCH($G1002,'IN_Detr 4.5 del_397'!$A$3:$A$1193,0),MATCH(I$1,'IN_Detr 4.5 del_397'!$A$3:$AAA$3,0))</f>
        <v>0</v>
      </c>
      <c r="J1002" s="88">
        <f>INDEX('IN_Detr 4.5 del_397'!$A$3:$AAA$1193,MATCH($G1002,'IN_Detr 4.5 del_397'!$A$3:$A$1193,0),MATCH(J$1,'IN_Detr 4.5 del_397'!$A$3:$AAA$3,0))</f>
        <v>0</v>
      </c>
    </row>
    <row r="1003" spans="1:10" x14ac:dyDescent="0.2">
      <c r="A1003" s="86" t="s">
        <v>7986</v>
      </c>
      <c r="B1003" s="1067" t="s">
        <v>105</v>
      </c>
      <c r="C1003" s="1037" t="s">
        <v>219</v>
      </c>
      <c r="D1003" s="1027" t="s">
        <v>3109</v>
      </c>
      <c r="E1003" s="447" t="s">
        <v>8432</v>
      </c>
      <c r="F1003" s="1034" t="s">
        <v>3109</v>
      </c>
      <c r="G1003" s="1034" t="s">
        <v>3233</v>
      </c>
      <c r="H1003" s="88">
        <f>INDEX('IN_Detr 4.5 del_397'!$A$3:$AAA$1193,MATCH($G1003,'IN_Detr 4.5 del_397'!$A$3:$A$1193,0),MATCH(H$1,'IN_Detr 4.5 del_397'!$A$3:$AAA$3,0))</f>
        <v>0</v>
      </c>
      <c r="I1003" s="88">
        <f>INDEX('IN_Detr 4.5 del_397'!$A$3:$AAA$1193,MATCH($G1003,'IN_Detr 4.5 del_397'!$A$3:$A$1193,0),MATCH(I$1,'IN_Detr 4.5 del_397'!$A$3:$AAA$3,0))</f>
        <v>0</v>
      </c>
      <c r="J1003" s="88">
        <f>INDEX('IN_Detr 4.5 del_397'!$A$3:$AAA$1193,MATCH($G1003,'IN_Detr 4.5 del_397'!$A$3:$A$1193,0),MATCH(J$1,'IN_Detr 4.5 del_397'!$A$3:$AAA$3,0))</f>
        <v>0</v>
      </c>
    </row>
    <row r="1004" spans="1:10" x14ac:dyDescent="0.2">
      <c r="A1004" s="86" t="s">
        <v>7987</v>
      </c>
      <c r="B1004" s="447" t="str">
        <f>IN_Anagrafica!$B$9</f>
        <v>NO</v>
      </c>
      <c r="C1004" s="369" t="str">
        <f>IF(B1004="SI","SI","NO")</f>
        <v>NO</v>
      </c>
      <c r="D1004" s="1027" t="s">
        <v>3109</v>
      </c>
      <c r="E1004" s="447" t="s">
        <v>8433</v>
      </c>
      <c r="F1004" s="1034" t="s">
        <v>3109</v>
      </c>
      <c r="G1004" s="1034" t="s">
        <v>3236</v>
      </c>
      <c r="H1004" s="88">
        <f>INDEX('IN_Detr 4.5 del_397'!$A$3:$AAA$1193,MATCH($G1004,'IN_Detr 4.5 del_397'!$A$3:$A$1193,0),MATCH(H$1,'IN_Detr 4.5 del_397'!$A$3:$AAA$3,0))</f>
        <v>0</v>
      </c>
      <c r="I1004" s="88">
        <f>INDEX('IN_Detr 4.5 del_397'!$A$3:$AAA$1193,MATCH($G1004,'IN_Detr 4.5 del_397'!$A$3:$A$1193,0),MATCH(I$1,'IN_Detr 4.5 del_397'!$A$3:$AAA$3,0))</f>
        <v>0</v>
      </c>
      <c r="J1004" s="88">
        <f>INDEX('IN_Detr 4.5 del_397'!$A$3:$AAA$1193,MATCH($G1004,'IN_Detr 4.5 del_397'!$A$3:$A$1193,0),MATCH(J$1,'IN_Detr 4.5 del_397'!$A$3:$AAA$3,0))</f>
        <v>0</v>
      </c>
    </row>
    <row r="1005" spans="1:10" x14ac:dyDescent="0.2">
      <c r="A1005" s="86" t="s">
        <v>7988</v>
      </c>
      <c r="B1005" s="1067" t="s">
        <v>105</v>
      </c>
      <c r="C1005" s="1037" t="s">
        <v>219</v>
      </c>
      <c r="D1005" s="1027" t="s">
        <v>3109</v>
      </c>
      <c r="E1005" s="447" t="s">
        <v>8434</v>
      </c>
      <c r="F1005" s="1034" t="s">
        <v>3109</v>
      </c>
      <c r="G1005" s="1034" t="s">
        <v>3390</v>
      </c>
      <c r="H1005" s="88">
        <f>INDEX('IN_Detr 4.5 del_397'!$A$3:$AAA$1193,MATCH($G1005,'IN_Detr 4.5 del_397'!$A$3:$A$1193,0),MATCH(H$1,'IN_Detr 4.5 del_397'!$A$3:$AAA$3,0))</f>
        <v>0</v>
      </c>
      <c r="I1005" s="88">
        <f>INDEX('IN_Detr 4.5 del_397'!$A$3:$AAA$1193,MATCH($G1005,'IN_Detr 4.5 del_397'!$A$3:$A$1193,0),MATCH(I$1,'IN_Detr 4.5 del_397'!$A$3:$AAA$3,0))</f>
        <v>0</v>
      </c>
      <c r="J1005" s="88">
        <f>INDEX('IN_Detr 4.5 del_397'!$A$3:$AAA$1193,MATCH($G1005,'IN_Detr 4.5 del_397'!$A$3:$A$1193,0),MATCH(J$1,'IN_Detr 4.5 del_397'!$A$3:$AAA$3,0))</f>
        <v>0</v>
      </c>
    </row>
    <row r="1006" spans="1:10" x14ac:dyDescent="0.2">
      <c r="A1006" s="86" t="s">
        <v>7989</v>
      </c>
      <c r="B1006" s="447" t="str">
        <f>IN_Anagrafica!$B$9</f>
        <v>NO</v>
      </c>
      <c r="C1006" s="369" t="str">
        <f>IF(B1006="SI","SI","NO")</f>
        <v>NO</v>
      </c>
      <c r="D1006" s="1027" t="s">
        <v>3109</v>
      </c>
      <c r="E1006" s="447" t="s">
        <v>8435</v>
      </c>
      <c r="F1006" s="1034" t="s">
        <v>3109</v>
      </c>
      <c r="G1006" s="1034" t="s">
        <v>3393</v>
      </c>
      <c r="H1006" s="88">
        <f>INDEX('IN_Detr 4.5 del_397'!$A$3:$AAA$1193,MATCH($G1006,'IN_Detr 4.5 del_397'!$A$3:$A$1193,0),MATCH(H$1,'IN_Detr 4.5 del_397'!$A$3:$AAA$3,0))</f>
        <v>0</v>
      </c>
      <c r="I1006" s="88">
        <f>INDEX('IN_Detr 4.5 del_397'!$A$3:$AAA$1193,MATCH($G1006,'IN_Detr 4.5 del_397'!$A$3:$A$1193,0),MATCH(I$1,'IN_Detr 4.5 del_397'!$A$3:$AAA$3,0))</f>
        <v>0</v>
      </c>
      <c r="J1006" s="88">
        <f>INDEX('IN_Detr 4.5 del_397'!$A$3:$AAA$1193,MATCH($G1006,'IN_Detr 4.5 del_397'!$A$3:$A$1193,0),MATCH(J$1,'IN_Detr 4.5 del_397'!$A$3:$AAA$3,0))</f>
        <v>0</v>
      </c>
    </row>
    <row r="1007" spans="1:10" x14ac:dyDescent="0.2">
      <c r="A1007" s="86" t="s">
        <v>7990</v>
      </c>
      <c r="B1007" s="1067" t="s">
        <v>105</v>
      </c>
      <c r="C1007" s="1037" t="s">
        <v>219</v>
      </c>
      <c r="D1007" s="1027" t="s">
        <v>3109</v>
      </c>
      <c r="E1007" s="447" t="s">
        <v>413</v>
      </c>
      <c r="F1007" s="1034" t="s">
        <v>3109</v>
      </c>
      <c r="G1007" s="1034" t="s">
        <v>4206</v>
      </c>
      <c r="H1007" s="88">
        <f>INDEX('IN_Detr 4.5 del_397'!$A$3:$AAA$1193,MATCH($G1007,'IN_Detr 4.5 del_397'!$A$3:$A$1193,0),MATCH(H$1,'IN_Detr 4.5 del_397'!$A$3:$AAA$3,0))</f>
        <v>0</v>
      </c>
      <c r="I1007" s="88">
        <f>INDEX('IN_Detr 4.5 del_397'!$A$3:$AAA$1193,MATCH($G1007,'IN_Detr 4.5 del_397'!$A$3:$A$1193,0),MATCH(I$1,'IN_Detr 4.5 del_397'!$A$3:$AAA$3,0))</f>
        <v>0</v>
      </c>
      <c r="J1007" s="88">
        <f>INDEX('IN_Detr 4.5 del_397'!$A$3:$AAA$1193,MATCH($G1007,'IN_Detr 4.5 del_397'!$A$3:$A$1193,0),MATCH(J$1,'IN_Detr 4.5 del_397'!$A$3:$AAA$3,0))</f>
        <v>0</v>
      </c>
    </row>
    <row r="1008" spans="1:10" x14ac:dyDescent="0.2">
      <c r="A1008" s="86" t="s">
        <v>7991</v>
      </c>
      <c r="B1008" s="447" t="str">
        <f>IN_Anagrafica!$B$9</f>
        <v>NO</v>
      </c>
      <c r="C1008" s="369" t="str">
        <f>IF(B1008="SI","SI","NO")</f>
        <v>NO</v>
      </c>
      <c r="D1008" s="1027" t="s">
        <v>3109</v>
      </c>
      <c r="E1008" s="447" t="s">
        <v>422</v>
      </c>
      <c r="F1008" s="1034" t="s">
        <v>3109</v>
      </c>
      <c r="G1008" s="1034" t="s">
        <v>4209</v>
      </c>
      <c r="H1008" s="88">
        <f>INDEX('IN_Detr 4.5 del_397'!$A$3:$AAA$1193,MATCH($G1008,'IN_Detr 4.5 del_397'!$A$3:$A$1193,0),MATCH(H$1,'IN_Detr 4.5 del_397'!$A$3:$AAA$3,0))</f>
        <v>0</v>
      </c>
      <c r="I1008" s="88">
        <f>INDEX('IN_Detr 4.5 del_397'!$A$3:$AAA$1193,MATCH($G1008,'IN_Detr 4.5 del_397'!$A$3:$A$1193,0),MATCH(I$1,'IN_Detr 4.5 del_397'!$A$3:$AAA$3,0))</f>
        <v>0</v>
      </c>
      <c r="J1008" s="88">
        <f>INDEX('IN_Detr 4.5 del_397'!$A$3:$AAA$1193,MATCH($G1008,'IN_Detr 4.5 del_397'!$A$3:$A$1193,0),MATCH(J$1,'IN_Detr 4.5 del_397'!$A$3:$AAA$3,0))</f>
        <v>0</v>
      </c>
    </row>
    <row r="1009" spans="1:10" x14ac:dyDescent="0.2">
      <c r="A1009" s="86" t="s">
        <v>7992</v>
      </c>
      <c r="B1009" s="1067" t="s">
        <v>105</v>
      </c>
      <c r="C1009" s="1037" t="s">
        <v>219</v>
      </c>
      <c r="D1009" s="1027" t="s">
        <v>3109</v>
      </c>
      <c r="E1009" s="447" t="s">
        <v>430</v>
      </c>
      <c r="F1009" s="1034" t="s">
        <v>3109</v>
      </c>
      <c r="G1009" s="1034" t="s">
        <v>4407</v>
      </c>
      <c r="H1009" s="88">
        <f>INDEX('IN_Detr 4.5 del_397'!$A$3:$AAA$1193,MATCH($G1009,'IN_Detr 4.5 del_397'!$A$3:$A$1193,0),MATCH(H$1,'IN_Detr 4.5 del_397'!$A$3:$AAA$3,0))</f>
        <v>0</v>
      </c>
      <c r="I1009" s="88">
        <f>INDEX('IN_Detr 4.5 del_397'!$A$3:$AAA$1193,MATCH($G1009,'IN_Detr 4.5 del_397'!$A$3:$A$1193,0),MATCH(I$1,'IN_Detr 4.5 del_397'!$A$3:$AAA$3,0))</f>
        <v>0</v>
      </c>
      <c r="J1009" s="88">
        <f>INDEX('IN_Detr 4.5 del_397'!$A$3:$AAA$1193,MATCH($G1009,'IN_Detr 4.5 del_397'!$A$3:$A$1193,0),MATCH(J$1,'IN_Detr 4.5 del_397'!$A$3:$AAA$3,0))</f>
        <v>0</v>
      </c>
    </row>
    <row r="1010" spans="1:10" x14ac:dyDescent="0.2">
      <c r="A1010" s="86" t="s">
        <v>7993</v>
      </c>
      <c r="B1010" s="447" t="str">
        <f>IN_Anagrafica!$B$9</f>
        <v>NO</v>
      </c>
      <c r="C1010" s="369" t="str">
        <f>IF(B1010="SI","SI","NO")</f>
        <v>NO</v>
      </c>
      <c r="D1010" s="1027" t="s">
        <v>3109</v>
      </c>
      <c r="E1010" s="447" t="s">
        <v>438</v>
      </c>
      <c r="F1010" s="1034" t="s">
        <v>3109</v>
      </c>
      <c r="G1010" s="1034" t="s">
        <v>4410</v>
      </c>
      <c r="H1010" s="88">
        <f>INDEX('IN_Detr 4.5 del_397'!$A$3:$AAA$1193,MATCH($G1010,'IN_Detr 4.5 del_397'!$A$3:$A$1193,0),MATCH(H$1,'IN_Detr 4.5 del_397'!$A$3:$AAA$3,0))</f>
        <v>0</v>
      </c>
      <c r="I1010" s="88">
        <f>INDEX('IN_Detr 4.5 del_397'!$A$3:$AAA$1193,MATCH($G1010,'IN_Detr 4.5 del_397'!$A$3:$A$1193,0),MATCH(I$1,'IN_Detr 4.5 del_397'!$A$3:$AAA$3,0))</f>
        <v>0</v>
      </c>
      <c r="J1010" s="88">
        <f>INDEX('IN_Detr 4.5 del_397'!$A$3:$AAA$1193,MATCH($G1010,'IN_Detr 4.5 del_397'!$A$3:$A$1193,0),MATCH(J$1,'IN_Detr 4.5 del_397'!$A$3:$AAA$3,0))</f>
        <v>0</v>
      </c>
    </row>
    <row r="1011" spans="1:10" x14ac:dyDescent="0.2">
      <c r="A1011" s="86" t="s">
        <v>7994</v>
      </c>
      <c r="B1011" s="1067" t="s">
        <v>105</v>
      </c>
      <c r="C1011" s="1037" t="s">
        <v>219</v>
      </c>
      <c r="D1011" s="1027" t="s">
        <v>3109</v>
      </c>
      <c r="E1011" s="447" t="s">
        <v>8436</v>
      </c>
      <c r="F1011" s="1034" t="s">
        <v>3109</v>
      </c>
      <c r="G1011" s="1034" t="s">
        <v>3583</v>
      </c>
      <c r="H1011" s="88">
        <f>INDEX('IN_Detr 4.5 del_397'!$A$3:$AAA$1193,MATCH($G1011,'IN_Detr 4.5 del_397'!$A$3:$A$1193,0),MATCH(H$1,'IN_Detr 4.5 del_397'!$A$3:$AAA$3,0))</f>
        <v>0</v>
      </c>
      <c r="I1011" s="88">
        <f>INDEX('IN_Detr 4.5 del_397'!$A$3:$AAA$1193,MATCH($G1011,'IN_Detr 4.5 del_397'!$A$3:$A$1193,0),MATCH(I$1,'IN_Detr 4.5 del_397'!$A$3:$AAA$3,0))</f>
        <v>0</v>
      </c>
      <c r="J1011" s="88">
        <f>INDEX('IN_Detr 4.5 del_397'!$A$3:$AAA$1193,MATCH($G1011,'IN_Detr 4.5 del_397'!$A$3:$A$1193,0),MATCH(J$1,'IN_Detr 4.5 del_397'!$A$3:$AAA$3,0))</f>
        <v>0</v>
      </c>
    </row>
    <row r="1012" spans="1:10" x14ac:dyDescent="0.2">
      <c r="A1012" s="86" t="s">
        <v>7995</v>
      </c>
      <c r="B1012" s="447" t="str">
        <f>IN_Anagrafica!$B$9</f>
        <v>NO</v>
      </c>
      <c r="C1012" s="369" t="str">
        <f>IF(B1012="SI","SI","NO")</f>
        <v>NO</v>
      </c>
      <c r="D1012" s="1027" t="s">
        <v>3109</v>
      </c>
      <c r="E1012" s="447" t="s">
        <v>8138</v>
      </c>
      <c r="F1012" s="1034" t="s">
        <v>3109</v>
      </c>
      <c r="G1012" s="1034" t="s">
        <v>3605</v>
      </c>
      <c r="H1012" s="88">
        <f>INDEX('IN_Detr 4.5 del_397'!$A$3:$AAA$1193,MATCH($G1012,'IN_Detr 4.5 del_397'!$A$3:$A$1193,0),MATCH(H$1,'IN_Detr 4.5 del_397'!$A$3:$AAA$3,0))</f>
        <v>0</v>
      </c>
      <c r="I1012" s="88">
        <f>INDEX('IN_Detr 4.5 del_397'!$A$3:$AAA$1193,MATCH($G1012,'IN_Detr 4.5 del_397'!$A$3:$A$1193,0),MATCH(I$1,'IN_Detr 4.5 del_397'!$A$3:$AAA$3,0))</f>
        <v>0</v>
      </c>
      <c r="J1012" s="88">
        <f>INDEX('IN_Detr 4.5 del_397'!$A$3:$AAA$1193,MATCH($G1012,'IN_Detr 4.5 del_397'!$A$3:$A$1193,0),MATCH(J$1,'IN_Detr 4.5 del_397'!$A$3:$AAA$3,0))</f>
        <v>0</v>
      </c>
    </row>
    <row r="1013" spans="1:10" x14ac:dyDescent="0.2">
      <c r="A1013" s="86" t="s">
        <v>7996</v>
      </c>
      <c r="B1013" s="1067" t="s">
        <v>105</v>
      </c>
      <c r="C1013" s="1037" t="s">
        <v>219</v>
      </c>
      <c r="D1013" s="1027" t="s">
        <v>3109</v>
      </c>
      <c r="E1013" s="447" t="s">
        <v>8139</v>
      </c>
      <c r="F1013" s="1034" t="s">
        <v>3109</v>
      </c>
      <c r="G1013" s="1034" t="s">
        <v>3770</v>
      </c>
      <c r="H1013" s="88">
        <f>INDEX('IN_Detr 4.5 del_397'!$A$3:$AAA$1193,MATCH($G1013,'IN_Detr 4.5 del_397'!$A$3:$A$1193,0),MATCH(H$1,'IN_Detr 4.5 del_397'!$A$3:$AAA$3,0))</f>
        <v>0</v>
      </c>
      <c r="I1013" s="88">
        <f>INDEX('IN_Detr 4.5 del_397'!$A$3:$AAA$1193,MATCH($G1013,'IN_Detr 4.5 del_397'!$A$3:$A$1193,0),MATCH(I$1,'IN_Detr 4.5 del_397'!$A$3:$AAA$3,0))</f>
        <v>0</v>
      </c>
      <c r="J1013" s="88">
        <f>INDEX('IN_Detr 4.5 del_397'!$A$3:$AAA$1193,MATCH($G1013,'IN_Detr 4.5 del_397'!$A$3:$A$1193,0),MATCH(J$1,'IN_Detr 4.5 del_397'!$A$3:$AAA$3,0))</f>
        <v>0</v>
      </c>
    </row>
    <row r="1014" spans="1:10" x14ac:dyDescent="0.2">
      <c r="A1014" s="86" t="s">
        <v>7997</v>
      </c>
      <c r="B1014" s="447" t="str">
        <f>IN_Anagrafica!$B$9</f>
        <v>NO</v>
      </c>
      <c r="C1014" s="369" t="str">
        <f>IF(B1014="SI","SI","NO")</f>
        <v>NO</v>
      </c>
      <c r="D1014" s="1027" t="s">
        <v>3109</v>
      </c>
      <c r="E1014" s="447" t="s">
        <v>8437</v>
      </c>
      <c r="F1014" s="1034" t="s">
        <v>3109</v>
      </c>
      <c r="G1014" s="1034" t="s">
        <v>3784</v>
      </c>
      <c r="H1014" s="88">
        <f>INDEX('IN_Detr 4.5 del_397'!$A$3:$AAA$1193,MATCH($G1014,'IN_Detr 4.5 del_397'!$A$3:$A$1193,0),MATCH(H$1,'IN_Detr 4.5 del_397'!$A$3:$AAA$3,0))</f>
        <v>0</v>
      </c>
      <c r="I1014" s="88">
        <f>INDEX('IN_Detr 4.5 del_397'!$A$3:$AAA$1193,MATCH($G1014,'IN_Detr 4.5 del_397'!$A$3:$A$1193,0),MATCH(I$1,'IN_Detr 4.5 del_397'!$A$3:$AAA$3,0))</f>
        <v>0</v>
      </c>
      <c r="J1014" s="88">
        <f>INDEX('IN_Detr 4.5 del_397'!$A$3:$AAA$1193,MATCH($G1014,'IN_Detr 4.5 del_397'!$A$3:$A$1193,0),MATCH(J$1,'IN_Detr 4.5 del_397'!$A$3:$AAA$3,0))</f>
        <v>0</v>
      </c>
    </row>
    <row r="1015" spans="1:10" x14ac:dyDescent="0.2">
      <c r="A1015" s="86" t="s">
        <v>7998</v>
      </c>
      <c r="B1015" s="1067" t="s">
        <v>105</v>
      </c>
      <c r="C1015" s="1037" t="s">
        <v>219</v>
      </c>
      <c r="D1015" s="1027" t="s">
        <v>3109</v>
      </c>
      <c r="E1015" s="447" t="s">
        <v>8438</v>
      </c>
      <c r="F1015" s="1034" t="s">
        <v>3109</v>
      </c>
      <c r="G1015" s="1034" t="s">
        <v>4211</v>
      </c>
      <c r="H1015" s="88">
        <f>INDEX('IN_Detr 4.5 del_397'!$A$3:$AAA$1193,MATCH($G1015,'IN_Detr 4.5 del_397'!$A$3:$A$1193,0),MATCH(H$1,'IN_Detr 4.5 del_397'!$A$3:$AAA$3,0))</f>
        <v>0</v>
      </c>
      <c r="I1015" s="88">
        <f>INDEX('IN_Detr 4.5 del_397'!$A$3:$AAA$1193,MATCH($G1015,'IN_Detr 4.5 del_397'!$A$3:$A$1193,0),MATCH(I$1,'IN_Detr 4.5 del_397'!$A$3:$AAA$3,0))</f>
        <v>0</v>
      </c>
      <c r="J1015" s="88">
        <f>INDEX('IN_Detr 4.5 del_397'!$A$3:$AAA$1193,MATCH($G1015,'IN_Detr 4.5 del_397'!$A$3:$A$1193,0),MATCH(J$1,'IN_Detr 4.5 del_397'!$A$3:$AAA$3,0))</f>
        <v>0</v>
      </c>
    </row>
    <row r="1016" spans="1:10" x14ac:dyDescent="0.2">
      <c r="A1016" s="86" t="s">
        <v>7999</v>
      </c>
      <c r="B1016" s="447" t="str">
        <f>IN_Anagrafica!$B$9</f>
        <v>NO</v>
      </c>
      <c r="C1016" s="369" t="str">
        <f>IF(B1016="SI","SI","NO")</f>
        <v>NO</v>
      </c>
      <c r="D1016" s="1027" t="s">
        <v>3109</v>
      </c>
      <c r="E1016" s="447" t="s">
        <v>8439</v>
      </c>
      <c r="F1016" s="1034" t="s">
        <v>3109</v>
      </c>
      <c r="G1016" s="1034" t="s">
        <v>4231</v>
      </c>
      <c r="H1016" s="88">
        <f>INDEX('IN_Detr 4.5 del_397'!$A$3:$AAA$1193,MATCH($G1016,'IN_Detr 4.5 del_397'!$A$3:$A$1193,0),MATCH(H$1,'IN_Detr 4.5 del_397'!$A$3:$AAA$3,0))</f>
        <v>0</v>
      </c>
      <c r="I1016" s="88">
        <f>INDEX('IN_Detr 4.5 del_397'!$A$3:$AAA$1193,MATCH($G1016,'IN_Detr 4.5 del_397'!$A$3:$A$1193,0),MATCH(I$1,'IN_Detr 4.5 del_397'!$A$3:$AAA$3,0))</f>
        <v>0</v>
      </c>
      <c r="J1016" s="88">
        <f>INDEX('IN_Detr 4.5 del_397'!$A$3:$AAA$1193,MATCH($G1016,'IN_Detr 4.5 del_397'!$A$3:$A$1193,0),MATCH(J$1,'IN_Detr 4.5 del_397'!$A$3:$AAA$3,0))</f>
        <v>0</v>
      </c>
    </row>
    <row r="1017" spans="1:10" x14ac:dyDescent="0.2">
      <c r="A1017" s="86" t="s">
        <v>8000</v>
      </c>
      <c r="B1017" s="1067" t="s">
        <v>105</v>
      </c>
      <c r="C1017" s="1037" t="s">
        <v>219</v>
      </c>
      <c r="D1017" s="1027" t="s">
        <v>3109</v>
      </c>
      <c r="E1017" s="447" t="s">
        <v>8440</v>
      </c>
      <c r="F1017" s="1034" t="s">
        <v>3109</v>
      </c>
      <c r="G1017" s="1034" t="s">
        <v>4412</v>
      </c>
      <c r="H1017" s="88">
        <f>INDEX('IN_Detr 4.5 del_397'!$A$3:$AAA$1193,MATCH($G1017,'IN_Detr 4.5 del_397'!$A$3:$A$1193,0),MATCH(H$1,'IN_Detr 4.5 del_397'!$A$3:$AAA$3,0))</f>
        <v>0</v>
      </c>
      <c r="I1017" s="88">
        <f>INDEX('IN_Detr 4.5 del_397'!$A$3:$AAA$1193,MATCH($G1017,'IN_Detr 4.5 del_397'!$A$3:$A$1193,0),MATCH(I$1,'IN_Detr 4.5 del_397'!$A$3:$AAA$3,0))</f>
        <v>0</v>
      </c>
      <c r="J1017" s="88">
        <f>INDEX('IN_Detr 4.5 del_397'!$A$3:$AAA$1193,MATCH($G1017,'IN_Detr 4.5 del_397'!$A$3:$A$1193,0),MATCH(J$1,'IN_Detr 4.5 del_397'!$A$3:$AAA$3,0))</f>
        <v>0</v>
      </c>
    </row>
    <row r="1018" spans="1:10" x14ac:dyDescent="0.2">
      <c r="A1018" s="86" t="s">
        <v>8001</v>
      </c>
      <c r="B1018" s="447" t="str">
        <f>IN_Anagrafica!$B$9</f>
        <v>NO</v>
      </c>
      <c r="C1018" s="369" t="str">
        <f>IF(B1018="SI","SI","NO")</f>
        <v>NO</v>
      </c>
      <c r="D1018" s="1027" t="s">
        <v>3109</v>
      </c>
      <c r="E1018" s="447" t="s">
        <v>8441</v>
      </c>
      <c r="F1018" s="1034" t="s">
        <v>3109</v>
      </c>
      <c r="G1018" s="1034" t="s">
        <v>4430</v>
      </c>
      <c r="H1018" s="88">
        <f>INDEX('IN_Detr 4.5 del_397'!$A$3:$AAA$1193,MATCH($G1018,'IN_Detr 4.5 del_397'!$A$3:$A$1193,0),MATCH(H$1,'IN_Detr 4.5 del_397'!$A$3:$AAA$3,0))</f>
        <v>0</v>
      </c>
      <c r="I1018" s="88">
        <f>INDEX('IN_Detr 4.5 del_397'!$A$3:$AAA$1193,MATCH($G1018,'IN_Detr 4.5 del_397'!$A$3:$A$1193,0),MATCH(I$1,'IN_Detr 4.5 del_397'!$A$3:$AAA$3,0))</f>
        <v>0</v>
      </c>
      <c r="J1018" s="88">
        <f>INDEX('IN_Detr 4.5 del_397'!$A$3:$AAA$1193,MATCH($G1018,'IN_Detr 4.5 del_397'!$A$3:$A$1193,0),MATCH(J$1,'IN_Detr 4.5 del_397'!$A$3:$AAA$3,0))</f>
        <v>0</v>
      </c>
    </row>
    <row r="1019" spans="1:10" x14ac:dyDescent="0.2">
      <c r="A1019" s="86" t="s">
        <v>8002</v>
      </c>
      <c r="B1019" s="1067" t="s">
        <v>105</v>
      </c>
      <c r="C1019" s="1037" t="s">
        <v>219</v>
      </c>
      <c r="D1019" s="1027" t="s">
        <v>3109</v>
      </c>
      <c r="E1019" s="447" t="s">
        <v>8442</v>
      </c>
      <c r="F1019" s="1034" t="s">
        <v>3109</v>
      </c>
      <c r="G1019" s="1034" t="s">
        <v>3238</v>
      </c>
      <c r="H1019" s="88">
        <f>INDEX('IN_Detr 4.5 del_397'!$A$3:$AAA$1193,MATCH($G1019,'IN_Detr 4.5 del_397'!$A$3:$A$1193,0),MATCH(H$1,'IN_Detr 4.5 del_397'!$A$3:$AAA$3,0))</f>
        <v>0</v>
      </c>
      <c r="I1019" s="88">
        <f>INDEX('IN_Detr 4.5 del_397'!$A$3:$AAA$1193,MATCH($G1019,'IN_Detr 4.5 del_397'!$A$3:$A$1193,0),MATCH(I$1,'IN_Detr 4.5 del_397'!$A$3:$AAA$3,0))</f>
        <v>0</v>
      </c>
      <c r="J1019" s="88">
        <f>INDEX('IN_Detr 4.5 del_397'!$A$3:$AAA$1193,MATCH($G1019,'IN_Detr 4.5 del_397'!$A$3:$A$1193,0),MATCH(J$1,'IN_Detr 4.5 del_397'!$A$3:$AAA$3,0))</f>
        <v>0</v>
      </c>
    </row>
    <row r="1020" spans="1:10" x14ac:dyDescent="0.2">
      <c r="A1020" s="86" t="s">
        <v>8003</v>
      </c>
      <c r="B1020" s="447" t="str">
        <f>IN_Anagrafica!$B$9</f>
        <v>NO</v>
      </c>
      <c r="C1020" s="369" t="str">
        <f>IF(B1020="SI","SI","NO")</f>
        <v>NO</v>
      </c>
      <c r="D1020" s="1027" t="s">
        <v>3109</v>
      </c>
      <c r="E1020" s="447" t="s">
        <v>8443</v>
      </c>
      <c r="F1020" s="1034" t="s">
        <v>3109</v>
      </c>
      <c r="G1020" s="1034" t="s">
        <v>3244</v>
      </c>
      <c r="H1020" s="88">
        <f>INDEX('IN_Detr 4.5 del_397'!$A$3:$AAA$1193,MATCH($G1020,'IN_Detr 4.5 del_397'!$A$3:$A$1193,0),MATCH(H$1,'IN_Detr 4.5 del_397'!$A$3:$AAA$3,0))</f>
        <v>0</v>
      </c>
      <c r="I1020" s="88">
        <f>INDEX('IN_Detr 4.5 del_397'!$A$3:$AAA$1193,MATCH($G1020,'IN_Detr 4.5 del_397'!$A$3:$A$1193,0),MATCH(I$1,'IN_Detr 4.5 del_397'!$A$3:$AAA$3,0))</f>
        <v>0</v>
      </c>
      <c r="J1020" s="88">
        <f>INDEX('IN_Detr 4.5 del_397'!$A$3:$AAA$1193,MATCH($G1020,'IN_Detr 4.5 del_397'!$A$3:$A$1193,0),MATCH(J$1,'IN_Detr 4.5 del_397'!$A$3:$AAA$3,0))</f>
        <v>0</v>
      </c>
    </row>
    <row r="1021" spans="1:10" x14ac:dyDescent="0.2">
      <c r="A1021" s="86" t="s">
        <v>8004</v>
      </c>
      <c r="B1021" s="1067" t="s">
        <v>105</v>
      </c>
      <c r="C1021" s="1037" t="s">
        <v>219</v>
      </c>
      <c r="D1021" s="1027" t="s">
        <v>3109</v>
      </c>
      <c r="E1021" s="447" t="s">
        <v>8444</v>
      </c>
      <c r="F1021" s="1034" t="s">
        <v>3109</v>
      </c>
      <c r="G1021" s="1034" t="s">
        <v>3395</v>
      </c>
      <c r="H1021" s="88">
        <f>INDEX('IN_Detr 4.5 del_397'!$A$3:$AAA$1193,MATCH($G1021,'IN_Detr 4.5 del_397'!$A$3:$A$1193,0),MATCH(H$1,'IN_Detr 4.5 del_397'!$A$3:$AAA$3,0))</f>
        <v>0</v>
      </c>
      <c r="I1021" s="88">
        <f>INDEX('IN_Detr 4.5 del_397'!$A$3:$AAA$1193,MATCH($G1021,'IN_Detr 4.5 del_397'!$A$3:$A$1193,0),MATCH(I$1,'IN_Detr 4.5 del_397'!$A$3:$AAA$3,0))</f>
        <v>0</v>
      </c>
      <c r="J1021" s="88">
        <f>INDEX('IN_Detr 4.5 del_397'!$A$3:$AAA$1193,MATCH($G1021,'IN_Detr 4.5 del_397'!$A$3:$A$1193,0),MATCH(J$1,'IN_Detr 4.5 del_397'!$A$3:$AAA$3,0))</f>
        <v>0</v>
      </c>
    </row>
    <row r="1022" spans="1:10" x14ac:dyDescent="0.2">
      <c r="A1022" s="86" t="s">
        <v>8005</v>
      </c>
      <c r="B1022" s="447" t="str">
        <f>IN_Anagrafica!$B$9</f>
        <v>NO</v>
      </c>
      <c r="C1022" s="369" t="str">
        <f>IF(B1022="SI","SI","NO")</f>
        <v>NO</v>
      </c>
      <c r="D1022" s="1027" t="s">
        <v>3109</v>
      </c>
      <c r="E1022" s="447" t="s">
        <v>8445</v>
      </c>
      <c r="F1022" s="1034" t="s">
        <v>3109</v>
      </c>
      <c r="G1022" s="1034" t="s">
        <v>3401</v>
      </c>
      <c r="H1022" s="88">
        <f>INDEX('IN_Detr 4.5 del_397'!$A$3:$AAA$1193,MATCH($G1022,'IN_Detr 4.5 del_397'!$A$3:$A$1193,0),MATCH(H$1,'IN_Detr 4.5 del_397'!$A$3:$AAA$3,0))</f>
        <v>0</v>
      </c>
      <c r="I1022" s="88">
        <f>INDEX('IN_Detr 4.5 del_397'!$A$3:$AAA$1193,MATCH($G1022,'IN_Detr 4.5 del_397'!$A$3:$A$1193,0),MATCH(I$1,'IN_Detr 4.5 del_397'!$A$3:$AAA$3,0))</f>
        <v>0</v>
      </c>
      <c r="J1022" s="88">
        <f>INDEX('IN_Detr 4.5 del_397'!$A$3:$AAA$1193,MATCH($G1022,'IN_Detr 4.5 del_397'!$A$3:$A$1193,0),MATCH(J$1,'IN_Detr 4.5 del_397'!$A$3:$AAA$3,0))</f>
        <v>0</v>
      </c>
    </row>
    <row r="1023" spans="1:10" x14ac:dyDescent="0.2">
      <c r="A1023" s="86" t="s">
        <v>8006</v>
      </c>
      <c r="B1023" s="1067" t="s">
        <v>105</v>
      </c>
      <c r="C1023" s="1037" t="s">
        <v>219</v>
      </c>
      <c r="D1023" s="1027" t="s">
        <v>3109</v>
      </c>
      <c r="E1023" s="447" t="s">
        <v>757</v>
      </c>
      <c r="F1023" s="1034" t="s">
        <v>3109</v>
      </c>
      <c r="G1023" s="1034" t="s">
        <v>4213</v>
      </c>
      <c r="H1023" s="88">
        <f>INDEX('IN_Detr 4.5 del_397'!$A$3:$AAA$1193,MATCH($G1023,'IN_Detr 4.5 del_397'!$A$3:$A$1193,0),MATCH(H$1,'IN_Detr 4.5 del_397'!$A$3:$AAA$3,0))</f>
        <v>0</v>
      </c>
      <c r="I1023" s="88">
        <f>INDEX('IN_Detr 4.5 del_397'!$A$3:$AAA$1193,MATCH($G1023,'IN_Detr 4.5 del_397'!$A$3:$A$1193,0),MATCH(I$1,'IN_Detr 4.5 del_397'!$A$3:$AAA$3,0))</f>
        <v>0</v>
      </c>
      <c r="J1023" s="88">
        <f>INDEX('IN_Detr 4.5 del_397'!$A$3:$AAA$1193,MATCH($G1023,'IN_Detr 4.5 del_397'!$A$3:$A$1193,0),MATCH(J$1,'IN_Detr 4.5 del_397'!$A$3:$AAA$3,0))</f>
        <v>0</v>
      </c>
    </row>
    <row r="1024" spans="1:10" x14ac:dyDescent="0.2">
      <c r="A1024" s="86" t="s">
        <v>8007</v>
      </c>
      <c r="B1024" s="447" t="str">
        <f>IN_Anagrafica!$B$9</f>
        <v>NO</v>
      </c>
      <c r="C1024" s="369" t="str">
        <f>IF(B1024="SI","SI","NO")</f>
        <v>NO</v>
      </c>
      <c r="D1024" s="1027" t="s">
        <v>3109</v>
      </c>
      <c r="E1024" s="447" t="s">
        <v>760</v>
      </c>
      <c r="F1024" s="1034" t="s">
        <v>3109</v>
      </c>
      <c r="G1024" s="1034" t="s">
        <v>4233</v>
      </c>
      <c r="H1024" s="88">
        <f>INDEX('IN_Detr 4.5 del_397'!$A$3:$AAA$1193,MATCH($G1024,'IN_Detr 4.5 del_397'!$A$3:$A$1193,0),MATCH(H$1,'IN_Detr 4.5 del_397'!$A$3:$AAA$3,0))</f>
        <v>0</v>
      </c>
      <c r="I1024" s="88">
        <f>INDEX('IN_Detr 4.5 del_397'!$A$3:$AAA$1193,MATCH($G1024,'IN_Detr 4.5 del_397'!$A$3:$A$1193,0),MATCH(I$1,'IN_Detr 4.5 del_397'!$A$3:$AAA$3,0))</f>
        <v>0</v>
      </c>
      <c r="J1024" s="88">
        <f>INDEX('IN_Detr 4.5 del_397'!$A$3:$AAA$1193,MATCH($G1024,'IN_Detr 4.5 del_397'!$A$3:$A$1193,0),MATCH(J$1,'IN_Detr 4.5 del_397'!$A$3:$AAA$3,0))</f>
        <v>0</v>
      </c>
    </row>
    <row r="1025" spans="1:10" x14ac:dyDescent="0.2">
      <c r="A1025" s="86" t="s">
        <v>8008</v>
      </c>
      <c r="B1025" s="1067" t="s">
        <v>105</v>
      </c>
      <c r="C1025" s="1037" t="s">
        <v>219</v>
      </c>
      <c r="D1025" s="1027" t="s">
        <v>3109</v>
      </c>
      <c r="E1025" s="447" t="s">
        <v>763</v>
      </c>
      <c r="F1025" s="1034" t="s">
        <v>3109</v>
      </c>
      <c r="G1025" s="1034" t="s">
        <v>4414</v>
      </c>
      <c r="H1025" s="88">
        <f>INDEX('IN_Detr 4.5 del_397'!$A$3:$AAA$1193,MATCH($G1025,'IN_Detr 4.5 del_397'!$A$3:$A$1193,0),MATCH(H$1,'IN_Detr 4.5 del_397'!$A$3:$AAA$3,0))</f>
        <v>0</v>
      </c>
      <c r="I1025" s="88">
        <f>INDEX('IN_Detr 4.5 del_397'!$A$3:$AAA$1193,MATCH($G1025,'IN_Detr 4.5 del_397'!$A$3:$A$1193,0),MATCH(I$1,'IN_Detr 4.5 del_397'!$A$3:$AAA$3,0))</f>
        <v>0</v>
      </c>
      <c r="J1025" s="88">
        <f>INDEX('IN_Detr 4.5 del_397'!$A$3:$AAA$1193,MATCH($G1025,'IN_Detr 4.5 del_397'!$A$3:$A$1193,0),MATCH(J$1,'IN_Detr 4.5 del_397'!$A$3:$AAA$3,0))</f>
        <v>0</v>
      </c>
    </row>
    <row r="1026" spans="1:10" x14ac:dyDescent="0.2">
      <c r="A1026" s="86" t="s">
        <v>8009</v>
      </c>
      <c r="B1026" s="447" t="str">
        <f>IN_Anagrafica!$B$9</f>
        <v>NO</v>
      </c>
      <c r="C1026" s="369" t="str">
        <f>IF(B1026="SI","SI","NO")</f>
        <v>NO</v>
      </c>
      <c r="D1026" s="1027" t="s">
        <v>3109</v>
      </c>
      <c r="E1026" s="447" t="s">
        <v>766</v>
      </c>
      <c r="F1026" s="1034" t="s">
        <v>3109</v>
      </c>
      <c r="G1026" s="1034" t="s">
        <v>4432</v>
      </c>
      <c r="H1026" s="88">
        <f>INDEX('IN_Detr 4.5 del_397'!$A$3:$AAA$1193,MATCH($G1026,'IN_Detr 4.5 del_397'!$A$3:$A$1193,0),MATCH(H$1,'IN_Detr 4.5 del_397'!$A$3:$AAA$3,0))</f>
        <v>0</v>
      </c>
      <c r="I1026" s="88">
        <f>INDEX('IN_Detr 4.5 del_397'!$A$3:$AAA$1193,MATCH($G1026,'IN_Detr 4.5 del_397'!$A$3:$A$1193,0),MATCH(I$1,'IN_Detr 4.5 del_397'!$A$3:$AAA$3,0))</f>
        <v>0</v>
      </c>
      <c r="J1026" s="88">
        <f>INDEX('IN_Detr 4.5 del_397'!$A$3:$AAA$1193,MATCH($G1026,'IN_Detr 4.5 del_397'!$A$3:$A$1193,0),MATCH(J$1,'IN_Detr 4.5 del_397'!$A$3:$AAA$3,0))</f>
        <v>0</v>
      </c>
    </row>
    <row r="1027" spans="1:10" x14ac:dyDescent="0.2">
      <c r="A1027" s="86" t="s">
        <v>8010</v>
      </c>
      <c r="B1027" s="1067" t="s">
        <v>105</v>
      </c>
      <c r="C1027" s="1037" t="s">
        <v>219</v>
      </c>
      <c r="D1027" s="1027" t="s">
        <v>3109</v>
      </c>
      <c r="E1027" s="447" t="s">
        <v>8446</v>
      </c>
      <c r="F1027" s="1034" t="s">
        <v>3109</v>
      </c>
      <c r="G1027" s="1034" t="s">
        <v>3240</v>
      </c>
      <c r="H1027" s="88">
        <f>INDEX('IN_Detr 4.5 del_397'!$A$3:$AAA$1193,MATCH($G1027,'IN_Detr 4.5 del_397'!$A$3:$A$1193,0),MATCH(H$1,'IN_Detr 4.5 del_397'!$A$3:$AAA$3,0))</f>
        <v>0</v>
      </c>
      <c r="I1027" s="88">
        <f>INDEX('IN_Detr 4.5 del_397'!$A$3:$AAA$1193,MATCH($G1027,'IN_Detr 4.5 del_397'!$A$3:$A$1193,0),MATCH(I$1,'IN_Detr 4.5 del_397'!$A$3:$AAA$3,0))</f>
        <v>0</v>
      </c>
      <c r="J1027" s="88">
        <f>INDEX('IN_Detr 4.5 del_397'!$A$3:$AAA$1193,MATCH($G1027,'IN_Detr 4.5 del_397'!$A$3:$A$1193,0),MATCH(J$1,'IN_Detr 4.5 del_397'!$A$3:$AAA$3,0))</f>
        <v>0</v>
      </c>
    </row>
    <row r="1028" spans="1:10" x14ac:dyDescent="0.2">
      <c r="A1028" s="86" t="s">
        <v>8011</v>
      </c>
      <c r="B1028" s="447" t="str">
        <f>IN_Anagrafica!$B$9</f>
        <v>NO</v>
      </c>
      <c r="C1028" s="369" t="str">
        <f>IF(B1028="SI","SI","NO")</f>
        <v>NO</v>
      </c>
      <c r="D1028" s="1027" t="s">
        <v>3109</v>
      </c>
      <c r="E1028" s="447" t="s">
        <v>8447</v>
      </c>
      <c r="F1028" s="1034" t="s">
        <v>3109</v>
      </c>
      <c r="G1028" s="1034" t="s">
        <v>3246</v>
      </c>
      <c r="H1028" s="88">
        <f>INDEX('IN_Detr 4.5 del_397'!$A$3:$AAA$1193,MATCH($G1028,'IN_Detr 4.5 del_397'!$A$3:$A$1193,0),MATCH(H$1,'IN_Detr 4.5 del_397'!$A$3:$AAA$3,0))</f>
        <v>0</v>
      </c>
      <c r="I1028" s="88">
        <f>INDEX('IN_Detr 4.5 del_397'!$A$3:$AAA$1193,MATCH($G1028,'IN_Detr 4.5 del_397'!$A$3:$A$1193,0),MATCH(I$1,'IN_Detr 4.5 del_397'!$A$3:$AAA$3,0))</f>
        <v>0</v>
      </c>
      <c r="J1028" s="88">
        <f>INDEX('IN_Detr 4.5 del_397'!$A$3:$AAA$1193,MATCH($G1028,'IN_Detr 4.5 del_397'!$A$3:$A$1193,0),MATCH(J$1,'IN_Detr 4.5 del_397'!$A$3:$AAA$3,0))</f>
        <v>0</v>
      </c>
    </row>
    <row r="1029" spans="1:10" x14ac:dyDescent="0.2">
      <c r="A1029" s="86" t="s">
        <v>8012</v>
      </c>
      <c r="B1029" s="1067" t="s">
        <v>105</v>
      </c>
      <c r="C1029" s="1037" t="s">
        <v>219</v>
      </c>
      <c r="D1029" s="1027" t="s">
        <v>3109</v>
      </c>
      <c r="E1029" s="447" t="s">
        <v>8448</v>
      </c>
      <c r="F1029" s="1034" t="s">
        <v>3109</v>
      </c>
      <c r="G1029" s="1034" t="s">
        <v>3397</v>
      </c>
      <c r="H1029" s="88">
        <f>INDEX('IN_Detr 4.5 del_397'!$A$3:$AAA$1193,MATCH($G1029,'IN_Detr 4.5 del_397'!$A$3:$A$1193,0),MATCH(H$1,'IN_Detr 4.5 del_397'!$A$3:$AAA$3,0))</f>
        <v>0</v>
      </c>
      <c r="I1029" s="88">
        <f>INDEX('IN_Detr 4.5 del_397'!$A$3:$AAA$1193,MATCH($G1029,'IN_Detr 4.5 del_397'!$A$3:$A$1193,0),MATCH(I$1,'IN_Detr 4.5 del_397'!$A$3:$AAA$3,0))</f>
        <v>0</v>
      </c>
      <c r="J1029" s="88">
        <f>INDEX('IN_Detr 4.5 del_397'!$A$3:$AAA$1193,MATCH($G1029,'IN_Detr 4.5 del_397'!$A$3:$A$1193,0),MATCH(J$1,'IN_Detr 4.5 del_397'!$A$3:$AAA$3,0))</f>
        <v>0</v>
      </c>
    </row>
    <row r="1030" spans="1:10" x14ac:dyDescent="0.2">
      <c r="A1030" s="86" t="s">
        <v>8013</v>
      </c>
      <c r="B1030" s="447" t="str">
        <f>IN_Anagrafica!$B$9</f>
        <v>NO</v>
      </c>
      <c r="C1030" s="369" t="str">
        <f>IF(B1030="SI","SI","NO")</f>
        <v>NO</v>
      </c>
      <c r="D1030" s="1027" t="s">
        <v>3109</v>
      </c>
      <c r="E1030" s="447" t="s">
        <v>8449</v>
      </c>
      <c r="F1030" s="1034" t="s">
        <v>3109</v>
      </c>
      <c r="G1030" s="1034" t="s">
        <v>3403</v>
      </c>
      <c r="H1030" s="88">
        <f>INDEX('IN_Detr 4.5 del_397'!$A$3:$AAA$1193,MATCH($G1030,'IN_Detr 4.5 del_397'!$A$3:$A$1193,0),MATCH(H$1,'IN_Detr 4.5 del_397'!$A$3:$AAA$3,0))</f>
        <v>0</v>
      </c>
      <c r="I1030" s="88">
        <f>INDEX('IN_Detr 4.5 del_397'!$A$3:$AAA$1193,MATCH($G1030,'IN_Detr 4.5 del_397'!$A$3:$A$1193,0),MATCH(I$1,'IN_Detr 4.5 del_397'!$A$3:$AAA$3,0))</f>
        <v>0</v>
      </c>
      <c r="J1030" s="88">
        <f>INDEX('IN_Detr 4.5 del_397'!$A$3:$AAA$1193,MATCH($G1030,'IN_Detr 4.5 del_397'!$A$3:$A$1193,0),MATCH(J$1,'IN_Detr 4.5 del_397'!$A$3:$AAA$3,0))</f>
        <v>0</v>
      </c>
    </row>
    <row r="1031" spans="1:10" x14ac:dyDescent="0.2">
      <c r="A1031" s="86" t="s">
        <v>8014</v>
      </c>
      <c r="B1031" s="1067" t="s">
        <v>105</v>
      </c>
      <c r="C1031" s="1037" t="s">
        <v>219</v>
      </c>
      <c r="D1031" s="1027" t="s">
        <v>3109</v>
      </c>
      <c r="E1031" s="447" t="s">
        <v>729</v>
      </c>
      <c r="F1031" s="1034" t="s">
        <v>3109</v>
      </c>
      <c r="G1031" s="1034" t="s">
        <v>4221</v>
      </c>
      <c r="H1031" s="88">
        <f>INDEX('IN_Detr 4.5 del_397'!$A$3:$AAA$1193,MATCH($G1031,'IN_Detr 4.5 del_397'!$A$3:$A$1193,0),MATCH(H$1,'IN_Detr 4.5 del_397'!$A$3:$AAA$3,0))</f>
        <v>0</v>
      </c>
      <c r="I1031" s="88">
        <f>INDEX('IN_Detr 4.5 del_397'!$A$3:$AAA$1193,MATCH($G1031,'IN_Detr 4.5 del_397'!$A$3:$A$1193,0),MATCH(I$1,'IN_Detr 4.5 del_397'!$A$3:$AAA$3,0))</f>
        <v>0</v>
      </c>
      <c r="J1031" s="88">
        <f>INDEX('IN_Detr 4.5 del_397'!$A$3:$AAA$1193,MATCH($G1031,'IN_Detr 4.5 del_397'!$A$3:$A$1193,0),MATCH(J$1,'IN_Detr 4.5 del_397'!$A$3:$AAA$3,0))</f>
        <v>0</v>
      </c>
    </row>
    <row r="1032" spans="1:10" x14ac:dyDescent="0.2">
      <c r="A1032" s="86" t="s">
        <v>8015</v>
      </c>
      <c r="B1032" s="447" t="str">
        <f>IN_Anagrafica!$B$9</f>
        <v>NO</v>
      </c>
      <c r="C1032" s="369" t="str">
        <f>IF(B1032="SI","SI","NO")</f>
        <v>NO</v>
      </c>
      <c r="D1032" s="1027" t="s">
        <v>3109</v>
      </c>
      <c r="E1032" s="447" t="s">
        <v>730</v>
      </c>
      <c r="F1032" s="1034" t="s">
        <v>3109</v>
      </c>
      <c r="G1032" s="1034" t="s">
        <v>4241</v>
      </c>
      <c r="H1032" s="88">
        <f>INDEX('IN_Detr 4.5 del_397'!$A$3:$AAA$1193,MATCH($G1032,'IN_Detr 4.5 del_397'!$A$3:$A$1193,0),MATCH(H$1,'IN_Detr 4.5 del_397'!$A$3:$AAA$3,0))</f>
        <v>0</v>
      </c>
      <c r="I1032" s="88">
        <f>INDEX('IN_Detr 4.5 del_397'!$A$3:$AAA$1193,MATCH($G1032,'IN_Detr 4.5 del_397'!$A$3:$A$1193,0),MATCH(I$1,'IN_Detr 4.5 del_397'!$A$3:$AAA$3,0))</f>
        <v>0</v>
      </c>
      <c r="J1032" s="88">
        <f>INDEX('IN_Detr 4.5 del_397'!$A$3:$AAA$1193,MATCH($G1032,'IN_Detr 4.5 del_397'!$A$3:$A$1193,0),MATCH(J$1,'IN_Detr 4.5 del_397'!$A$3:$AAA$3,0))</f>
        <v>0</v>
      </c>
    </row>
    <row r="1033" spans="1:10" x14ac:dyDescent="0.2">
      <c r="A1033" s="86" t="s">
        <v>8016</v>
      </c>
      <c r="B1033" s="1067" t="s">
        <v>105</v>
      </c>
      <c r="C1033" s="1037" t="s">
        <v>219</v>
      </c>
      <c r="D1033" s="1027" t="s">
        <v>3109</v>
      </c>
      <c r="E1033" s="447" t="s">
        <v>732</v>
      </c>
      <c r="F1033" s="1034" t="s">
        <v>3109</v>
      </c>
      <c r="G1033" s="1034" t="s">
        <v>4422</v>
      </c>
      <c r="H1033" s="88">
        <f>INDEX('IN_Detr 4.5 del_397'!$A$3:$AAA$1193,MATCH($G1033,'IN_Detr 4.5 del_397'!$A$3:$A$1193,0),MATCH(H$1,'IN_Detr 4.5 del_397'!$A$3:$AAA$3,0))</f>
        <v>0</v>
      </c>
      <c r="I1033" s="88">
        <f>INDEX('IN_Detr 4.5 del_397'!$A$3:$AAA$1193,MATCH($G1033,'IN_Detr 4.5 del_397'!$A$3:$A$1193,0),MATCH(I$1,'IN_Detr 4.5 del_397'!$A$3:$AAA$3,0))</f>
        <v>0</v>
      </c>
      <c r="J1033" s="88">
        <f>INDEX('IN_Detr 4.5 del_397'!$A$3:$AAA$1193,MATCH($G1033,'IN_Detr 4.5 del_397'!$A$3:$A$1193,0),MATCH(J$1,'IN_Detr 4.5 del_397'!$A$3:$AAA$3,0))</f>
        <v>0</v>
      </c>
    </row>
    <row r="1034" spans="1:10" x14ac:dyDescent="0.2">
      <c r="A1034" s="86" t="s">
        <v>8017</v>
      </c>
      <c r="B1034" s="447" t="str">
        <f>IN_Anagrafica!$B$9</f>
        <v>NO</v>
      </c>
      <c r="C1034" s="369" t="str">
        <f>IF(B1034="SI","SI","NO")</f>
        <v>NO</v>
      </c>
      <c r="D1034" s="1027" t="s">
        <v>3109</v>
      </c>
      <c r="E1034" s="447" t="s">
        <v>733</v>
      </c>
      <c r="F1034" s="1034" t="s">
        <v>3109</v>
      </c>
      <c r="G1034" s="1034" t="s">
        <v>4440</v>
      </c>
      <c r="H1034" s="88">
        <f>INDEX('IN_Detr 4.5 del_397'!$A$3:$AAA$1193,MATCH($G1034,'IN_Detr 4.5 del_397'!$A$3:$A$1193,0),MATCH(H$1,'IN_Detr 4.5 del_397'!$A$3:$AAA$3,0))</f>
        <v>0</v>
      </c>
      <c r="I1034" s="88">
        <f>INDEX('IN_Detr 4.5 del_397'!$A$3:$AAA$1193,MATCH($G1034,'IN_Detr 4.5 del_397'!$A$3:$A$1193,0),MATCH(I$1,'IN_Detr 4.5 del_397'!$A$3:$AAA$3,0))</f>
        <v>0</v>
      </c>
      <c r="J1034" s="88">
        <f>INDEX('IN_Detr 4.5 del_397'!$A$3:$AAA$1193,MATCH($G1034,'IN_Detr 4.5 del_397'!$A$3:$A$1193,0),MATCH(J$1,'IN_Detr 4.5 del_397'!$A$3:$AAA$3,0))</f>
        <v>0</v>
      </c>
    </row>
    <row r="1035" spans="1:10" x14ac:dyDescent="0.2">
      <c r="A1035" s="86" t="s">
        <v>7874</v>
      </c>
      <c r="B1035" s="1067" t="s">
        <v>105</v>
      </c>
      <c r="C1035" s="1037" t="s">
        <v>219</v>
      </c>
      <c r="D1035" s="1027" t="s">
        <v>3109</v>
      </c>
      <c r="E1035" s="447" t="s">
        <v>8450</v>
      </c>
      <c r="F1035" s="1034" t="s">
        <v>3109</v>
      </c>
      <c r="G1035" s="1034" t="s">
        <v>3591</v>
      </c>
      <c r="H1035" s="88">
        <f>INDEX('IN_Detr 4.5 del_397'!$A$3:$AAA$1193,MATCH($G1035,'IN_Detr 4.5 del_397'!$A$3:$A$1193,0),MATCH(H$1,'IN_Detr 4.5 del_397'!$A$3:$AAA$3,0))</f>
        <v>0</v>
      </c>
      <c r="I1035" s="88">
        <f>INDEX('IN_Detr 4.5 del_397'!$A$3:$AAA$1193,MATCH($G1035,'IN_Detr 4.5 del_397'!$A$3:$A$1193,0),MATCH(I$1,'IN_Detr 4.5 del_397'!$A$3:$AAA$3,0))</f>
        <v>0</v>
      </c>
      <c r="J1035" s="88">
        <f>INDEX('IN_Detr 4.5 del_397'!$A$3:$AAA$1193,MATCH($G1035,'IN_Detr 4.5 del_397'!$A$3:$A$1193,0),MATCH(J$1,'IN_Detr 4.5 del_397'!$A$3:$AAA$3,0))</f>
        <v>0</v>
      </c>
    </row>
    <row r="1036" spans="1:10" x14ac:dyDescent="0.2">
      <c r="A1036" s="86" t="s">
        <v>7875</v>
      </c>
      <c r="B1036" s="447" t="str">
        <f>IN_Anagrafica!$B$9</f>
        <v>NO</v>
      </c>
      <c r="C1036" s="369" t="str">
        <f>IF(B1036="SI","SI","NO")</f>
        <v>NO</v>
      </c>
      <c r="D1036" s="1027" t="s">
        <v>3109</v>
      </c>
      <c r="E1036" s="447" t="s">
        <v>8451</v>
      </c>
      <c r="F1036" s="1034" t="s">
        <v>3109</v>
      </c>
      <c r="G1036" s="1034" t="s">
        <v>3601</v>
      </c>
      <c r="H1036" s="88">
        <f>INDEX('IN_Detr 4.5 del_397'!$A$3:$AAA$1193,MATCH($G1036,'IN_Detr 4.5 del_397'!$A$3:$A$1193,0),MATCH(H$1,'IN_Detr 4.5 del_397'!$A$3:$AAA$3,0))</f>
        <v>0</v>
      </c>
      <c r="I1036" s="88">
        <f>INDEX('IN_Detr 4.5 del_397'!$A$3:$AAA$1193,MATCH($G1036,'IN_Detr 4.5 del_397'!$A$3:$A$1193,0),MATCH(I$1,'IN_Detr 4.5 del_397'!$A$3:$AAA$3,0))</f>
        <v>0</v>
      </c>
      <c r="J1036" s="88">
        <f>INDEX('IN_Detr 4.5 del_397'!$A$3:$AAA$1193,MATCH($G1036,'IN_Detr 4.5 del_397'!$A$3:$A$1193,0),MATCH(J$1,'IN_Detr 4.5 del_397'!$A$3:$AAA$3,0))</f>
        <v>0</v>
      </c>
    </row>
    <row r="1037" spans="1:10" x14ac:dyDescent="0.2">
      <c r="A1037" s="86" t="s">
        <v>7876</v>
      </c>
      <c r="B1037" s="1067" t="s">
        <v>105</v>
      </c>
      <c r="C1037" s="1037" t="s">
        <v>219</v>
      </c>
      <c r="D1037" s="1027" t="s">
        <v>3109</v>
      </c>
      <c r="E1037" s="447" t="s">
        <v>8452</v>
      </c>
      <c r="F1037" s="1034" t="s">
        <v>3109</v>
      </c>
      <c r="G1037" s="1034" t="s">
        <v>3778</v>
      </c>
      <c r="H1037" s="88">
        <f>INDEX('IN_Detr 4.5 del_397'!$A$3:$AAA$1193,MATCH($G1037,'IN_Detr 4.5 del_397'!$A$3:$A$1193,0),MATCH(H$1,'IN_Detr 4.5 del_397'!$A$3:$AAA$3,0))</f>
        <v>0</v>
      </c>
      <c r="I1037" s="88">
        <f>INDEX('IN_Detr 4.5 del_397'!$A$3:$AAA$1193,MATCH($G1037,'IN_Detr 4.5 del_397'!$A$3:$A$1193,0),MATCH(I$1,'IN_Detr 4.5 del_397'!$A$3:$AAA$3,0))</f>
        <v>0</v>
      </c>
      <c r="J1037" s="88">
        <f>INDEX('IN_Detr 4.5 del_397'!$A$3:$AAA$1193,MATCH($G1037,'IN_Detr 4.5 del_397'!$A$3:$A$1193,0),MATCH(J$1,'IN_Detr 4.5 del_397'!$A$3:$AAA$3,0))</f>
        <v>0</v>
      </c>
    </row>
    <row r="1038" spans="1:10" x14ac:dyDescent="0.2">
      <c r="A1038" s="86" t="s">
        <v>7877</v>
      </c>
      <c r="B1038" s="447" t="str">
        <f>IN_Anagrafica!$B$9</f>
        <v>NO</v>
      </c>
      <c r="C1038" s="369" t="str">
        <f>IF(B1038="SI","SI","NO")</f>
        <v>NO</v>
      </c>
      <c r="D1038" s="1027" t="s">
        <v>3109</v>
      </c>
      <c r="E1038" s="447" t="s">
        <v>8453</v>
      </c>
      <c r="F1038" s="1034" t="s">
        <v>3109</v>
      </c>
      <c r="G1038" s="1034" t="s">
        <v>3792</v>
      </c>
      <c r="H1038" s="88">
        <f>INDEX('IN_Detr 4.5 del_397'!$A$3:$AAA$1193,MATCH($G1038,'IN_Detr 4.5 del_397'!$A$3:$A$1193,0),MATCH(H$1,'IN_Detr 4.5 del_397'!$A$3:$AAA$3,0))</f>
        <v>0</v>
      </c>
      <c r="I1038" s="88">
        <f>INDEX('IN_Detr 4.5 del_397'!$A$3:$AAA$1193,MATCH($G1038,'IN_Detr 4.5 del_397'!$A$3:$A$1193,0),MATCH(I$1,'IN_Detr 4.5 del_397'!$A$3:$AAA$3,0))</f>
        <v>0</v>
      </c>
      <c r="J1038" s="88">
        <f>INDEX('IN_Detr 4.5 del_397'!$A$3:$AAA$1193,MATCH($G1038,'IN_Detr 4.5 del_397'!$A$3:$A$1193,0),MATCH(J$1,'IN_Detr 4.5 del_397'!$A$3:$AAA$3,0))</f>
        <v>0</v>
      </c>
    </row>
    <row r="1039" spans="1:10" x14ac:dyDescent="0.2">
      <c r="A1039" s="86" t="s">
        <v>8018</v>
      </c>
      <c r="B1039" s="1067" t="s">
        <v>105</v>
      </c>
      <c r="C1039" s="1037" t="s">
        <v>219</v>
      </c>
      <c r="D1039" s="1027" t="s">
        <v>3109</v>
      </c>
      <c r="E1039" s="447" t="s">
        <v>8454</v>
      </c>
      <c r="F1039" s="1034" t="s">
        <v>3109</v>
      </c>
      <c r="G1039" s="1034" t="s">
        <v>3609</v>
      </c>
      <c r="H1039" s="88">
        <f>INDEX('IN_Detr 4.5 del_397'!$A$3:$AAA$1193,MATCH($G1039,'IN_Detr 4.5 del_397'!$A$3:$A$1193,0),MATCH(H$1,'IN_Detr 4.5 del_397'!$A$3:$AAA$3,0))</f>
        <v>0</v>
      </c>
      <c r="I1039" s="88">
        <f>INDEX('IN_Detr 4.5 del_397'!$A$3:$AAA$1193,MATCH($G1039,'IN_Detr 4.5 del_397'!$A$3:$A$1193,0),MATCH(I$1,'IN_Detr 4.5 del_397'!$A$3:$AAA$3,0))</f>
        <v>0</v>
      </c>
      <c r="J1039" s="88">
        <f>INDEX('IN_Detr 4.5 del_397'!$A$3:$AAA$1193,MATCH($G1039,'IN_Detr 4.5 del_397'!$A$3:$A$1193,0),MATCH(J$1,'IN_Detr 4.5 del_397'!$A$3:$AAA$3,0))</f>
        <v>0</v>
      </c>
    </row>
    <row r="1040" spans="1:10" x14ac:dyDescent="0.2">
      <c r="A1040" s="86" t="s">
        <v>8019</v>
      </c>
      <c r="B1040" s="447" t="str">
        <f>IN_Anagrafica!$B$9</f>
        <v>NO</v>
      </c>
      <c r="C1040" s="369" t="str">
        <f>IF(B1040="SI","SI","NO")</f>
        <v>NO</v>
      </c>
      <c r="D1040" s="1027" t="s">
        <v>3109</v>
      </c>
      <c r="E1040" s="447" t="s">
        <v>8455</v>
      </c>
      <c r="F1040" s="1034" t="s">
        <v>3109</v>
      </c>
      <c r="G1040" s="1034" t="s">
        <v>3624</v>
      </c>
      <c r="H1040" s="88">
        <f>INDEX('IN_Detr 4.5 del_397'!$A$3:$AAA$1193,MATCH($G1040,'IN_Detr 4.5 del_397'!$A$3:$A$1193,0),MATCH(H$1,'IN_Detr 4.5 del_397'!$A$3:$AAA$3,0))</f>
        <v>0</v>
      </c>
      <c r="I1040" s="88">
        <f>INDEX('IN_Detr 4.5 del_397'!$A$3:$AAA$1193,MATCH($G1040,'IN_Detr 4.5 del_397'!$A$3:$A$1193,0),MATCH(I$1,'IN_Detr 4.5 del_397'!$A$3:$AAA$3,0))</f>
        <v>0</v>
      </c>
      <c r="J1040" s="88">
        <f>INDEX('IN_Detr 4.5 del_397'!$A$3:$AAA$1193,MATCH($G1040,'IN_Detr 4.5 del_397'!$A$3:$A$1193,0),MATCH(J$1,'IN_Detr 4.5 del_397'!$A$3:$AAA$3,0))</f>
        <v>0</v>
      </c>
    </row>
    <row r="1041" spans="1:10" x14ac:dyDescent="0.2">
      <c r="A1041" s="86" t="s">
        <v>8020</v>
      </c>
      <c r="B1041" s="1067" t="s">
        <v>105</v>
      </c>
      <c r="C1041" s="1037" t="s">
        <v>219</v>
      </c>
      <c r="D1041" s="1027" t="s">
        <v>3109</v>
      </c>
      <c r="E1041" s="447" t="s">
        <v>8456</v>
      </c>
      <c r="F1041" s="1034" t="s">
        <v>3109</v>
      </c>
      <c r="G1041" s="1034" t="s">
        <v>3782</v>
      </c>
      <c r="H1041" s="88">
        <f>INDEX('IN_Detr 4.5 del_397'!$A$3:$AAA$1193,MATCH($G1041,'IN_Detr 4.5 del_397'!$A$3:$A$1193,0),MATCH(H$1,'IN_Detr 4.5 del_397'!$A$3:$AAA$3,0))</f>
        <v>0</v>
      </c>
      <c r="I1041" s="88">
        <f>INDEX('IN_Detr 4.5 del_397'!$A$3:$AAA$1193,MATCH($G1041,'IN_Detr 4.5 del_397'!$A$3:$A$1193,0),MATCH(I$1,'IN_Detr 4.5 del_397'!$A$3:$AAA$3,0))</f>
        <v>0</v>
      </c>
      <c r="J1041" s="88">
        <f>INDEX('IN_Detr 4.5 del_397'!$A$3:$AAA$1193,MATCH($G1041,'IN_Detr 4.5 del_397'!$A$3:$A$1193,0),MATCH(J$1,'IN_Detr 4.5 del_397'!$A$3:$AAA$3,0))</f>
        <v>0</v>
      </c>
    </row>
    <row r="1042" spans="1:10" x14ac:dyDescent="0.2">
      <c r="A1042" s="86" t="s">
        <v>8021</v>
      </c>
      <c r="B1042" s="447" t="str">
        <f>IN_Anagrafica!$B$9</f>
        <v>NO</v>
      </c>
      <c r="C1042" s="369" t="str">
        <f>IF(B1042="SI","SI","NO")</f>
        <v>NO</v>
      </c>
      <c r="D1042" s="1027" t="s">
        <v>3109</v>
      </c>
      <c r="E1042" s="447" t="s">
        <v>8457</v>
      </c>
      <c r="F1042" s="1034" t="s">
        <v>3109</v>
      </c>
      <c r="G1042" s="1034" t="s">
        <v>3796</v>
      </c>
      <c r="H1042" s="88">
        <f>INDEX('IN_Detr 4.5 del_397'!$A$3:$AAA$1193,MATCH($G1042,'IN_Detr 4.5 del_397'!$A$3:$A$1193,0),MATCH(H$1,'IN_Detr 4.5 del_397'!$A$3:$AAA$3,0))</f>
        <v>0</v>
      </c>
      <c r="I1042" s="88">
        <f>INDEX('IN_Detr 4.5 del_397'!$A$3:$AAA$1193,MATCH($G1042,'IN_Detr 4.5 del_397'!$A$3:$A$1193,0),MATCH(I$1,'IN_Detr 4.5 del_397'!$A$3:$AAA$3,0))</f>
        <v>0</v>
      </c>
      <c r="J1042" s="88">
        <f>INDEX('IN_Detr 4.5 del_397'!$A$3:$AAA$1193,MATCH($G1042,'IN_Detr 4.5 del_397'!$A$3:$A$1193,0),MATCH(J$1,'IN_Detr 4.5 del_397'!$A$3:$AAA$3,0))</f>
        <v>0</v>
      </c>
    </row>
    <row r="1043" spans="1:10" x14ac:dyDescent="0.2">
      <c r="A1043" s="86" t="s">
        <v>8022</v>
      </c>
      <c r="B1043" s="1067" t="s">
        <v>105</v>
      </c>
      <c r="C1043" s="1037" t="s">
        <v>219</v>
      </c>
      <c r="D1043" s="1027" t="s">
        <v>3109</v>
      </c>
      <c r="E1043" s="447" t="s">
        <v>8458</v>
      </c>
      <c r="F1043" s="1034" t="s">
        <v>3109</v>
      </c>
      <c r="G1043" s="1034" t="s">
        <v>4227</v>
      </c>
      <c r="H1043" s="88">
        <f>INDEX('IN_Detr 4.5 del_397'!$A$3:$AAA$1193,MATCH($G1043,'IN_Detr 4.5 del_397'!$A$3:$A$1193,0),MATCH(H$1,'IN_Detr 4.5 del_397'!$A$3:$AAA$3,0))</f>
        <v>0</v>
      </c>
      <c r="I1043" s="88">
        <f>INDEX('IN_Detr 4.5 del_397'!$A$3:$AAA$1193,MATCH($G1043,'IN_Detr 4.5 del_397'!$A$3:$A$1193,0),MATCH(I$1,'IN_Detr 4.5 del_397'!$A$3:$AAA$3,0))</f>
        <v>0</v>
      </c>
      <c r="J1043" s="88">
        <f>INDEX('IN_Detr 4.5 del_397'!$A$3:$AAA$1193,MATCH($G1043,'IN_Detr 4.5 del_397'!$A$3:$A$1193,0),MATCH(J$1,'IN_Detr 4.5 del_397'!$A$3:$AAA$3,0))</f>
        <v>0</v>
      </c>
    </row>
    <row r="1044" spans="1:10" x14ac:dyDescent="0.2">
      <c r="A1044" s="86" t="s">
        <v>8023</v>
      </c>
      <c r="B1044" s="447" t="str">
        <f>IN_Anagrafica!$B$9</f>
        <v>NO</v>
      </c>
      <c r="C1044" s="369" t="str">
        <f>IF(B1044="SI","SI","NO")</f>
        <v>NO</v>
      </c>
      <c r="D1044" s="1027" t="s">
        <v>3109</v>
      </c>
      <c r="E1044" s="447" t="s">
        <v>8459</v>
      </c>
      <c r="F1044" s="1034" t="s">
        <v>3109</v>
      </c>
      <c r="G1044" s="1034" t="s">
        <v>4247</v>
      </c>
      <c r="H1044" s="88">
        <f>INDEX('IN_Detr 4.5 del_397'!$A$3:$AAA$1193,MATCH($G1044,'IN_Detr 4.5 del_397'!$A$3:$A$1193,0),MATCH(H$1,'IN_Detr 4.5 del_397'!$A$3:$AAA$3,0))</f>
        <v>0</v>
      </c>
      <c r="I1044" s="88">
        <f>INDEX('IN_Detr 4.5 del_397'!$A$3:$AAA$1193,MATCH($G1044,'IN_Detr 4.5 del_397'!$A$3:$A$1193,0),MATCH(I$1,'IN_Detr 4.5 del_397'!$A$3:$AAA$3,0))</f>
        <v>0</v>
      </c>
      <c r="J1044" s="88">
        <f>INDEX('IN_Detr 4.5 del_397'!$A$3:$AAA$1193,MATCH($G1044,'IN_Detr 4.5 del_397'!$A$3:$A$1193,0),MATCH(J$1,'IN_Detr 4.5 del_397'!$A$3:$AAA$3,0))</f>
        <v>0</v>
      </c>
    </row>
    <row r="1045" spans="1:10" x14ac:dyDescent="0.2">
      <c r="A1045" s="86" t="s">
        <v>8024</v>
      </c>
      <c r="B1045" s="1067" t="s">
        <v>105</v>
      </c>
      <c r="C1045" s="1037" t="s">
        <v>219</v>
      </c>
      <c r="D1045" s="1027" t="s">
        <v>3109</v>
      </c>
      <c r="E1045" s="447" t="s">
        <v>8460</v>
      </c>
      <c r="F1045" s="1034" t="s">
        <v>3109</v>
      </c>
      <c r="G1045" s="1034" t="s">
        <v>4426</v>
      </c>
      <c r="H1045" s="88">
        <f>INDEX('IN_Detr 4.5 del_397'!$A$3:$AAA$1193,MATCH($G1045,'IN_Detr 4.5 del_397'!$A$3:$A$1193,0),MATCH(H$1,'IN_Detr 4.5 del_397'!$A$3:$AAA$3,0))</f>
        <v>0</v>
      </c>
      <c r="I1045" s="88">
        <f>INDEX('IN_Detr 4.5 del_397'!$A$3:$AAA$1193,MATCH($G1045,'IN_Detr 4.5 del_397'!$A$3:$A$1193,0),MATCH(I$1,'IN_Detr 4.5 del_397'!$A$3:$AAA$3,0))</f>
        <v>0</v>
      </c>
      <c r="J1045" s="88">
        <f>INDEX('IN_Detr 4.5 del_397'!$A$3:$AAA$1193,MATCH($G1045,'IN_Detr 4.5 del_397'!$A$3:$A$1193,0),MATCH(J$1,'IN_Detr 4.5 del_397'!$A$3:$AAA$3,0))</f>
        <v>0</v>
      </c>
    </row>
    <row r="1046" spans="1:10" x14ac:dyDescent="0.2">
      <c r="A1046" s="86" t="s">
        <v>8025</v>
      </c>
      <c r="B1046" s="447" t="str">
        <f>IN_Anagrafica!$B$9</f>
        <v>NO</v>
      </c>
      <c r="C1046" s="369" t="str">
        <f>IF(B1046="SI","SI","NO")</f>
        <v>NO</v>
      </c>
      <c r="D1046" s="1027" t="s">
        <v>3109</v>
      </c>
      <c r="E1046" s="447" t="s">
        <v>8461</v>
      </c>
      <c r="F1046" s="1034" t="s">
        <v>3109</v>
      </c>
      <c r="G1046" s="1034" t="s">
        <v>4444</v>
      </c>
      <c r="H1046" s="88">
        <f>INDEX('IN_Detr 4.5 del_397'!$A$3:$AAA$1193,MATCH($G1046,'IN_Detr 4.5 del_397'!$A$3:$A$1193,0),MATCH(H$1,'IN_Detr 4.5 del_397'!$A$3:$AAA$3,0))</f>
        <v>0</v>
      </c>
      <c r="I1046" s="88">
        <f>INDEX('IN_Detr 4.5 del_397'!$A$3:$AAA$1193,MATCH($G1046,'IN_Detr 4.5 del_397'!$A$3:$A$1193,0),MATCH(I$1,'IN_Detr 4.5 del_397'!$A$3:$AAA$3,0))</f>
        <v>0</v>
      </c>
      <c r="J1046" s="88">
        <f>INDEX('IN_Detr 4.5 del_397'!$A$3:$AAA$1193,MATCH($G1046,'IN_Detr 4.5 del_397'!$A$3:$A$1193,0),MATCH(J$1,'IN_Detr 4.5 del_397'!$A$3:$AAA$3,0))</f>
        <v>0</v>
      </c>
    </row>
    <row r="1047" spans="1:10" x14ac:dyDescent="0.2">
      <c r="A1047" s="86" t="s">
        <v>8026</v>
      </c>
      <c r="B1047" s="1067" t="s">
        <v>105</v>
      </c>
      <c r="C1047" s="1037" t="s">
        <v>219</v>
      </c>
      <c r="D1047" s="1027" t="s">
        <v>3109</v>
      </c>
      <c r="E1047" s="447" t="s">
        <v>8462</v>
      </c>
      <c r="F1047" s="1034" t="s">
        <v>3109</v>
      </c>
      <c r="G1047" s="1034" t="s">
        <v>6955</v>
      </c>
      <c r="H1047" s="88">
        <f>INDEX('IN_Detr 4.5 del_397'!$A$3:$AAA$1193,MATCH($G1047,'IN_Detr 4.5 del_397'!$A$3:$A$1193,0),MATCH(H$1,'IN_Detr 4.5 del_397'!$A$3:$AAA$3,0))</f>
        <v>0</v>
      </c>
      <c r="I1047" s="88">
        <f>INDEX('IN_Detr 4.5 del_397'!$A$3:$AAA$1193,MATCH($G1047,'IN_Detr 4.5 del_397'!$A$3:$A$1193,0),MATCH(I$1,'IN_Detr 4.5 del_397'!$A$3:$AAA$3,0))</f>
        <v>0</v>
      </c>
      <c r="J1047" s="88">
        <f>INDEX('IN_Detr 4.5 del_397'!$A$3:$AAA$1193,MATCH($G1047,'IN_Detr 4.5 del_397'!$A$3:$A$1193,0),MATCH(J$1,'IN_Detr 4.5 del_397'!$A$3:$AAA$3,0))</f>
        <v>0</v>
      </c>
    </row>
    <row r="1048" spans="1:10" x14ac:dyDescent="0.2">
      <c r="A1048" s="86" t="s">
        <v>8027</v>
      </c>
      <c r="B1048" s="447" t="str">
        <f>IN_Anagrafica!$B$9</f>
        <v>NO</v>
      </c>
      <c r="C1048" s="369" t="str">
        <f>IF(B1048="SI","SI","NO")</f>
        <v>NO</v>
      </c>
      <c r="D1048" s="1027" t="s">
        <v>3109</v>
      </c>
      <c r="E1048" s="447" t="s">
        <v>8463</v>
      </c>
      <c r="F1048" s="1034" t="s">
        <v>3109</v>
      </c>
      <c r="G1048" s="1034" t="s">
        <v>6956</v>
      </c>
      <c r="H1048" s="88">
        <f>INDEX('IN_Detr 4.5 del_397'!$A$3:$AAA$1193,MATCH($G1048,'IN_Detr 4.5 del_397'!$A$3:$A$1193,0),MATCH(H$1,'IN_Detr 4.5 del_397'!$A$3:$AAA$3,0))</f>
        <v>0</v>
      </c>
      <c r="I1048" s="88">
        <f>INDEX('IN_Detr 4.5 del_397'!$A$3:$AAA$1193,MATCH($G1048,'IN_Detr 4.5 del_397'!$A$3:$A$1193,0),MATCH(I$1,'IN_Detr 4.5 del_397'!$A$3:$AAA$3,0))</f>
        <v>0</v>
      </c>
      <c r="J1048" s="88">
        <f>INDEX('IN_Detr 4.5 del_397'!$A$3:$AAA$1193,MATCH($G1048,'IN_Detr 4.5 del_397'!$A$3:$A$1193,0),MATCH(J$1,'IN_Detr 4.5 del_397'!$A$3:$AAA$3,0))</f>
        <v>0</v>
      </c>
    </row>
    <row r="1049" spans="1:10" x14ac:dyDescent="0.2">
      <c r="A1049" s="86" t="s">
        <v>8028</v>
      </c>
      <c r="B1049" s="1067" t="s">
        <v>105</v>
      </c>
      <c r="C1049" s="1037" t="s">
        <v>219</v>
      </c>
      <c r="D1049" s="1027" t="s">
        <v>3109</v>
      </c>
      <c r="E1049" s="447" t="s">
        <v>8464</v>
      </c>
      <c r="F1049" s="1034" t="s">
        <v>3109</v>
      </c>
      <c r="G1049" s="1034" t="s">
        <v>6957</v>
      </c>
      <c r="H1049" s="88">
        <f>INDEX('IN_Detr 4.5 del_397'!$A$3:$AAA$1193,MATCH($G1049,'IN_Detr 4.5 del_397'!$A$3:$A$1193,0),MATCH(H$1,'IN_Detr 4.5 del_397'!$A$3:$AAA$3,0))</f>
        <v>0</v>
      </c>
      <c r="I1049" s="88">
        <f>INDEX('IN_Detr 4.5 del_397'!$A$3:$AAA$1193,MATCH($G1049,'IN_Detr 4.5 del_397'!$A$3:$A$1193,0),MATCH(I$1,'IN_Detr 4.5 del_397'!$A$3:$AAA$3,0))</f>
        <v>0</v>
      </c>
      <c r="J1049" s="88">
        <f>INDEX('IN_Detr 4.5 del_397'!$A$3:$AAA$1193,MATCH($G1049,'IN_Detr 4.5 del_397'!$A$3:$A$1193,0),MATCH(J$1,'IN_Detr 4.5 del_397'!$A$3:$AAA$3,0))</f>
        <v>0</v>
      </c>
    </row>
    <row r="1050" spans="1:10" x14ac:dyDescent="0.2">
      <c r="A1050" s="86" t="s">
        <v>8029</v>
      </c>
      <c r="B1050" s="447" t="str">
        <f>IN_Anagrafica!$B$9</f>
        <v>NO</v>
      </c>
      <c r="C1050" s="369" t="str">
        <f>IF(B1050="SI","SI","NO")</f>
        <v>NO</v>
      </c>
      <c r="D1050" s="1027" t="s">
        <v>3109</v>
      </c>
      <c r="E1050" s="447" t="s">
        <v>8465</v>
      </c>
      <c r="F1050" s="1034" t="s">
        <v>3109</v>
      </c>
      <c r="G1050" s="1034" t="s">
        <v>6960</v>
      </c>
      <c r="H1050" s="88">
        <f>INDEX('IN_Detr 4.5 del_397'!$A$3:$AAA$1193,MATCH($G1050,'IN_Detr 4.5 del_397'!$A$3:$A$1193,0),MATCH(H$1,'IN_Detr 4.5 del_397'!$A$3:$AAA$3,0))</f>
        <v>0</v>
      </c>
      <c r="I1050" s="88">
        <f>INDEX('IN_Detr 4.5 del_397'!$A$3:$AAA$1193,MATCH($G1050,'IN_Detr 4.5 del_397'!$A$3:$A$1193,0),MATCH(I$1,'IN_Detr 4.5 del_397'!$A$3:$AAA$3,0))</f>
        <v>0</v>
      </c>
      <c r="J1050" s="88">
        <f>INDEX('IN_Detr 4.5 del_397'!$A$3:$AAA$1193,MATCH($G1050,'IN_Detr 4.5 del_397'!$A$3:$A$1193,0),MATCH(J$1,'IN_Detr 4.5 del_397'!$A$3:$AAA$3,0))</f>
        <v>0</v>
      </c>
    </row>
    <row r="1051" spans="1:10" x14ac:dyDescent="0.2">
      <c r="A1051" s="86" t="s">
        <v>8030</v>
      </c>
      <c r="B1051" s="1067" t="s">
        <v>105</v>
      </c>
      <c r="C1051" s="1037" t="s">
        <v>219</v>
      </c>
      <c r="D1051" s="1027" t="s">
        <v>3109</v>
      </c>
      <c r="E1051" s="447" t="s">
        <v>758</v>
      </c>
      <c r="F1051" s="1034" t="s">
        <v>3109</v>
      </c>
      <c r="G1051" s="1034" t="s">
        <v>6961</v>
      </c>
      <c r="H1051" s="88">
        <f>INDEX('IN_Detr 4.5 del_397'!$A$3:$AAA$1193,MATCH($G1051,'IN_Detr 4.5 del_397'!$A$3:$A$1193,0),MATCH(H$1,'IN_Detr 4.5 del_397'!$A$3:$AAA$3,0))</f>
        <v>0</v>
      </c>
      <c r="I1051" s="88">
        <f>INDEX('IN_Detr 4.5 del_397'!$A$3:$AAA$1193,MATCH($G1051,'IN_Detr 4.5 del_397'!$A$3:$A$1193,0),MATCH(I$1,'IN_Detr 4.5 del_397'!$A$3:$AAA$3,0))</f>
        <v>0</v>
      </c>
      <c r="J1051" s="88">
        <f>INDEX('IN_Detr 4.5 del_397'!$A$3:$AAA$1193,MATCH($G1051,'IN_Detr 4.5 del_397'!$A$3:$A$1193,0),MATCH(J$1,'IN_Detr 4.5 del_397'!$A$3:$AAA$3,0))</f>
        <v>0</v>
      </c>
    </row>
    <row r="1052" spans="1:10" x14ac:dyDescent="0.2">
      <c r="A1052" s="86" t="s">
        <v>8031</v>
      </c>
      <c r="B1052" s="447" t="str">
        <f>IN_Anagrafica!$B$9</f>
        <v>NO</v>
      </c>
      <c r="C1052" s="369" t="str">
        <f>IF(B1052="SI","SI","NO")</f>
        <v>NO</v>
      </c>
      <c r="D1052" s="1027" t="s">
        <v>3109</v>
      </c>
      <c r="E1052" s="447" t="s">
        <v>731</v>
      </c>
      <c r="F1052" s="1034" t="s">
        <v>3109</v>
      </c>
      <c r="G1052" s="1034" t="s">
        <v>6962</v>
      </c>
      <c r="H1052" s="88">
        <f>INDEX('IN_Detr 4.5 del_397'!$A$3:$AAA$1193,MATCH($G1052,'IN_Detr 4.5 del_397'!$A$3:$A$1193,0),MATCH(H$1,'IN_Detr 4.5 del_397'!$A$3:$AAA$3,0))</f>
        <v>0</v>
      </c>
      <c r="I1052" s="88">
        <f>INDEX('IN_Detr 4.5 del_397'!$A$3:$AAA$1193,MATCH($G1052,'IN_Detr 4.5 del_397'!$A$3:$A$1193,0),MATCH(I$1,'IN_Detr 4.5 del_397'!$A$3:$AAA$3,0))</f>
        <v>0</v>
      </c>
      <c r="J1052" s="88">
        <f>INDEX('IN_Detr 4.5 del_397'!$A$3:$AAA$1193,MATCH($G1052,'IN_Detr 4.5 del_397'!$A$3:$A$1193,0),MATCH(J$1,'IN_Detr 4.5 del_397'!$A$3:$AAA$3,0))</f>
        <v>0</v>
      </c>
    </row>
    <row r="1053" spans="1:10" x14ac:dyDescent="0.2">
      <c r="A1053" s="86" t="s">
        <v>8032</v>
      </c>
      <c r="B1053" s="1067" t="s">
        <v>105</v>
      </c>
      <c r="C1053" s="1037" t="s">
        <v>219</v>
      </c>
      <c r="D1053" s="1027" t="s">
        <v>3109</v>
      </c>
      <c r="E1053" s="447" t="s">
        <v>735</v>
      </c>
      <c r="F1053" s="1034" t="s">
        <v>3109</v>
      </c>
      <c r="G1053" s="1034" t="s">
        <v>6967</v>
      </c>
      <c r="H1053" s="88">
        <f>INDEX('IN_Detr 4.5 del_397'!$A$3:$AAA$1193,MATCH($G1053,'IN_Detr 4.5 del_397'!$A$3:$A$1193,0),MATCH(H$1,'IN_Detr 4.5 del_397'!$A$3:$AAA$3,0))</f>
        <v>0</v>
      </c>
      <c r="I1053" s="88">
        <f>INDEX('IN_Detr 4.5 del_397'!$A$3:$AAA$1193,MATCH($G1053,'IN_Detr 4.5 del_397'!$A$3:$A$1193,0),MATCH(I$1,'IN_Detr 4.5 del_397'!$A$3:$AAA$3,0))</f>
        <v>0</v>
      </c>
      <c r="J1053" s="88">
        <f>INDEX('IN_Detr 4.5 del_397'!$A$3:$AAA$1193,MATCH($G1053,'IN_Detr 4.5 del_397'!$A$3:$A$1193,0),MATCH(J$1,'IN_Detr 4.5 del_397'!$A$3:$AAA$3,0))</f>
        <v>0</v>
      </c>
    </row>
    <row r="1054" spans="1:10" x14ac:dyDescent="0.2">
      <c r="A1054" s="86" t="s">
        <v>8033</v>
      </c>
      <c r="B1054" s="447" t="str">
        <f>IN_Anagrafica!$B$9</f>
        <v>NO</v>
      </c>
      <c r="C1054" s="369" t="str">
        <f t="shared" ref="C1054:C1058" si="10">IF(B1054="SI","SI","NO")</f>
        <v>NO</v>
      </c>
      <c r="D1054" s="1027" t="s">
        <v>3109</v>
      </c>
      <c r="E1054" s="447" t="s">
        <v>734</v>
      </c>
      <c r="F1054" s="1034" t="s">
        <v>3109</v>
      </c>
      <c r="G1054" s="1034" t="s">
        <v>6968</v>
      </c>
      <c r="H1054" s="88">
        <f>INDEX('IN_Detr 4.5 del_397'!$A$3:$AAA$1193,MATCH($G1054,'IN_Detr 4.5 del_397'!$A$3:$A$1193,0),MATCH(H$1,'IN_Detr 4.5 del_397'!$A$3:$AAA$3,0))</f>
        <v>0</v>
      </c>
      <c r="I1054" s="88">
        <f>INDEX('IN_Detr 4.5 del_397'!$A$3:$AAA$1193,MATCH($G1054,'IN_Detr 4.5 del_397'!$A$3:$A$1193,0),MATCH(I$1,'IN_Detr 4.5 del_397'!$A$3:$AAA$3,0))</f>
        <v>0</v>
      </c>
      <c r="J1054" s="88">
        <f>INDEX('IN_Detr 4.5 del_397'!$A$3:$AAA$1193,MATCH($G1054,'IN_Detr 4.5 del_397'!$A$3:$A$1193,0),MATCH(J$1,'IN_Detr 4.5 del_397'!$A$3:$AAA$3,0))</f>
        <v>0</v>
      </c>
    </row>
    <row r="1055" spans="1:10" x14ac:dyDescent="0.2">
      <c r="A1055" s="86" t="s">
        <v>8034</v>
      </c>
      <c r="B1055" s="447" t="str">
        <f>IN_Anagrafica!$B$9</f>
        <v>NO</v>
      </c>
      <c r="C1055" s="369" t="str">
        <f t="shared" si="10"/>
        <v>NO</v>
      </c>
      <c r="D1055" s="1027" t="s">
        <v>3109</v>
      </c>
      <c r="E1055" s="447" t="s">
        <v>8466</v>
      </c>
      <c r="F1055" s="1034" t="s">
        <v>3109</v>
      </c>
      <c r="G1055" s="1034" t="s">
        <v>3251</v>
      </c>
      <c r="H1055" s="88">
        <f>INDEX('IN_Detr 4.5 del_397'!$A$3:$AAA$1193,MATCH($G1055,'IN_Detr 4.5 del_397'!$A$3:$A$1193,0),MATCH(H$1,'IN_Detr 4.5 del_397'!$A$3:$AAA$3,0))</f>
        <v>0</v>
      </c>
      <c r="I1055" s="88">
        <f>INDEX('IN_Detr 4.5 del_397'!$A$3:$AAA$1193,MATCH($G1055,'IN_Detr 4.5 del_397'!$A$3:$A$1193,0),MATCH(I$1,'IN_Detr 4.5 del_397'!$A$3:$AAA$3,0))</f>
        <v>0</v>
      </c>
      <c r="J1055" s="88">
        <f>INDEX('IN_Detr 4.5 del_397'!$A$3:$AAA$1193,MATCH($G1055,'IN_Detr 4.5 del_397'!$A$3:$A$1193,0),MATCH(J$1,'IN_Detr 4.5 del_397'!$A$3:$AAA$3,0))</f>
        <v>0</v>
      </c>
    </row>
    <row r="1056" spans="1:10" x14ac:dyDescent="0.2">
      <c r="A1056" s="86" t="s">
        <v>8035</v>
      </c>
      <c r="B1056" s="447" t="str">
        <f>IN_Anagrafica!$B$9</f>
        <v>NO</v>
      </c>
      <c r="C1056" s="369" t="str">
        <f t="shared" si="10"/>
        <v>NO</v>
      </c>
      <c r="D1056" s="1027" t="s">
        <v>3109</v>
      </c>
      <c r="E1056" s="447" t="s">
        <v>8467</v>
      </c>
      <c r="F1056" s="1034" t="s">
        <v>3109</v>
      </c>
      <c r="G1056" s="1034" t="s">
        <v>3408</v>
      </c>
      <c r="H1056" s="88">
        <f>INDEX('IN_Detr 4.5 del_397'!$A$3:$AAA$1193,MATCH($G1056,'IN_Detr 4.5 del_397'!$A$3:$A$1193,0),MATCH(H$1,'IN_Detr 4.5 del_397'!$A$3:$AAA$3,0))</f>
        <v>0</v>
      </c>
      <c r="I1056" s="88">
        <f>INDEX('IN_Detr 4.5 del_397'!$A$3:$AAA$1193,MATCH($G1056,'IN_Detr 4.5 del_397'!$A$3:$A$1193,0),MATCH(I$1,'IN_Detr 4.5 del_397'!$A$3:$AAA$3,0))</f>
        <v>0</v>
      </c>
      <c r="J1056" s="88">
        <f>INDEX('IN_Detr 4.5 del_397'!$A$3:$AAA$1193,MATCH($G1056,'IN_Detr 4.5 del_397'!$A$3:$A$1193,0),MATCH(J$1,'IN_Detr 4.5 del_397'!$A$3:$AAA$3,0))</f>
        <v>0</v>
      </c>
    </row>
    <row r="1057" spans="1:10" x14ac:dyDescent="0.2">
      <c r="A1057" s="86" t="s">
        <v>8036</v>
      </c>
      <c r="B1057" s="447" t="str">
        <f>IN_Anagrafica!$B$9</f>
        <v>NO</v>
      </c>
      <c r="C1057" s="369" t="str">
        <f t="shared" si="10"/>
        <v>NO</v>
      </c>
      <c r="D1057" s="1027" t="s">
        <v>3109</v>
      </c>
      <c r="E1057" s="447" t="s">
        <v>718</v>
      </c>
      <c r="F1057" s="1034" t="s">
        <v>3109</v>
      </c>
      <c r="G1057" s="1034" t="s">
        <v>4252</v>
      </c>
      <c r="H1057" s="88">
        <f>INDEX('IN_Detr 4.5 del_397'!$A$3:$AAA$1193,MATCH($G1057,'IN_Detr 4.5 del_397'!$A$3:$A$1193,0),MATCH(H$1,'IN_Detr 4.5 del_397'!$A$3:$AAA$3,0))</f>
        <v>0</v>
      </c>
      <c r="I1057" s="88">
        <f>INDEX('IN_Detr 4.5 del_397'!$A$3:$AAA$1193,MATCH($G1057,'IN_Detr 4.5 del_397'!$A$3:$A$1193,0),MATCH(I$1,'IN_Detr 4.5 del_397'!$A$3:$AAA$3,0))</f>
        <v>0</v>
      </c>
      <c r="J1057" s="88">
        <f>INDEX('IN_Detr 4.5 del_397'!$A$3:$AAA$1193,MATCH($G1057,'IN_Detr 4.5 del_397'!$A$3:$A$1193,0),MATCH(J$1,'IN_Detr 4.5 del_397'!$A$3:$AAA$3,0))</f>
        <v>0</v>
      </c>
    </row>
    <row r="1058" spans="1:10" x14ac:dyDescent="0.2">
      <c r="A1058" s="86" t="s">
        <v>8037</v>
      </c>
      <c r="B1058" s="447" t="str">
        <f>IN_Anagrafica!$B$9</f>
        <v>NO</v>
      </c>
      <c r="C1058" s="369" t="str">
        <f t="shared" si="10"/>
        <v>NO</v>
      </c>
      <c r="D1058" s="1027" t="s">
        <v>3109</v>
      </c>
      <c r="E1058" s="447" t="s">
        <v>719</v>
      </c>
      <c r="F1058" s="1034" t="s">
        <v>3109</v>
      </c>
      <c r="G1058" s="1034" t="s">
        <v>4449</v>
      </c>
      <c r="H1058" s="88">
        <f>INDEX('IN_Detr 4.5 del_397'!$A$3:$AAA$1193,MATCH($G1058,'IN_Detr 4.5 del_397'!$A$3:$A$1193,0),MATCH(H$1,'IN_Detr 4.5 del_397'!$A$3:$AAA$3,0))</f>
        <v>0</v>
      </c>
      <c r="I1058" s="88">
        <f>INDEX('IN_Detr 4.5 del_397'!$A$3:$AAA$1193,MATCH($G1058,'IN_Detr 4.5 del_397'!$A$3:$A$1193,0),MATCH(I$1,'IN_Detr 4.5 del_397'!$A$3:$AAA$3,0))</f>
        <v>0</v>
      </c>
      <c r="J1058" s="88">
        <f>INDEX('IN_Detr 4.5 del_397'!$A$3:$AAA$1193,MATCH($G1058,'IN_Detr 4.5 del_397'!$A$3:$A$1193,0),MATCH(J$1,'IN_Detr 4.5 del_397'!$A$3:$AAA$3,0))</f>
        <v>0</v>
      </c>
    </row>
    <row r="1059" spans="1:10" x14ac:dyDescent="0.2">
      <c r="A1059" s="86" t="s">
        <v>8038</v>
      </c>
      <c r="B1059" s="1067" t="s">
        <v>105</v>
      </c>
      <c r="C1059" s="1037" t="s">
        <v>219</v>
      </c>
      <c r="D1059" s="1027" t="s">
        <v>439</v>
      </c>
      <c r="E1059" s="447" t="s">
        <v>8468</v>
      </c>
      <c r="F1059" s="1034" t="s">
        <v>439</v>
      </c>
      <c r="G1059" s="1034" t="s">
        <v>6779</v>
      </c>
      <c r="H1059" s="88">
        <f>INDEX(IN_Rimd!$A$3:$AAA$428,MATCH($G1059,IN_Rimd!$A$3:$A$428,0),MATCH(H$1,IN_Rimd!$A$3:$AAA$3,0))</f>
        <v>631132.73565401591</v>
      </c>
      <c r="I1059" s="88">
        <f>INDEX(IN_Rimd!$A$3:$AAA$428,MATCH($G1059,IN_Rimd!$A$3:$A$428,0),MATCH(I$1,IN_Rimd!$A$3:$AAA$3,0))</f>
        <v>0</v>
      </c>
      <c r="J1059" s="88">
        <f>INDEX(IN_Rimd!$A$3:$AAA$428,MATCH($G1059,IN_Rimd!$A$3:$A$428,0),MATCH(J$1,IN_Rimd!$A$3:$AAA$3,0))</f>
        <v>0</v>
      </c>
    </row>
    <row r="1060" spans="1:10" x14ac:dyDescent="0.2">
      <c r="A1060" s="86" t="s">
        <v>6780</v>
      </c>
      <c r="B1060" s="447" t="str">
        <f>IN_Anagrafica!$B$9</f>
        <v>NO</v>
      </c>
      <c r="C1060" s="369" t="str">
        <f>IF(B1060="SI","SI","NO")</f>
        <v>NO</v>
      </c>
      <c r="D1060" s="1027" t="s">
        <v>439</v>
      </c>
      <c r="E1060" s="447" t="s">
        <v>8469</v>
      </c>
      <c r="F1060" s="1034" t="s">
        <v>439</v>
      </c>
      <c r="G1060" s="1034" t="s">
        <v>6780</v>
      </c>
      <c r="H1060" s="88">
        <f>INDEX(IN_Rimd!$A$3:$AAA$428,MATCH($G1060,IN_Rimd!$A$3:$A$428,0),MATCH(H$1,IN_Rimd!$A$3:$AAA$3,0))</f>
        <v>0</v>
      </c>
      <c r="I1060" s="88">
        <f>INDEX(IN_Rimd!$A$3:$AAA$428,MATCH($G1060,IN_Rimd!$A$3:$A$428,0),MATCH(I$1,IN_Rimd!$A$3:$AAA$3,0))</f>
        <v>0</v>
      </c>
      <c r="J1060" s="88">
        <f>INDEX(IN_Rimd!$A$3:$AAA$428,MATCH($G1060,IN_Rimd!$A$3:$A$428,0),MATCH(J$1,IN_Rimd!$A$3:$AAA$3,0))</f>
        <v>0</v>
      </c>
    </row>
    <row r="1061" spans="1:10" x14ac:dyDescent="0.2">
      <c r="A1061" s="86" t="s">
        <v>8039</v>
      </c>
      <c r="B1061" s="1067" t="s">
        <v>105</v>
      </c>
      <c r="C1061" s="1037" t="s">
        <v>219</v>
      </c>
      <c r="D1061" s="1027" t="s">
        <v>439</v>
      </c>
      <c r="E1061" s="447" t="s">
        <v>8470</v>
      </c>
      <c r="F1061" s="1034" t="s">
        <v>439</v>
      </c>
      <c r="G1061" s="1034" t="s">
        <v>6782</v>
      </c>
      <c r="H1061" s="88">
        <f>INDEX(IN_Rimd!$A$3:$AAA$428,MATCH($G1061,IN_Rimd!$A$3:$A$428,0),MATCH(H$1,IN_Rimd!$A$3:$AAA$3,0))</f>
        <v>448569.13166320242</v>
      </c>
      <c r="I1061" s="88">
        <f>INDEX(IN_Rimd!$A$3:$AAA$428,MATCH($G1061,IN_Rimd!$A$3:$A$428,0),MATCH(I$1,IN_Rimd!$A$3:$AAA$3,0))</f>
        <v>0</v>
      </c>
      <c r="J1061" s="88">
        <f>INDEX(IN_Rimd!$A$3:$AAA$428,MATCH($G1061,IN_Rimd!$A$3:$A$428,0),MATCH(J$1,IN_Rimd!$A$3:$AAA$3,0))</f>
        <v>0</v>
      </c>
    </row>
    <row r="1062" spans="1:10" x14ac:dyDescent="0.2">
      <c r="A1062" s="86" t="s">
        <v>6783</v>
      </c>
      <c r="B1062" s="447" t="str">
        <f>IN_Anagrafica!$B$9</f>
        <v>NO</v>
      </c>
      <c r="C1062" s="369" t="str">
        <f>IF(B1062="SI","SI","NO")</f>
        <v>NO</v>
      </c>
      <c r="D1062" s="1027" t="s">
        <v>439</v>
      </c>
      <c r="E1062" s="447" t="s">
        <v>8471</v>
      </c>
      <c r="F1062" s="1034" t="s">
        <v>439</v>
      </c>
      <c r="G1062" s="1034" t="s">
        <v>6783</v>
      </c>
      <c r="H1062" s="88">
        <f>INDEX(IN_Rimd!$A$3:$AAA$428,MATCH($G1062,IN_Rimd!$A$3:$A$428,0),MATCH(H$1,IN_Rimd!$A$3:$AAA$3,0))</f>
        <v>0</v>
      </c>
      <c r="I1062" s="88">
        <f>INDEX(IN_Rimd!$A$3:$AAA$428,MATCH($G1062,IN_Rimd!$A$3:$A$428,0),MATCH(I$1,IN_Rimd!$A$3:$AAA$3,0))</f>
        <v>0</v>
      </c>
      <c r="J1062" s="88">
        <f>INDEX(IN_Rimd!$A$3:$AAA$428,MATCH($G1062,IN_Rimd!$A$3:$A$428,0),MATCH(J$1,IN_Rimd!$A$3:$AAA$3,0))</f>
        <v>0</v>
      </c>
    </row>
    <row r="1063" spans="1:10" x14ac:dyDescent="0.2">
      <c r="A1063" s="86" t="s">
        <v>8040</v>
      </c>
      <c r="B1063" s="1067" t="s">
        <v>105</v>
      </c>
      <c r="C1063" s="1037" t="s">
        <v>219</v>
      </c>
      <c r="D1063" s="1027" t="s">
        <v>439</v>
      </c>
      <c r="E1063" s="447" t="s">
        <v>676</v>
      </c>
      <c r="F1063" s="1034" t="s">
        <v>439</v>
      </c>
      <c r="G1063" s="1034" t="s">
        <v>5983</v>
      </c>
      <c r="H1063" s="88">
        <f>INDEX(IN_Rimd!$A$3:$AAA$428,MATCH($G1063,IN_Rimd!$A$3:$A$428,0),MATCH(H$1,IN_Rimd!$A$3:$AAA$3,0))</f>
        <v>315566.36782700795</v>
      </c>
      <c r="I1063" s="88">
        <f>INDEX(IN_Rimd!$A$3:$AAA$428,MATCH($G1063,IN_Rimd!$A$3:$A$428,0),MATCH(I$1,IN_Rimd!$A$3:$AAA$3,0))</f>
        <v>0</v>
      </c>
      <c r="J1063" s="88">
        <f>INDEX(IN_Rimd!$A$3:$AAA$428,MATCH($G1063,IN_Rimd!$A$3:$A$428,0),MATCH(J$1,IN_Rimd!$A$3:$AAA$3,0))</f>
        <v>0</v>
      </c>
    </row>
    <row r="1064" spans="1:10" x14ac:dyDescent="0.2">
      <c r="A1064" s="86" t="s">
        <v>8041</v>
      </c>
      <c r="B1064" s="447" t="str">
        <f>IN_Anagrafica!$B$9</f>
        <v>NO</v>
      </c>
      <c r="C1064" s="369" t="str">
        <f>IF(B1064="SI","SI","NO")</f>
        <v>NO</v>
      </c>
      <c r="D1064" s="1027" t="s">
        <v>439</v>
      </c>
      <c r="E1064" s="447" t="s">
        <v>681</v>
      </c>
      <c r="F1064" s="1034" t="s">
        <v>439</v>
      </c>
      <c r="G1064" s="1034" t="s">
        <v>5984</v>
      </c>
      <c r="H1064" s="88">
        <f>INDEX(IN_Rimd!$A$3:$AAA$428,MATCH($G1064,IN_Rimd!$A$3:$A$428,0),MATCH(H$1,IN_Rimd!$A$3:$AAA$3,0))</f>
        <v>0</v>
      </c>
      <c r="I1064" s="88">
        <f>INDEX(IN_Rimd!$A$3:$AAA$428,MATCH($G1064,IN_Rimd!$A$3:$A$428,0),MATCH(I$1,IN_Rimd!$A$3:$AAA$3,0))</f>
        <v>0</v>
      </c>
      <c r="J1064" s="88">
        <f>INDEX(IN_Rimd!$A$3:$AAA$428,MATCH($G1064,IN_Rimd!$A$3:$A$428,0),MATCH(J$1,IN_Rimd!$A$3:$AAA$3,0))</f>
        <v>0</v>
      </c>
    </row>
    <row r="1065" spans="1:10" x14ac:dyDescent="0.2">
      <c r="A1065" s="86" t="s">
        <v>8042</v>
      </c>
      <c r="B1065" s="1067" t="s">
        <v>105</v>
      </c>
      <c r="C1065" s="1037" t="s">
        <v>219</v>
      </c>
      <c r="D1065" s="1027" t="s">
        <v>439</v>
      </c>
      <c r="E1065" s="447" t="s">
        <v>8197</v>
      </c>
      <c r="F1065" s="1034" t="s">
        <v>439</v>
      </c>
      <c r="G1065" s="1034" t="s">
        <v>5989</v>
      </c>
      <c r="H1065" s="88">
        <f>INDEX(IN_Rimd!$A$3:$AAA$428,MATCH($G1065,IN_Rimd!$A$3:$A$428,0),MATCH(H$1,IN_Rimd!$A$3:$AAA$3,0))</f>
        <v>315566.36782700795</v>
      </c>
      <c r="I1065" s="88">
        <f>INDEX(IN_Rimd!$A$3:$AAA$428,MATCH($G1065,IN_Rimd!$A$3:$A$428,0),MATCH(I$1,IN_Rimd!$A$3:$AAA$3,0))</f>
        <v>0</v>
      </c>
      <c r="J1065" s="88">
        <f>INDEX(IN_Rimd!$A$3:$AAA$428,MATCH($G1065,IN_Rimd!$A$3:$A$428,0),MATCH(J$1,IN_Rimd!$A$3:$AAA$3,0))</f>
        <v>0</v>
      </c>
    </row>
    <row r="1066" spans="1:10" x14ac:dyDescent="0.2">
      <c r="A1066" s="86" t="s">
        <v>8043</v>
      </c>
      <c r="B1066" s="447" t="str">
        <f>IN_Anagrafica!$B$9</f>
        <v>NO</v>
      </c>
      <c r="C1066" s="369" t="str">
        <f>IF(B1066="SI","SI","NO")</f>
        <v>NO</v>
      </c>
      <c r="D1066" s="1027" t="s">
        <v>439</v>
      </c>
      <c r="E1066" s="447" t="s">
        <v>8388</v>
      </c>
      <c r="F1066" s="1034" t="s">
        <v>439</v>
      </c>
      <c r="G1066" s="1034" t="s">
        <v>5990</v>
      </c>
      <c r="H1066" s="88">
        <f>INDEX(IN_Rimd!$A$3:$AAA$428,MATCH($G1066,IN_Rimd!$A$3:$A$428,0),MATCH(H$1,IN_Rimd!$A$3:$AAA$3,0))</f>
        <v>0</v>
      </c>
      <c r="I1066" s="88">
        <f>INDEX(IN_Rimd!$A$3:$AAA$428,MATCH($G1066,IN_Rimd!$A$3:$A$428,0),MATCH(I$1,IN_Rimd!$A$3:$AAA$3,0))</f>
        <v>0</v>
      </c>
      <c r="J1066" s="88">
        <f>INDEX(IN_Rimd!$A$3:$AAA$428,MATCH($G1066,IN_Rimd!$A$3:$A$428,0),MATCH(J$1,IN_Rimd!$A$3:$AAA$3,0))</f>
        <v>0</v>
      </c>
    </row>
    <row r="1067" spans="1:10" x14ac:dyDescent="0.2">
      <c r="A1067" s="86" t="s">
        <v>8044</v>
      </c>
      <c r="B1067" s="1067" t="s">
        <v>105</v>
      </c>
      <c r="C1067" s="1037" t="s">
        <v>219</v>
      </c>
      <c r="D1067" s="1027" t="s">
        <v>439</v>
      </c>
      <c r="E1067" s="447" t="s">
        <v>721</v>
      </c>
      <c r="F1067" s="1034" t="s">
        <v>439</v>
      </c>
      <c r="G1067" s="1034" t="s">
        <v>5995</v>
      </c>
      <c r="H1067" s="88">
        <f>INDEX(IN_Rimd!$A$3:$AAA$428,MATCH($G1067,IN_Rimd!$A$3:$A$428,0),MATCH(H$1,IN_Rimd!$A$3:$AAA$3,0))</f>
        <v>0</v>
      </c>
      <c r="I1067" s="88">
        <f>INDEX(IN_Rimd!$A$3:$AAA$428,MATCH($G1067,IN_Rimd!$A$3:$A$428,0),MATCH(I$1,IN_Rimd!$A$3:$AAA$3,0))</f>
        <v>0</v>
      </c>
      <c r="J1067" s="88">
        <f>INDEX(IN_Rimd!$A$3:$AAA$428,MATCH($G1067,IN_Rimd!$A$3:$A$428,0),MATCH(J$1,IN_Rimd!$A$3:$AAA$3,0))</f>
        <v>0</v>
      </c>
    </row>
    <row r="1068" spans="1:10" x14ac:dyDescent="0.2">
      <c r="A1068" s="86" t="s">
        <v>8045</v>
      </c>
      <c r="B1068" s="447" t="str">
        <f>IN_Anagrafica!$B$9</f>
        <v>NO</v>
      </c>
      <c r="C1068" s="369" t="str">
        <f>IF(B1068="SI","SI","NO")</f>
        <v>NO</v>
      </c>
      <c r="D1068" s="1027" t="s">
        <v>439</v>
      </c>
      <c r="E1068" s="447" t="s">
        <v>723</v>
      </c>
      <c r="F1068" s="1034" t="s">
        <v>439</v>
      </c>
      <c r="G1068" s="1034" t="s">
        <v>5996</v>
      </c>
      <c r="H1068" s="88">
        <f>INDEX(IN_Rimd!$A$3:$AAA$428,MATCH($G1068,IN_Rimd!$A$3:$A$428,0),MATCH(H$1,IN_Rimd!$A$3:$AAA$3,0))</f>
        <v>0</v>
      </c>
      <c r="I1068" s="88">
        <f>INDEX(IN_Rimd!$A$3:$AAA$428,MATCH($G1068,IN_Rimd!$A$3:$A$428,0),MATCH(I$1,IN_Rimd!$A$3:$AAA$3,0))</f>
        <v>0</v>
      </c>
      <c r="J1068" s="88">
        <f>INDEX(IN_Rimd!$A$3:$AAA$428,MATCH($G1068,IN_Rimd!$A$3:$A$428,0),MATCH(J$1,IN_Rimd!$A$3:$AAA$3,0))</f>
        <v>0</v>
      </c>
    </row>
    <row r="1069" spans="1:10" x14ac:dyDescent="0.2">
      <c r="A1069" s="86" t="s">
        <v>8046</v>
      </c>
      <c r="B1069" s="1067" t="s">
        <v>105</v>
      </c>
      <c r="C1069" s="1037" t="s">
        <v>219</v>
      </c>
      <c r="D1069" s="1027" t="s">
        <v>439</v>
      </c>
      <c r="E1069" s="447" t="s">
        <v>725</v>
      </c>
      <c r="F1069" s="1034" t="s">
        <v>439</v>
      </c>
      <c r="G1069" s="1034" t="s">
        <v>6001</v>
      </c>
      <c r="H1069" s="88">
        <f>INDEX(IN_Rimd!$A$3:$AAA$428,MATCH($G1069,IN_Rimd!$A$3:$A$428,0),MATCH(H$1,IN_Rimd!$A$3:$AAA$3,0))</f>
        <v>0</v>
      </c>
      <c r="I1069" s="88">
        <f>INDEX(IN_Rimd!$A$3:$AAA$428,MATCH($G1069,IN_Rimd!$A$3:$A$428,0),MATCH(I$1,IN_Rimd!$A$3:$AAA$3,0))</f>
        <v>0</v>
      </c>
      <c r="J1069" s="88">
        <f>INDEX(IN_Rimd!$A$3:$AAA$428,MATCH($G1069,IN_Rimd!$A$3:$A$428,0),MATCH(J$1,IN_Rimd!$A$3:$AAA$3,0))</f>
        <v>0</v>
      </c>
    </row>
    <row r="1070" spans="1:10" x14ac:dyDescent="0.2">
      <c r="A1070" s="86" t="s">
        <v>8047</v>
      </c>
      <c r="B1070" s="447" t="str">
        <f>IN_Anagrafica!$B$9</f>
        <v>NO</v>
      </c>
      <c r="C1070" s="369" t="str">
        <f>IF(B1070="SI","SI","NO")</f>
        <v>NO</v>
      </c>
      <c r="D1070" s="1027" t="s">
        <v>439</v>
      </c>
      <c r="E1070" s="447" t="s">
        <v>727</v>
      </c>
      <c r="F1070" s="1034" t="s">
        <v>439</v>
      </c>
      <c r="G1070" s="1034" t="s">
        <v>6002</v>
      </c>
      <c r="H1070" s="88">
        <f>INDEX(IN_Rimd!$A$3:$AAA$428,MATCH($G1070,IN_Rimd!$A$3:$A$428,0),MATCH(H$1,IN_Rimd!$A$3:$AAA$3,0))</f>
        <v>0</v>
      </c>
      <c r="I1070" s="88">
        <f>INDEX(IN_Rimd!$A$3:$AAA$428,MATCH($G1070,IN_Rimd!$A$3:$A$428,0),MATCH(I$1,IN_Rimd!$A$3:$AAA$3,0))</f>
        <v>0</v>
      </c>
      <c r="J1070" s="88">
        <f>INDEX(IN_Rimd!$A$3:$AAA$428,MATCH($G1070,IN_Rimd!$A$3:$A$428,0),MATCH(J$1,IN_Rimd!$A$3:$AAA$3,0))</f>
        <v>0</v>
      </c>
    </row>
    <row r="1071" spans="1:10" x14ac:dyDescent="0.2">
      <c r="A1071" s="86" t="s">
        <v>8048</v>
      </c>
      <c r="B1071" s="1067" t="s">
        <v>105</v>
      </c>
      <c r="C1071" s="1037" t="s">
        <v>219</v>
      </c>
      <c r="D1071" s="1027" t="s">
        <v>439</v>
      </c>
      <c r="E1071" s="447" t="s">
        <v>712</v>
      </c>
      <c r="F1071" s="1034" t="s">
        <v>439</v>
      </c>
      <c r="G1071" s="1034" t="s">
        <v>6007</v>
      </c>
      <c r="H1071" s="88">
        <f>INDEX(IN_Rimd!$A$3:$AAA$428,MATCH($G1071,IN_Rimd!$A$3:$A$428,0),MATCH(H$1,IN_Rimd!$A$3:$AAA$3,0))</f>
        <v>0</v>
      </c>
      <c r="I1071" s="88">
        <f>INDEX(IN_Rimd!$A$3:$AAA$428,MATCH($G1071,IN_Rimd!$A$3:$A$428,0),MATCH(I$1,IN_Rimd!$A$3:$AAA$3,0))</f>
        <v>0</v>
      </c>
      <c r="J1071" s="88">
        <f>INDEX(IN_Rimd!$A$3:$AAA$428,MATCH($G1071,IN_Rimd!$A$3:$A$428,0),MATCH(J$1,IN_Rimd!$A$3:$AAA$3,0))</f>
        <v>0</v>
      </c>
    </row>
    <row r="1072" spans="1:10" x14ac:dyDescent="0.2">
      <c r="A1072" s="86" t="s">
        <v>8049</v>
      </c>
      <c r="B1072" s="447" t="str">
        <f>IN_Anagrafica!$B$9</f>
        <v>NO</v>
      </c>
      <c r="C1072" s="369" t="str">
        <f>IF(B1072="SI","SI","NO")</f>
        <v>NO</v>
      </c>
      <c r="D1072" s="1027" t="s">
        <v>439</v>
      </c>
      <c r="E1072" s="447" t="s">
        <v>714</v>
      </c>
      <c r="F1072" s="1034" t="s">
        <v>439</v>
      </c>
      <c r="G1072" s="1034" t="s">
        <v>6008</v>
      </c>
      <c r="H1072" s="88">
        <f>INDEX(IN_Rimd!$A$3:$AAA$428,MATCH($G1072,IN_Rimd!$A$3:$A$428,0),MATCH(H$1,IN_Rimd!$A$3:$AAA$3,0))</f>
        <v>0</v>
      </c>
      <c r="I1072" s="88">
        <f>INDEX(IN_Rimd!$A$3:$AAA$428,MATCH($G1072,IN_Rimd!$A$3:$A$428,0),MATCH(I$1,IN_Rimd!$A$3:$AAA$3,0))</f>
        <v>0</v>
      </c>
      <c r="J1072" s="88">
        <f>INDEX(IN_Rimd!$A$3:$AAA$428,MATCH($G1072,IN_Rimd!$A$3:$A$428,0),MATCH(J$1,IN_Rimd!$A$3:$AAA$3,0))</f>
        <v>0</v>
      </c>
    </row>
    <row r="1073" spans="1:10" x14ac:dyDescent="0.2">
      <c r="A1073" s="86" t="s">
        <v>8050</v>
      </c>
      <c r="B1073" s="1067" t="s">
        <v>105</v>
      </c>
      <c r="C1073" s="1037" t="s">
        <v>219</v>
      </c>
      <c r="D1073" s="1027" t="s">
        <v>439</v>
      </c>
      <c r="E1073" s="447" t="s">
        <v>367</v>
      </c>
      <c r="F1073" s="1034" t="s">
        <v>439</v>
      </c>
      <c r="G1073" s="1034" t="s">
        <v>5986</v>
      </c>
      <c r="H1073" s="88">
        <f>INDEX(IN_Rimd!$A$3:$AAA$428,MATCH($G1073,IN_Rimd!$A$3:$A$428,0),MATCH(H$1,IN_Rimd!$A$3:$AAA$3,0))</f>
        <v>224284.56583160121</v>
      </c>
      <c r="I1073" s="88">
        <f>INDEX(IN_Rimd!$A$3:$AAA$428,MATCH($G1073,IN_Rimd!$A$3:$A$428,0),MATCH(I$1,IN_Rimd!$A$3:$AAA$3,0))</f>
        <v>0</v>
      </c>
      <c r="J1073" s="88">
        <f>INDEX(IN_Rimd!$A$3:$AAA$428,MATCH($G1073,IN_Rimd!$A$3:$A$428,0),MATCH(J$1,IN_Rimd!$A$3:$AAA$3,0))</f>
        <v>0</v>
      </c>
    </row>
    <row r="1074" spans="1:10" x14ac:dyDescent="0.2">
      <c r="A1074" s="86" t="s">
        <v>8051</v>
      </c>
      <c r="B1074" s="447" t="str">
        <f>IN_Anagrafica!$B$9</f>
        <v>NO</v>
      </c>
      <c r="C1074" s="369" t="str">
        <f>IF(B1074="SI","SI","NO")</f>
        <v>NO</v>
      </c>
      <c r="D1074" s="1027" t="s">
        <v>439</v>
      </c>
      <c r="E1074" s="447" t="s">
        <v>368</v>
      </c>
      <c r="F1074" s="1034" t="s">
        <v>439</v>
      </c>
      <c r="G1074" s="1034" t="s">
        <v>5987</v>
      </c>
      <c r="H1074" s="88">
        <f>INDEX(IN_Rimd!$A$3:$AAA$428,MATCH($G1074,IN_Rimd!$A$3:$A$428,0),MATCH(H$1,IN_Rimd!$A$3:$AAA$3,0))</f>
        <v>0</v>
      </c>
      <c r="I1074" s="88">
        <f>INDEX(IN_Rimd!$A$3:$AAA$428,MATCH($G1074,IN_Rimd!$A$3:$A$428,0),MATCH(I$1,IN_Rimd!$A$3:$AAA$3,0))</f>
        <v>0</v>
      </c>
      <c r="J1074" s="88">
        <f>INDEX(IN_Rimd!$A$3:$AAA$428,MATCH($G1074,IN_Rimd!$A$3:$A$428,0),MATCH(J$1,IN_Rimd!$A$3:$AAA$3,0))</f>
        <v>0</v>
      </c>
    </row>
    <row r="1075" spans="1:10" x14ac:dyDescent="0.2">
      <c r="A1075" s="86" t="s">
        <v>8052</v>
      </c>
      <c r="B1075" s="1067" t="s">
        <v>105</v>
      </c>
      <c r="C1075" s="1037" t="s">
        <v>219</v>
      </c>
      <c r="D1075" s="1027" t="s">
        <v>439</v>
      </c>
      <c r="E1075" s="447" t="s">
        <v>8202</v>
      </c>
      <c r="F1075" s="1034" t="s">
        <v>439</v>
      </c>
      <c r="G1075" s="1034" t="s">
        <v>5992</v>
      </c>
      <c r="H1075" s="88">
        <f>INDEX(IN_Rimd!$A$3:$AAA$428,MATCH($G1075,IN_Rimd!$A$3:$A$428,0),MATCH(H$1,IN_Rimd!$A$3:$AAA$3,0))</f>
        <v>224284.56583160121</v>
      </c>
      <c r="I1075" s="88">
        <f>INDEX(IN_Rimd!$A$3:$AAA$428,MATCH($G1075,IN_Rimd!$A$3:$A$428,0),MATCH(I$1,IN_Rimd!$A$3:$AAA$3,0))</f>
        <v>0</v>
      </c>
      <c r="J1075" s="88">
        <f>INDEX(IN_Rimd!$A$3:$AAA$428,MATCH($G1075,IN_Rimd!$A$3:$A$428,0),MATCH(J$1,IN_Rimd!$A$3:$AAA$3,0))</f>
        <v>0</v>
      </c>
    </row>
    <row r="1076" spans="1:10" x14ac:dyDescent="0.2">
      <c r="A1076" s="86" t="s">
        <v>8053</v>
      </c>
      <c r="B1076" s="447" t="str">
        <f>IN_Anagrafica!$B$9</f>
        <v>NO</v>
      </c>
      <c r="C1076" s="369" t="str">
        <f>IF(B1076="SI","SI","NO")</f>
        <v>NO</v>
      </c>
      <c r="D1076" s="1027" t="s">
        <v>439</v>
      </c>
      <c r="E1076" s="447" t="s">
        <v>8472</v>
      </c>
      <c r="F1076" s="1034" t="s">
        <v>439</v>
      </c>
      <c r="G1076" s="1034" t="s">
        <v>5993</v>
      </c>
      <c r="H1076" s="88">
        <f>INDEX(IN_Rimd!$A$3:$AAA$428,MATCH($G1076,IN_Rimd!$A$3:$A$428,0),MATCH(H$1,IN_Rimd!$A$3:$AAA$3,0))</f>
        <v>0</v>
      </c>
      <c r="I1076" s="88">
        <f>INDEX(IN_Rimd!$A$3:$AAA$428,MATCH($G1076,IN_Rimd!$A$3:$A$428,0),MATCH(I$1,IN_Rimd!$A$3:$AAA$3,0))</f>
        <v>0</v>
      </c>
      <c r="J1076" s="88">
        <f>INDEX(IN_Rimd!$A$3:$AAA$428,MATCH($G1076,IN_Rimd!$A$3:$A$428,0),MATCH(J$1,IN_Rimd!$A$3:$AAA$3,0))</f>
        <v>0</v>
      </c>
    </row>
    <row r="1077" spans="1:10" x14ac:dyDescent="0.2">
      <c r="A1077" s="86" t="s">
        <v>8054</v>
      </c>
      <c r="B1077" s="1067" t="s">
        <v>105</v>
      </c>
      <c r="C1077" s="1037" t="s">
        <v>219</v>
      </c>
      <c r="D1077" s="1027" t="s">
        <v>439</v>
      </c>
      <c r="E1077" s="447" t="s">
        <v>385</v>
      </c>
      <c r="F1077" s="1034" t="s">
        <v>439</v>
      </c>
      <c r="G1077" s="1034" t="s">
        <v>5998</v>
      </c>
      <c r="H1077" s="88">
        <f>INDEX(IN_Rimd!$A$3:$AAA$428,MATCH($G1077,IN_Rimd!$A$3:$A$428,0),MATCH(H$1,IN_Rimd!$A$3:$AAA$3,0))</f>
        <v>0</v>
      </c>
      <c r="I1077" s="88">
        <f>INDEX(IN_Rimd!$A$3:$AAA$428,MATCH($G1077,IN_Rimd!$A$3:$A$428,0),MATCH(I$1,IN_Rimd!$A$3:$AAA$3,0))</f>
        <v>0</v>
      </c>
      <c r="J1077" s="88">
        <f>INDEX(IN_Rimd!$A$3:$AAA$428,MATCH($G1077,IN_Rimd!$A$3:$A$428,0),MATCH(J$1,IN_Rimd!$A$3:$AAA$3,0))</f>
        <v>0</v>
      </c>
    </row>
    <row r="1078" spans="1:10" x14ac:dyDescent="0.2">
      <c r="A1078" s="86" t="s">
        <v>8055</v>
      </c>
      <c r="B1078" s="447" t="str">
        <f>IN_Anagrafica!$B$9</f>
        <v>NO</v>
      </c>
      <c r="C1078" s="369" t="str">
        <f>IF(B1078="SI","SI","NO")</f>
        <v>NO</v>
      </c>
      <c r="D1078" s="1027" t="s">
        <v>439</v>
      </c>
      <c r="E1078" s="447" t="s">
        <v>387</v>
      </c>
      <c r="F1078" s="1034" t="s">
        <v>439</v>
      </c>
      <c r="G1078" s="1034" t="s">
        <v>5999</v>
      </c>
      <c r="H1078" s="88">
        <f>INDEX(IN_Rimd!$A$3:$AAA$428,MATCH($G1078,IN_Rimd!$A$3:$A$428,0),MATCH(H$1,IN_Rimd!$A$3:$AAA$3,0))</f>
        <v>0</v>
      </c>
      <c r="I1078" s="88">
        <f>INDEX(IN_Rimd!$A$3:$AAA$428,MATCH($G1078,IN_Rimd!$A$3:$A$428,0),MATCH(I$1,IN_Rimd!$A$3:$AAA$3,0))</f>
        <v>0</v>
      </c>
      <c r="J1078" s="88">
        <f>INDEX(IN_Rimd!$A$3:$AAA$428,MATCH($G1078,IN_Rimd!$A$3:$A$428,0),MATCH(J$1,IN_Rimd!$A$3:$AAA$3,0))</f>
        <v>0</v>
      </c>
    </row>
    <row r="1079" spans="1:10" x14ac:dyDescent="0.2">
      <c r="A1079" s="86" t="s">
        <v>8056</v>
      </c>
      <c r="B1079" s="1067" t="s">
        <v>105</v>
      </c>
      <c r="C1079" s="1037" t="s">
        <v>219</v>
      </c>
      <c r="D1079" s="1027" t="s">
        <v>439</v>
      </c>
      <c r="E1079" s="447" t="s">
        <v>395</v>
      </c>
      <c r="F1079" s="1034" t="s">
        <v>439</v>
      </c>
      <c r="G1079" s="1034" t="s">
        <v>6004</v>
      </c>
      <c r="H1079" s="88">
        <f>INDEX(IN_Rimd!$A$3:$AAA$428,MATCH($G1079,IN_Rimd!$A$3:$A$428,0),MATCH(H$1,IN_Rimd!$A$3:$AAA$3,0))</f>
        <v>0</v>
      </c>
      <c r="I1079" s="88">
        <f>INDEX(IN_Rimd!$A$3:$AAA$428,MATCH($G1079,IN_Rimd!$A$3:$A$428,0),MATCH(I$1,IN_Rimd!$A$3:$AAA$3,0))</f>
        <v>0</v>
      </c>
      <c r="J1079" s="88">
        <f>INDEX(IN_Rimd!$A$3:$AAA$428,MATCH($G1079,IN_Rimd!$A$3:$A$428,0),MATCH(J$1,IN_Rimd!$A$3:$AAA$3,0))</f>
        <v>0</v>
      </c>
    </row>
    <row r="1080" spans="1:10" x14ac:dyDescent="0.2">
      <c r="A1080" s="86" t="s">
        <v>8057</v>
      </c>
      <c r="B1080" s="447" t="str">
        <f>IN_Anagrafica!$B$9</f>
        <v>NO</v>
      </c>
      <c r="C1080" s="369" t="str">
        <f>IF(B1080="SI","SI","NO")</f>
        <v>NO</v>
      </c>
      <c r="D1080" s="1027" t="s">
        <v>439</v>
      </c>
      <c r="E1080" s="447" t="s">
        <v>397</v>
      </c>
      <c r="F1080" s="1034" t="s">
        <v>439</v>
      </c>
      <c r="G1080" s="1034" t="s">
        <v>6005</v>
      </c>
      <c r="H1080" s="88">
        <f>INDEX(IN_Rimd!$A$3:$AAA$428,MATCH($G1080,IN_Rimd!$A$3:$A$428,0),MATCH(H$1,IN_Rimd!$A$3:$AAA$3,0))</f>
        <v>0</v>
      </c>
      <c r="I1080" s="88">
        <f>INDEX(IN_Rimd!$A$3:$AAA$428,MATCH($G1080,IN_Rimd!$A$3:$A$428,0),MATCH(I$1,IN_Rimd!$A$3:$AAA$3,0))</f>
        <v>0</v>
      </c>
      <c r="J1080" s="88">
        <f>INDEX(IN_Rimd!$A$3:$AAA$428,MATCH($G1080,IN_Rimd!$A$3:$A$428,0),MATCH(J$1,IN_Rimd!$A$3:$AAA$3,0))</f>
        <v>0</v>
      </c>
    </row>
    <row r="1081" spans="1:10" x14ac:dyDescent="0.2">
      <c r="A1081" s="86" t="s">
        <v>8058</v>
      </c>
      <c r="B1081" s="1067" t="s">
        <v>105</v>
      </c>
      <c r="C1081" s="1037" t="s">
        <v>219</v>
      </c>
      <c r="D1081" s="1027" t="s">
        <v>439</v>
      </c>
      <c r="E1081" s="447" t="s">
        <v>713</v>
      </c>
      <c r="F1081" s="1034" t="s">
        <v>439</v>
      </c>
      <c r="G1081" s="1034" t="s">
        <v>6010</v>
      </c>
      <c r="H1081" s="88">
        <f>INDEX(IN_Rimd!$A$3:$AAA$428,MATCH($G1081,IN_Rimd!$A$3:$A$428,0),MATCH(H$1,IN_Rimd!$A$3:$AAA$3,0))</f>
        <v>0</v>
      </c>
      <c r="I1081" s="88">
        <f>INDEX(IN_Rimd!$A$3:$AAA$428,MATCH($G1081,IN_Rimd!$A$3:$A$428,0),MATCH(I$1,IN_Rimd!$A$3:$AAA$3,0))</f>
        <v>0</v>
      </c>
      <c r="J1081" s="88">
        <f>INDEX(IN_Rimd!$A$3:$AAA$428,MATCH($G1081,IN_Rimd!$A$3:$A$428,0),MATCH(J$1,IN_Rimd!$A$3:$AAA$3,0))</f>
        <v>0</v>
      </c>
    </row>
    <row r="1082" spans="1:10" x14ac:dyDescent="0.2">
      <c r="A1082" s="86" t="s">
        <v>8059</v>
      </c>
      <c r="B1082" s="447" t="str">
        <f>IN_Anagrafica!$B$9</f>
        <v>NO</v>
      </c>
      <c r="C1082" s="369" t="str">
        <f>IF(B1082="SI","SI","NO")</f>
        <v>NO</v>
      </c>
      <c r="D1082" s="1027" t="s">
        <v>439</v>
      </c>
      <c r="E1082" s="447" t="s">
        <v>715</v>
      </c>
      <c r="F1082" s="1034" t="s">
        <v>439</v>
      </c>
      <c r="G1082" s="1034" t="s">
        <v>6011</v>
      </c>
      <c r="H1082" s="88">
        <f>INDEX(IN_Rimd!$A$3:$AAA$428,MATCH($G1082,IN_Rimd!$A$3:$A$428,0),MATCH(H$1,IN_Rimd!$A$3:$AAA$3,0))</f>
        <v>0</v>
      </c>
      <c r="I1082" s="88">
        <f>INDEX(IN_Rimd!$A$3:$AAA$428,MATCH($G1082,IN_Rimd!$A$3:$A$428,0),MATCH(I$1,IN_Rimd!$A$3:$AAA$3,0))</f>
        <v>0</v>
      </c>
      <c r="J1082" s="88">
        <f>INDEX(IN_Rimd!$A$3:$AAA$428,MATCH($G1082,IN_Rimd!$A$3:$A$428,0),MATCH(J$1,IN_Rimd!$A$3:$AAA$3,0))</f>
        <v>0</v>
      </c>
    </row>
    <row r="1083" spans="1:10" x14ac:dyDescent="0.2">
      <c r="A1083" s="86" t="s">
        <v>8060</v>
      </c>
      <c r="B1083" s="1067" t="s">
        <v>105</v>
      </c>
      <c r="C1083" s="1037" t="s">
        <v>219</v>
      </c>
      <c r="D1083" s="1027" t="s">
        <v>439</v>
      </c>
      <c r="E1083" s="447" t="s">
        <v>8390</v>
      </c>
      <c r="F1083" s="1034" t="s">
        <v>439</v>
      </c>
      <c r="G1083" s="1034" t="s">
        <v>5979</v>
      </c>
      <c r="H1083" s="88">
        <f>INDEX(IN_Rimd!$A$3:$AAA$428,MATCH($G1083,IN_Rimd!$A$3:$A$428,0),MATCH(H$1,IN_Rimd!$A$3:$AAA$3,0))</f>
        <v>0</v>
      </c>
      <c r="I1083" s="88">
        <f>INDEX(IN_Rimd!$A$3:$AAA$428,MATCH($G1083,IN_Rimd!$A$3:$A$428,0),MATCH(I$1,IN_Rimd!$A$3:$AAA$3,0))</f>
        <v>0</v>
      </c>
      <c r="J1083" s="88">
        <f>INDEX(IN_Rimd!$A$3:$AAA$428,MATCH($G1083,IN_Rimd!$A$3:$A$428,0),MATCH(J$1,IN_Rimd!$A$3:$AAA$3,0))</f>
        <v>0</v>
      </c>
    </row>
    <row r="1084" spans="1:10" x14ac:dyDescent="0.2">
      <c r="A1084" s="86" t="s">
        <v>8061</v>
      </c>
      <c r="B1084" s="447" t="str">
        <f>IN_Anagrafica!$B$9</f>
        <v>NO</v>
      </c>
      <c r="C1084" s="369" t="str">
        <f>IF(B1084="SI","SI","NO")</f>
        <v>NO</v>
      </c>
      <c r="D1084" s="1027" t="s">
        <v>439</v>
      </c>
      <c r="E1084" s="447" t="s">
        <v>8208</v>
      </c>
      <c r="F1084" s="1034" t="s">
        <v>439</v>
      </c>
      <c r="G1084" s="1034" t="s">
        <v>6013</v>
      </c>
      <c r="H1084" s="88">
        <f>INDEX(IN_Rimd!$A$3:$AAA$428,MATCH($G1084,IN_Rimd!$A$3:$A$428,0),MATCH(H$1,IN_Rimd!$A$3:$AAA$3,0))</f>
        <v>0</v>
      </c>
      <c r="I1084" s="88">
        <f>INDEX(IN_Rimd!$A$3:$AAA$428,MATCH($G1084,IN_Rimd!$A$3:$A$428,0),MATCH(I$1,IN_Rimd!$A$3:$AAA$3,0))</f>
        <v>0</v>
      </c>
      <c r="J1084" s="88">
        <f>INDEX(IN_Rimd!$A$3:$AAA$428,MATCH($G1084,IN_Rimd!$A$3:$A$428,0),MATCH(J$1,IN_Rimd!$A$3:$AAA$3,0))</f>
        <v>0</v>
      </c>
    </row>
    <row r="1085" spans="1:10" x14ac:dyDescent="0.2">
      <c r="A1085" s="86" t="s">
        <v>8062</v>
      </c>
      <c r="B1085" s="1067" t="s">
        <v>105</v>
      </c>
      <c r="C1085" s="1037" t="s">
        <v>219</v>
      </c>
      <c r="D1085" s="1027" t="s">
        <v>439</v>
      </c>
      <c r="E1085" s="447" t="s">
        <v>722</v>
      </c>
      <c r="F1085" s="1034" t="s">
        <v>439</v>
      </c>
      <c r="G1085" s="1034" t="s">
        <v>5980</v>
      </c>
      <c r="H1085" s="88">
        <f>INDEX(IN_Rimd!$A$3:$AAA$428,MATCH($G1085,IN_Rimd!$A$3:$A$428,0),MATCH(H$1,IN_Rimd!$A$3:$AAA$3,0))</f>
        <v>0</v>
      </c>
      <c r="I1085" s="88">
        <f>INDEX(IN_Rimd!$A$3:$AAA$428,MATCH($G1085,IN_Rimd!$A$3:$A$428,0),MATCH(I$1,IN_Rimd!$A$3:$AAA$3,0))</f>
        <v>0</v>
      </c>
      <c r="J1085" s="88">
        <f>INDEX(IN_Rimd!$A$3:$AAA$428,MATCH($G1085,IN_Rimd!$A$3:$A$428,0),MATCH(J$1,IN_Rimd!$A$3:$AAA$3,0))</f>
        <v>0</v>
      </c>
    </row>
    <row r="1086" spans="1:10" x14ac:dyDescent="0.2">
      <c r="A1086" s="86" t="s">
        <v>8063</v>
      </c>
      <c r="B1086" s="447" t="str">
        <f>IN_Anagrafica!$B$9</f>
        <v>NO</v>
      </c>
      <c r="C1086" s="369" t="str">
        <f>IF(B1086="SI","SI","NO")</f>
        <v>NO</v>
      </c>
      <c r="D1086" s="1027" t="s">
        <v>439</v>
      </c>
      <c r="E1086" s="447" t="s">
        <v>724</v>
      </c>
      <c r="F1086" s="1034" t="s">
        <v>439</v>
      </c>
      <c r="G1086" s="1034" t="s">
        <v>6014</v>
      </c>
      <c r="H1086" s="88">
        <f>INDEX(IN_Rimd!$A$3:$AAA$428,MATCH($G1086,IN_Rimd!$A$3:$A$428,0),MATCH(H$1,IN_Rimd!$A$3:$AAA$3,0))</f>
        <v>0</v>
      </c>
      <c r="I1086" s="88">
        <f>INDEX(IN_Rimd!$A$3:$AAA$428,MATCH($G1086,IN_Rimd!$A$3:$A$428,0),MATCH(I$1,IN_Rimd!$A$3:$AAA$3,0))</f>
        <v>0</v>
      </c>
      <c r="J1086" s="88">
        <f>INDEX(IN_Rimd!$A$3:$AAA$428,MATCH($G1086,IN_Rimd!$A$3:$A$428,0),MATCH(J$1,IN_Rimd!$A$3:$AAA$3,0))</f>
        <v>0</v>
      </c>
    </row>
    <row r="1087" spans="1:10" x14ac:dyDescent="0.2">
      <c r="A1087" s="86" t="s">
        <v>8064</v>
      </c>
      <c r="B1087" s="1067" t="s">
        <v>105</v>
      </c>
      <c r="C1087" s="1037" t="s">
        <v>219</v>
      </c>
      <c r="D1087" s="1027" t="s">
        <v>439</v>
      </c>
      <c r="E1087" s="447" t="s">
        <v>726</v>
      </c>
      <c r="F1087" s="1034" t="s">
        <v>439</v>
      </c>
      <c r="G1087" s="1034" t="s">
        <v>5981</v>
      </c>
      <c r="H1087" s="88">
        <f>INDEX(IN_Rimd!$A$3:$AAA$428,MATCH($G1087,IN_Rimd!$A$3:$A$428,0),MATCH(H$1,IN_Rimd!$A$3:$AAA$3,0))</f>
        <v>0</v>
      </c>
      <c r="I1087" s="88">
        <f>INDEX(IN_Rimd!$A$3:$AAA$428,MATCH($G1087,IN_Rimd!$A$3:$A$428,0),MATCH(I$1,IN_Rimd!$A$3:$AAA$3,0))</f>
        <v>0</v>
      </c>
      <c r="J1087" s="88">
        <f>INDEX(IN_Rimd!$A$3:$AAA$428,MATCH($G1087,IN_Rimd!$A$3:$A$428,0),MATCH(J$1,IN_Rimd!$A$3:$AAA$3,0))</f>
        <v>0</v>
      </c>
    </row>
    <row r="1088" spans="1:10" x14ac:dyDescent="0.2">
      <c r="A1088" s="86" t="s">
        <v>8065</v>
      </c>
      <c r="B1088" s="447" t="str">
        <f>IN_Anagrafica!$B$9</f>
        <v>NO</v>
      </c>
      <c r="C1088" s="369" t="str">
        <f>IF(B1088="SI","SI","NO")</f>
        <v>NO</v>
      </c>
      <c r="D1088" s="1027" t="s">
        <v>439</v>
      </c>
      <c r="E1088" s="447" t="s">
        <v>728</v>
      </c>
      <c r="F1088" s="1034" t="s">
        <v>439</v>
      </c>
      <c r="G1088" s="1034" t="s">
        <v>6015</v>
      </c>
      <c r="H1088" s="88">
        <f>INDEX(IN_Rimd!$A$3:$AAA$428,MATCH($G1088,IN_Rimd!$A$3:$A$428,0),MATCH(H$1,IN_Rimd!$A$3:$AAA$3,0))</f>
        <v>0</v>
      </c>
      <c r="I1088" s="88">
        <f>INDEX(IN_Rimd!$A$3:$AAA$428,MATCH($G1088,IN_Rimd!$A$3:$A$428,0),MATCH(I$1,IN_Rimd!$A$3:$AAA$3,0))</f>
        <v>0</v>
      </c>
      <c r="J1088" s="88">
        <f>INDEX(IN_Rimd!$A$3:$AAA$428,MATCH($G1088,IN_Rimd!$A$3:$A$428,0),MATCH(J$1,IN_Rimd!$A$3:$AAA$3,0))</f>
        <v>0</v>
      </c>
    </row>
    <row r="1089" spans="1:10" x14ac:dyDescent="0.2">
      <c r="A1089" s="86" t="s">
        <v>8066</v>
      </c>
      <c r="B1089" s="1067" t="s">
        <v>105</v>
      </c>
      <c r="C1089" s="1037" t="s">
        <v>219</v>
      </c>
      <c r="D1089" s="1027" t="s">
        <v>439</v>
      </c>
      <c r="E1089" s="447" t="s">
        <v>745</v>
      </c>
      <c r="F1089" s="1034" t="s">
        <v>439</v>
      </c>
      <c r="G1089" s="1034" t="s">
        <v>5982</v>
      </c>
      <c r="H1089" s="88">
        <f>INDEX(IN_Rimd!$A$3:$AAA$428,MATCH($G1089,IN_Rimd!$A$3:$A$428,0),MATCH(H$1,IN_Rimd!$A$3:$AAA$3,0))</f>
        <v>0</v>
      </c>
      <c r="I1089" s="88">
        <f>INDEX(IN_Rimd!$A$3:$AAA$428,MATCH($G1089,IN_Rimd!$A$3:$A$428,0),MATCH(I$1,IN_Rimd!$A$3:$AAA$3,0))</f>
        <v>0</v>
      </c>
      <c r="J1089" s="88">
        <f>INDEX(IN_Rimd!$A$3:$AAA$428,MATCH($G1089,IN_Rimd!$A$3:$A$428,0),MATCH(J$1,IN_Rimd!$A$3:$AAA$3,0))</f>
        <v>0</v>
      </c>
    </row>
    <row r="1090" spans="1:10" x14ac:dyDescent="0.2">
      <c r="A1090" s="86" t="s">
        <v>8067</v>
      </c>
      <c r="B1090" s="447" t="str">
        <f>IN_Anagrafica!$B$9</f>
        <v>NO</v>
      </c>
      <c r="C1090" s="369" t="str">
        <f>IF(B1090="SI","SI","NO")</f>
        <v>NO</v>
      </c>
      <c r="D1090" s="1027" t="s">
        <v>439</v>
      </c>
      <c r="E1090" s="447" t="s">
        <v>746</v>
      </c>
      <c r="F1090" s="1034" t="s">
        <v>439</v>
      </c>
      <c r="G1090" s="1034" t="s">
        <v>6016</v>
      </c>
      <c r="H1090" s="88">
        <f>INDEX(IN_Rimd!$A$3:$AAA$428,MATCH($G1090,IN_Rimd!$A$3:$A$428,0),MATCH(H$1,IN_Rimd!$A$3:$AAA$3,0))</f>
        <v>0</v>
      </c>
      <c r="I1090" s="88">
        <f>INDEX(IN_Rimd!$A$3:$AAA$428,MATCH($G1090,IN_Rimd!$A$3:$A$428,0),MATCH(I$1,IN_Rimd!$A$3:$AAA$3,0))</f>
        <v>0</v>
      </c>
      <c r="J1090" s="88">
        <f>INDEX(IN_Rimd!$A$3:$AAA$428,MATCH($G1090,IN_Rimd!$A$3:$A$428,0),MATCH(J$1,IN_Rimd!$A$3:$AAA$3,0))</f>
        <v>0</v>
      </c>
    </row>
    <row r="1091" spans="1:10" x14ac:dyDescent="0.2">
      <c r="A1091" s="86" t="s">
        <v>8068</v>
      </c>
      <c r="B1091" s="1067" t="s">
        <v>105</v>
      </c>
      <c r="C1091" s="1037" t="s">
        <v>219</v>
      </c>
      <c r="D1091" s="1027" t="s">
        <v>439</v>
      </c>
      <c r="E1091" s="447" t="s">
        <v>8121</v>
      </c>
      <c r="F1091" s="1034" t="s">
        <v>439</v>
      </c>
      <c r="G1091" s="1034" t="s">
        <v>6023</v>
      </c>
      <c r="H1091" s="88">
        <f>INDEX(IN_Rimd!$A$3:$AAA$428,MATCH($G1091,IN_Rimd!$A$3:$A$428,0),MATCH(H$1,IN_Rimd!$A$3:$AAA$3,0))</f>
        <v>0</v>
      </c>
      <c r="I1091" s="88">
        <f>INDEX(IN_Rimd!$A$3:$AAA$428,MATCH($G1091,IN_Rimd!$A$3:$A$428,0),MATCH(I$1,IN_Rimd!$A$3:$AAA$3,0))</f>
        <v>0</v>
      </c>
      <c r="J1091" s="88">
        <f>INDEX(IN_Rimd!$A$3:$AAA$428,MATCH($G1091,IN_Rimd!$A$3:$A$428,0),MATCH(J$1,IN_Rimd!$A$3:$AAA$3,0))</f>
        <v>0</v>
      </c>
    </row>
    <row r="1092" spans="1:10" x14ac:dyDescent="0.2">
      <c r="A1092" s="86" t="s">
        <v>8069</v>
      </c>
      <c r="B1092" s="447" t="str">
        <f>IN_Anagrafica!$B$9</f>
        <v>NO</v>
      </c>
      <c r="C1092" s="369" t="str">
        <f>IF(B1092="SI","SI","NO")</f>
        <v>NO</v>
      </c>
      <c r="D1092" s="1027" t="s">
        <v>439</v>
      </c>
      <c r="E1092" s="447" t="s">
        <v>8211</v>
      </c>
      <c r="F1092" s="1034" t="s">
        <v>439</v>
      </c>
      <c r="G1092" s="1034" t="s">
        <v>6037</v>
      </c>
      <c r="H1092" s="88">
        <f>INDEX(IN_Rimd!$A$3:$AAA$428,MATCH($G1092,IN_Rimd!$A$3:$A$428,0),MATCH(H$1,IN_Rimd!$A$3:$AAA$3,0))</f>
        <v>0</v>
      </c>
      <c r="I1092" s="88">
        <f>INDEX(IN_Rimd!$A$3:$AAA$428,MATCH($G1092,IN_Rimd!$A$3:$A$428,0),MATCH(I$1,IN_Rimd!$A$3:$AAA$3,0))</f>
        <v>0</v>
      </c>
      <c r="J1092" s="88">
        <f>INDEX(IN_Rimd!$A$3:$AAA$428,MATCH($G1092,IN_Rimd!$A$3:$A$428,0),MATCH(J$1,IN_Rimd!$A$3:$AAA$3,0))</f>
        <v>0</v>
      </c>
    </row>
    <row r="1093" spans="1:10" x14ac:dyDescent="0.2">
      <c r="A1093" s="86" t="s">
        <v>8070</v>
      </c>
      <c r="B1093" s="1067" t="s">
        <v>105</v>
      </c>
      <c r="C1093" s="1037" t="s">
        <v>219</v>
      </c>
      <c r="D1093" s="1027" t="s">
        <v>439</v>
      </c>
      <c r="E1093" s="447" t="s">
        <v>749</v>
      </c>
      <c r="F1093" s="1034" t="s">
        <v>439</v>
      </c>
      <c r="G1093" s="1034" t="s">
        <v>6024</v>
      </c>
      <c r="H1093" s="88">
        <f>INDEX(IN_Rimd!$A$3:$AAA$428,MATCH($G1093,IN_Rimd!$A$3:$A$428,0),MATCH(H$1,IN_Rimd!$A$3:$AAA$3,0))</f>
        <v>0</v>
      </c>
      <c r="I1093" s="88">
        <f>INDEX(IN_Rimd!$A$3:$AAA$428,MATCH($G1093,IN_Rimd!$A$3:$A$428,0),MATCH(I$1,IN_Rimd!$A$3:$AAA$3,0))</f>
        <v>0</v>
      </c>
      <c r="J1093" s="88">
        <f>INDEX(IN_Rimd!$A$3:$AAA$428,MATCH($G1093,IN_Rimd!$A$3:$A$428,0),MATCH(J$1,IN_Rimd!$A$3:$AAA$3,0))</f>
        <v>0</v>
      </c>
    </row>
    <row r="1094" spans="1:10" x14ac:dyDescent="0.2">
      <c r="A1094" s="86" t="s">
        <v>8071</v>
      </c>
      <c r="B1094" s="447" t="str">
        <f>IN_Anagrafica!$B$9</f>
        <v>NO</v>
      </c>
      <c r="C1094" s="369" t="str">
        <f>IF(B1094="SI","SI","NO")</f>
        <v>NO</v>
      </c>
      <c r="D1094" s="1027" t="s">
        <v>439</v>
      </c>
      <c r="E1094" s="447" t="s">
        <v>750</v>
      </c>
      <c r="F1094" s="1034" t="s">
        <v>439</v>
      </c>
      <c r="G1094" s="1034" t="s">
        <v>6038</v>
      </c>
      <c r="H1094" s="88">
        <f>INDEX(IN_Rimd!$A$3:$AAA$428,MATCH($G1094,IN_Rimd!$A$3:$A$428,0),MATCH(H$1,IN_Rimd!$A$3:$AAA$3,0))</f>
        <v>0</v>
      </c>
      <c r="I1094" s="88">
        <f>INDEX(IN_Rimd!$A$3:$AAA$428,MATCH($G1094,IN_Rimd!$A$3:$A$428,0),MATCH(I$1,IN_Rimd!$A$3:$AAA$3,0))</f>
        <v>0</v>
      </c>
      <c r="J1094" s="88">
        <f>INDEX(IN_Rimd!$A$3:$AAA$428,MATCH($G1094,IN_Rimd!$A$3:$A$428,0),MATCH(J$1,IN_Rimd!$A$3:$AAA$3,0))</f>
        <v>0</v>
      </c>
    </row>
    <row r="1095" spans="1:10" x14ac:dyDescent="0.2">
      <c r="A1095" s="86" t="s">
        <v>8072</v>
      </c>
      <c r="B1095" s="1067" t="s">
        <v>105</v>
      </c>
      <c r="C1095" s="1037" t="s">
        <v>219</v>
      </c>
      <c r="D1095" s="1027" t="s">
        <v>439</v>
      </c>
      <c r="E1095" s="447" t="s">
        <v>752</v>
      </c>
      <c r="F1095" s="1034" t="s">
        <v>439</v>
      </c>
      <c r="G1095" s="1034" t="s">
        <v>6025</v>
      </c>
      <c r="H1095" s="88">
        <f>INDEX(IN_Rimd!$A$3:$AAA$428,MATCH($G1095,IN_Rimd!$A$3:$A$428,0),MATCH(H$1,IN_Rimd!$A$3:$AAA$3,0))</f>
        <v>0</v>
      </c>
      <c r="I1095" s="88">
        <f>INDEX(IN_Rimd!$A$3:$AAA$428,MATCH($G1095,IN_Rimd!$A$3:$A$428,0),MATCH(I$1,IN_Rimd!$A$3:$AAA$3,0))</f>
        <v>0</v>
      </c>
      <c r="J1095" s="88">
        <f>INDEX(IN_Rimd!$A$3:$AAA$428,MATCH($G1095,IN_Rimd!$A$3:$A$428,0),MATCH(J$1,IN_Rimd!$A$3:$AAA$3,0))</f>
        <v>0</v>
      </c>
    </row>
    <row r="1096" spans="1:10" x14ac:dyDescent="0.2">
      <c r="A1096" s="86" t="s">
        <v>8073</v>
      </c>
      <c r="B1096" s="447" t="str">
        <f>IN_Anagrafica!$B$9</f>
        <v>NO</v>
      </c>
      <c r="C1096" s="369" t="str">
        <f>IF(B1096="SI","SI","NO")</f>
        <v>NO</v>
      </c>
      <c r="D1096" s="1027" t="s">
        <v>439</v>
      </c>
      <c r="E1096" s="447" t="s">
        <v>753</v>
      </c>
      <c r="F1096" s="1034" t="s">
        <v>439</v>
      </c>
      <c r="G1096" s="1034" t="s">
        <v>6039</v>
      </c>
      <c r="H1096" s="88">
        <f>INDEX(IN_Rimd!$A$3:$AAA$428,MATCH($G1096,IN_Rimd!$A$3:$A$428,0),MATCH(H$1,IN_Rimd!$A$3:$AAA$3,0))</f>
        <v>0</v>
      </c>
      <c r="I1096" s="88">
        <f>INDEX(IN_Rimd!$A$3:$AAA$428,MATCH($G1096,IN_Rimd!$A$3:$A$428,0),MATCH(I$1,IN_Rimd!$A$3:$AAA$3,0))</f>
        <v>0</v>
      </c>
      <c r="J1096" s="88">
        <f>INDEX(IN_Rimd!$A$3:$AAA$428,MATCH($G1096,IN_Rimd!$A$3:$A$428,0),MATCH(J$1,IN_Rimd!$A$3:$AAA$3,0))</f>
        <v>0</v>
      </c>
    </row>
    <row r="1097" spans="1:10" x14ac:dyDescent="0.2">
      <c r="A1097" s="86" t="s">
        <v>8074</v>
      </c>
      <c r="B1097" s="1067" t="s">
        <v>105</v>
      </c>
      <c r="C1097" s="1037" t="s">
        <v>219</v>
      </c>
      <c r="D1097" s="1027" t="s">
        <v>439</v>
      </c>
      <c r="E1097" s="447" t="s">
        <v>8473</v>
      </c>
      <c r="F1097" s="1034" t="s">
        <v>439</v>
      </c>
      <c r="G1097" s="1034" t="s">
        <v>6026</v>
      </c>
      <c r="H1097" s="88">
        <f>INDEX(IN_Rimd!$A$3:$AAA$428,MATCH($G1097,IN_Rimd!$A$3:$A$428,0),MATCH(H$1,IN_Rimd!$A$3:$AAA$3,0))</f>
        <v>0</v>
      </c>
      <c r="I1097" s="88">
        <f>INDEX(IN_Rimd!$A$3:$AAA$428,MATCH($G1097,IN_Rimd!$A$3:$A$428,0),MATCH(I$1,IN_Rimd!$A$3:$AAA$3,0))</f>
        <v>0</v>
      </c>
      <c r="J1097" s="88">
        <f>INDEX(IN_Rimd!$A$3:$AAA$428,MATCH($G1097,IN_Rimd!$A$3:$A$428,0),MATCH(J$1,IN_Rimd!$A$3:$AAA$3,0))</f>
        <v>0</v>
      </c>
    </row>
    <row r="1098" spans="1:10" x14ac:dyDescent="0.2">
      <c r="A1098" s="86" t="s">
        <v>8075</v>
      </c>
      <c r="B1098" s="447" t="str">
        <f>IN_Anagrafica!$B$9</f>
        <v>NO</v>
      </c>
      <c r="C1098" s="369" t="str">
        <f>IF(B1098="SI","SI","NO")</f>
        <v>NO</v>
      </c>
      <c r="D1098" s="1027" t="s">
        <v>439</v>
      </c>
      <c r="E1098" s="447" t="s">
        <v>8474</v>
      </c>
      <c r="F1098" s="1034" t="s">
        <v>439</v>
      </c>
      <c r="G1098" s="1034" t="s">
        <v>6040</v>
      </c>
      <c r="H1098" s="88">
        <f>INDEX(IN_Rimd!$A$3:$AAA$428,MATCH($G1098,IN_Rimd!$A$3:$A$428,0),MATCH(H$1,IN_Rimd!$A$3:$AAA$3,0))</f>
        <v>0</v>
      </c>
      <c r="I1098" s="88">
        <f>INDEX(IN_Rimd!$A$3:$AAA$428,MATCH($G1098,IN_Rimd!$A$3:$A$428,0),MATCH(I$1,IN_Rimd!$A$3:$AAA$3,0))</f>
        <v>0</v>
      </c>
      <c r="J1098" s="88">
        <f>INDEX(IN_Rimd!$A$3:$AAA$428,MATCH($G1098,IN_Rimd!$A$3:$A$428,0),MATCH(J$1,IN_Rimd!$A$3:$AAA$3,0))</f>
        <v>0</v>
      </c>
    </row>
    <row r="1099" spans="1:10" x14ac:dyDescent="0.2">
      <c r="A1099" s="86" t="s">
        <v>8076</v>
      </c>
      <c r="B1099" s="1067" t="s">
        <v>105</v>
      </c>
      <c r="C1099" s="1037" t="s">
        <v>219</v>
      </c>
      <c r="D1099" s="1027" t="s">
        <v>439</v>
      </c>
      <c r="E1099" s="447" t="s">
        <v>8475</v>
      </c>
      <c r="F1099" s="1034" t="s">
        <v>439</v>
      </c>
      <c r="G1099" s="1034" t="s">
        <v>6093</v>
      </c>
      <c r="H1099" s="88">
        <f>INDEX(IN_Rimd!$A$3:$AAA$428,MATCH($G1099,IN_Rimd!$A$3:$A$428,0),MATCH(H$1,IN_Rimd!$A$3:$AAA$3,0))</f>
        <v>338035.39975581953</v>
      </c>
      <c r="I1099" s="88">
        <f>INDEX(IN_Rimd!$A$3:$AAA$428,MATCH($G1099,IN_Rimd!$A$3:$A$428,0),MATCH(I$1,IN_Rimd!$A$3:$AAA$3,0))</f>
        <v>0</v>
      </c>
      <c r="J1099" s="88">
        <f>INDEX(IN_Rimd!$A$3:$AAA$428,MATCH($G1099,IN_Rimd!$A$3:$A$428,0),MATCH(J$1,IN_Rimd!$A$3:$AAA$3,0))</f>
        <v>0</v>
      </c>
    </row>
    <row r="1100" spans="1:10" x14ac:dyDescent="0.2">
      <c r="A1100" s="86" t="s">
        <v>8077</v>
      </c>
      <c r="B1100" s="447" t="str">
        <f>IN_Anagrafica!$B$9</f>
        <v>NO</v>
      </c>
      <c r="C1100" s="369" t="str">
        <f>IF(B1100="SI","SI","NO")</f>
        <v>NO</v>
      </c>
      <c r="D1100" s="1027" t="s">
        <v>439</v>
      </c>
      <c r="E1100" s="447" t="s">
        <v>751</v>
      </c>
      <c r="F1100" s="1034" t="s">
        <v>439</v>
      </c>
      <c r="G1100" s="1034" t="s">
        <v>6096</v>
      </c>
      <c r="H1100" s="88">
        <f>INDEX(IN_Rimd!$A$3:$AAA$428,MATCH($G1100,IN_Rimd!$A$3:$A$428,0),MATCH(H$1,IN_Rimd!$A$3:$AAA$3,0))</f>
        <v>0</v>
      </c>
      <c r="I1100" s="88">
        <f>INDEX(IN_Rimd!$A$3:$AAA$428,MATCH($G1100,IN_Rimd!$A$3:$A$428,0),MATCH(I$1,IN_Rimd!$A$3:$AAA$3,0))</f>
        <v>0</v>
      </c>
      <c r="J1100" s="88">
        <f>INDEX(IN_Rimd!$A$3:$AAA$428,MATCH($G1100,IN_Rimd!$A$3:$A$428,0),MATCH(J$1,IN_Rimd!$A$3:$AAA$3,0))</f>
        <v>0</v>
      </c>
    </row>
    <row r="1101" spans="1:10" x14ac:dyDescent="0.2">
      <c r="A1101" s="86" t="s">
        <v>8078</v>
      </c>
      <c r="B1101" s="1067" t="s">
        <v>105</v>
      </c>
      <c r="C1101" s="1037" t="s">
        <v>219</v>
      </c>
      <c r="D1101" s="1027" t="s">
        <v>439</v>
      </c>
      <c r="E1101" s="447" t="s">
        <v>8476</v>
      </c>
      <c r="F1101" s="1034" t="s">
        <v>439</v>
      </c>
      <c r="G1101" s="1034" t="s">
        <v>6094</v>
      </c>
      <c r="H1101" s="88">
        <f>INDEX(IN_Rimd!$A$3:$AAA$428,MATCH($G1101,IN_Rimd!$A$3:$A$428,0),MATCH(H$1,IN_Rimd!$A$3:$AAA$3,0))</f>
        <v>0</v>
      </c>
      <c r="I1101" s="88">
        <f>INDEX(IN_Rimd!$A$3:$AAA$428,MATCH($G1101,IN_Rimd!$A$3:$A$428,0),MATCH(I$1,IN_Rimd!$A$3:$AAA$3,0))</f>
        <v>0</v>
      </c>
      <c r="J1101" s="88">
        <f>INDEX(IN_Rimd!$A$3:$AAA$428,MATCH($G1101,IN_Rimd!$A$3:$A$428,0),MATCH(J$1,IN_Rimd!$A$3:$AAA$3,0))</f>
        <v>0</v>
      </c>
    </row>
    <row r="1102" spans="1:10" x14ac:dyDescent="0.2">
      <c r="A1102" s="86" t="s">
        <v>8079</v>
      </c>
      <c r="B1102" s="447" t="str">
        <f>IN_Anagrafica!$B$9</f>
        <v>NO</v>
      </c>
      <c r="C1102" s="369" t="str">
        <f>IF(B1102="SI","SI","NO")</f>
        <v>NO</v>
      </c>
      <c r="D1102" s="1027" t="s">
        <v>439</v>
      </c>
      <c r="E1102" s="447" t="s">
        <v>754</v>
      </c>
      <c r="F1102" s="1034" t="s">
        <v>439</v>
      </c>
      <c r="G1102" s="1034" t="s">
        <v>6097</v>
      </c>
      <c r="H1102" s="88">
        <f>INDEX(IN_Rimd!$A$3:$AAA$428,MATCH($G1102,IN_Rimd!$A$3:$A$428,0),MATCH(H$1,IN_Rimd!$A$3:$AAA$3,0))</f>
        <v>0</v>
      </c>
      <c r="I1102" s="88">
        <f>INDEX(IN_Rimd!$A$3:$AAA$428,MATCH($G1102,IN_Rimd!$A$3:$A$428,0),MATCH(I$1,IN_Rimd!$A$3:$AAA$3,0))</f>
        <v>0</v>
      </c>
      <c r="J1102" s="88">
        <f>INDEX(IN_Rimd!$A$3:$AAA$428,MATCH($G1102,IN_Rimd!$A$3:$A$428,0),MATCH(J$1,IN_Rimd!$A$3:$AAA$3,0))</f>
        <v>0</v>
      </c>
    </row>
    <row r="1103" spans="1:10" x14ac:dyDescent="0.2">
      <c r="A1103" s="86" t="s">
        <v>8080</v>
      </c>
      <c r="B1103" s="1067" t="s">
        <v>105</v>
      </c>
      <c r="C1103" s="1037" t="s">
        <v>219</v>
      </c>
      <c r="D1103" s="1027" t="s">
        <v>439</v>
      </c>
      <c r="E1103" s="447" t="s">
        <v>8477</v>
      </c>
      <c r="F1103" s="1034" t="s">
        <v>439</v>
      </c>
      <c r="G1103" s="1034" t="s">
        <v>6095</v>
      </c>
      <c r="H1103" s="88">
        <f>INDEX(IN_Rimd!$A$3:$AAA$428,MATCH($G1103,IN_Rimd!$A$3:$A$428,0),MATCH(H$1,IN_Rimd!$A$3:$AAA$3,0))</f>
        <v>0</v>
      </c>
      <c r="I1103" s="88">
        <f>INDEX(IN_Rimd!$A$3:$AAA$428,MATCH($G1103,IN_Rimd!$A$3:$A$428,0),MATCH(I$1,IN_Rimd!$A$3:$AAA$3,0))</f>
        <v>0</v>
      </c>
      <c r="J1103" s="88">
        <f>INDEX(IN_Rimd!$A$3:$AAA$428,MATCH($G1103,IN_Rimd!$A$3:$A$428,0),MATCH(J$1,IN_Rimd!$A$3:$AAA$3,0))</f>
        <v>0</v>
      </c>
    </row>
    <row r="1104" spans="1:10" x14ac:dyDescent="0.2">
      <c r="A1104" s="86" t="s">
        <v>8081</v>
      </c>
      <c r="B1104" s="447" t="str">
        <f>IN_Anagrafica!$B$9</f>
        <v>NO</v>
      </c>
      <c r="C1104" s="369" t="str">
        <f>IF(B1104="SI","SI","NO")</f>
        <v>NO</v>
      </c>
      <c r="D1104" s="1027" t="s">
        <v>439</v>
      </c>
      <c r="E1104" s="447" t="s">
        <v>8478</v>
      </c>
      <c r="F1104" s="1034" t="s">
        <v>439</v>
      </c>
      <c r="G1104" s="1034" t="s">
        <v>6098</v>
      </c>
      <c r="H1104" s="88">
        <f>INDEX(IN_Rimd!$A$3:$AAA$428,MATCH($G1104,IN_Rimd!$A$3:$A$428,0),MATCH(H$1,IN_Rimd!$A$3:$AAA$3,0))</f>
        <v>0</v>
      </c>
      <c r="I1104" s="88">
        <f>INDEX(IN_Rimd!$A$3:$AAA$428,MATCH($G1104,IN_Rimd!$A$3:$A$428,0),MATCH(I$1,IN_Rimd!$A$3:$AAA$3,0))</f>
        <v>0</v>
      </c>
      <c r="J1104" s="88">
        <f>INDEX(IN_Rimd!$A$3:$AAA$428,MATCH($G1104,IN_Rimd!$A$3:$A$428,0),MATCH(J$1,IN_Rimd!$A$3:$AAA$3,0))</f>
        <v>0</v>
      </c>
    </row>
    <row r="1105" spans="1:10" x14ac:dyDescent="0.2">
      <c r="A1105" s="86" t="s">
        <v>8082</v>
      </c>
      <c r="B1105" s="1067" t="s">
        <v>105</v>
      </c>
      <c r="C1105" s="1037" t="s">
        <v>219</v>
      </c>
      <c r="D1105" s="1027" t="s">
        <v>439</v>
      </c>
      <c r="E1105" s="447" t="s">
        <v>8479</v>
      </c>
      <c r="F1105" s="1034" t="s">
        <v>439</v>
      </c>
      <c r="G1105" s="1034" t="s">
        <v>6099</v>
      </c>
      <c r="H1105" s="88">
        <f>INDEX(IN_Rimd!$A$3:$AAA$428,MATCH($G1105,IN_Rimd!$A$3:$A$428,0),MATCH(H$1,IN_Rimd!$A$3:$AAA$3,0))</f>
        <v>321686.84789391904</v>
      </c>
      <c r="I1105" s="88">
        <f>INDEX(IN_Rimd!$A$3:$AAA$428,MATCH($G1105,IN_Rimd!$A$3:$A$428,0),MATCH(I$1,IN_Rimd!$A$3:$AAA$3,0))</f>
        <v>0</v>
      </c>
      <c r="J1105" s="88">
        <f>INDEX(IN_Rimd!$A$3:$AAA$428,MATCH($G1105,IN_Rimd!$A$3:$A$428,0),MATCH(J$1,IN_Rimd!$A$3:$AAA$3,0))</f>
        <v>0</v>
      </c>
    </row>
    <row r="1106" spans="1:10" x14ac:dyDescent="0.2">
      <c r="A1106" s="86" t="s">
        <v>8083</v>
      </c>
      <c r="B1106" s="447" t="str">
        <f>IN_Anagrafica!$B$9</f>
        <v>NO</v>
      </c>
      <c r="C1106" s="369" t="str">
        <f>IF(B1106="SI","SI","NO")</f>
        <v>NO</v>
      </c>
      <c r="D1106" s="1027" t="s">
        <v>439</v>
      </c>
      <c r="E1106" s="447" t="s">
        <v>8480</v>
      </c>
      <c r="F1106" s="1034" t="s">
        <v>439</v>
      </c>
      <c r="G1106" s="1034" t="s">
        <v>6102</v>
      </c>
      <c r="H1106" s="88">
        <f>INDEX(IN_Rimd!$A$3:$AAA$428,MATCH($G1106,IN_Rimd!$A$3:$A$428,0),MATCH(H$1,IN_Rimd!$A$3:$AAA$3,0))</f>
        <v>0</v>
      </c>
      <c r="I1106" s="88">
        <f>INDEX(IN_Rimd!$A$3:$AAA$428,MATCH($G1106,IN_Rimd!$A$3:$A$428,0),MATCH(I$1,IN_Rimd!$A$3:$AAA$3,0))</f>
        <v>0</v>
      </c>
      <c r="J1106" s="88">
        <f>INDEX(IN_Rimd!$A$3:$AAA$428,MATCH($G1106,IN_Rimd!$A$3:$A$428,0),MATCH(J$1,IN_Rimd!$A$3:$AAA$3,0))</f>
        <v>0</v>
      </c>
    </row>
    <row r="1107" spans="1:10" x14ac:dyDescent="0.2">
      <c r="A1107" s="86" t="s">
        <v>8084</v>
      </c>
      <c r="B1107" s="1067" t="s">
        <v>105</v>
      </c>
      <c r="C1107" s="1037" t="s">
        <v>219</v>
      </c>
      <c r="D1107" s="1027" t="s">
        <v>439</v>
      </c>
      <c r="E1107" s="447" t="s">
        <v>8481</v>
      </c>
      <c r="F1107" s="1034" t="s">
        <v>439</v>
      </c>
      <c r="G1107" s="1034" t="s">
        <v>6100</v>
      </c>
      <c r="H1107" s="88">
        <f>INDEX(IN_Rimd!$A$3:$AAA$428,MATCH($G1107,IN_Rimd!$A$3:$A$428,0),MATCH(H$1,IN_Rimd!$A$3:$AAA$3,0))</f>
        <v>0</v>
      </c>
      <c r="I1107" s="88">
        <f>INDEX(IN_Rimd!$A$3:$AAA$428,MATCH($G1107,IN_Rimd!$A$3:$A$428,0),MATCH(I$1,IN_Rimd!$A$3:$AAA$3,0))</f>
        <v>0</v>
      </c>
      <c r="J1107" s="88">
        <f>INDEX(IN_Rimd!$A$3:$AAA$428,MATCH($G1107,IN_Rimd!$A$3:$A$428,0),MATCH(J$1,IN_Rimd!$A$3:$AAA$3,0))</f>
        <v>0</v>
      </c>
    </row>
    <row r="1108" spans="1:10" x14ac:dyDescent="0.2">
      <c r="A1108" s="86" t="s">
        <v>8085</v>
      </c>
      <c r="B1108" s="447" t="str">
        <f>IN_Anagrafica!$B$9</f>
        <v>NO</v>
      </c>
      <c r="C1108" s="369" t="str">
        <f>IF(B1108="SI","SI","NO")</f>
        <v>NO</v>
      </c>
      <c r="D1108" s="1027" t="s">
        <v>439</v>
      </c>
      <c r="E1108" s="447" t="s">
        <v>8482</v>
      </c>
      <c r="F1108" s="1034" t="s">
        <v>439</v>
      </c>
      <c r="G1108" s="1034" t="s">
        <v>6103</v>
      </c>
      <c r="H1108" s="88">
        <f>INDEX(IN_Rimd!$A$3:$AAA$428,MATCH($G1108,IN_Rimd!$A$3:$A$428,0),MATCH(H$1,IN_Rimd!$A$3:$AAA$3,0))</f>
        <v>0</v>
      </c>
      <c r="I1108" s="88">
        <f>INDEX(IN_Rimd!$A$3:$AAA$428,MATCH($G1108,IN_Rimd!$A$3:$A$428,0),MATCH(I$1,IN_Rimd!$A$3:$AAA$3,0))</f>
        <v>0</v>
      </c>
      <c r="J1108" s="88">
        <f>INDEX(IN_Rimd!$A$3:$AAA$428,MATCH($G1108,IN_Rimd!$A$3:$A$428,0),MATCH(J$1,IN_Rimd!$A$3:$AAA$3,0))</f>
        <v>0</v>
      </c>
    </row>
    <row r="1109" spans="1:10" x14ac:dyDescent="0.2">
      <c r="A1109" s="86" t="s">
        <v>8086</v>
      </c>
      <c r="B1109" s="1067" t="s">
        <v>105</v>
      </c>
      <c r="C1109" s="1037" t="s">
        <v>219</v>
      </c>
      <c r="D1109" s="1027" t="s">
        <v>439</v>
      </c>
      <c r="E1109" s="447" t="s">
        <v>8483</v>
      </c>
      <c r="F1109" s="1034" t="s">
        <v>439</v>
      </c>
      <c r="G1109" s="1034" t="s">
        <v>6101</v>
      </c>
      <c r="H1109" s="88">
        <f>INDEX(IN_Rimd!$A$3:$AAA$428,MATCH($G1109,IN_Rimd!$A$3:$A$428,0),MATCH(H$1,IN_Rimd!$A$3:$AAA$3,0))</f>
        <v>0</v>
      </c>
      <c r="I1109" s="88">
        <f>INDEX(IN_Rimd!$A$3:$AAA$428,MATCH($G1109,IN_Rimd!$A$3:$A$428,0),MATCH(I$1,IN_Rimd!$A$3:$AAA$3,0))</f>
        <v>0</v>
      </c>
      <c r="J1109" s="88">
        <f>INDEX(IN_Rimd!$A$3:$AAA$428,MATCH($G1109,IN_Rimd!$A$3:$A$428,0),MATCH(J$1,IN_Rimd!$A$3:$AAA$3,0))</f>
        <v>0</v>
      </c>
    </row>
    <row r="1110" spans="1:10" x14ac:dyDescent="0.2">
      <c r="A1110" s="86" t="s">
        <v>8087</v>
      </c>
      <c r="B1110" s="447" t="str">
        <f>IN_Anagrafica!$B$9</f>
        <v>NO</v>
      </c>
      <c r="C1110" s="369" t="str">
        <f>IF(B1110="SI","SI","NO")</f>
        <v>NO</v>
      </c>
      <c r="D1110" s="1027" t="s">
        <v>439</v>
      </c>
      <c r="E1110" s="447" t="s">
        <v>8484</v>
      </c>
      <c r="F1110" s="1034" t="s">
        <v>439</v>
      </c>
      <c r="G1110" s="1034" t="s">
        <v>6104</v>
      </c>
      <c r="H1110" s="88">
        <f>INDEX(IN_Rimd!$A$3:$AAA$428,MATCH($G1110,IN_Rimd!$A$3:$A$428,0),MATCH(H$1,IN_Rimd!$A$3:$AAA$3,0))</f>
        <v>0</v>
      </c>
      <c r="I1110" s="88">
        <f>INDEX(IN_Rimd!$A$3:$AAA$428,MATCH($G1110,IN_Rimd!$A$3:$A$428,0),MATCH(I$1,IN_Rimd!$A$3:$AAA$3,0))</f>
        <v>0</v>
      </c>
      <c r="J1110" s="88">
        <f>INDEX(IN_Rimd!$A$3:$AAA$428,MATCH($G1110,IN_Rimd!$A$3:$A$428,0),MATCH(J$1,IN_Rimd!$A$3:$AAA$3,0))</f>
        <v>0</v>
      </c>
    </row>
    <row r="1111" spans="1:10" x14ac:dyDescent="0.2">
      <c r="A1111" s="86" t="s">
        <v>8088</v>
      </c>
      <c r="B1111" s="1067" t="s">
        <v>105</v>
      </c>
      <c r="C1111" s="1037" t="s">
        <v>219</v>
      </c>
      <c r="D1111" s="1027" t="s">
        <v>439</v>
      </c>
      <c r="E1111" s="447" t="s">
        <v>747</v>
      </c>
      <c r="F1111" s="1034" t="s">
        <v>439</v>
      </c>
      <c r="G1111" s="1034" t="s">
        <v>6152</v>
      </c>
      <c r="H1111" s="88">
        <f>INDEX(IN_Rimd!$A$3:$AAA$428,MATCH($G1111,IN_Rimd!$A$3:$A$428,0),MATCH(H$1,IN_Rimd!$A$3:$AAA$3,0))</f>
        <v>0</v>
      </c>
      <c r="I1111" s="88">
        <f>INDEX(IN_Rimd!$A$3:$AAA$428,MATCH($G1111,IN_Rimd!$A$3:$A$428,0),MATCH(I$1,IN_Rimd!$A$3:$AAA$3,0))</f>
        <v>0</v>
      </c>
      <c r="J1111" s="88">
        <f>INDEX(IN_Rimd!$A$3:$AAA$428,MATCH($G1111,IN_Rimd!$A$3:$A$428,0),MATCH(J$1,IN_Rimd!$A$3:$AAA$3,0))</f>
        <v>0</v>
      </c>
    </row>
    <row r="1112" spans="1:10" x14ac:dyDescent="0.2">
      <c r="A1112" s="86" t="s">
        <v>8089</v>
      </c>
      <c r="B1112" s="447" t="str">
        <f>IN_Anagrafica!$B$9</f>
        <v>NO</v>
      </c>
      <c r="C1112" s="369" t="str">
        <f>IF(B1112="SI","SI","NO")</f>
        <v>NO</v>
      </c>
      <c r="D1112" s="1027" t="s">
        <v>439</v>
      </c>
      <c r="E1112" s="447" t="s">
        <v>748</v>
      </c>
      <c r="F1112" s="1034" t="s">
        <v>439</v>
      </c>
      <c r="G1112" s="1034" t="s">
        <v>6154</v>
      </c>
      <c r="H1112" s="88">
        <f>INDEX(IN_Rimd!$A$3:$AAA$428,MATCH($G1112,IN_Rimd!$A$3:$A$428,0),MATCH(H$1,IN_Rimd!$A$3:$AAA$3,0))</f>
        <v>0</v>
      </c>
      <c r="I1112" s="88">
        <f>INDEX(IN_Rimd!$A$3:$AAA$428,MATCH($G1112,IN_Rimd!$A$3:$A$428,0),MATCH(I$1,IN_Rimd!$A$3:$AAA$3,0))</f>
        <v>0</v>
      </c>
      <c r="J1112" s="88">
        <f>INDEX(IN_Rimd!$A$3:$AAA$428,MATCH($G1112,IN_Rimd!$A$3:$A$428,0),MATCH(J$1,IN_Rimd!$A$3:$AAA$3,0))</f>
        <v>0</v>
      </c>
    </row>
    <row r="1113" spans="1:10" x14ac:dyDescent="0.2">
      <c r="A1113" s="86" t="s">
        <v>8090</v>
      </c>
      <c r="B1113" s="1067" t="s">
        <v>105</v>
      </c>
      <c r="C1113" s="1037" t="s">
        <v>219</v>
      </c>
      <c r="D1113" s="1027" t="s">
        <v>439</v>
      </c>
      <c r="E1113" s="447" t="s">
        <v>8485</v>
      </c>
      <c r="F1113" s="1034" t="s">
        <v>439</v>
      </c>
      <c r="G1113" s="1034" t="s">
        <v>6153</v>
      </c>
      <c r="H1113" s="88">
        <f>INDEX(IN_Rimd!$A$3:$AAA$428,MATCH($G1113,IN_Rimd!$A$3:$A$428,0),MATCH(H$1,IN_Rimd!$A$3:$AAA$3,0))</f>
        <v>0</v>
      </c>
      <c r="I1113" s="88">
        <f>INDEX(IN_Rimd!$A$3:$AAA$428,MATCH($G1113,IN_Rimd!$A$3:$A$428,0),MATCH(I$1,IN_Rimd!$A$3:$AAA$3,0))</f>
        <v>0</v>
      </c>
      <c r="J1113" s="88">
        <f>INDEX(IN_Rimd!$A$3:$AAA$428,MATCH($G1113,IN_Rimd!$A$3:$A$428,0),MATCH(J$1,IN_Rimd!$A$3:$AAA$3,0))</f>
        <v>0</v>
      </c>
    </row>
    <row r="1114" spans="1:10" x14ac:dyDescent="0.2">
      <c r="A1114" s="86" t="s">
        <v>8091</v>
      </c>
      <c r="B1114" s="447" t="str">
        <f>IN_Anagrafica!$B$9</f>
        <v>NO</v>
      </c>
      <c r="C1114" s="369" t="str">
        <f>IF(B1114="SI","SI","NO")</f>
        <v>NO</v>
      </c>
      <c r="D1114" s="1027" t="s">
        <v>439</v>
      </c>
      <c r="E1114" s="447" t="s">
        <v>8486</v>
      </c>
      <c r="F1114" s="1034" t="s">
        <v>439</v>
      </c>
      <c r="G1114" s="1034" t="s">
        <v>6155</v>
      </c>
      <c r="H1114" s="88">
        <f>INDEX(IN_Rimd!$A$3:$AAA$428,MATCH($G1114,IN_Rimd!$A$3:$A$428,0),MATCH(H$1,IN_Rimd!$A$3:$AAA$3,0))</f>
        <v>0</v>
      </c>
      <c r="I1114" s="88">
        <f>INDEX(IN_Rimd!$A$3:$AAA$428,MATCH($G1114,IN_Rimd!$A$3:$A$428,0),MATCH(I$1,IN_Rimd!$A$3:$AAA$3,0))</f>
        <v>0</v>
      </c>
      <c r="J1114" s="88">
        <f>INDEX(IN_Rimd!$A$3:$AAA$428,MATCH($G1114,IN_Rimd!$A$3:$A$428,0),MATCH(J$1,IN_Rimd!$A$3:$AAA$3,0))</f>
        <v>0</v>
      </c>
    </row>
    <row r="1115" spans="1:10" x14ac:dyDescent="0.2">
      <c r="A1115" s="86" t="s">
        <v>8092</v>
      </c>
      <c r="B1115" s="1067" t="s">
        <v>105</v>
      </c>
      <c r="C1115" s="1037" t="s">
        <v>219</v>
      </c>
      <c r="D1115" s="1027" t="s">
        <v>439</v>
      </c>
      <c r="E1115" s="447" t="s">
        <v>8487</v>
      </c>
      <c r="F1115" s="1034" t="s">
        <v>439</v>
      </c>
      <c r="G1115" s="1034" t="s">
        <v>6156</v>
      </c>
      <c r="H1115" s="88">
        <f>INDEX(IN_Rimd!$A$3:$AAA$428,MATCH($G1115,IN_Rimd!$A$3:$A$428,0),MATCH(H$1,IN_Rimd!$A$3:$AAA$3,0))</f>
        <v>0</v>
      </c>
      <c r="I1115" s="88">
        <f>INDEX(IN_Rimd!$A$3:$AAA$428,MATCH($G1115,IN_Rimd!$A$3:$A$428,0),MATCH(I$1,IN_Rimd!$A$3:$AAA$3,0))</f>
        <v>0</v>
      </c>
      <c r="J1115" s="88">
        <f>INDEX(IN_Rimd!$A$3:$AAA$428,MATCH($G1115,IN_Rimd!$A$3:$A$428,0),MATCH(J$1,IN_Rimd!$A$3:$AAA$3,0))</f>
        <v>0</v>
      </c>
    </row>
    <row r="1116" spans="1:10" x14ac:dyDescent="0.2">
      <c r="A1116" s="86" t="s">
        <v>8093</v>
      </c>
      <c r="B1116" s="447" t="str">
        <f>IN_Anagrafica!$B$9</f>
        <v>NO</v>
      </c>
      <c r="C1116" s="369" t="str">
        <f>IF(B1116="SI","SI","NO")</f>
        <v>NO</v>
      </c>
      <c r="D1116" s="1027" t="s">
        <v>439</v>
      </c>
      <c r="E1116" s="447" t="s">
        <v>8488</v>
      </c>
      <c r="F1116" s="1034" t="s">
        <v>439</v>
      </c>
      <c r="G1116" s="1034" t="s">
        <v>6158</v>
      </c>
      <c r="H1116" s="88">
        <f>INDEX(IN_Rimd!$A$3:$AAA$428,MATCH($G1116,IN_Rimd!$A$3:$A$428,0),MATCH(H$1,IN_Rimd!$A$3:$AAA$3,0))</f>
        <v>0</v>
      </c>
      <c r="I1116" s="88">
        <f>INDEX(IN_Rimd!$A$3:$AAA$428,MATCH($G1116,IN_Rimd!$A$3:$A$428,0),MATCH(I$1,IN_Rimd!$A$3:$AAA$3,0))</f>
        <v>0</v>
      </c>
      <c r="J1116" s="88">
        <f>INDEX(IN_Rimd!$A$3:$AAA$428,MATCH($G1116,IN_Rimd!$A$3:$A$428,0),MATCH(J$1,IN_Rimd!$A$3:$AAA$3,0))</f>
        <v>0</v>
      </c>
    </row>
    <row r="1117" spans="1:10" x14ac:dyDescent="0.2">
      <c r="A1117" s="86" t="s">
        <v>8094</v>
      </c>
      <c r="B1117" s="1067" t="s">
        <v>105</v>
      </c>
      <c r="C1117" s="1037" t="s">
        <v>219</v>
      </c>
      <c r="D1117" s="1027" t="s">
        <v>439</v>
      </c>
      <c r="E1117" s="447" t="s">
        <v>8489</v>
      </c>
      <c r="F1117" s="1034" t="s">
        <v>439</v>
      </c>
      <c r="G1117" s="1034" t="s">
        <v>6157</v>
      </c>
      <c r="H1117" s="88">
        <f>INDEX(IN_Rimd!$A$3:$AAA$428,MATCH($G1117,IN_Rimd!$A$3:$A$428,0),MATCH(H$1,IN_Rimd!$A$3:$AAA$3,0))</f>
        <v>0</v>
      </c>
      <c r="I1117" s="88">
        <f>INDEX(IN_Rimd!$A$3:$AAA$428,MATCH($G1117,IN_Rimd!$A$3:$A$428,0),MATCH(I$1,IN_Rimd!$A$3:$AAA$3,0))</f>
        <v>0</v>
      </c>
      <c r="J1117" s="88">
        <f>INDEX(IN_Rimd!$A$3:$AAA$428,MATCH($G1117,IN_Rimd!$A$3:$A$428,0),MATCH(J$1,IN_Rimd!$A$3:$AAA$3,0))</f>
        <v>0</v>
      </c>
    </row>
    <row r="1118" spans="1:10" x14ac:dyDescent="0.2">
      <c r="A1118" s="86" t="s">
        <v>8095</v>
      </c>
      <c r="B1118" s="447" t="str">
        <f>IN_Anagrafica!$B$9</f>
        <v>NO</v>
      </c>
      <c r="C1118" s="369" t="str">
        <f>IF(B1118="SI","SI","NO")</f>
        <v>NO</v>
      </c>
      <c r="D1118" s="1027" t="s">
        <v>439</v>
      </c>
      <c r="E1118" s="447" t="s">
        <v>294</v>
      </c>
      <c r="F1118" s="1034" t="s">
        <v>439</v>
      </c>
      <c r="G1118" s="1034" t="s">
        <v>6159</v>
      </c>
      <c r="H1118" s="88">
        <f>INDEX(IN_Rimd!$A$3:$AAA$428,MATCH($G1118,IN_Rimd!$A$3:$A$428,0),MATCH(H$1,IN_Rimd!$A$3:$AAA$3,0))</f>
        <v>0</v>
      </c>
      <c r="I1118" s="88">
        <f>INDEX(IN_Rimd!$A$3:$AAA$428,MATCH($G1118,IN_Rimd!$A$3:$A$428,0),MATCH(I$1,IN_Rimd!$A$3:$AAA$3,0))</f>
        <v>0</v>
      </c>
      <c r="J1118" s="88">
        <f>INDEX(IN_Rimd!$A$3:$AAA$428,MATCH($G1118,IN_Rimd!$A$3:$A$428,0),MATCH(J$1,IN_Rimd!$A$3:$AAA$3,0))</f>
        <v>0</v>
      </c>
    </row>
    <row r="1119" spans="1:10" x14ac:dyDescent="0.2">
      <c r="A1119" s="86" t="s">
        <v>8096</v>
      </c>
      <c r="B1119" s="1067" t="s">
        <v>105</v>
      </c>
      <c r="C1119" s="1037" t="s">
        <v>219</v>
      </c>
      <c r="D1119" s="1027" t="s">
        <v>439</v>
      </c>
      <c r="E1119" s="447" t="s">
        <v>8490</v>
      </c>
      <c r="F1119" s="1034" t="s">
        <v>439</v>
      </c>
      <c r="G1119" s="1034" t="s">
        <v>6222</v>
      </c>
      <c r="H1119" s="88">
        <f>INDEX(IN_Rimd!$A$3:$AAA$428,MATCH($G1119,IN_Rimd!$A$3:$A$428,0),MATCH(H$1,IN_Rimd!$A$3:$AAA$3,0))</f>
        <v>0</v>
      </c>
      <c r="I1119" s="88">
        <f>INDEX(IN_Rimd!$A$3:$AAA$428,MATCH($G1119,IN_Rimd!$A$3:$A$428,0),MATCH(I$1,IN_Rimd!$A$3:$AAA$3,0))</f>
        <v>0</v>
      </c>
      <c r="J1119" s="88">
        <f>INDEX(IN_Rimd!$A$3:$AAA$428,MATCH($G1119,IN_Rimd!$A$3:$A$428,0),MATCH(J$1,IN_Rimd!$A$3:$AAA$3,0))</f>
        <v>0</v>
      </c>
    </row>
    <row r="1120" spans="1:10" x14ac:dyDescent="0.2">
      <c r="A1120" s="86" t="s">
        <v>8097</v>
      </c>
      <c r="B1120" s="447" t="str">
        <f>IN_Anagrafica!$B$9</f>
        <v>NO</v>
      </c>
      <c r="C1120" s="369" t="str">
        <f>IF(B1120="SI","SI","NO")</f>
        <v>NO</v>
      </c>
      <c r="D1120" s="1027" t="s">
        <v>439</v>
      </c>
      <c r="E1120" s="447" t="s">
        <v>8491</v>
      </c>
      <c r="F1120" s="1034" t="s">
        <v>439</v>
      </c>
      <c r="G1120" s="1034" t="s">
        <v>6223</v>
      </c>
      <c r="H1120" s="88">
        <f>INDEX(IN_Rimd!$A$3:$AAA$428,MATCH($G1120,IN_Rimd!$A$3:$A$428,0),MATCH(H$1,IN_Rimd!$A$3:$AAA$3,0))</f>
        <v>0</v>
      </c>
      <c r="I1120" s="88">
        <f>INDEX(IN_Rimd!$A$3:$AAA$428,MATCH($G1120,IN_Rimd!$A$3:$A$428,0),MATCH(I$1,IN_Rimd!$A$3:$AAA$3,0))</f>
        <v>0</v>
      </c>
      <c r="J1120" s="88">
        <f>INDEX(IN_Rimd!$A$3:$AAA$428,MATCH($G1120,IN_Rimd!$A$3:$A$428,0),MATCH(J$1,IN_Rimd!$A$3:$AAA$3,0))</f>
        <v>0</v>
      </c>
    </row>
    <row r="1121" spans="1:10" x14ac:dyDescent="0.2">
      <c r="A1121" s="86" t="s">
        <v>8098</v>
      </c>
      <c r="B1121" s="1067" t="s">
        <v>105</v>
      </c>
      <c r="C1121" s="1037" t="s">
        <v>219</v>
      </c>
      <c r="D1121" s="1027" t="s">
        <v>439</v>
      </c>
      <c r="E1121" s="447" t="s">
        <v>716</v>
      </c>
      <c r="F1121" s="1034" t="s">
        <v>439</v>
      </c>
      <c r="G1121" s="1034" t="s">
        <v>6224</v>
      </c>
      <c r="H1121" s="88">
        <f>INDEX(IN_Rimd!$A$3:$AAA$428,MATCH($G1121,IN_Rimd!$A$3:$A$428,0),MATCH(H$1,IN_Rimd!$A$3:$AAA$3,0))</f>
        <v>0</v>
      </c>
      <c r="I1121" s="88">
        <f>INDEX(IN_Rimd!$A$3:$AAA$428,MATCH($G1121,IN_Rimd!$A$3:$A$428,0),MATCH(I$1,IN_Rimd!$A$3:$AAA$3,0))</f>
        <v>0</v>
      </c>
      <c r="J1121" s="88">
        <f>INDEX(IN_Rimd!$A$3:$AAA$428,MATCH($G1121,IN_Rimd!$A$3:$A$428,0),MATCH(J$1,IN_Rimd!$A$3:$AAA$3,0))</f>
        <v>0</v>
      </c>
    </row>
    <row r="1122" spans="1:10" x14ac:dyDescent="0.2">
      <c r="A1122" s="86" t="s">
        <v>8099</v>
      </c>
      <c r="B1122" s="447" t="str">
        <f>IN_Anagrafica!$B$9</f>
        <v>NO</v>
      </c>
      <c r="C1122" s="369" t="str">
        <f>IF(B1122="SI","SI","NO")</f>
        <v>NO</v>
      </c>
      <c r="D1122" s="1027" t="s">
        <v>439</v>
      </c>
      <c r="E1122" s="447" t="s">
        <v>717</v>
      </c>
      <c r="F1122" s="1034" t="s">
        <v>439</v>
      </c>
      <c r="G1122" s="1034" t="s">
        <v>6225</v>
      </c>
      <c r="H1122" s="88">
        <f>INDEX(IN_Rimd!$A$3:$AAA$428,MATCH($G1122,IN_Rimd!$A$3:$A$428,0),MATCH(H$1,IN_Rimd!$A$3:$AAA$3,0))</f>
        <v>0</v>
      </c>
      <c r="I1122" s="88">
        <f>INDEX(IN_Rimd!$A$3:$AAA$428,MATCH($G1122,IN_Rimd!$A$3:$A$428,0),MATCH(I$1,IN_Rimd!$A$3:$AAA$3,0))</f>
        <v>0</v>
      </c>
      <c r="J1122" s="88">
        <f>INDEX(IN_Rimd!$A$3:$AAA$428,MATCH($G1122,IN_Rimd!$A$3:$A$428,0),MATCH(J$1,IN_Rimd!$A$3:$AAA$3,0))</f>
        <v>0</v>
      </c>
    </row>
    <row r="1123" spans="1:10" x14ac:dyDescent="0.2">
      <c r="A1123" s="86" t="s">
        <v>8535</v>
      </c>
      <c r="B1123" s="1067" t="s">
        <v>105</v>
      </c>
      <c r="C1123" s="1037" t="s">
        <v>219</v>
      </c>
      <c r="D1123" s="1027" t="s">
        <v>720</v>
      </c>
      <c r="E1123" s="447" t="s">
        <v>357</v>
      </c>
      <c r="F1123" s="1034" t="s">
        <v>720</v>
      </c>
      <c r="G1123" s="1031" t="s">
        <v>5006</v>
      </c>
      <c r="H1123" s="88" t="str">
        <f>INDEX('IN_Calcolo H'!$A$3:$AAA$180,MATCH($G1123,'IN_Calcolo H'!$A$3:$A$180,0),MATCH(H$1,'IN_Calcolo H'!$A$3:$AAA$3,0))</f>
        <v>Mancanza di dati richiesti (calcolo di default)</v>
      </c>
      <c r="I1123" s="88" t="str">
        <f>INDEX('IN_Calcolo H'!$A$3:$AAA$180,MATCH($G1123,'IN_Calcolo H'!$A$3:$A$180,0),MATCH(I$1,'IN_Calcolo H'!$A$3:$AAA$3,0))</f>
        <v>-</v>
      </c>
      <c r="J1123" s="88" t="str">
        <f>INDEX('IN_Calcolo H'!$A$3:$AAA$180,MATCH($G1123,'IN_Calcolo H'!$A$3:$A$180,0),MATCH(J$1,'IN_Calcolo H'!$A$3:$AAA$3,0))</f>
        <v>-</v>
      </c>
    </row>
    <row r="1124" spans="1:10" x14ac:dyDescent="0.2">
      <c r="A1124" s="86" t="s">
        <v>8747</v>
      </c>
      <c r="B1124" s="1067" t="s">
        <v>105</v>
      </c>
      <c r="C1124" s="1037" t="s">
        <v>219</v>
      </c>
      <c r="D1124" s="1027" t="s">
        <v>720</v>
      </c>
      <c r="E1124" s="447" t="s">
        <v>298</v>
      </c>
      <c r="F1124" s="1034" t="s">
        <v>720</v>
      </c>
      <c r="G1124" s="1034" t="s">
        <v>5009</v>
      </c>
      <c r="H1124" s="88">
        <f>INDEX('IN_Calcolo H'!$A$3:$AAA$180,MATCH($G1124,'IN_Calcolo H'!$A$3:$A$180,0),MATCH(H$1,'IN_Calcolo H'!$A$3:$AAA$3,0))</f>
        <v>10681.81</v>
      </c>
      <c r="I1124" s="88">
        <f>INDEX('IN_Calcolo H'!$A$3:$AAA$180,MATCH($G1124,'IN_Calcolo H'!$A$3:$A$180,0),MATCH(I$1,'IN_Calcolo H'!$A$3:$AAA$3,0))</f>
        <v>0</v>
      </c>
      <c r="J1124" s="88">
        <f>INDEX('IN_Calcolo H'!$A$3:$AAA$180,MATCH($G1124,'IN_Calcolo H'!$A$3:$A$180,0),MATCH(J$1,'IN_Calcolo H'!$A$3:$AAA$3,0))</f>
        <v>0</v>
      </c>
    </row>
    <row r="1125" spans="1:10" x14ac:dyDescent="0.2">
      <c r="A1125" s="86" t="s">
        <v>793</v>
      </c>
      <c r="B1125" s="1067" t="s">
        <v>105</v>
      </c>
      <c r="C1125" s="1037" t="s">
        <v>219</v>
      </c>
      <c r="D1125" s="1027" t="s">
        <v>720</v>
      </c>
      <c r="E1125" s="447" t="s">
        <v>675</v>
      </c>
      <c r="F1125" s="1034" t="s">
        <v>720</v>
      </c>
      <c r="G1125" s="1034" t="s">
        <v>5210</v>
      </c>
      <c r="H1125" s="88">
        <f>INDEX('IN_Calcolo H'!$A$3:$AAA$180,MATCH($G1125,'IN_Calcolo H'!$A$3:$A$180,0),MATCH(H$1,'IN_Calcolo H'!$A$3:$AAA$3,0))</f>
        <v>615987.22</v>
      </c>
      <c r="I1125" s="88">
        <f>INDEX('IN_Calcolo H'!$A$3:$AAA$180,MATCH($G1125,'IN_Calcolo H'!$A$3:$A$180,0),MATCH(I$1,'IN_Calcolo H'!$A$3:$AAA$3,0))</f>
        <v>0</v>
      </c>
      <c r="J1125" s="88">
        <f>INDEX('IN_Calcolo H'!$A$3:$AAA$180,MATCH($G1125,'IN_Calcolo H'!$A$3:$A$180,0),MATCH(J$1,'IN_Calcolo H'!$A$3:$AAA$3,0))</f>
        <v>0</v>
      </c>
    </row>
    <row r="1126" spans="1:10" x14ac:dyDescent="0.2">
      <c r="A1126" s="86" t="s">
        <v>8100</v>
      </c>
      <c r="B1126" s="1067" t="s">
        <v>105</v>
      </c>
      <c r="C1126" s="1037" t="s">
        <v>219</v>
      </c>
      <c r="D1126" s="1027" t="s">
        <v>720</v>
      </c>
      <c r="E1126" s="447" t="s">
        <v>399</v>
      </c>
      <c r="F1126" s="1034" t="s">
        <v>720</v>
      </c>
      <c r="G1126" s="1034" t="s">
        <v>5215</v>
      </c>
      <c r="H1126" s="88">
        <f>INDEX('IN_Calcolo H'!$A$3:$AAA$180,MATCH($G1126,'IN_Calcolo H'!$A$3:$A$180,0),MATCH(H$1,'IN_Calcolo H'!$A$3:$AAA$3,0))</f>
        <v>737378.09</v>
      </c>
      <c r="I1126" s="88">
        <f>INDEX('IN_Calcolo H'!$A$3:$AAA$180,MATCH($G1126,'IN_Calcolo H'!$A$3:$A$180,0),MATCH(I$1,'IN_Calcolo H'!$A$3:$AAA$3,0))</f>
        <v>0</v>
      </c>
      <c r="J1126" s="88">
        <f>INDEX('IN_Calcolo H'!$A$3:$AAA$180,MATCH($G1126,'IN_Calcolo H'!$A$3:$A$180,0),MATCH(J$1,'IN_Calcolo H'!$A$3:$AAA$3,0))</f>
        <v>0</v>
      </c>
    </row>
    <row r="1127" spans="1:10" x14ac:dyDescent="0.2">
      <c r="A1127" s="86" t="s">
        <v>8101</v>
      </c>
      <c r="B1127" s="1067" t="s">
        <v>105</v>
      </c>
      <c r="C1127" s="1037" t="s">
        <v>219</v>
      </c>
      <c r="D1127" s="1027" t="s">
        <v>720</v>
      </c>
      <c r="E1127" s="447" t="s">
        <v>344</v>
      </c>
      <c r="F1127" s="1034" t="s">
        <v>720</v>
      </c>
      <c r="G1127" s="1034" t="s">
        <v>590</v>
      </c>
      <c r="H1127" s="88">
        <f>INDEX('IN_Calcolo H'!$A$3:$AAA$180,MATCH($G1127,'IN_Calcolo H'!$A$3:$A$180,0),MATCH(H$1,'IN_Calcolo H'!$A$3:$AAA$3,0))</f>
        <v>0</v>
      </c>
      <c r="I1127" s="88">
        <f>INDEX('IN_Calcolo H'!$A$3:$AAA$180,MATCH($G1127,'IN_Calcolo H'!$A$3:$A$180,0),MATCH(I$1,'IN_Calcolo H'!$A$3:$AAA$3,0))</f>
        <v>0</v>
      </c>
      <c r="J1127" s="88">
        <f>INDEX('IN_Calcolo H'!$A$3:$AAA$180,MATCH($G1127,'IN_Calcolo H'!$A$3:$A$180,0),MATCH(J$1,'IN_Calcolo H'!$A$3:$AAA$3,0))</f>
        <v>0</v>
      </c>
    </row>
    <row r="1128" spans="1:10" x14ac:dyDescent="0.2">
      <c r="A1128" s="86" t="s">
        <v>8102</v>
      </c>
      <c r="B1128" s="1067" t="s">
        <v>105</v>
      </c>
      <c r="C1128" s="1037" t="s">
        <v>219</v>
      </c>
      <c r="D1128" s="1027" t="s">
        <v>720</v>
      </c>
      <c r="E1128" s="447" t="s">
        <v>8492</v>
      </c>
      <c r="F1128" s="1034" t="s">
        <v>720</v>
      </c>
      <c r="G1128" s="1034" t="s">
        <v>5341</v>
      </c>
      <c r="H1128" s="88">
        <f>INDEX('IN_Calcolo H'!$A$3:$AAA$180,MATCH($G1128,'IN_Calcolo H'!$A$3:$A$180,0),MATCH(H$1,'IN_Calcolo H'!$A$3:$AAA$3,0))</f>
        <v>847964.97177920002</v>
      </c>
      <c r="I1128" s="88">
        <f>INDEX('IN_Calcolo H'!$A$3:$AAA$180,MATCH($G1128,'IN_Calcolo H'!$A$3:$A$180,0),MATCH(I$1,'IN_Calcolo H'!$A$3:$AAA$3,0))</f>
        <v>0</v>
      </c>
      <c r="J1128" s="88">
        <f>INDEX('IN_Calcolo H'!$A$3:$AAA$180,MATCH($G1128,'IN_Calcolo H'!$A$3:$A$180,0),MATCH(J$1,'IN_Calcolo H'!$A$3:$AAA$3,0))</f>
        <v>0</v>
      </c>
    </row>
    <row r="1129" spans="1:10" x14ac:dyDescent="0.2">
      <c r="A1129" s="86" t="s">
        <v>8103</v>
      </c>
      <c r="B1129" s="1067" t="s">
        <v>105</v>
      </c>
      <c r="C1129" s="1037" t="s">
        <v>219</v>
      </c>
      <c r="D1129" s="1027" t="s">
        <v>720</v>
      </c>
      <c r="E1129" s="447" t="s">
        <v>8493</v>
      </c>
      <c r="F1129" s="1034" t="s">
        <v>720</v>
      </c>
      <c r="G1129" s="1034" t="s">
        <v>5342</v>
      </c>
      <c r="H1129" s="88">
        <f>INDEX('IN_Calcolo H'!$A$3:$AAA$180,MATCH($G1129,'IN_Calcolo H'!$A$3:$A$180,0),MATCH(H$1,'IN_Calcolo H'!$A$3:$AAA$3,0))</f>
        <v>2449669.01782641</v>
      </c>
      <c r="I1129" s="88">
        <f>INDEX('IN_Calcolo H'!$A$3:$AAA$180,MATCH($G1129,'IN_Calcolo H'!$A$3:$A$180,0),MATCH(I$1,'IN_Calcolo H'!$A$3:$AAA$3,0))</f>
        <v>0</v>
      </c>
      <c r="J1129" s="88">
        <f>INDEX('IN_Calcolo H'!$A$3:$AAA$180,MATCH($G1129,'IN_Calcolo H'!$A$3:$A$180,0),MATCH(J$1,'IN_Calcolo H'!$A$3:$AAA$3,0))</f>
        <v>0</v>
      </c>
    </row>
    <row r="1130" spans="1:10" x14ac:dyDescent="0.2">
      <c r="A1130" s="86" t="s">
        <v>8536</v>
      </c>
      <c r="B1130" s="1067" t="s">
        <v>105</v>
      </c>
      <c r="C1130" s="1037" t="s">
        <v>219</v>
      </c>
      <c r="D1130" s="1027" t="s">
        <v>8494</v>
      </c>
      <c r="E1130" s="447" t="s">
        <v>8495</v>
      </c>
      <c r="F1130" s="1034" t="s">
        <v>8586</v>
      </c>
      <c r="G1130" s="1034" t="s">
        <v>8583</v>
      </c>
      <c r="H1130" s="88">
        <f>INDEX('T_ante_detr.4.5_GEST'!$A$3:$AAA$180,MATCH($G1130,'T_ante_detr.4.5_GEST'!$A$3:$A$180,0),MATCH(H$1,'T_ante_detr.4.5_GEST'!$A$3:$AAA$3,0))</f>
        <v>0</v>
      </c>
      <c r="I1130" s="88">
        <f>INDEX('T_ante_detr.4.5_GEST'!$A$3:$AAA$180,MATCH($G1130,'T_ante_detr.4.5_GEST'!$A$3:$A$180,0),MATCH(I$1,'T_ante_detr.4.5_GEST'!$A$3:$AAA$3,0))</f>
        <v>0</v>
      </c>
      <c r="J1130" s="88">
        <f>INDEX('T_ante_detr.4.5_GEST'!$A$3:$AAA$180,MATCH($G1130,'T_ante_detr.4.5_GEST'!$A$3:$A$180,0),MATCH(J$1,'T_ante_detr.4.5_GEST'!$A$3:$AAA$3,0))</f>
        <v>0</v>
      </c>
    </row>
    <row r="1131" spans="1:10" x14ac:dyDescent="0.2">
      <c r="A1131" s="86" t="s">
        <v>8537</v>
      </c>
      <c r="B1131" s="447" t="str">
        <f>IN_Anagrafica!$B$9</f>
        <v>NO</v>
      </c>
      <c r="C1131" s="369" t="str">
        <f>IF(B1131="SI","SI","NO")</f>
        <v>NO</v>
      </c>
      <c r="D1131" s="1027" t="s">
        <v>8494</v>
      </c>
      <c r="E1131" s="447" t="s">
        <v>8496</v>
      </c>
      <c r="F1131" s="1034" t="s">
        <v>8679</v>
      </c>
      <c r="G1131" s="1034" t="s">
        <v>8684</v>
      </c>
      <c r="H1131" s="88">
        <f>INDEX('T_ante_detr.4.5_COM'!$A$3:$AAA$180,MATCH($G1131,'T_ante_detr.4.5_COM'!$A$3:$A$180,0),MATCH(H$1,'T_ante_detr.4.5_COM'!$A$3:$AAA$3,0))</f>
        <v>0</v>
      </c>
      <c r="I1131" s="88">
        <f>INDEX('T_ante_detr.4.5_COM'!$A$3:$AAA$180,MATCH($G1131,'T_ante_detr.4.5_COM'!$A$3:$A$180,0),MATCH(I$1,'T_ante_detr.4.5_COM'!$A$3:$AAA$3,0))</f>
        <v>0</v>
      </c>
      <c r="J1131" s="88">
        <f>INDEX('T_ante_detr.4.5_COM'!$A$3:$AAA$180,MATCH($G1131,'T_ante_detr.4.5_COM'!$A$3:$A$180,0),MATCH(J$1,'T_ante_detr.4.5_COM'!$A$3:$AAA$3,0))</f>
        <v>0</v>
      </c>
    </row>
    <row r="1132" spans="1:10" x14ac:dyDescent="0.2">
      <c r="A1132" s="86" t="s">
        <v>8538</v>
      </c>
      <c r="B1132" s="1067" t="s">
        <v>105</v>
      </c>
      <c r="C1132" s="1037" t="s">
        <v>219</v>
      </c>
      <c r="D1132" s="1027" t="s">
        <v>8494</v>
      </c>
      <c r="E1132" s="447" t="s">
        <v>8497</v>
      </c>
      <c r="F1132" s="1034" t="s">
        <v>8586</v>
      </c>
      <c r="G1132" s="1034" t="s">
        <v>8608</v>
      </c>
      <c r="H1132" s="88">
        <f>INDEX('T_ante_detr.4.5_GEST'!$A$3:$AAA$180,MATCH($G1132,'T_ante_detr.4.5_GEST'!$A$3:$A$180,0),MATCH(H$1,'T_ante_detr.4.5_GEST'!$A$3:$AAA$3,0))</f>
        <v>0</v>
      </c>
      <c r="I1132" s="88">
        <f>INDEX('T_ante_detr.4.5_GEST'!$A$3:$AAA$180,MATCH($G1132,'T_ante_detr.4.5_GEST'!$A$3:$A$180,0),MATCH(I$1,'T_ante_detr.4.5_GEST'!$A$3:$AAA$3,0))</f>
        <v>0</v>
      </c>
      <c r="J1132" s="88">
        <f>INDEX('T_ante_detr.4.5_GEST'!$A$3:$AAA$180,MATCH($G1132,'T_ante_detr.4.5_GEST'!$A$3:$A$180,0),MATCH(J$1,'T_ante_detr.4.5_GEST'!$A$3:$AAA$3,0))</f>
        <v>0</v>
      </c>
    </row>
    <row r="1133" spans="1:10" x14ac:dyDescent="0.2">
      <c r="A1133" s="86" t="s">
        <v>8539</v>
      </c>
      <c r="B1133" s="447" t="str">
        <f>IN_Anagrafica!$B$9</f>
        <v>NO</v>
      </c>
      <c r="C1133" s="369" t="str">
        <f>IF(B1133="SI","SI","NO")</f>
        <v>NO</v>
      </c>
      <c r="D1133" s="1027" t="s">
        <v>8494</v>
      </c>
      <c r="E1133" s="447" t="s">
        <v>8498</v>
      </c>
      <c r="F1133" s="1034" t="s">
        <v>8679</v>
      </c>
      <c r="G1133" s="1034" t="s">
        <v>8691</v>
      </c>
      <c r="H1133" s="88">
        <f>INDEX('T_ante_detr.4.5_COM'!$A$3:$AAA$180,MATCH($G1133,'T_ante_detr.4.5_COM'!$A$3:$A$180,0),MATCH(H$1,'T_ante_detr.4.5_COM'!$A$3:$AAA$3,0))</f>
        <v>0</v>
      </c>
      <c r="I1133" s="88">
        <f>INDEX('T_ante_detr.4.5_COM'!$A$3:$AAA$180,MATCH($G1133,'T_ante_detr.4.5_COM'!$A$3:$A$180,0),MATCH(I$1,'T_ante_detr.4.5_COM'!$A$3:$AAA$3,0))</f>
        <v>0</v>
      </c>
      <c r="J1133" s="88">
        <f>INDEX('T_ante_detr.4.5_COM'!$A$3:$AAA$180,MATCH($G1133,'T_ante_detr.4.5_COM'!$A$3:$A$180,0),MATCH(J$1,'T_ante_detr.4.5_COM'!$A$3:$AAA$3,0))</f>
        <v>0</v>
      </c>
    </row>
    <row r="1134" spans="1:10" x14ac:dyDescent="0.2">
      <c r="A1134" s="86" t="s">
        <v>8540</v>
      </c>
      <c r="B1134" s="1067" t="s">
        <v>105</v>
      </c>
      <c r="C1134" s="1037" t="s">
        <v>219</v>
      </c>
      <c r="D1134" s="1027" t="s">
        <v>8494</v>
      </c>
      <c r="E1134" s="447" t="s">
        <v>8499</v>
      </c>
      <c r="F1134" s="1034" t="s">
        <v>8586</v>
      </c>
      <c r="G1134" s="1034" t="s">
        <v>8648</v>
      </c>
      <c r="H1134" s="88">
        <f>INDEX('T_ante_detr.4.5_GEST'!$A$3:$AAA$180,MATCH($G1134,'T_ante_detr.4.5_GEST'!$A$3:$A$180,0),MATCH(H$1,'T_ante_detr.4.5_GEST'!$A$3:$AAA$3,0))</f>
        <v>0</v>
      </c>
      <c r="I1134" s="88">
        <f>INDEX('T_ante_detr.4.5_GEST'!$A$3:$AAA$180,MATCH($G1134,'T_ante_detr.4.5_GEST'!$A$3:$A$180,0),MATCH(I$1,'T_ante_detr.4.5_GEST'!$A$3:$AAA$3,0))</f>
        <v>0</v>
      </c>
      <c r="J1134" s="88">
        <f>INDEX('T_ante_detr.4.5_GEST'!$A$3:$AAA$180,MATCH($G1134,'T_ante_detr.4.5_GEST'!$A$3:$A$180,0),MATCH(J$1,'T_ante_detr.4.5_GEST'!$A$3:$AAA$3,0))</f>
        <v>0</v>
      </c>
    </row>
    <row r="1135" spans="1:10" x14ac:dyDescent="0.2">
      <c r="A1135" s="86" t="s">
        <v>8541</v>
      </c>
      <c r="B1135" s="447" t="str">
        <f>IN_Anagrafica!$B$9</f>
        <v>NO</v>
      </c>
      <c r="C1135" s="369" t="str">
        <f>IF(B1135="SI","SI","NO")</f>
        <v>NO</v>
      </c>
      <c r="D1135" s="1027" t="s">
        <v>8494</v>
      </c>
      <c r="E1135" s="447" t="s">
        <v>8500</v>
      </c>
      <c r="F1135" s="1034" t="s">
        <v>8679</v>
      </c>
      <c r="G1135" s="1034" t="s">
        <v>8698</v>
      </c>
      <c r="H1135" s="88">
        <f>INDEX('T_ante_detr.4.5_COM'!$A$3:$AAA$180,MATCH($G1135,'T_ante_detr.4.5_COM'!$A$3:$A$180,0),MATCH(H$1,'T_ante_detr.4.5_COM'!$A$3:$AAA$3,0))</f>
        <v>0</v>
      </c>
      <c r="I1135" s="88">
        <f>INDEX('T_ante_detr.4.5_COM'!$A$3:$AAA$180,MATCH($G1135,'T_ante_detr.4.5_COM'!$A$3:$A$180,0),MATCH(I$1,'T_ante_detr.4.5_COM'!$A$3:$AAA$3,0))</f>
        <v>0</v>
      </c>
      <c r="J1135" s="88">
        <f>INDEX('T_ante_detr.4.5_COM'!$A$3:$AAA$180,MATCH($G1135,'T_ante_detr.4.5_COM'!$A$3:$A$180,0),MATCH(J$1,'T_ante_detr.4.5_COM'!$A$3:$AAA$3,0))</f>
        <v>0</v>
      </c>
    </row>
    <row r="1136" spans="1:10" x14ac:dyDescent="0.2">
      <c r="A1136" s="86" t="s">
        <v>8542</v>
      </c>
      <c r="B1136" s="1067" t="s">
        <v>105</v>
      </c>
      <c r="C1136" s="1037" t="s">
        <v>219</v>
      </c>
      <c r="D1136" s="1027" t="s">
        <v>8494</v>
      </c>
      <c r="E1136" s="447" t="s">
        <v>8501</v>
      </c>
      <c r="F1136" s="1034" t="s">
        <v>8586</v>
      </c>
      <c r="G1136" s="1034" t="s">
        <v>8660</v>
      </c>
      <c r="H1136" s="88">
        <f>INDEX('T_ante_detr.4.5_GEST'!$A$3:$AAA$180,MATCH($G1136,'T_ante_detr.4.5_GEST'!$A$3:$A$180,0),MATCH(H$1,'T_ante_detr.4.5_GEST'!$A$3:$AAA$3,0))</f>
        <v>0</v>
      </c>
      <c r="I1136" s="88">
        <f>INDEX('T_ante_detr.4.5_GEST'!$A$3:$AAA$180,MATCH($G1136,'T_ante_detr.4.5_GEST'!$A$3:$A$180,0),MATCH(I$1,'T_ante_detr.4.5_GEST'!$A$3:$AAA$3,0))</f>
        <v>0</v>
      </c>
      <c r="J1136" s="88">
        <f>INDEX('T_ante_detr.4.5_GEST'!$A$3:$AAA$180,MATCH($G1136,'T_ante_detr.4.5_GEST'!$A$3:$A$180,0),MATCH(J$1,'T_ante_detr.4.5_GEST'!$A$3:$AAA$3,0))</f>
        <v>0</v>
      </c>
    </row>
    <row r="1137" spans="1:10" x14ac:dyDescent="0.2">
      <c r="A1137" s="86" t="s">
        <v>8543</v>
      </c>
      <c r="B1137" s="447" t="str">
        <f>IN_Anagrafica!$B$9</f>
        <v>NO</v>
      </c>
      <c r="C1137" s="369" t="str">
        <f>IF(B1137="SI","SI","NO")</f>
        <v>NO</v>
      </c>
      <c r="D1137" s="1027" t="s">
        <v>8494</v>
      </c>
      <c r="E1137" s="447" t="s">
        <v>8502</v>
      </c>
      <c r="F1137" s="1034" t="s">
        <v>8679</v>
      </c>
      <c r="G1137" s="1034" t="s">
        <v>8705</v>
      </c>
      <c r="H1137" s="88">
        <f>INDEX('T_ante_detr.4.5_COM'!$A$3:$AAA$180,MATCH($G1137,'T_ante_detr.4.5_COM'!$A$3:$A$180,0),MATCH(H$1,'T_ante_detr.4.5_COM'!$A$3:$AAA$3,0))</f>
        <v>0</v>
      </c>
      <c r="I1137" s="88">
        <f>INDEX('T_ante_detr.4.5_COM'!$A$3:$AAA$180,MATCH($G1137,'T_ante_detr.4.5_COM'!$A$3:$A$180,0),MATCH(I$1,'T_ante_detr.4.5_COM'!$A$3:$AAA$3,0))</f>
        <v>0</v>
      </c>
      <c r="J1137" s="88">
        <f>INDEX('T_ante_detr.4.5_COM'!$A$3:$AAA$180,MATCH($G1137,'T_ante_detr.4.5_COM'!$A$3:$A$180,0),MATCH(J$1,'T_ante_detr.4.5_COM'!$A$3:$AAA$3,0))</f>
        <v>0</v>
      </c>
    </row>
    <row r="1138" spans="1:10" x14ac:dyDescent="0.2">
      <c r="A1138" s="86" t="s">
        <v>8544</v>
      </c>
      <c r="B1138" s="1067" t="s">
        <v>105</v>
      </c>
      <c r="C1138" s="1037" t="s">
        <v>219</v>
      </c>
      <c r="D1138" s="1027" t="s">
        <v>8494</v>
      </c>
      <c r="E1138" s="447" t="s">
        <v>8503</v>
      </c>
      <c r="F1138" s="1034" t="s">
        <v>8586</v>
      </c>
      <c r="G1138" s="1034" t="s">
        <v>8584</v>
      </c>
      <c r="H1138" s="88">
        <f>INDEX('T_ante_detr.4.5_GEST'!$A$3:$AAA$180,MATCH($G1138,'T_ante_detr.4.5_GEST'!$A$3:$A$180,0),MATCH(H$1,'T_ante_detr.4.5_GEST'!$A$3:$AAA$3,0))</f>
        <v>0</v>
      </c>
      <c r="I1138" s="88">
        <f>INDEX('T_ante_detr.4.5_GEST'!$A$3:$AAA$180,MATCH($G1138,'T_ante_detr.4.5_GEST'!$A$3:$A$180,0),MATCH(I$1,'T_ante_detr.4.5_GEST'!$A$3:$AAA$3,0))</f>
        <v>0</v>
      </c>
      <c r="J1138" s="88">
        <f>INDEX('T_ante_detr.4.5_GEST'!$A$3:$AAA$180,MATCH($G1138,'T_ante_detr.4.5_GEST'!$A$3:$A$180,0),MATCH(J$1,'T_ante_detr.4.5_GEST'!$A$3:$AAA$3,0))</f>
        <v>0</v>
      </c>
    </row>
    <row r="1139" spans="1:10" x14ac:dyDescent="0.2">
      <c r="A1139" s="86" t="s">
        <v>8545</v>
      </c>
      <c r="B1139" s="447" t="str">
        <f>IN_Anagrafica!$B$9</f>
        <v>NO</v>
      </c>
      <c r="C1139" s="369" t="str">
        <f>IF(B1139="SI","SI","NO")</f>
        <v>NO</v>
      </c>
      <c r="D1139" s="1027" t="s">
        <v>8494</v>
      </c>
      <c r="E1139" s="447" t="s">
        <v>8504</v>
      </c>
      <c r="F1139" s="1034" t="s">
        <v>8679</v>
      </c>
      <c r="G1139" s="1034" t="s">
        <v>8685</v>
      </c>
      <c r="H1139" s="88">
        <f>INDEX('T_ante_detr.4.5_COM'!$A$3:$AAA$180,MATCH($G1139,'T_ante_detr.4.5_COM'!$A$3:$A$180,0),MATCH(H$1,'T_ante_detr.4.5_COM'!$A$3:$AAA$3,0))</f>
        <v>0</v>
      </c>
      <c r="I1139" s="88">
        <f>INDEX('T_ante_detr.4.5_COM'!$A$3:$AAA$180,MATCH($G1139,'T_ante_detr.4.5_COM'!$A$3:$A$180,0),MATCH(I$1,'T_ante_detr.4.5_COM'!$A$3:$AAA$3,0))</f>
        <v>0</v>
      </c>
      <c r="J1139" s="88">
        <f>INDEX('T_ante_detr.4.5_COM'!$A$3:$AAA$180,MATCH($G1139,'T_ante_detr.4.5_COM'!$A$3:$A$180,0),MATCH(J$1,'T_ante_detr.4.5_COM'!$A$3:$AAA$3,0))</f>
        <v>0</v>
      </c>
    </row>
    <row r="1140" spans="1:10" x14ac:dyDescent="0.2">
      <c r="A1140" s="86" t="s">
        <v>8546</v>
      </c>
      <c r="B1140" s="1067" t="s">
        <v>105</v>
      </c>
      <c r="C1140" s="1037" t="s">
        <v>219</v>
      </c>
      <c r="D1140" s="1027" t="s">
        <v>8494</v>
      </c>
      <c r="E1140" s="447" t="s">
        <v>8505</v>
      </c>
      <c r="F1140" s="1034" t="s">
        <v>8586</v>
      </c>
      <c r="G1140" s="1034" t="s">
        <v>8609</v>
      </c>
      <c r="H1140" s="88">
        <f>INDEX('T_ante_detr.4.5_GEST'!$A$3:$AAA$180,MATCH($G1140,'T_ante_detr.4.5_GEST'!$A$3:$A$180,0),MATCH(H$1,'T_ante_detr.4.5_GEST'!$A$3:$AAA$3,0))</f>
        <v>0</v>
      </c>
      <c r="I1140" s="88">
        <f>INDEX('T_ante_detr.4.5_GEST'!$A$3:$AAA$180,MATCH($G1140,'T_ante_detr.4.5_GEST'!$A$3:$A$180,0),MATCH(I$1,'T_ante_detr.4.5_GEST'!$A$3:$AAA$3,0))</f>
        <v>0</v>
      </c>
      <c r="J1140" s="88">
        <f>INDEX('T_ante_detr.4.5_GEST'!$A$3:$AAA$180,MATCH($G1140,'T_ante_detr.4.5_GEST'!$A$3:$A$180,0),MATCH(J$1,'T_ante_detr.4.5_GEST'!$A$3:$AAA$3,0))</f>
        <v>0</v>
      </c>
    </row>
    <row r="1141" spans="1:10" x14ac:dyDescent="0.2">
      <c r="A1141" s="86" t="s">
        <v>8547</v>
      </c>
      <c r="B1141" s="447" t="str">
        <f>IN_Anagrafica!$B$9</f>
        <v>NO</v>
      </c>
      <c r="C1141" s="369" t="str">
        <f>IF(B1141="SI","SI","NO")</f>
        <v>NO</v>
      </c>
      <c r="D1141" s="1027" t="s">
        <v>8494</v>
      </c>
      <c r="E1141" s="447" t="s">
        <v>8506</v>
      </c>
      <c r="F1141" s="1034" t="s">
        <v>8679</v>
      </c>
      <c r="G1141" s="1034" t="s">
        <v>8692</v>
      </c>
      <c r="H1141" s="88">
        <f>INDEX('T_ante_detr.4.5_COM'!$A$3:$AAA$180,MATCH($G1141,'T_ante_detr.4.5_COM'!$A$3:$A$180,0),MATCH(H$1,'T_ante_detr.4.5_COM'!$A$3:$AAA$3,0))</f>
        <v>0</v>
      </c>
      <c r="I1141" s="88">
        <f>INDEX('T_ante_detr.4.5_COM'!$A$3:$AAA$180,MATCH($G1141,'T_ante_detr.4.5_COM'!$A$3:$A$180,0),MATCH(I$1,'T_ante_detr.4.5_COM'!$A$3:$AAA$3,0))</f>
        <v>0</v>
      </c>
      <c r="J1141" s="88">
        <f>INDEX('T_ante_detr.4.5_COM'!$A$3:$AAA$180,MATCH($G1141,'T_ante_detr.4.5_COM'!$A$3:$A$180,0),MATCH(J$1,'T_ante_detr.4.5_COM'!$A$3:$AAA$3,0))</f>
        <v>0</v>
      </c>
    </row>
    <row r="1142" spans="1:10" x14ac:dyDescent="0.2">
      <c r="A1142" s="86" t="s">
        <v>8548</v>
      </c>
      <c r="B1142" s="1067" t="s">
        <v>105</v>
      </c>
      <c r="C1142" s="1037" t="s">
        <v>219</v>
      </c>
      <c r="D1142" s="1027" t="s">
        <v>8494</v>
      </c>
      <c r="E1142" s="447" t="s">
        <v>8507</v>
      </c>
      <c r="F1142" s="1034" t="s">
        <v>8586</v>
      </c>
      <c r="G1142" s="1034" t="s">
        <v>8649</v>
      </c>
      <c r="H1142" s="88">
        <f>INDEX('T_ante_detr.4.5_GEST'!$A$3:$AAA$180,MATCH($G1142,'T_ante_detr.4.5_GEST'!$A$3:$A$180,0),MATCH(H$1,'T_ante_detr.4.5_GEST'!$A$3:$AAA$3,0))</f>
        <v>0</v>
      </c>
      <c r="I1142" s="88">
        <f>INDEX('T_ante_detr.4.5_GEST'!$A$3:$AAA$180,MATCH($G1142,'T_ante_detr.4.5_GEST'!$A$3:$A$180,0),MATCH(I$1,'T_ante_detr.4.5_GEST'!$A$3:$AAA$3,0))</f>
        <v>0</v>
      </c>
      <c r="J1142" s="88">
        <f>INDEX('T_ante_detr.4.5_GEST'!$A$3:$AAA$180,MATCH($G1142,'T_ante_detr.4.5_GEST'!$A$3:$A$180,0),MATCH(J$1,'T_ante_detr.4.5_GEST'!$A$3:$AAA$3,0))</f>
        <v>0</v>
      </c>
    </row>
    <row r="1143" spans="1:10" x14ac:dyDescent="0.2">
      <c r="A1143" s="86" t="s">
        <v>8549</v>
      </c>
      <c r="B1143" s="447" t="str">
        <f>IN_Anagrafica!$B$9</f>
        <v>NO</v>
      </c>
      <c r="C1143" s="369" t="str">
        <f>IF(B1143="SI","SI","NO")</f>
        <v>NO</v>
      </c>
      <c r="D1143" s="1027" t="s">
        <v>8494</v>
      </c>
      <c r="E1143" s="447" t="s">
        <v>8508</v>
      </c>
      <c r="F1143" s="1034" t="s">
        <v>8679</v>
      </c>
      <c r="G1143" s="1034" t="s">
        <v>8699</v>
      </c>
      <c r="H1143" s="88">
        <f>INDEX('T_ante_detr.4.5_COM'!$A$3:$AAA$180,MATCH($G1143,'T_ante_detr.4.5_COM'!$A$3:$A$180,0),MATCH(H$1,'T_ante_detr.4.5_COM'!$A$3:$AAA$3,0))</f>
        <v>0</v>
      </c>
      <c r="I1143" s="88">
        <f>INDEX('T_ante_detr.4.5_COM'!$A$3:$AAA$180,MATCH($G1143,'T_ante_detr.4.5_COM'!$A$3:$A$180,0),MATCH(I$1,'T_ante_detr.4.5_COM'!$A$3:$AAA$3,0))</f>
        <v>0</v>
      </c>
      <c r="J1143" s="88">
        <f>INDEX('T_ante_detr.4.5_COM'!$A$3:$AAA$180,MATCH($G1143,'T_ante_detr.4.5_COM'!$A$3:$A$180,0),MATCH(J$1,'T_ante_detr.4.5_COM'!$A$3:$AAA$3,0))</f>
        <v>0</v>
      </c>
    </row>
    <row r="1144" spans="1:10" x14ac:dyDescent="0.2">
      <c r="A1144" s="86" t="s">
        <v>8550</v>
      </c>
      <c r="B1144" s="1067" t="s">
        <v>105</v>
      </c>
      <c r="C1144" s="1037" t="s">
        <v>219</v>
      </c>
      <c r="D1144" s="1027" t="s">
        <v>8494</v>
      </c>
      <c r="E1144" s="447" t="s">
        <v>8509</v>
      </c>
      <c r="F1144" s="1034" t="s">
        <v>8586</v>
      </c>
      <c r="G1144" s="1034" t="s">
        <v>8661</v>
      </c>
      <c r="H1144" s="88">
        <f>INDEX('T_ante_detr.4.5_GEST'!$A$3:$AAA$180,MATCH($G1144,'T_ante_detr.4.5_GEST'!$A$3:$A$180,0),MATCH(H$1,'T_ante_detr.4.5_GEST'!$A$3:$AAA$3,0))</f>
        <v>0</v>
      </c>
      <c r="I1144" s="88">
        <f>INDEX('T_ante_detr.4.5_GEST'!$A$3:$AAA$180,MATCH($G1144,'T_ante_detr.4.5_GEST'!$A$3:$A$180,0),MATCH(I$1,'T_ante_detr.4.5_GEST'!$A$3:$AAA$3,0))</f>
        <v>0</v>
      </c>
      <c r="J1144" s="88">
        <f>INDEX('T_ante_detr.4.5_GEST'!$A$3:$AAA$180,MATCH($G1144,'T_ante_detr.4.5_GEST'!$A$3:$A$180,0),MATCH(J$1,'T_ante_detr.4.5_GEST'!$A$3:$AAA$3,0))</f>
        <v>0</v>
      </c>
    </row>
    <row r="1145" spans="1:10" x14ac:dyDescent="0.2">
      <c r="A1145" s="86" t="s">
        <v>8551</v>
      </c>
      <c r="B1145" s="447" t="str">
        <f>IN_Anagrafica!$B$9</f>
        <v>NO</v>
      </c>
      <c r="C1145" s="369" t="str">
        <f>IF(B1145="SI","SI","NO")</f>
        <v>NO</v>
      </c>
      <c r="D1145" s="1027" t="s">
        <v>8494</v>
      </c>
      <c r="E1145" s="447" t="s">
        <v>8510</v>
      </c>
      <c r="F1145" s="1034" t="s">
        <v>8679</v>
      </c>
      <c r="G1145" s="1034" t="s">
        <v>8706</v>
      </c>
      <c r="H1145" s="88">
        <f>INDEX('T_ante_detr.4.5_COM'!$A$3:$AAA$180,MATCH($G1145,'T_ante_detr.4.5_COM'!$A$3:$A$180,0),MATCH(H$1,'T_ante_detr.4.5_COM'!$A$3:$AAA$3,0))</f>
        <v>0</v>
      </c>
      <c r="I1145" s="88">
        <f>INDEX('T_ante_detr.4.5_COM'!$A$3:$AAA$180,MATCH($G1145,'T_ante_detr.4.5_COM'!$A$3:$A$180,0),MATCH(I$1,'T_ante_detr.4.5_COM'!$A$3:$AAA$3,0))</f>
        <v>0</v>
      </c>
      <c r="J1145" s="88">
        <f>INDEX('T_ante_detr.4.5_COM'!$A$3:$AAA$180,MATCH($G1145,'T_ante_detr.4.5_COM'!$A$3:$A$180,0),MATCH(J$1,'T_ante_detr.4.5_COM'!$A$3:$AAA$3,0))</f>
        <v>0</v>
      </c>
    </row>
    <row r="1146" spans="1:10" x14ac:dyDescent="0.2">
      <c r="A1146" s="86" t="s">
        <v>8552</v>
      </c>
      <c r="B1146" s="1067" t="s">
        <v>105</v>
      </c>
      <c r="C1146" s="1037" t="s">
        <v>219</v>
      </c>
      <c r="D1146" s="1027" t="s">
        <v>8494</v>
      </c>
      <c r="E1146" s="447" t="s">
        <v>8511</v>
      </c>
      <c r="F1146" s="1034" t="s">
        <v>8586</v>
      </c>
      <c r="G1146" s="1034" t="s">
        <v>8585</v>
      </c>
      <c r="H1146" s="88">
        <f>INDEX('T_ante_detr.4.5_GEST'!$A$3:$AAA$180,MATCH($G1146,'T_ante_detr.4.5_GEST'!$A$3:$A$180,0),MATCH(H$1,'T_ante_detr.4.5_GEST'!$A$3:$AAA$3,0))</f>
        <v>0</v>
      </c>
      <c r="I1146" s="88">
        <f>INDEX('T_ante_detr.4.5_GEST'!$A$3:$AAA$180,MATCH($G1146,'T_ante_detr.4.5_GEST'!$A$3:$A$180,0),MATCH(I$1,'T_ante_detr.4.5_GEST'!$A$3:$AAA$3,0))</f>
        <v>0</v>
      </c>
      <c r="J1146" s="88">
        <f>INDEX('T_ante_detr.4.5_GEST'!$A$3:$AAA$180,MATCH($G1146,'T_ante_detr.4.5_GEST'!$A$3:$A$180,0),MATCH(J$1,'T_ante_detr.4.5_GEST'!$A$3:$AAA$3,0))</f>
        <v>0</v>
      </c>
    </row>
    <row r="1147" spans="1:10" x14ac:dyDescent="0.2">
      <c r="A1147" s="86" t="s">
        <v>8553</v>
      </c>
      <c r="B1147" s="447" t="str">
        <f>IN_Anagrafica!$B$9</f>
        <v>NO</v>
      </c>
      <c r="C1147" s="369" t="str">
        <f>IF(B1147="SI","SI","NO")</f>
        <v>NO</v>
      </c>
      <c r="D1147" s="1027" t="s">
        <v>8494</v>
      </c>
      <c r="E1147" s="447" t="s">
        <v>8512</v>
      </c>
      <c r="F1147" s="1034" t="s">
        <v>8679</v>
      </c>
      <c r="G1147" s="1034" t="s">
        <v>8686</v>
      </c>
      <c r="H1147" s="88">
        <f>INDEX('T_ante_detr.4.5_COM'!$A$3:$AAA$180,MATCH($G1147,'T_ante_detr.4.5_COM'!$A$3:$A$180,0),MATCH(H$1,'T_ante_detr.4.5_COM'!$A$3:$AAA$3,0))</f>
        <v>0</v>
      </c>
      <c r="I1147" s="88">
        <f>INDEX('T_ante_detr.4.5_COM'!$A$3:$AAA$180,MATCH($G1147,'T_ante_detr.4.5_COM'!$A$3:$A$180,0),MATCH(I$1,'T_ante_detr.4.5_COM'!$A$3:$AAA$3,0))</f>
        <v>0</v>
      </c>
      <c r="J1147" s="88">
        <f>INDEX('T_ante_detr.4.5_COM'!$A$3:$AAA$180,MATCH($G1147,'T_ante_detr.4.5_COM'!$A$3:$A$180,0),MATCH(J$1,'T_ante_detr.4.5_COM'!$A$3:$AAA$3,0))</f>
        <v>0</v>
      </c>
    </row>
    <row r="1148" spans="1:10" x14ac:dyDescent="0.2">
      <c r="A1148" s="86" t="s">
        <v>8554</v>
      </c>
      <c r="B1148" s="1067" t="s">
        <v>105</v>
      </c>
      <c r="C1148" s="1037" t="s">
        <v>219</v>
      </c>
      <c r="D1148" s="1027" t="s">
        <v>8494</v>
      </c>
      <c r="E1148" s="447" t="s">
        <v>8513</v>
      </c>
      <c r="F1148" s="1034" t="s">
        <v>8586</v>
      </c>
      <c r="G1148" s="1034" t="s">
        <v>8610</v>
      </c>
      <c r="H1148" s="88">
        <f>INDEX('T_ante_detr.4.5_GEST'!$A$3:$AAA$180,MATCH($G1148,'T_ante_detr.4.5_GEST'!$A$3:$A$180,0),MATCH(H$1,'T_ante_detr.4.5_GEST'!$A$3:$AAA$3,0))</f>
        <v>0</v>
      </c>
      <c r="I1148" s="88">
        <f>INDEX('T_ante_detr.4.5_GEST'!$A$3:$AAA$180,MATCH($G1148,'T_ante_detr.4.5_GEST'!$A$3:$A$180,0),MATCH(I$1,'T_ante_detr.4.5_GEST'!$A$3:$AAA$3,0))</f>
        <v>0</v>
      </c>
      <c r="J1148" s="88">
        <f>INDEX('T_ante_detr.4.5_GEST'!$A$3:$AAA$180,MATCH($G1148,'T_ante_detr.4.5_GEST'!$A$3:$A$180,0),MATCH(J$1,'T_ante_detr.4.5_GEST'!$A$3:$AAA$3,0))</f>
        <v>0</v>
      </c>
    </row>
    <row r="1149" spans="1:10" x14ac:dyDescent="0.2">
      <c r="A1149" s="86" t="s">
        <v>8555</v>
      </c>
      <c r="B1149" s="447" t="str">
        <f>IN_Anagrafica!$B$9</f>
        <v>NO</v>
      </c>
      <c r="C1149" s="369" t="str">
        <f>IF(B1149="SI","SI","NO")</f>
        <v>NO</v>
      </c>
      <c r="D1149" s="1027" t="s">
        <v>8494</v>
      </c>
      <c r="E1149" s="447" t="s">
        <v>8514</v>
      </c>
      <c r="F1149" s="1034" t="s">
        <v>8679</v>
      </c>
      <c r="G1149" s="1034" t="s">
        <v>8693</v>
      </c>
      <c r="H1149" s="88">
        <f>INDEX('T_ante_detr.4.5_COM'!$A$3:$AAA$180,MATCH($G1149,'T_ante_detr.4.5_COM'!$A$3:$A$180,0),MATCH(H$1,'T_ante_detr.4.5_COM'!$A$3:$AAA$3,0))</f>
        <v>0</v>
      </c>
      <c r="I1149" s="88">
        <f>INDEX('T_ante_detr.4.5_COM'!$A$3:$AAA$180,MATCH($G1149,'T_ante_detr.4.5_COM'!$A$3:$A$180,0),MATCH(I$1,'T_ante_detr.4.5_COM'!$A$3:$AAA$3,0))</f>
        <v>0</v>
      </c>
      <c r="J1149" s="88">
        <f>INDEX('T_ante_detr.4.5_COM'!$A$3:$AAA$180,MATCH($G1149,'T_ante_detr.4.5_COM'!$A$3:$A$180,0),MATCH(J$1,'T_ante_detr.4.5_COM'!$A$3:$AAA$3,0))</f>
        <v>0</v>
      </c>
    </row>
    <row r="1150" spans="1:10" x14ac:dyDescent="0.2">
      <c r="A1150" s="86" t="s">
        <v>8556</v>
      </c>
      <c r="B1150" s="1067" t="s">
        <v>105</v>
      </c>
      <c r="C1150" s="1037" t="s">
        <v>219</v>
      </c>
      <c r="D1150" s="1027" t="s">
        <v>8494</v>
      </c>
      <c r="E1150" s="447" t="s">
        <v>8515</v>
      </c>
      <c r="F1150" s="1034" t="s">
        <v>8586</v>
      </c>
      <c r="G1150" s="1034" t="s">
        <v>8650</v>
      </c>
      <c r="H1150" s="88">
        <f>INDEX('T_ante_detr.4.5_GEST'!$A$3:$AAA$180,MATCH($G1150,'T_ante_detr.4.5_GEST'!$A$3:$A$180,0),MATCH(H$1,'T_ante_detr.4.5_GEST'!$A$3:$AAA$3,0))</f>
        <v>0</v>
      </c>
      <c r="I1150" s="88">
        <f>INDEX('T_ante_detr.4.5_GEST'!$A$3:$AAA$180,MATCH($G1150,'T_ante_detr.4.5_GEST'!$A$3:$A$180,0),MATCH(I$1,'T_ante_detr.4.5_GEST'!$A$3:$AAA$3,0))</f>
        <v>0</v>
      </c>
      <c r="J1150" s="88">
        <f>INDEX('T_ante_detr.4.5_GEST'!$A$3:$AAA$180,MATCH($G1150,'T_ante_detr.4.5_GEST'!$A$3:$A$180,0),MATCH(J$1,'T_ante_detr.4.5_GEST'!$A$3:$AAA$3,0))</f>
        <v>0</v>
      </c>
    </row>
    <row r="1151" spans="1:10" x14ac:dyDescent="0.2">
      <c r="A1151" s="86" t="s">
        <v>8557</v>
      </c>
      <c r="B1151" s="447" t="str">
        <f>IN_Anagrafica!$B$9</f>
        <v>NO</v>
      </c>
      <c r="C1151" s="369" t="str">
        <f>IF(B1151="SI","SI","NO")</f>
        <v>NO</v>
      </c>
      <c r="D1151" s="1027" t="s">
        <v>8494</v>
      </c>
      <c r="E1151" s="447" t="s">
        <v>8516</v>
      </c>
      <c r="F1151" s="1034" t="s">
        <v>8679</v>
      </c>
      <c r="G1151" s="1034" t="s">
        <v>8700</v>
      </c>
      <c r="H1151" s="88">
        <f>INDEX('T_ante_detr.4.5_COM'!$A$3:$AAA$180,MATCH($G1151,'T_ante_detr.4.5_COM'!$A$3:$A$180,0),MATCH(H$1,'T_ante_detr.4.5_COM'!$A$3:$AAA$3,0))</f>
        <v>0</v>
      </c>
      <c r="I1151" s="88">
        <f>INDEX('T_ante_detr.4.5_COM'!$A$3:$AAA$180,MATCH($G1151,'T_ante_detr.4.5_COM'!$A$3:$A$180,0),MATCH(I$1,'T_ante_detr.4.5_COM'!$A$3:$AAA$3,0))</f>
        <v>0</v>
      </c>
      <c r="J1151" s="88">
        <f>INDEX('T_ante_detr.4.5_COM'!$A$3:$AAA$180,MATCH($G1151,'T_ante_detr.4.5_COM'!$A$3:$A$180,0),MATCH(J$1,'T_ante_detr.4.5_COM'!$A$3:$AAA$3,0))</f>
        <v>0</v>
      </c>
    </row>
    <row r="1152" spans="1:10" x14ac:dyDescent="0.2">
      <c r="A1152" s="86" t="s">
        <v>8558</v>
      </c>
      <c r="B1152" s="1067" t="s">
        <v>105</v>
      </c>
      <c r="C1152" s="1037" t="s">
        <v>219</v>
      </c>
      <c r="D1152" s="1027" t="s">
        <v>8494</v>
      </c>
      <c r="E1152" s="447" t="s">
        <v>8517</v>
      </c>
      <c r="F1152" s="1034" t="s">
        <v>8586</v>
      </c>
      <c r="G1152" s="1034" t="s">
        <v>8662</v>
      </c>
      <c r="H1152" s="88">
        <f>INDEX('T_ante_detr.4.5_GEST'!$A$3:$AAA$180,MATCH($G1152,'T_ante_detr.4.5_GEST'!$A$3:$A$180,0),MATCH(H$1,'T_ante_detr.4.5_GEST'!$A$3:$AAA$3,0))</f>
        <v>0</v>
      </c>
      <c r="I1152" s="88">
        <f>INDEX('T_ante_detr.4.5_GEST'!$A$3:$AAA$180,MATCH($G1152,'T_ante_detr.4.5_GEST'!$A$3:$A$180,0),MATCH(I$1,'T_ante_detr.4.5_GEST'!$A$3:$AAA$3,0))</f>
        <v>0</v>
      </c>
      <c r="J1152" s="88">
        <f>INDEX('T_ante_detr.4.5_GEST'!$A$3:$AAA$180,MATCH($G1152,'T_ante_detr.4.5_GEST'!$A$3:$A$180,0),MATCH(J$1,'T_ante_detr.4.5_GEST'!$A$3:$AAA$3,0))</f>
        <v>0</v>
      </c>
    </row>
    <row r="1153" spans="1:10" x14ac:dyDescent="0.2">
      <c r="A1153" s="86" t="s">
        <v>8559</v>
      </c>
      <c r="B1153" s="447" t="str">
        <f>IN_Anagrafica!$B$9</f>
        <v>NO</v>
      </c>
      <c r="C1153" s="369" t="str">
        <f>IF(B1153="SI","SI","NO")</f>
        <v>NO</v>
      </c>
      <c r="D1153" s="1027" t="s">
        <v>8494</v>
      </c>
      <c r="E1153" s="447" t="s">
        <v>8518</v>
      </c>
      <c r="F1153" s="1034" t="s">
        <v>8679</v>
      </c>
      <c r="G1153" s="1034" t="s">
        <v>8707</v>
      </c>
      <c r="H1153" s="88">
        <f>INDEX('T_ante_detr.4.5_COM'!$A$3:$AAA$180,MATCH($G1153,'T_ante_detr.4.5_COM'!$A$3:$A$180,0),MATCH(H$1,'T_ante_detr.4.5_COM'!$A$3:$AAA$3,0))</f>
        <v>0</v>
      </c>
      <c r="I1153" s="88">
        <f>INDEX('T_ante_detr.4.5_COM'!$A$3:$AAA$180,MATCH($G1153,'T_ante_detr.4.5_COM'!$A$3:$A$180,0),MATCH(I$1,'T_ante_detr.4.5_COM'!$A$3:$AAA$3,0))</f>
        <v>0</v>
      </c>
      <c r="J1153" s="88">
        <f>INDEX('T_ante_detr.4.5_COM'!$A$3:$AAA$180,MATCH($G1153,'T_ante_detr.4.5_COM'!$A$3:$A$180,0),MATCH(J$1,'T_ante_detr.4.5_COM'!$A$3:$AAA$3,0))</f>
        <v>0</v>
      </c>
    </row>
  </sheetData>
  <autoFilter ref="A1:J1153" xr:uid="{B85F77E4-1F40-42BE-977D-9A31222CAAAE}"/>
  <phoneticPr fontId="48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4668F-447F-46C7-926F-698E7FF4AA69}">
  <sheetPr codeName="Foglio12">
    <tabColor theme="0" tint="-0.499984740745262"/>
  </sheetPr>
  <dimension ref="A1:AY1016"/>
  <sheetViews>
    <sheetView showGridLines="0" workbookViewId="0">
      <pane ySplit="3" topLeftCell="A4" activePane="bottomLeft" state="frozen"/>
      <selection pane="bottomLeft" activeCell="E33" sqref="E4:E33"/>
    </sheetView>
  </sheetViews>
  <sheetFormatPr defaultColWidth="18.33203125" defaultRowHeight="10.199999999999999" outlineLevelRow="1" x14ac:dyDescent="0.2"/>
  <cols>
    <col min="1" max="1" width="6.6640625" style="51" customWidth="1"/>
    <col min="2" max="17" width="18.6640625" style="51" customWidth="1"/>
    <col min="18" max="16384" width="18.33203125" style="51"/>
  </cols>
  <sheetData>
    <row r="1" spans="1:51" s="48" customFormat="1" x14ac:dyDescent="0.2">
      <c r="A1" s="123"/>
      <c r="B1" s="1122" t="s">
        <v>1704</v>
      </c>
      <c r="C1" s="1122"/>
      <c r="D1" s="1122"/>
      <c r="E1" s="1122"/>
      <c r="F1" s="1122"/>
      <c r="G1" s="1122"/>
      <c r="H1" s="1122"/>
      <c r="I1" s="352"/>
      <c r="J1" s="352"/>
      <c r="K1" s="352"/>
      <c r="L1" s="352"/>
      <c r="M1" s="352"/>
      <c r="N1" s="352"/>
      <c r="O1" s="352"/>
      <c r="P1" s="352"/>
      <c r="Q1" s="352"/>
      <c r="R1" s="352"/>
      <c r="S1" s="352"/>
      <c r="T1" s="352"/>
      <c r="U1" s="352"/>
      <c r="V1" s="352"/>
      <c r="W1" s="352"/>
      <c r="X1" s="352"/>
      <c r="Y1" s="352"/>
      <c r="Z1" s="352"/>
      <c r="AA1" s="352"/>
      <c r="AB1" s="352"/>
      <c r="AC1" s="352"/>
      <c r="AD1" s="352"/>
      <c r="AE1" s="352"/>
      <c r="AF1" s="352"/>
      <c r="AG1" s="352"/>
      <c r="AH1" s="352"/>
      <c r="AI1" s="352"/>
      <c r="AJ1" s="352"/>
      <c r="AK1" s="352"/>
      <c r="AL1" s="352"/>
      <c r="AM1" s="352"/>
      <c r="AN1" s="352"/>
      <c r="AO1" s="352"/>
      <c r="AP1" s="352"/>
      <c r="AQ1" s="352"/>
      <c r="AR1" s="352"/>
      <c r="AS1" s="352"/>
      <c r="AT1" s="352"/>
      <c r="AU1" s="352"/>
      <c r="AV1" s="352"/>
      <c r="AW1" s="352"/>
      <c r="AX1" s="352"/>
      <c r="AY1" s="352"/>
    </row>
    <row r="2" spans="1:51" x14ac:dyDescent="0.2">
      <c r="B2" s="1123" t="s">
        <v>8754</v>
      </c>
      <c r="C2" s="1123"/>
      <c r="D2" s="1123"/>
      <c r="E2" s="1123"/>
      <c r="F2" s="1123"/>
      <c r="G2" s="1123"/>
      <c r="H2" s="1123"/>
    </row>
    <row r="3" spans="1:51" ht="51" x14ac:dyDescent="0.2">
      <c r="B3" s="627" t="s">
        <v>626</v>
      </c>
      <c r="C3" s="627" t="s">
        <v>104</v>
      </c>
      <c r="D3" s="627" t="s">
        <v>1602</v>
      </c>
      <c r="E3" s="627" t="s">
        <v>1601</v>
      </c>
      <c r="F3" s="627" t="s">
        <v>1600</v>
      </c>
      <c r="G3" s="627" t="s">
        <v>618</v>
      </c>
      <c r="H3" s="627" t="s">
        <v>1603</v>
      </c>
      <c r="I3" s="533" t="s">
        <v>627</v>
      </c>
      <c r="J3" s="533" t="s">
        <v>619</v>
      </c>
      <c r="K3" s="533" t="s">
        <v>620</v>
      </c>
      <c r="L3" s="533" t="s">
        <v>621</v>
      </c>
      <c r="M3" s="533" t="s">
        <v>622</v>
      </c>
      <c r="N3" s="533" t="s">
        <v>623</v>
      </c>
      <c r="O3" s="533" t="s">
        <v>624</v>
      </c>
      <c r="P3" s="533" t="s">
        <v>1612</v>
      </c>
      <c r="Q3" s="533" t="s">
        <v>625</v>
      </c>
    </row>
    <row r="4" spans="1:51" outlineLevel="1" x14ac:dyDescent="0.2">
      <c r="B4" s="59" t="s">
        <v>8762</v>
      </c>
      <c r="C4" s="59" t="s">
        <v>8759</v>
      </c>
      <c r="D4" s="59">
        <v>2024</v>
      </c>
      <c r="E4" s="59" t="s">
        <v>633</v>
      </c>
      <c r="F4" s="59" t="s">
        <v>8770</v>
      </c>
      <c r="G4" s="59">
        <v>6690.15</v>
      </c>
      <c r="H4" s="541">
        <v>130</v>
      </c>
      <c r="I4" s="617">
        <f>G4*H4</f>
        <v>869719.5</v>
      </c>
      <c r="J4" s="59" t="s">
        <v>1609</v>
      </c>
      <c r="K4" s="59" t="s">
        <v>8773</v>
      </c>
      <c r="L4" s="59" t="s">
        <v>8774</v>
      </c>
      <c r="M4" s="59" t="s">
        <v>8775</v>
      </c>
      <c r="N4" s="59"/>
      <c r="O4" s="59"/>
      <c r="P4" s="59"/>
      <c r="Q4" s="59" t="s">
        <v>8776</v>
      </c>
    </row>
    <row r="5" spans="1:51" outlineLevel="1" x14ac:dyDescent="0.2">
      <c r="B5" s="59" t="s">
        <v>8762</v>
      </c>
      <c r="C5" s="59" t="s">
        <v>8759</v>
      </c>
      <c r="D5" s="59">
        <v>2024</v>
      </c>
      <c r="E5" s="59" t="s">
        <v>633</v>
      </c>
      <c r="F5" s="59" t="s">
        <v>8771</v>
      </c>
      <c r="G5" s="59">
        <v>7159.03</v>
      </c>
      <c r="H5" s="541">
        <v>50</v>
      </c>
      <c r="I5" s="617">
        <f t="shared" ref="I5:I68" si="0">G5*H5</f>
        <v>357951.5</v>
      </c>
      <c r="J5" s="59"/>
      <c r="K5" s="59" t="s">
        <v>8773</v>
      </c>
      <c r="L5" s="59"/>
      <c r="M5" s="59" t="s">
        <v>8775</v>
      </c>
      <c r="N5" s="59"/>
      <c r="O5" s="59"/>
      <c r="P5" s="59"/>
      <c r="Q5" s="59" t="s">
        <v>8777</v>
      </c>
    </row>
    <row r="6" spans="1:51" outlineLevel="1" x14ac:dyDescent="0.2">
      <c r="B6" s="59" t="s">
        <v>8762</v>
      </c>
      <c r="C6" s="59" t="s">
        <v>8759</v>
      </c>
      <c r="D6" s="59">
        <v>2024</v>
      </c>
      <c r="E6" s="59" t="s">
        <v>633</v>
      </c>
      <c r="F6" s="59" t="s">
        <v>8772</v>
      </c>
      <c r="G6" s="59">
        <v>72.66</v>
      </c>
      <c r="H6" s="541">
        <v>130</v>
      </c>
      <c r="I6" s="617">
        <f t="shared" si="0"/>
        <v>9445.7999999999993</v>
      </c>
      <c r="J6" s="59"/>
      <c r="K6" s="59" t="s">
        <v>8773</v>
      </c>
      <c r="L6" s="59"/>
      <c r="M6" s="59" t="s">
        <v>8775</v>
      </c>
      <c r="N6" s="59"/>
      <c r="O6" s="59"/>
      <c r="P6" s="59"/>
      <c r="Q6" s="59" t="s">
        <v>8778</v>
      </c>
    </row>
    <row r="7" spans="1:51" outlineLevel="1" x14ac:dyDescent="0.2">
      <c r="B7" s="59" t="s">
        <v>8762</v>
      </c>
      <c r="C7" s="59" t="s">
        <v>8759</v>
      </c>
      <c r="D7" s="59">
        <v>2024</v>
      </c>
      <c r="E7" s="59" t="s">
        <v>633</v>
      </c>
      <c r="F7" s="59" t="s">
        <v>8772</v>
      </c>
      <c r="G7" s="59">
        <v>1159.49</v>
      </c>
      <c r="H7" s="541">
        <v>100</v>
      </c>
      <c r="I7" s="617">
        <f t="shared" si="0"/>
        <v>115949</v>
      </c>
      <c r="J7" s="59"/>
      <c r="K7" s="59" t="s">
        <v>8773</v>
      </c>
      <c r="L7" s="59"/>
      <c r="M7" s="59" t="s">
        <v>8775</v>
      </c>
      <c r="N7" s="59"/>
      <c r="O7" s="59"/>
      <c r="P7" s="59"/>
      <c r="Q7" s="59" t="s">
        <v>8779</v>
      </c>
    </row>
    <row r="8" spans="1:51" outlineLevel="1" x14ac:dyDescent="0.2">
      <c r="B8" s="59" t="s">
        <v>8762</v>
      </c>
      <c r="C8" s="59" t="s">
        <v>8759</v>
      </c>
      <c r="D8" s="59">
        <v>2024</v>
      </c>
      <c r="E8" s="59" t="s">
        <v>633</v>
      </c>
      <c r="F8" s="59" t="s">
        <v>8772</v>
      </c>
      <c r="G8" s="59">
        <v>1543.8</v>
      </c>
      <c r="H8" s="541">
        <v>225</v>
      </c>
      <c r="I8" s="617">
        <f t="shared" si="0"/>
        <v>347355</v>
      </c>
      <c r="J8" s="59"/>
      <c r="K8" s="59" t="s">
        <v>8773</v>
      </c>
      <c r="L8" s="59"/>
      <c r="M8" s="59" t="s">
        <v>8775</v>
      </c>
      <c r="N8" s="59"/>
      <c r="O8" s="59"/>
      <c r="P8" s="59"/>
      <c r="Q8" s="59" t="s">
        <v>8780</v>
      </c>
    </row>
    <row r="9" spans="1:51" outlineLevel="1" x14ac:dyDescent="0.2">
      <c r="B9" s="59" t="s">
        <v>8762</v>
      </c>
      <c r="C9" s="59" t="s">
        <v>8759</v>
      </c>
      <c r="D9" s="59">
        <v>2024</v>
      </c>
      <c r="E9" s="59" t="s">
        <v>633</v>
      </c>
      <c r="F9" s="59" t="s">
        <v>8772</v>
      </c>
      <c r="G9" s="59">
        <v>18.03</v>
      </c>
      <c r="H9" s="541">
        <v>353.8</v>
      </c>
      <c r="I9" s="617">
        <f t="shared" si="0"/>
        <v>6379.014000000001</v>
      </c>
      <c r="J9" s="59"/>
      <c r="K9" s="59" t="s">
        <v>8773</v>
      </c>
      <c r="L9" s="59"/>
      <c r="M9" s="59" t="s">
        <v>8775</v>
      </c>
      <c r="N9" s="59"/>
      <c r="O9" s="59"/>
      <c r="P9" s="59"/>
      <c r="Q9" s="59" t="s">
        <v>8781</v>
      </c>
    </row>
    <row r="10" spans="1:51" outlineLevel="1" x14ac:dyDescent="0.2">
      <c r="B10" s="59" t="s">
        <v>8762</v>
      </c>
      <c r="C10" s="59" t="s">
        <v>8759</v>
      </c>
      <c r="D10" s="59">
        <v>2024</v>
      </c>
      <c r="E10" s="59" t="s">
        <v>633</v>
      </c>
      <c r="F10" s="59" t="s">
        <v>8772</v>
      </c>
      <c r="G10" s="59">
        <v>8.9600000000000009</v>
      </c>
      <c r="H10" s="541">
        <v>350</v>
      </c>
      <c r="I10" s="617">
        <f t="shared" si="0"/>
        <v>3136.0000000000005</v>
      </c>
      <c r="J10" s="59"/>
      <c r="K10" s="59" t="s">
        <v>8773</v>
      </c>
      <c r="L10" s="59"/>
      <c r="M10" s="59" t="s">
        <v>8775</v>
      </c>
      <c r="N10" s="59"/>
      <c r="O10" s="59"/>
      <c r="P10" s="59"/>
      <c r="Q10" s="59" t="s">
        <v>8782</v>
      </c>
    </row>
    <row r="11" spans="1:51" outlineLevel="1" x14ac:dyDescent="0.2">
      <c r="B11" s="59" t="s">
        <v>8762</v>
      </c>
      <c r="C11" s="59" t="s">
        <v>8759</v>
      </c>
      <c r="D11" s="59">
        <v>2024</v>
      </c>
      <c r="E11" s="59" t="s">
        <v>633</v>
      </c>
      <c r="F11" s="59" t="s">
        <v>8771</v>
      </c>
      <c r="G11" s="59">
        <v>2724.58</v>
      </c>
      <c r="H11" s="541">
        <v>36</v>
      </c>
      <c r="I11" s="617">
        <f t="shared" si="0"/>
        <v>98084.88</v>
      </c>
      <c r="J11" s="59"/>
      <c r="K11" s="59" t="s">
        <v>8783</v>
      </c>
      <c r="L11" s="59" t="s">
        <v>8784</v>
      </c>
      <c r="M11" s="59" t="s">
        <v>8785</v>
      </c>
      <c r="N11" s="59"/>
      <c r="O11" s="59"/>
      <c r="P11" s="59"/>
      <c r="Q11" s="59" t="s">
        <v>8786</v>
      </c>
    </row>
    <row r="12" spans="1:51" outlineLevel="1" x14ac:dyDescent="0.2">
      <c r="B12" s="59" t="s">
        <v>8762</v>
      </c>
      <c r="C12" s="59" t="s">
        <v>8759</v>
      </c>
      <c r="D12" s="59">
        <v>2024</v>
      </c>
      <c r="E12" s="59" t="s">
        <v>633</v>
      </c>
      <c r="F12" s="59" t="s">
        <v>8772</v>
      </c>
      <c r="G12" s="59">
        <v>1696.56</v>
      </c>
      <c r="H12" s="541">
        <v>77</v>
      </c>
      <c r="I12" s="617">
        <f t="shared" si="0"/>
        <v>130635.12</v>
      </c>
      <c r="J12" s="59"/>
      <c r="K12" s="59" t="s">
        <v>8787</v>
      </c>
      <c r="L12" s="59" t="s">
        <v>8788</v>
      </c>
      <c r="M12" s="59" t="s">
        <v>8789</v>
      </c>
      <c r="N12" s="59"/>
      <c r="O12" s="59"/>
      <c r="P12" s="59"/>
      <c r="Q12" s="59" t="s">
        <v>8790</v>
      </c>
    </row>
    <row r="13" spans="1:51" outlineLevel="1" x14ac:dyDescent="0.2">
      <c r="B13" s="59" t="s">
        <v>8762</v>
      </c>
      <c r="C13" s="59" t="s">
        <v>8759</v>
      </c>
      <c r="D13" s="59">
        <v>2024</v>
      </c>
      <c r="E13" s="59" t="s">
        <v>633</v>
      </c>
      <c r="F13" s="59" t="s">
        <v>8772</v>
      </c>
      <c r="G13" s="59">
        <v>2.29</v>
      </c>
      <c r="H13" s="541">
        <v>400</v>
      </c>
      <c r="I13" s="617">
        <f t="shared" si="0"/>
        <v>916</v>
      </c>
      <c r="J13" s="59"/>
      <c r="K13" s="59" t="s">
        <v>8791</v>
      </c>
      <c r="L13" s="59" t="s">
        <v>8792</v>
      </c>
      <c r="M13" s="59" t="s">
        <v>8793</v>
      </c>
      <c r="N13" s="59"/>
      <c r="O13" s="59"/>
      <c r="P13" s="59"/>
      <c r="Q13" s="59" t="s">
        <v>8794</v>
      </c>
    </row>
    <row r="14" spans="1:51" outlineLevel="1" x14ac:dyDescent="0.2">
      <c r="B14" s="59" t="s">
        <v>8762</v>
      </c>
      <c r="C14" s="59" t="s">
        <v>8759</v>
      </c>
      <c r="D14" s="59">
        <v>2024</v>
      </c>
      <c r="E14" s="59" t="s">
        <v>633</v>
      </c>
      <c r="F14" s="59" t="s">
        <v>8772</v>
      </c>
      <c r="G14" s="59">
        <v>1.1100000000000001</v>
      </c>
      <c r="H14" s="541">
        <v>2050</v>
      </c>
      <c r="I14" s="617">
        <f t="shared" si="0"/>
        <v>2275.5</v>
      </c>
      <c r="J14" s="59"/>
      <c r="K14" s="59" t="s">
        <v>8791</v>
      </c>
      <c r="L14" s="59"/>
      <c r="M14" s="59" t="s">
        <v>8793</v>
      </c>
      <c r="N14" s="59"/>
      <c r="O14" s="59"/>
      <c r="P14" s="59"/>
      <c r="Q14" s="59" t="s">
        <v>8795</v>
      </c>
    </row>
    <row r="15" spans="1:51" outlineLevel="1" x14ac:dyDescent="0.2">
      <c r="B15" s="59" t="s">
        <v>8762</v>
      </c>
      <c r="C15" s="59" t="s">
        <v>8759</v>
      </c>
      <c r="D15" s="59">
        <v>2024</v>
      </c>
      <c r="E15" s="59" t="s">
        <v>633</v>
      </c>
      <c r="F15" s="59" t="s">
        <v>8772</v>
      </c>
      <c r="G15" s="59">
        <v>43.125</v>
      </c>
      <c r="H15" s="541">
        <v>730</v>
      </c>
      <c r="I15" s="617">
        <f t="shared" si="0"/>
        <v>31481.25</v>
      </c>
      <c r="J15" s="59"/>
      <c r="K15" s="59" t="s">
        <v>8791</v>
      </c>
      <c r="L15" s="59"/>
      <c r="M15" s="59" t="s">
        <v>8793</v>
      </c>
      <c r="N15" s="59"/>
      <c r="O15" s="59"/>
      <c r="P15" s="59"/>
      <c r="Q15" s="59" t="s">
        <v>8796</v>
      </c>
    </row>
    <row r="16" spans="1:51" outlineLevel="1" x14ac:dyDescent="0.2">
      <c r="B16" s="59" t="s">
        <v>8762</v>
      </c>
      <c r="C16" s="59" t="s">
        <v>8759</v>
      </c>
      <c r="D16" s="59">
        <v>2024</v>
      </c>
      <c r="E16" s="59" t="s">
        <v>633</v>
      </c>
      <c r="F16" s="59" t="s">
        <v>8772</v>
      </c>
      <c r="G16" s="59">
        <v>1.0760000000000001</v>
      </c>
      <c r="H16" s="541">
        <v>1300</v>
      </c>
      <c r="I16" s="617">
        <f t="shared" si="0"/>
        <v>1398.8000000000002</v>
      </c>
      <c r="J16" s="59"/>
      <c r="K16" s="59" t="s">
        <v>8791</v>
      </c>
      <c r="L16" s="59"/>
      <c r="M16" s="59" t="s">
        <v>8793</v>
      </c>
      <c r="N16" s="59"/>
      <c r="O16" s="59"/>
      <c r="P16" s="59"/>
      <c r="Q16" s="59" t="s">
        <v>8797</v>
      </c>
    </row>
    <row r="17" spans="2:17" outlineLevel="1" x14ac:dyDescent="0.2">
      <c r="B17" s="59" t="s">
        <v>8762</v>
      </c>
      <c r="C17" s="59" t="s">
        <v>8759</v>
      </c>
      <c r="D17" s="59">
        <v>2024</v>
      </c>
      <c r="E17" s="59" t="s">
        <v>633</v>
      </c>
      <c r="F17" s="59" t="s">
        <v>8772</v>
      </c>
      <c r="G17" s="59">
        <v>457.12</v>
      </c>
      <c r="H17" s="541">
        <v>23.5</v>
      </c>
      <c r="I17" s="617">
        <f t="shared" si="0"/>
        <v>10742.32</v>
      </c>
      <c r="J17" s="59"/>
      <c r="K17" s="59" t="s">
        <v>8798</v>
      </c>
      <c r="L17" s="59" t="s">
        <v>8799</v>
      </c>
      <c r="M17" s="59" t="s">
        <v>8800</v>
      </c>
      <c r="N17" s="59"/>
      <c r="O17" s="59"/>
      <c r="P17" s="59"/>
      <c r="Q17" s="59" t="s">
        <v>8801</v>
      </c>
    </row>
    <row r="18" spans="2:17" outlineLevel="1" x14ac:dyDescent="0.2">
      <c r="B18" s="59" t="s">
        <v>8762</v>
      </c>
      <c r="C18" s="59" t="s">
        <v>8759</v>
      </c>
      <c r="D18" s="59">
        <v>2025</v>
      </c>
      <c r="E18" s="59" t="s">
        <v>633</v>
      </c>
      <c r="F18" s="59" t="s">
        <v>8770</v>
      </c>
      <c r="G18" s="59">
        <v>6039.91</v>
      </c>
      <c r="H18" s="541">
        <v>127</v>
      </c>
      <c r="I18" s="617">
        <f t="shared" si="0"/>
        <v>767068.57</v>
      </c>
      <c r="J18" s="59" t="s">
        <v>1609</v>
      </c>
      <c r="K18" s="59" t="s">
        <v>8773</v>
      </c>
      <c r="L18" s="59" t="s">
        <v>8774</v>
      </c>
      <c r="M18" s="59" t="s">
        <v>8775</v>
      </c>
      <c r="N18" s="59"/>
      <c r="O18" s="59"/>
      <c r="P18" s="59"/>
      <c r="Q18" s="59" t="s">
        <v>8776</v>
      </c>
    </row>
    <row r="19" spans="2:17" outlineLevel="1" x14ac:dyDescent="0.2">
      <c r="B19" s="59" t="s">
        <v>8762</v>
      </c>
      <c r="C19" s="59" t="s">
        <v>8759</v>
      </c>
      <c r="D19" s="59">
        <v>2025</v>
      </c>
      <c r="E19" s="59" t="s">
        <v>633</v>
      </c>
      <c r="F19" s="59" t="s">
        <v>8771</v>
      </c>
      <c r="G19" s="59">
        <v>7452.77</v>
      </c>
      <c r="H19" s="541">
        <v>53.5</v>
      </c>
      <c r="I19" s="617">
        <f t="shared" si="0"/>
        <v>398723.19500000001</v>
      </c>
      <c r="J19" s="59"/>
      <c r="K19" s="59" t="s">
        <v>8773</v>
      </c>
      <c r="L19" s="59"/>
      <c r="M19" s="59" t="s">
        <v>8775</v>
      </c>
      <c r="N19" s="59"/>
      <c r="O19" s="59"/>
      <c r="P19" s="59"/>
      <c r="Q19" s="59" t="s">
        <v>8777</v>
      </c>
    </row>
    <row r="20" spans="2:17" outlineLevel="1" x14ac:dyDescent="0.2">
      <c r="B20" s="59" t="s">
        <v>8762</v>
      </c>
      <c r="C20" s="59" t="s">
        <v>8759</v>
      </c>
      <c r="D20" s="59">
        <v>2025</v>
      </c>
      <c r="E20" s="59" t="s">
        <v>633</v>
      </c>
      <c r="F20" s="59" t="s">
        <v>8772</v>
      </c>
      <c r="G20" s="59">
        <v>51.83</v>
      </c>
      <c r="H20" s="541">
        <v>130</v>
      </c>
      <c r="I20" s="617">
        <f t="shared" si="0"/>
        <v>6737.9</v>
      </c>
      <c r="J20" s="59"/>
      <c r="K20" s="59" t="s">
        <v>8773</v>
      </c>
      <c r="L20" s="59"/>
      <c r="M20" s="59" t="s">
        <v>8775</v>
      </c>
      <c r="N20" s="59"/>
      <c r="O20" s="59"/>
      <c r="P20" s="59"/>
      <c r="Q20" s="59" t="s">
        <v>8778</v>
      </c>
    </row>
    <row r="21" spans="2:17" outlineLevel="1" x14ac:dyDescent="0.2">
      <c r="B21" s="59" t="s">
        <v>8762</v>
      </c>
      <c r="C21" s="59" t="s">
        <v>8759</v>
      </c>
      <c r="D21" s="59">
        <v>2025</v>
      </c>
      <c r="E21" s="59" t="s">
        <v>633</v>
      </c>
      <c r="F21" s="59" t="s">
        <v>8772</v>
      </c>
      <c r="G21" s="59">
        <v>1099.99</v>
      </c>
      <c r="H21" s="541">
        <v>100</v>
      </c>
      <c r="I21" s="617">
        <f t="shared" si="0"/>
        <v>109999</v>
      </c>
      <c r="J21" s="59"/>
      <c r="K21" s="59" t="s">
        <v>8773</v>
      </c>
      <c r="L21" s="59"/>
      <c r="M21" s="59" t="s">
        <v>8775</v>
      </c>
      <c r="N21" s="59"/>
      <c r="O21" s="59"/>
      <c r="P21" s="59"/>
      <c r="Q21" s="59" t="s">
        <v>8779</v>
      </c>
    </row>
    <row r="22" spans="2:17" outlineLevel="1" x14ac:dyDescent="0.2">
      <c r="B22" s="59" t="s">
        <v>8762</v>
      </c>
      <c r="C22" s="59" t="s">
        <v>8759</v>
      </c>
      <c r="D22" s="59">
        <v>2025</v>
      </c>
      <c r="E22" s="59" t="s">
        <v>633</v>
      </c>
      <c r="F22" s="59" t="s">
        <v>8772</v>
      </c>
      <c r="G22" s="59">
        <v>1260.97</v>
      </c>
      <c r="H22" s="541">
        <v>221</v>
      </c>
      <c r="I22" s="617">
        <f t="shared" si="0"/>
        <v>278674.37</v>
      </c>
      <c r="J22" s="59"/>
      <c r="K22" s="59" t="s">
        <v>8773</v>
      </c>
      <c r="L22" s="59"/>
      <c r="M22" s="59" t="s">
        <v>8775</v>
      </c>
      <c r="N22" s="59"/>
      <c r="O22" s="59"/>
      <c r="P22" s="59"/>
      <c r="Q22" s="59" t="s">
        <v>8780</v>
      </c>
    </row>
    <row r="23" spans="2:17" outlineLevel="1" x14ac:dyDescent="0.2">
      <c r="B23" s="59" t="s">
        <v>8762</v>
      </c>
      <c r="C23" s="59" t="s">
        <v>8759</v>
      </c>
      <c r="D23" s="59">
        <v>2025</v>
      </c>
      <c r="E23" s="59" t="s">
        <v>633</v>
      </c>
      <c r="F23" s="59" t="s">
        <v>8772</v>
      </c>
      <c r="G23" s="59">
        <v>14.17</v>
      </c>
      <c r="H23" s="541">
        <v>250</v>
      </c>
      <c r="I23" s="617">
        <f t="shared" si="0"/>
        <v>3542.5</v>
      </c>
      <c r="J23" s="59"/>
      <c r="K23" s="59" t="s">
        <v>8773</v>
      </c>
      <c r="L23" s="59"/>
      <c r="M23" s="59" t="s">
        <v>8775</v>
      </c>
      <c r="N23" s="59"/>
      <c r="O23" s="59"/>
      <c r="P23" s="59"/>
      <c r="Q23" s="59" t="s">
        <v>8781</v>
      </c>
    </row>
    <row r="24" spans="2:17" outlineLevel="1" x14ac:dyDescent="0.2">
      <c r="B24" s="59" t="s">
        <v>8762</v>
      </c>
      <c r="C24" s="59" t="s">
        <v>8759</v>
      </c>
      <c r="D24" s="59">
        <v>2025</v>
      </c>
      <c r="E24" s="59" t="s">
        <v>633</v>
      </c>
      <c r="F24" s="59" t="s">
        <v>8772</v>
      </c>
      <c r="G24" s="59">
        <v>9.5980000000000008</v>
      </c>
      <c r="H24" s="541">
        <v>350</v>
      </c>
      <c r="I24" s="617">
        <f t="shared" si="0"/>
        <v>3359.3</v>
      </c>
      <c r="J24" s="59"/>
      <c r="K24" s="59" t="s">
        <v>8773</v>
      </c>
      <c r="L24" s="59"/>
      <c r="M24" s="59" t="s">
        <v>8775</v>
      </c>
      <c r="N24" s="59"/>
      <c r="O24" s="59"/>
      <c r="P24" s="59"/>
      <c r="Q24" s="59" t="s">
        <v>8782</v>
      </c>
    </row>
    <row r="25" spans="2:17" outlineLevel="1" x14ac:dyDescent="0.2">
      <c r="B25" s="59" t="s">
        <v>8762</v>
      </c>
      <c r="C25" s="59" t="s">
        <v>8759</v>
      </c>
      <c r="D25" s="59">
        <v>2025</v>
      </c>
      <c r="E25" s="59" t="s">
        <v>633</v>
      </c>
      <c r="F25" s="59" t="s">
        <v>8771</v>
      </c>
      <c r="G25" s="59">
        <v>2445.0700000000002</v>
      </c>
      <c r="H25" s="541">
        <v>36</v>
      </c>
      <c r="I25" s="617">
        <f t="shared" si="0"/>
        <v>88022.52</v>
      </c>
      <c r="J25" s="59"/>
      <c r="K25" s="59" t="s">
        <v>8783</v>
      </c>
      <c r="L25" s="59" t="s">
        <v>8784</v>
      </c>
      <c r="M25" s="59" t="s">
        <v>8785</v>
      </c>
      <c r="N25" s="59"/>
      <c r="O25" s="59"/>
      <c r="P25" s="59"/>
      <c r="Q25" s="59" t="s">
        <v>8786</v>
      </c>
    </row>
    <row r="26" spans="2:17" outlineLevel="1" x14ac:dyDescent="0.2">
      <c r="B26" s="59" t="s">
        <v>8762</v>
      </c>
      <c r="C26" s="59" t="s">
        <v>8759</v>
      </c>
      <c r="D26" s="59">
        <v>2025</v>
      </c>
      <c r="E26" s="59" t="s">
        <v>633</v>
      </c>
      <c r="F26" s="59" t="s">
        <v>8772</v>
      </c>
      <c r="G26" s="59">
        <v>1528.92</v>
      </c>
      <c r="H26" s="541">
        <v>77</v>
      </c>
      <c r="I26" s="617">
        <f t="shared" si="0"/>
        <v>117726.84000000001</v>
      </c>
      <c r="J26" s="59"/>
      <c r="K26" s="59" t="s">
        <v>8787</v>
      </c>
      <c r="L26" s="59" t="s">
        <v>8788</v>
      </c>
      <c r="M26" s="59" t="s">
        <v>8789</v>
      </c>
      <c r="N26" s="59"/>
      <c r="O26" s="59"/>
      <c r="P26" s="59"/>
      <c r="Q26" s="59" t="s">
        <v>8790</v>
      </c>
    </row>
    <row r="27" spans="2:17" outlineLevel="1" x14ac:dyDescent="0.2">
      <c r="B27" s="59" t="s">
        <v>8762</v>
      </c>
      <c r="C27" s="59" t="s">
        <v>8759</v>
      </c>
      <c r="D27" s="59">
        <v>2025</v>
      </c>
      <c r="E27" s="59" t="s">
        <v>633</v>
      </c>
      <c r="F27" s="59" t="s">
        <v>8772</v>
      </c>
      <c r="G27" s="59">
        <v>2.7330000000000001</v>
      </c>
      <c r="H27" s="541">
        <v>400</v>
      </c>
      <c r="I27" s="617">
        <f t="shared" si="0"/>
        <v>1093.2</v>
      </c>
      <c r="J27" s="59"/>
      <c r="K27" s="59" t="s">
        <v>8791</v>
      </c>
      <c r="L27" s="59" t="s">
        <v>8792</v>
      </c>
      <c r="M27" s="59" t="s">
        <v>8802</v>
      </c>
      <c r="N27" s="59"/>
      <c r="O27" s="59"/>
      <c r="P27" s="59"/>
      <c r="Q27" s="59" t="s">
        <v>8794</v>
      </c>
    </row>
    <row r="28" spans="2:17" outlineLevel="1" x14ac:dyDescent="0.2">
      <c r="B28" s="59" t="s">
        <v>8762</v>
      </c>
      <c r="C28" s="59" t="s">
        <v>8759</v>
      </c>
      <c r="D28" s="59">
        <v>2025</v>
      </c>
      <c r="E28" s="59" t="s">
        <v>633</v>
      </c>
      <c r="F28" s="59" t="s">
        <v>8772</v>
      </c>
      <c r="G28" s="59">
        <v>1.2609999999999999</v>
      </c>
      <c r="H28" s="541">
        <v>2050</v>
      </c>
      <c r="I28" s="617">
        <f t="shared" si="0"/>
        <v>2585.0499999999997</v>
      </c>
      <c r="J28" s="59"/>
      <c r="K28" s="59" t="s">
        <v>8791</v>
      </c>
      <c r="L28" s="59"/>
      <c r="M28" s="59" t="s">
        <v>8802</v>
      </c>
      <c r="N28" s="59"/>
      <c r="O28" s="59"/>
      <c r="P28" s="59"/>
      <c r="Q28" s="59" t="s">
        <v>8795</v>
      </c>
    </row>
    <row r="29" spans="2:17" outlineLevel="1" x14ac:dyDescent="0.2">
      <c r="B29" s="59" t="s">
        <v>8762</v>
      </c>
      <c r="C29" s="59" t="s">
        <v>8759</v>
      </c>
      <c r="D29" s="59">
        <v>2025</v>
      </c>
      <c r="E29" s="59" t="s">
        <v>633</v>
      </c>
      <c r="F29" s="59" t="s">
        <v>8772</v>
      </c>
      <c r="G29" s="59">
        <v>41.744</v>
      </c>
      <c r="H29" s="541">
        <v>725</v>
      </c>
      <c r="I29" s="617">
        <f t="shared" si="0"/>
        <v>30264.400000000001</v>
      </c>
      <c r="J29" s="59"/>
      <c r="K29" s="59" t="s">
        <v>8791</v>
      </c>
      <c r="L29" s="59"/>
      <c r="M29" s="59" t="s">
        <v>8802</v>
      </c>
      <c r="N29" s="59"/>
      <c r="O29" s="59"/>
      <c r="P29" s="59"/>
      <c r="Q29" s="59" t="s">
        <v>8796</v>
      </c>
    </row>
    <row r="30" spans="2:17" outlineLevel="1" x14ac:dyDescent="0.2">
      <c r="B30" s="59" t="s">
        <v>8762</v>
      </c>
      <c r="C30" s="59" t="s">
        <v>8759</v>
      </c>
      <c r="D30" s="59">
        <v>2025</v>
      </c>
      <c r="E30" s="59" t="s">
        <v>633</v>
      </c>
      <c r="F30" s="59" t="s">
        <v>8772</v>
      </c>
      <c r="G30" s="59">
        <v>1.0569999999999999</v>
      </c>
      <c r="H30" s="541">
        <v>1300</v>
      </c>
      <c r="I30" s="617">
        <f t="shared" si="0"/>
        <v>1374.1</v>
      </c>
      <c r="J30" s="59"/>
      <c r="K30" s="59" t="s">
        <v>8791</v>
      </c>
      <c r="L30" s="59"/>
      <c r="M30" s="59" t="s">
        <v>8802</v>
      </c>
      <c r="N30" s="59"/>
      <c r="O30" s="59"/>
      <c r="P30" s="59"/>
      <c r="Q30" s="59" t="s">
        <v>8797</v>
      </c>
    </row>
    <row r="31" spans="2:17" outlineLevel="1" x14ac:dyDescent="0.2">
      <c r="B31" s="59" t="s">
        <v>8762</v>
      </c>
      <c r="C31" s="59" t="s">
        <v>8759</v>
      </c>
      <c r="D31" s="59">
        <v>2025</v>
      </c>
      <c r="E31" s="59" t="s">
        <v>633</v>
      </c>
      <c r="F31" s="59" t="s">
        <v>8772</v>
      </c>
      <c r="G31" s="59">
        <v>439.85399999999998</v>
      </c>
      <c r="H31" s="541">
        <v>23.5</v>
      </c>
      <c r="I31" s="617">
        <f t="shared" si="0"/>
        <v>10336.569</v>
      </c>
      <c r="J31" s="59"/>
      <c r="K31" s="59" t="s">
        <v>8798</v>
      </c>
      <c r="L31" s="59" t="s">
        <v>8799</v>
      </c>
      <c r="M31" s="59" t="s">
        <v>8800</v>
      </c>
      <c r="N31" s="59"/>
      <c r="O31" s="59"/>
      <c r="P31" s="59"/>
      <c r="Q31" s="59" t="s">
        <v>8801</v>
      </c>
    </row>
    <row r="32" spans="2:17" outlineLevel="1" x14ac:dyDescent="0.2">
      <c r="B32" s="59" t="s">
        <v>8762</v>
      </c>
      <c r="C32" s="59" t="s">
        <v>8760</v>
      </c>
      <c r="D32" s="59">
        <v>2024</v>
      </c>
      <c r="E32" s="59" t="s">
        <v>633</v>
      </c>
      <c r="F32" s="59" t="s">
        <v>8770</v>
      </c>
      <c r="G32" s="59">
        <v>1129.52</v>
      </c>
      <c r="H32" s="541">
        <v>130</v>
      </c>
      <c r="I32" s="617">
        <f t="shared" si="0"/>
        <v>146837.6</v>
      </c>
      <c r="J32" s="59"/>
      <c r="K32" s="59" t="s">
        <v>8773</v>
      </c>
      <c r="L32" s="59" t="s">
        <v>8774</v>
      </c>
      <c r="M32" s="59" t="s">
        <v>8775</v>
      </c>
      <c r="N32" s="59"/>
      <c r="O32" s="59"/>
      <c r="P32" s="59"/>
      <c r="Q32" s="59" t="s">
        <v>8776</v>
      </c>
    </row>
    <row r="33" spans="2:17" outlineLevel="1" x14ac:dyDescent="0.2">
      <c r="B33" s="59" t="s">
        <v>8762</v>
      </c>
      <c r="C33" s="59" t="s">
        <v>8760</v>
      </c>
      <c r="D33" s="59">
        <v>2024</v>
      </c>
      <c r="E33" s="59" t="s">
        <v>633</v>
      </c>
      <c r="F33" s="59" t="s">
        <v>8771</v>
      </c>
      <c r="G33" s="59">
        <v>880.97</v>
      </c>
      <c r="H33" s="541">
        <v>50</v>
      </c>
      <c r="I33" s="617">
        <f t="shared" si="0"/>
        <v>44048.5</v>
      </c>
      <c r="J33" s="59"/>
      <c r="K33" s="59" t="s">
        <v>8773</v>
      </c>
      <c r="L33" s="59"/>
      <c r="M33" s="59" t="s">
        <v>8775</v>
      </c>
      <c r="N33" s="59"/>
      <c r="O33" s="59"/>
      <c r="P33" s="59"/>
      <c r="Q33" s="59" t="s">
        <v>8777</v>
      </c>
    </row>
    <row r="34" spans="2:17" outlineLevel="1" x14ac:dyDescent="0.2">
      <c r="B34" s="59" t="s">
        <v>8762</v>
      </c>
      <c r="C34" s="59" t="s">
        <v>8760</v>
      </c>
      <c r="D34" s="59">
        <v>2024</v>
      </c>
      <c r="E34" s="59" t="s">
        <v>633</v>
      </c>
      <c r="F34" s="59" t="s">
        <v>8772</v>
      </c>
      <c r="G34" s="59">
        <v>54.51</v>
      </c>
      <c r="H34" s="541">
        <v>100</v>
      </c>
      <c r="I34" s="617">
        <f t="shared" si="0"/>
        <v>5451</v>
      </c>
      <c r="J34" s="59"/>
      <c r="K34" s="59" t="s">
        <v>8773</v>
      </c>
      <c r="L34" s="59"/>
      <c r="M34" s="59" t="s">
        <v>8775</v>
      </c>
      <c r="N34" s="59"/>
      <c r="O34" s="59"/>
      <c r="P34" s="59"/>
      <c r="Q34" s="59" t="s">
        <v>8779</v>
      </c>
    </row>
    <row r="35" spans="2:17" outlineLevel="1" x14ac:dyDescent="0.2">
      <c r="B35" s="59" t="s">
        <v>8762</v>
      </c>
      <c r="C35" s="59" t="s">
        <v>8760</v>
      </c>
      <c r="D35" s="59">
        <v>2024</v>
      </c>
      <c r="E35" s="59" t="s">
        <v>633</v>
      </c>
      <c r="F35" s="59" t="s">
        <v>8772</v>
      </c>
      <c r="G35" s="59">
        <v>507.34</v>
      </c>
      <c r="H35" s="541">
        <v>225</v>
      </c>
      <c r="I35" s="617">
        <f t="shared" si="0"/>
        <v>114151.5</v>
      </c>
      <c r="J35" s="59"/>
      <c r="K35" s="59" t="s">
        <v>8773</v>
      </c>
      <c r="L35" s="59"/>
      <c r="M35" s="59" t="s">
        <v>8775</v>
      </c>
      <c r="N35" s="59"/>
      <c r="O35" s="59"/>
      <c r="P35" s="59"/>
      <c r="Q35" s="59" t="s">
        <v>8780</v>
      </c>
    </row>
    <row r="36" spans="2:17" outlineLevel="1" x14ac:dyDescent="0.2">
      <c r="B36" s="59" t="s">
        <v>8762</v>
      </c>
      <c r="C36" s="59" t="s">
        <v>8760</v>
      </c>
      <c r="D36" s="59">
        <v>2024</v>
      </c>
      <c r="E36" s="59" t="s">
        <v>633</v>
      </c>
      <c r="F36" s="59" t="s">
        <v>8772</v>
      </c>
      <c r="G36" s="59">
        <v>0.27</v>
      </c>
      <c r="H36" s="541">
        <v>353.8</v>
      </c>
      <c r="I36" s="617">
        <f t="shared" si="0"/>
        <v>95.52600000000001</v>
      </c>
      <c r="J36" s="59"/>
      <c r="K36" s="59" t="s">
        <v>8773</v>
      </c>
      <c r="L36" s="59"/>
      <c r="M36" s="59" t="s">
        <v>8775</v>
      </c>
      <c r="N36" s="59"/>
      <c r="O36" s="59"/>
      <c r="P36" s="59"/>
      <c r="Q36" s="59" t="s">
        <v>8781</v>
      </c>
    </row>
    <row r="37" spans="2:17" outlineLevel="1" x14ac:dyDescent="0.2">
      <c r="B37" s="59" t="s">
        <v>8762</v>
      </c>
      <c r="C37" s="59" t="s">
        <v>8760</v>
      </c>
      <c r="D37" s="59">
        <v>2024</v>
      </c>
      <c r="E37" s="59" t="s">
        <v>633</v>
      </c>
      <c r="F37" s="59" t="s">
        <v>8772</v>
      </c>
      <c r="G37" s="59">
        <v>0.74099999999999999</v>
      </c>
      <c r="H37" s="541">
        <v>350</v>
      </c>
      <c r="I37" s="617">
        <f t="shared" si="0"/>
        <v>259.35000000000002</v>
      </c>
      <c r="J37" s="59"/>
      <c r="K37" s="59" t="s">
        <v>8773</v>
      </c>
      <c r="L37" s="59"/>
      <c r="M37" s="59" t="s">
        <v>8775</v>
      </c>
      <c r="N37" s="59"/>
      <c r="O37" s="59"/>
      <c r="P37" s="59"/>
      <c r="Q37" s="59" t="s">
        <v>8782</v>
      </c>
    </row>
    <row r="38" spans="2:17" outlineLevel="1" x14ac:dyDescent="0.2">
      <c r="B38" s="59" t="s">
        <v>8762</v>
      </c>
      <c r="C38" s="59" t="s">
        <v>8760</v>
      </c>
      <c r="D38" s="59">
        <v>2024</v>
      </c>
      <c r="E38" s="59" t="s">
        <v>633</v>
      </c>
      <c r="F38" s="59" t="s">
        <v>8771</v>
      </c>
      <c r="G38" s="59">
        <v>646.66</v>
      </c>
      <c r="H38" s="541">
        <v>36</v>
      </c>
      <c r="I38" s="617">
        <f t="shared" si="0"/>
        <v>23279.759999999998</v>
      </c>
      <c r="J38" s="59"/>
      <c r="K38" s="59" t="s">
        <v>8783</v>
      </c>
      <c r="L38" s="59" t="s">
        <v>8784</v>
      </c>
      <c r="M38" s="59" t="s">
        <v>8785</v>
      </c>
      <c r="N38" s="59"/>
      <c r="O38" s="59"/>
      <c r="P38" s="59"/>
      <c r="Q38" s="59" t="s">
        <v>8786</v>
      </c>
    </row>
    <row r="39" spans="2:17" outlineLevel="1" x14ac:dyDescent="0.2">
      <c r="B39" s="59" t="s">
        <v>8762</v>
      </c>
      <c r="C39" s="59" t="s">
        <v>8760</v>
      </c>
      <c r="D39" s="59">
        <v>2024</v>
      </c>
      <c r="E39" s="59" t="s">
        <v>633</v>
      </c>
      <c r="F39" s="59" t="s">
        <v>8772</v>
      </c>
      <c r="G39" s="59">
        <v>370.24</v>
      </c>
      <c r="H39" s="541">
        <v>34.4</v>
      </c>
      <c r="I39" s="617">
        <f t="shared" si="0"/>
        <v>12736.255999999999</v>
      </c>
      <c r="J39" s="59"/>
      <c r="K39" s="59" t="s">
        <v>8787</v>
      </c>
      <c r="L39" s="59" t="s">
        <v>8788</v>
      </c>
      <c r="M39" s="59" t="s">
        <v>8789</v>
      </c>
      <c r="N39" s="59"/>
      <c r="O39" s="59"/>
      <c r="P39" s="59"/>
      <c r="Q39" s="59" t="s">
        <v>8790</v>
      </c>
    </row>
    <row r="40" spans="2:17" outlineLevel="1" x14ac:dyDescent="0.2">
      <c r="B40" s="59" t="s">
        <v>8762</v>
      </c>
      <c r="C40" s="59" t="s">
        <v>8760</v>
      </c>
      <c r="D40" s="59">
        <v>2024</v>
      </c>
      <c r="E40" s="59" t="s">
        <v>633</v>
      </c>
      <c r="F40" s="59" t="s">
        <v>8772</v>
      </c>
      <c r="G40" s="59">
        <v>0.40300000000000002</v>
      </c>
      <c r="H40" s="541">
        <v>400</v>
      </c>
      <c r="I40" s="617">
        <f t="shared" si="0"/>
        <v>161.20000000000002</v>
      </c>
      <c r="J40" s="59"/>
      <c r="K40" s="59" t="s">
        <v>8791</v>
      </c>
      <c r="L40" s="59" t="s">
        <v>8792</v>
      </c>
      <c r="M40" s="59" t="s">
        <v>8802</v>
      </c>
      <c r="N40" s="59"/>
      <c r="O40" s="59"/>
      <c r="P40" s="59"/>
      <c r="Q40" s="59" t="s">
        <v>8794</v>
      </c>
    </row>
    <row r="41" spans="2:17" outlineLevel="1" x14ac:dyDescent="0.2">
      <c r="B41" s="59" t="s">
        <v>8762</v>
      </c>
      <c r="C41" s="59" t="s">
        <v>8760</v>
      </c>
      <c r="D41" s="59">
        <v>2024</v>
      </c>
      <c r="E41" s="59" t="s">
        <v>633</v>
      </c>
      <c r="F41" s="59" t="s">
        <v>8772</v>
      </c>
      <c r="G41" s="59">
        <v>0.52400000000000002</v>
      </c>
      <c r="H41" s="541">
        <v>2050</v>
      </c>
      <c r="I41" s="617">
        <f t="shared" si="0"/>
        <v>1074.2</v>
      </c>
      <c r="J41" s="59"/>
      <c r="K41" s="59" t="s">
        <v>8791</v>
      </c>
      <c r="L41" s="59"/>
      <c r="M41" s="59" t="s">
        <v>8802</v>
      </c>
      <c r="N41" s="59"/>
      <c r="O41" s="59"/>
      <c r="P41" s="59"/>
      <c r="Q41" s="59" t="s">
        <v>8795</v>
      </c>
    </row>
    <row r="42" spans="2:17" outlineLevel="1" x14ac:dyDescent="0.2">
      <c r="B42" s="59" t="s">
        <v>8762</v>
      </c>
      <c r="C42" s="59" t="s">
        <v>8760</v>
      </c>
      <c r="D42" s="59">
        <v>2024</v>
      </c>
      <c r="E42" s="59" t="s">
        <v>633</v>
      </c>
      <c r="F42" s="59" t="s">
        <v>8772</v>
      </c>
      <c r="G42" s="59">
        <v>11.476000000000001</v>
      </c>
      <c r="H42" s="541">
        <v>730</v>
      </c>
      <c r="I42" s="617">
        <f t="shared" si="0"/>
        <v>8377.4800000000014</v>
      </c>
      <c r="J42" s="59"/>
      <c r="K42" s="59" t="s">
        <v>8791</v>
      </c>
      <c r="L42" s="59"/>
      <c r="M42" s="59" t="s">
        <v>8802</v>
      </c>
      <c r="N42" s="59"/>
      <c r="O42" s="59"/>
      <c r="P42" s="59"/>
      <c r="Q42" s="59" t="s">
        <v>8796</v>
      </c>
    </row>
    <row r="43" spans="2:17" outlineLevel="1" x14ac:dyDescent="0.2">
      <c r="B43" s="59" t="s">
        <v>8762</v>
      </c>
      <c r="C43" s="59" t="s">
        <v>8760</v>
      </c>
      <c r="D43" s="59">
        <v>2024</v>
      </c>
      <c r="E43" s="59" t="s">
        <v>633</v>
      </c>
      <c r="F43" s="59" t="s">
        <v>8772</v>
      </c>
      <c r="G43" s="59">
        <v>239.42</v>
      </c>
      <c r="H43" s="541">
        <v>23.5</v>
      </c>
      <c r="I43" s="617">
        <f t="shared" si="0"/>
        <v>5626.37</v>
      </c>
      <c r="J43" s="59"/>
      <c r="K43" s="59" t="s">
        <v>8798</v>
      </c>
      <c r="L43" s="59" t="s">
        <v>8799</v>
      </c>
      <c r="M43" s="59" t="s">
        <v>8800</v>
      </c>
      <c r="N43" s="59"/>
      <c r="O43" s="59"/>
      <c r="P43" s="59"/>
      <c r="Q43" s="59" t="s">
        <v>8801</v>
      </c>
    </row>
    <row r="44" spans="2:17" outlineLevel="1" x14ac:dyDescent="0.2">
      <c r="B44" s="59" t="s">
        <v>8762</v>
      </c>
      <c r="C44" s="59" t="s">
        <v>8760</v>
      </c>
      <c r="D44" s="59">
        <v>2025</v>
      </c>
      <c r="E44" s="59" t="s">
        <v>633</v>
      </c>
      <c r="F44" s="59" t="s">
        <v>8770</v>
      </c>
      <c r="G44" s="59">
        <v>1201.22</v>
      </c>
      <c r="H44" s="541">
        <v>127</v>
      </c>
      <c r="I44" s="617">
        <f t="shared" si="0"/>
        <v>152554.94</v>
      </c>
      <c r="J44" s="59"/>
      <c r="K44" s="59" t="s">
        <v>8773</v>
      </c>
      <c r="L44" s="59" t="s">
        <v>8774</v>
      </c>
      <c r="M44" s="59" t="s">
        <v>8775</v>
      </c>
      <c r="N44" s="59"/>
      <c r="O44" s="59"/>
      <c r="P44" s="59"/>
      <c r="Q44" s="59" t="s">
        <v>8776</v>
      </c>
    </row>
    <row r="45" spans="2:17" outlineLevel="1" x14ac:dyDescent="0.2">
      <c r="B45" s="59" t="s">
        <v>8762</v>
      </c>
      <c r="C45" s="59" t="s">
        <v>8760</v>
      </c>
      <c r="D45" s="59">
        <v>2025</v>
      </c>
      <c r="E45" s="59" t="s">
        <v>633</v>
      </c>
      <c r="F45" s="59" t="s">
        <v>8771</v>
      </c>
      <c r="G45" s="59">
        <v>860.73</v>
      </c>
      <c r="H45" s="541">
        <v>53.5</v>
      </c>
      <c r="I45" s="617">
        <f t="shared" si="0"/>
        <v>46049.055</v>
      </c>
      <c r="J45" s="59"/>
      <c r="K45" s="59" t="s">
        <v>8773</v>
      </c>
      <c r="L45" s="59"/>
      <c r="M45" s="59" t="s">
        <v>8775</v>
      </c>
      <c r="N45" s="59"/>
      <c r="O45" s="59"/>
      <c r="P45" s="59"/>
      <c r="Q45" s="59" t="s">
        <v>8777</v>
      </c>
    </row>
    <row r="46" spans="2:17" outlineLevel="1" x14ac:dyDescent="0.2">
      <c r="B46" s="59" t="s">
        <v>8762</v>
      </c>
      <c r="C46" s="59" t="s">
        <v>8760</v>
      </c>
      <c r="D46" s="59">
        <v>2025</v>
      </c>
      <c r="E46" s="59" t="s">
        <v>633</v>
      </c>
      <c r="F46" s="59" t="s">
        <v>8772</v>
      </c>
      <c r="G46" s="59">
        <v>41.68</v>
      </c>
      <c r="H46" s="541">
        <v>100</v>
      </c>
      <c r="I46" s="617">
        <f t="shared" si="0"/>
        <v>4168</v>
      </c>
      <c r="J46" s="59"/>
      <c r="K46" s="59" t="s">
        <v>8773</v>
      </c>
      <c r="L46" s="59"/>
      <c r="M46" s="59" t="s">
        <v>8775</v>
      </c>
      <c r="N46" s="59"/>
      <c r="O46" s="59"/>
      <c r="P46" s="59"/>
      <c r="Q46" s="59" t="s">
        <v>8779</v>
      </c>
    </row>
    <row r="47" spans="2:17" outlineLevel="1" x14ac:dyDescent="0.2">
      <c r="B47" s="59" t="s">
        <v>8762</v>
      </c>
      <c r="C47" s="59" t="s">
        <v>8760</v>
      </c>
      <c r="D47" s="59">
        <v>2025</v>
      </c>
      <c r="E47" s="59" t="s">
        <v>633</v>
      </c>
      <c r="F47" s="59" t="s">
        <v>8772</v>
      </c>
      <c r="G47" s="59">
        <v>437.07</v>
      </c>
      <c r="H47" s="541">
        <v>221</v>
      </c>
      <c r="I47" s="617">
        <f t="shared" si="0"/>
        <v>96592.47</v>
      </c>
      <c r="J47" s="59"/>
      <c r="K47" s="59" t="s">
        <v>8773</v>
      </c>
      <c r="L47" s="59"/>
      <c r="M47" s="59" t="s">
        <v>8775</v>
      </c>
      <c r="N47" s="59"/>
      <c r="O47" s="59"/>
      <c r="P47" s="59"/>
      <c r="Q47" s="59" t="s">
        <v>8780</v>
      </c>
    </row>
    <row r="48" spans="2:17" outlineLevel="1" x14ac:dyDescent="0.2">
      <c r="B48" s="59" t="s">
        <v>8762</v>
      </c>
      <c r="C48" s="59" t="s">
        <v>8760</v>
      </c>
      <c r="D48" s="59">
        <v>2025</v>
      </c>
      <c r="E48" s="59" t="s">
        <v>633</v>
      </c>
      <c r="F48" s="59" t="s">
        <v>8772</v>
      </c>
      <c r="G48" s="59">
        <v>0</v>
      </c>
      <c r="H48" s="541">
        <v>250</v>
      </c>
      <c r="I48" s="617">
        <f t="shared" si="0"/>
        <v>0</v>
      </c>
      <c r="J48" s="59"/>
      <c r="K48" s="59" t="s">
        <v>8773</v>
      </c>
      <c r="L48" s="59"/>
      <c r="M48" s="59" t="s">
        <v>8775</v>
      </c>
      <c r="N48" s="59"/>
      <c r="O48" s="59"/>
      <c r="P48" s="59"/>
      <c r="Q48" s="59" t="s">
        <v>8781</v>
      </c>
    </row>
    <row r="49" spans="2:17" outlineLevel="1" x14ac:dyDescent="0.2">
      <c r="B49" s="59" t="s">
        <v>8762</v>
      </c>
      <c r="C49" s="59" t="s">
        <v>8760</v>
      </c>
      <c r="D49" s="59">
        <v>2025</v>
      </c>
      <c r="E49" s="59" t="s">
        <v>633</v>
      </c>
      <c r="F49" s="59" t="s">
        <v>8772</v>
      </c>
      <c r="G49" s="59">
        <v>0.94199999999999995</v>
      </c>
      <c r="H49" s="541">
        <v>350</v>
      </c>
      <c r="I49" s="617">
        <f t="shared" si="0"/>
        <v>329.7</v>
      </c>
      <c r="J49" s="59"/>
      <c r="K49" s="59" t="s">
        <v>8773</v>
      </c>
      <c r="L49" s="59"/>
      <c r="M49" s="59" t="s">
        <v>8775</v>
      </c>
      <c r="N49" s="59"/>
      <c r="O49" s="59"/>
      <c r="P49" s="59"/>
      <c r="Q49" s="59" t="s">
        <v>8782</v>
      </c>
    </row>
    <row r="50" spans="2:17" outlineLevel="1" x14ac:dyDescent="0.2">
      <c r="B50" s="59" t="s">
        <v>8762</v>
      </c>
      <c r="C50" s="59" t="s">
        <v>8760</v>
      </c>
      <c r="D50" s="59">
        <v>2025</v>
      </c>
      <c r="E50" s="59" t="s">
        <v>633</v>
      </c>
      <c r="F50" s="59" t="s">
        <v>8771</v>
      </c>
      <c r="G50" s="59">
        <v>575.16</v>
      </c>
      <c r="H50" s="541">
        <v>36</v>
      </c>
      <c r="I50" s="617">
        <f t="shared" si="0"/>
        <v>20705.759999999998</v>
      </c>
      <c r="J50" s="59"/>
      <c r="K50" s="59" t="s">
        <v>8783</v>
      </c>
      <c r="L50" s="59" t="s">
        <v>8784</v>
      </c>
      <c r="M50" s="59" t="s">
        <v>8785</v>
      </c>
      <c r="N50" s="59"/>
      <c r="O50" s="59"/>
      <c r="P50" s="59"/>
      <c r="Q50" s="59" t="s">
        <v>8786</v>
      </c>
    </row>
    <row r="51" spans="2:17" outlineLevel="1" x14ac:dyDescent="0.2">
      <c r="B51" s="59" t="s">
        <v>8762</v>
      </c>
      <c r="C51" s="59" t="s">
        <v>8760</v>
      </c>
      <c r="D51" s="59">
        <v>2025</v>
      </c>
      <c r="E51" s="59" t="s">
        <v>633</v>
      </c>
      <c r="F51" s="59" t="s">
        <v>8772</v>
      </c>
      <c r="G51" s="59">
        <v>325.94</v>
      </c>
      <c r="H51" s="541">
        <v>34.4</v>
      </c>
      <c r="I51" s="617">
        <f t="shared" si="0"/>
        <v>11212.335999999999</v>
      </c>
      <c r="J51" s="59"/>
      <c r="K51" s="59" t="s">
        <v>8787</v>
      </c>
      <c r="L51" s="59" t="s">
        <v>8788</v>
      </c>
      <c r="M51" s="59" t="s">
        <v>8789</v>
      </c>
      <c r="N51" s="59"/>
      <c r="O51" s="59"/>
      <c r="P51" s="59"/>
      <c r="Q51" s="59" t="s">
        <v>8790</v>
      </c>
    </row>
    <row r="52" spans="2:17" outlineLevel="1" x14ac:dyDescent="0.2">
      <c r="B52" s="59" t="s">
        <v>8762</v>
      </c>
      <c r="C52" s="59" t="s">
        <v>8760</v>
      </c>
      <c r="D52" s="59">
        <v>2025</v>
      </c>
      <c r="E52" s="59" t="s">
        <v>633</v>
      </c>
      <c r="F52" s="59" t="s">
        <v>8772</v>
      </c>
      <c r="G52" s="59">
        <v>0.378</v>
      </c>
      <c r="H52" s="541">
        <v>400</v>
      </c>
      <c r="I52" s="617">
        <f t="shared" si="0"/>
        <v>151.19999999999999</v>
      </c>
      <c r="J52" s="59"/>
      <c r="K52" s="59" t="s">
        <v>8791</v>
      </c>
      <c r="L52" s="59" t="s">
        <v>8792</v>
      </c>
      <c r="M52" s="59" t="s">
        <v>8802</v>
      </c>
      <c r="N52" s="59"/>
      <c r="O52" s="59"/>
      <c r="P52" s="59"/>
      <c r="Q52" s="59" t="s">
        <v>8794</v>
      </c>
    </row>
    <row r="53" spans="2:17" outlineLevel="1" x14ac:dyDescent="0.2">
      <c r="B53" s="59" t="s">
        <v>8762</v>
      </c>
      <c r="C53" s="59" t="s">
        <v>8760</v>
      </c>
      <c r="D53" s="59">
        <v>2025</v>
      </c>
      <c r="E53" s="59" t="s">
        <v>633</v>
      </c>
      <c r="F53" s="59" t="s">
        <v>8772</v>
      </c>
      <c r="G53" s="59">
        <v>0.51600000000000001</v>
      </c>
      <c r="H53" s="541">
        <v>2050</v>
      </c>
      <c r="I53" s="617">
        <f t="shared" si="0"/>
        <v>1057.8</v>
      </c>
      <c r="J53" s="59"/>
      <c r="K53" s="59" t="s">
        <v>8791</v>
      </c>
      <c r="L53" s="59"/>
      <c r="M53" s="59" t="s">
        <v>8802</v>
      </c>
      <c r="N53" s="59"/>
      <c r="O53" s="59"/>
      <c r="P53" s="59"/>
      <c r="Q53" s="59" t="s">
        <v>8795</v>
      </c>
    </row>
    <row r="54" spans="2:17" outlineLevel="1" x14ac:dyDescent="0.2">
      <c r="B54" s="59" t="s">
        <v>8762</v>
      </c>
      <c r="C54" s="59" t="s">
        <v>8760</v>
      </c>
      <c r="D54" s="59">
        <v>2025</v>
      </c>
      <c r="E54" s="59" t="s">
        <v>633</v>
      </c>
      <c r="F54" s="59" t="s">
        <v>8772</v>
      </c>
      <c r="G54" s="59">
        <v>12.272</v>
      </c>
      <c r="H54" s="541">
        <v>725</v>
      </c>
      <c r="I54" s="617">
        <f t="shared" si="0"/>
        <v>8897.2000000000007</v>
      </c>
      <c r="J54" s="59"/>
      <c r="K54" s="59" t="s">
        <v>8791</v>
      </c>
      <c r="L54" s="59"/>
      <c r="M54" s="59" t="s">
        <v>8802</v>
      </c>
      <c r="N54" s="59"/>
      <c r="O54" s="59"/>
      <c r="P54" s="59"/>
      <c r="Q54" s="59" t="s">
        <v>8796</v>
      </c>
    </row>
    <row r="55" spans="2:17" outlineLevel="1" x14ac:dyDescent="0.2">
      <c r="B55" s="59" t="s">
        <v>8762</v>
      </c>
      <c r="C55" s="59" t="s">
        <v>8760</v>
      </c>
      <c r="D55" s="59">
        <v>2025</v>
      </c>
      <c r="E55" s="59" t="s">
        <v>633</v>
      </c>
      <c r="F55" s="59" t="s">
        <v>8772</v>
      </c>
      <c r="G55" s="59">
        <v>116.84</v>
      </c>
      <c r="H55" s="541">
        <v>23.5</v>
      </c>
      <c r="I55" s="617">
        <f t="shared" si="0"/>
        <v>2745.7400000000002</v>
      </c>
      <c r="J55" s="59"/>
      <c r="K55" s="59" t="s">
        <v>8798</v>
      </c>
      <c r="L55" s="59" t="s">
        <v>8799</v>
      </c>
      <c r="M55" s="59" t="s">
        <v>8800</v>
      </c>
      <c r="N55" s="59"/>
      <c r="O55" s="59"/>
      <c r="P55" s="59"/>
      <c r="Q55" s="59" t="s">
        <v>8801</v>
      </c>
    </row>
    <row r="56" spans="2:17" outlineLevel="1" x14ac:dyDescent="0.2">
      <c r="B56" s="59" t="s">
        <v>8762</v>
      </c>
      <c r="C56" s="59" t="s">
        <v>8761</v>
      </c>
      <c r="D56" s="59">
        <v>2025</v>
      </c>
      <c r="E56" s="59" t="s">
        <v>633</v>
      </c>
      <c r="F56" s="59" t="s">
        <v>8770</v>
      </c>
      <c r="G56" s="59">
        <v>676.91</v>
      </c>
      <c r="H56" s="541">
        <v>127</v>
      </c>
      <c r="I56" s="617">
        <f t="shared" si="0"/>
        <v>85967.569999999992</v>
      </c>
      <c r="J56" s="59"/>
      <c r="K56" s="59" t="s">
        <v>8773</v>
      </c>
      <c r="L56" s="59" t="s">
        <v>8774</v>
      </c>
      <c r="M56" s="59" t="s">
        <v>8775</v>
      </c>
      <c r="N56" s="59"/>
      <c r="O56" s="59"/>
      <c r="P56" s="59"/>
      <c r="Q56" s="59" t="s">
        <v>8776</v>
      </c>
    </row>
    <row r="57" spans="2:17" outlineLevel="1" x14ac:dyDescent="0.2">
      <c r="B57" s="59" t="s">
        <v>8762</v>
      </c>
      <c r="C57" s="59" t="s">
        <v>8761</v>
      </c>
      <c r="D57" s="59">
        <v>2025</v>
      </c>
      <c r="E57" s="59" t="s">
        <v>633</v>
      </c>
      <c r="F57" s="59" t="s">
        <v>8771</v>
      </c>
      <c r="G57" s="59">
        <v>479.62</v>
      </c>
      <c r="H57" s="541">
        <v>53.5</v>
      </c>
      <c r="I57" s="617">
        <f t="shared" si="0"/>
        <v>25659.670000000002</v>
      </c>
      <c r="J57" s="59"/>
      <c r="K57" s="59" t="s">
        <v>8773</v>
      </c>
      <c r="L57" s="59"/>
      <c r="M57" s="59" t="s">
        <v>8775</v>
      </c>
      <c r="N57" s="59"/>
      <c r="O57" s="59"/>
      <c r="P57" s="59"/>
      <c r="Q57" s="59" t="s">
        <v>8777</v>
      </c>
    </row>
    <row r="58" spans="2:17" outlineLevel="1" x14ac:dyDescent="0.2">
      <c r="B58" s="59" t="s">
        <v>8762</v>
      </c>
      <c r="C58" s="59" t="s">
        <v>8761</v>
      </c>
      <c r="D58" s="59">
        <v>2025</v>
      </c>
      <c r="E58" s="59" t="s">
        <v>633</v>
      </c>
      <c r="F58" s="59" t="s">
        <v>8772</v>
      </c>
      <c r="G58" s="59">
        <v>74.36</v>
      </c>
      <c r="H58" s="541">
        <v>100</v>
      </c>
      <c r="I58" s="617">
        <f t="shared" si="0"/>
        <v>7436</v>
      </c>
      <c r="J58" s="59"/>
      <c r="K58" s="59" t="s">
        <v>8773</v>
      </c>
      <c r="L58" s="59"/>
      <c r="M58" s="59" t="s">
        <v>8775</v>
      </c>
      <c r="N58" s="59"/>
      <c r="O58" s="59"/>
      <c r="P58" s="59"/>
      <c r="Q58" s="59" t="s">
        <v>8779</v>
      </c>
    </row>
    <row r="59" spans="2:17" outlineLevel="1" x14ac:dyDescent="0.2">
      <c r="B59" s="59" t="s">
        <v>8762</v>
      </c>
      <c r="C59" s="59" t="s">
        <v>8761</v>
      </c>
      <c r="D59" s="59">
        <v>2025</v>
      </c>
      <c r="E59" s="59" t="s">
        <v>633</v>
      </c>
      <c r="F59" s="59" t="s">
        <v>8772</v>
      </c>
      <c r="G59" s="59">
        <v>265.38</v>
      </c>
      <c r="H59" s="541">
        <v>221</v>
      </c>
      <c r="I59" s="617">
        <f t="shared" si="0"/>
        <v>58648.979999999996</v>
      </c>
      <c r="J59" s="59"/>
      <c r="K59" s="59" t="s">
        <v>8773</v>
      </c>
      <c r="L59" s="59"/>
      <c r="M59" s="59" t="s">
        <v>8775</v>
      </c>
      <c r="N59" s="59"/>
      <c r="O59" s="59"/>
      <c r="P59" s="59"/>
      <c r="Q59" s="59" t="s">
        <v>8780</v>
      </c>
    </row>
    <row r="60" spans="2:17" outlineLevel="1" x14ac:dyDescent="0.2">
      <c r="B60" s="59" t="s">
        <v>8762</v>
      </c>
      <c r="C60" s="59" t="s">
        <v>8761</v>
      </c>
      <c r="D60" s="59">
        <v>2025</v>
      </c>
      <c r="E60" s="59" t="s">
        <v>633</v>
      </c>
      <c r="F60" s="59" t="s">
        <v>8772</v>
      </c>
      <c r="G60" s="59">
        <v>0.55000000000000004</v>
      </c>
      <c r="H60" s="541">
        <v>350</v>
      </c>
      <c r="I60" s="617">
        <f t="shared" si="0"/>
        <v>192.50000000000003</v>
      </c>
      <c r="J60" s="59"/>
      <c r="K60" s="59" t="s">
        <v>8773</v>
      </c>
      <c r="L60" s="59"/>
      <c r="M60" s="59" t="s">
        <v>8775</v>
      </c>
      <c r="N60" s="59"/>
      <c r="O60" s="59"/>
      <c r="P60" s="59"/>
      <c r="Q60" s="59" t="s">
        <v>8782</v>
      </c>
    </row>
    <row r="61" spans="2:17" outlineLevel="1" x14ac:dyDescent="0.2">
      <c r="B61" s="59" t="s">
        <v>8762</v>
      </c>
      <c r="C61" s="59" t="s">
        <v>8761</v>
      </c>
      <c r="D61" s="59">
        <v>2025</v>
      </c>
      <c r="E61" s="59" t="s">
        <v>633</v>
      </c>
      <c r="F61" s="59" t="s">
        <v>8771</v>
      </c>
      <c r="G61" s="59">
        <v>459.43</v>
      </c>
      <c r="H61" s="541">
        <v>36</v>
      </c>
      <c r="I61" s="617">
        <f t="shared" si="0"/>
        <v>16539.48</v>
      </c>
      <c r="J61" s="59"/>
      <c r="K61" s="59" t="s">
        <v>8783</v>
      </c>
      <c r="L61" s="59" t="s">
        <v>8784</v>
      </c>
      <c r="M61" s="59" t="s">
        <v>8785</v>
      </c>
      <c r="N61" s="59"/>
      <c r="O61" s="59"/>
      <c r="P61" s="59"/>
      <c r="Q61" s="59" t="s">
        <v>8786</v>
      </c>
    </row>
    <row r="62" spans="2:17" outlineLevel="1" x14ac:dyDescent="0.2">
      <c r="B62" s="59" t="s">
        <v>8762</v>
      </c>
      <c r="C62" s="59" t="s">
        <v>8761</v>
      </c>
      <c r="D62" s="59">
        <v>2025</v>
      </c>
      <c r="E62" s="59" t="s">
        <v>633</v>
      </c>
      <c r="F62" s="59" t="s">
        <v>8772</v>
      </c>
      <c r="G62" s="59">
        <v>268.44</v>
      </c>
      <c r="H62" s="541">
        <v>34.4</v>
      </c>
      <c r="I62" s="617">
        <f t="shared" si="0"/>
        <v>9234.3359999999993</v>
      </c>
      <c r="J62" s="59"/>
      <c r="K62" s="59" t="s">
        <v>8787</v>
      </c>
      <c r="L62" s="59" t="s">
        <v>8788</v>
      </c>
      <c r="M62" s="59" t="s">
        <v>8789</v>
      </c>
      <c r="N62" s="59"/>
      <c r="O62" s="59"/>
      <c r="P62" s="59"/>
      <c r="Q62" s="59" t="s">
        <v>8790</v>
      </c>
    </row>
    <row r="63" spans="2:17" outlineLevel="1" x14ac:dyDescent="0.2">
      <c r="B63" s="59" t="s">
        <v>8762</v>
      </c>
      <c r="C63" s="59" t="s">
        <v>8761</v>
      </c>
      <c r="D63" s="59">
        <v>2025</v>
      </c>
      <c r="E63" s="59" t="s">
        <v>633</v>
      </c>
      <c r="F63" s="59" t="s">
        <v>8772</v>
      </c>
      <c r="G63" s="59">
        <v>0.26200000000000001</v>
      </c>
      <c r="H63" s="541">
        <v>400</v>
      </c>
      <c r="I63" s="617">
        <f t="shared" si="0"/>
        <v>104.80000000000001</v>
      </c>
      <c r="J63" s="59"/>
      <c r="K63" s="59" t="s">
        <v>8791</v>
      </c>
      <c r="L63" s="59" t="s">
        <v>8792</v>
      </c>
      <c r="M63" s="59" t="s">
        <v>8802</v>
      </c>
      <c r="N63" s="59"/>
      <c r="O63" s="59"/>
      <c r="P63" s="59"/>
      <c r="Q63" s="59" t="s">
        <v>8794</v>
      </c>
    </row>
    <row r="64" spans="2:17" outlineLevel="1" x14ac:dyDescent="0.2">
      <c r="B64" s="59" t="s">
        <v>8762</v>
      </c>
      <c r="C64" s="59" t="s">
        <v>8761</v>
      </c>
      <c r="D64" s="59">
        <v>2025</v>
      </c>
      <c r="E64" s="59" t="s">
        <v>633</v>
      </c>
      <c r="F64" s="59" t="s">
        <v>8772</v>
      </c>
      <c r="G64" s="59">
        <v>9.6449999999999996</v>
      </c>
      <c r="H64" s="541">
        <v>725</v>
      </c>
      <c r="I64" s="617">
        <f t="shared" si="0"/>
        <v>6992.625</v>
      </c>
      <c r="J64" s="59"/>
      <c r="K64" s="59" t="s">
        <v>8791</v>
      </c>
      <c r="L64" s="59"/>
      <c r="M64" s="59" t="s">
        <v>8802</v>
      </c>
      <c r="N64" s="59"/>
      <c r="O64" s="59"/>
      <c r="P64" s="59"/>
      <c r="Q64" s="59" t="s">
        <v>8796</v>
      </c>
    </row>
    <row r="65" spans="2:17" outlineLevel="1" x14ac:dyDescent="0.2">
      <c r="B65" s="59" t="s">
        <v>8762</v>
      </c>
      <c r="C65" s="59" t="s">
        <v>8761</v>
      </c>
      <c r="D65" s="59">
        <v>2025</v>
      </c>
      <c r="E65" s="59" t="s">
        <v>630</v>
      </c>
      <c r="F65" s="59" t="s">
        <v>8772</v>
      </c>
      <c r="G65" s="59">
        <v>5.0999999999999997E-2</v>
      </c>
      <c r="H65" s="541">
        <v>1300</v>
      </c>
      <c r="I65" s="617">
        <f t="shared" si="0"/>
        <v>66.3</v>
      </c>
      <c r="J65" s="59"/>
      <c r="K65" s="59" t="s">
        <v>8791</v>
      </c>
      <c r="L65" s="59"/>
      <c r="M65" s="59" t="s">
        <v>8802</v>
      </c>
      <c r="N65" s="59"/>
      <c r="O65" s="59"/>
      <c r="P65" s="59"/>
      <c r="Q65" s="59" t="s">
        <v>8797</v>
      </c>
    </row>
    <row r="66" spans="2:17" outlineLevel="1" x14ac:dyDescent="0.2">
      <c r="B66" s="59" t="s">
        <v>8762</v>
      </c>
      <c r="C66" s="59" t="s">
        <v>8761</v>
      </c>
      <c r="D66" s="59">
        <v>2025</v>
      </c>
      <c r="E66" s="59" t="s">
        <v>633</v>
      </c>
      <c r="F66" s="59" t="s">
        <v>8772</v>
      </c>
      <c r="G66" s="59">
        <v>128.5</v>
      </c>
      <c r="H66" s="541">
        <v>23.5</v>
      </c>
      <c r="I66" s="617">
        <f t="shared" si="0"/>
        <v>3019.75</v>
      </c>
      <c r="J66" s="59"/>
      <c r="K66" s="59" t="s">
        <v>8798</v>
      </c>
      <c r="L66" s="59" t="s">
        <v>8799</v>
      </c>
      <c r="M66" s="59" t="s">
        <v>8800</v>
      </c>
      <c r="N66" s="59"/>
      <c r="O66" s="59"/>
      <c r="P66" s="59"/>
      <c r="Q66" s="59" t="s">
        <v>8801</v>
      </c>
    </row>
    <row r="67" spans="2:17" outlineLevel="1" x14ac:dyDescent="0.2">
      <c r="B67" s="59"/>
      <c r="C67" s="59"/>
      <c r="D67" s="59"/>
      <c r="E67" s="59"/>
      <c r="F67" s="59"/>
      <c r="G67" s="59"/>
      <c r="H67" s="541"/>
      <c r="I67" s="617">
        <f t="shared" si="0"/>
        <v>0</v>
      </c>
      <c r="J67" s="59"/>
      <c r="K67" s="59"/>
      <c r="L67" s="59"/>
      <c r="M67" s="59"/>
      <c r="N67" s="59"/>
      <c r="O67" s="59"/>
      <c r="P67" s="59"/>
      <c r="Q67" s="59"/>
    </row>
    <row r="68" spans="2:17" outlineLevel="1" x14ac:dyDescent="0.2">
      <c r="B68" s="59"/>
      <c r="C68" s="59"/>
      <c r="D68" s="59"/>
      <c r="E68" s="59"/>
      <c r="F68" s="59"/>
      <c r="G68" s="59"/>
      <c r="H68" s="541"/>
      <c r="I68" s="617">
        <f t="shared" si="0"/>
        <v>0</v>
      </c>
      <c r="J68" s="59"/>
      <c r="K68" s="59"/>
      <c r="L68" s="59"/>
      <c r="M68" s="59"/>
      <c r="N68" s="59"/>
      <c r="O68" s="59"/>
      <c r="P68" s="59"/>
      <c r="Q68" s="59"/>
    </row>
    <row r="69" spans="2:17" outlineLevel="1" x14ac:dyDescent="0.2">
      <c r="B69" s="59"/>
      <c r="C69" s="59"/>
      <c r="D69" s="59"/>
      <c r="E69" s="59"/>
      <c r="F69" s="59"/>
      <c r="G69" s="59"/>
      <c r="H69" s="541"/>
      <c r="I69" s="617">
        <f t="shared" ref="I69:I132" si="1">G69*H69</f>
        <v>0</v>
      </c>
      <c r="J69" s="59"/>
      <c r="K69" s="59"/>
      <c r="L69" s="59"/>
      <c r="M69" s="59"/>
      <c r="N69" s="59"/>
      <c r="O69" s="59"/>
      <c r="P69" s="59"/>
      <c r="Q69" s="59"/>
    </row>
    <row r="70" spans="2:17" outlineLevel="1" x14ac:dyDescent="0.2">
      <c r="B70" s="59"/>
      <c r="C70" s="59"/>
      <c r="D70" s="59"/>
      <c r="E70" s="59"/>
      <c r="F70" s="59"/>
      <c r="G70" s="59"/>
      <c r="H70" s="541"/>
      <c r="I70" s="617">
        <f t="shared" si="1"/>
        <v>0</v>
      </c>
      <c r="J70" s="59"/>
      <c r="K70" s="59"/>
      <c r="L70" s="59"/>
      <c r="M70" s="59"/>
      <c r="N70" s="59"/>
      <c r="O70" s="59"/>
      <c r="P70" s="59"/>
      <c r="Q70" s="59"/>
    </row>
    <row r="71" spans="2:17" outlineLevel="1" x14ac:dyDescent="0.2">
      <c r="B71" s="59"/>
      <c r="C71" s="59"/>
      <c r="D71" s="59"/>
      <c r="E71" s="59"/>
      <c r="F71" s="59"/>
      <c r="G71" s="59"/>
      <c r="H71" s="541"/>
      <c r="I71" s="617">
        <f t="shared" si="1"/>
        <v>0</v>
      </c>
      <c r="J71" s="59"/>
      <c r="K71" s="59"/>
      <c r="L71" s="59"/>
      <c r="M71" s="59"/>
      <c r="N71" s="59"/>
      <c r="O71" s="59"/>
      <c r="P71" s="59"/>
      <c r="Q71" s="59"/>
    </row>
    <row r="72" spans="2:17" outlineLevel="1" x14ac:dyDescent="0.2">
      <c r="B72" s="59"/>
      <c r="C72" s="59"/>
      <c r="D72" s="59"/>
      <c r="E72" s="59"/>
      <c r="F72" s="59"/>
      <c r="G72" s="59"/>
      <c r="H72" s="541"/>
      <c r="I72" s="617">
        <f t="shared" si="1"/>
        <v>0</v>
      </c>
      <c r="J72" s="59"/>
      <c r="K72" s="59"/>
      <c r="L72" s="59"/>
      <c r="M72" s="59"/>
      <c r="N72" s="59"/>
      <c r="O72" s="59"/>
      <c r="P72" s="59"/>
      <c r="Q72" s="59"/>
    </row>
    <row r="73" spans="2:17" outlineLevel="1" x14ac:dyDescent="0.2">
      <c r="B73" s="59"/>
      <c r="C73" s="59"/>
      <c r="D73" s="59"/>
      <c r="E73" s="59"/>
      <c r="F73" s="59"/>
      <c r="G73" s="59"/>
      <c r="H73" s="541"/>
      <c r="I73" s="617">
        <f t="shared" si="1"/>
        <v>0</v>
      </c>
      <c r="J73" s="59"/>
      <c r="K73" s="59"/>
      <c r="L73" s="59"/>
      <c r="M73" s="59"/>
      <c r="N73" s="59"/>
      <c r="O73" s="59"/>
      <c r="P73" s="59"/>
      <c r="Q73" s="59"/>
    </row>
    <row r="74" spans="2:17" outlineLevel="1" x14ac:dyDescent="0.2">
      <c r="B74" s="59"/>
      <c r="C74" s="59"/>
      <c r="D74" s="59"/>
      <c r="E74" s="59"/>
      <c r="F74" s="59"/>
      <c r="G74" s="59"/>
      <c r="H74" s="541"/>
      <c r="I74" s="617">
        <f t="shared" si="1"/>
        <v>0</v>
      </c>
      <c r="J74" s="59"/>
      <c r="K74" s="59"/>
      <c r="L74" s="59"/>
      <c r="M74" s="59"/>
      <c r="N74" s="59"/>
      <c r="O74" s="59"/>
      <c r="P74" s="59"/>
      <c r="Q74" s="59"/>
    </row>
    <row r="75" spans="2:17" outlineLevel="1" x14ac:dyDescent="0.2">
      <c r="B75" s="59"/>
      <c r="C75" s="59"/>
      <c r="D75" s="59"/>
      <c r="E75" s="59"/>
      <c r="F75" s="59"/>
      <c r="G75" s="59"/>
      <c r="H75" s="541"/>
      <c r="I75" s="617">
        <f t="shared" si="1"/>
        <v>0</v>
      </c>
      <c r="J75" s="59"/>
      <c r="K75" s="59"/>
      <c r="L75" s="59"/>
      <c r="M75" s="59"/>
      <c r="N75" s="59"/>
      <c r="O75" s="59"/>
      <c r="P75" s="59"/>
      <c r="Q75" s="59"/>
    </row>
    <row r="76" spans="2:17" outlineLevel="1" x14ac:dyDescent="0.2">
      <c r="B76" s="59"/>
      <c r="C76" s="59"/>
      <c r="D76" s="59"/>
      <c r="E76" s="59"/>
      <c r="F76" s="59"/>
      <c r="G76" s="59"/>
      <c r="H76" s="541"/>
      <c r="I76" s="617">
        <f t="shared" si="1"/>
        <v>0</v>
      </c>
      <c r="J76" s="59"/>
      <c r="K76" s="59"/>
      <c r="L76" s="59"/>
      <c r="M76" s="59"/>
      <c r="N76" s="59"/>
      <c r="O76" s="59"/>
      <c r="P76" s="59"/>
      <c r="Q76" s="59"/>
    </row>
    <row r="77" spans="2:17" outlineLevel="1" x14ac:dyDescent="0.2">
      <c r="B77" s="59"/>
      <c r="C77" s="59"/>
      <c r="D77" s="59"/>
      <c r="E77" s="59"/>
      <c r="F77" s="59"/>
      <c r="G77" s="59"/>
      <c r="H77" s="541"/>
      <c r="I77" s="617">
        <f t="shared" si="1"/>
        <v>0</v>
      </c>
      <c r="J77" s="59"/>
      <c r="K77" s="59"/>
      <c r="L77" s="59"/>
      <c r="M77" s="59"/>
      <c r="N77" s="59"/>
      <c r="O77" s="59"/>
      <c r="P77" s="59"/>
      <c r="Q77" s="59"/>
    </row>
    <row r="78" spans="2:17" outlineLevel="1" x14ac:dyDescent="0.2">
      <c r="B78" s="59"/>
      <c r="C78" s="59"/>
      <c r="D78" s="59"/>
      <c r="E78" s="59"/>
      <c r="F78" s="59"/>
      <c r="G78" s="59"/>
      <c r="H78" s="541"/>
      <c r="I78" s="617">
        <f t="shared" si="1"/>
        <v>0</v>
      </c>
      <c r="J78" s="59"/>
      <c r="K78" s="59"/>
      <c r="L78" s="59"/>
      <c r="M78" s="59"/>
      <c r="N78" s="59"/>
      <c r="O78" s="59"/>
      <c r="P78" s="59"/>
      <c r="Q78" s="59"/>
    </row>
    <row r="79" spans="2:17" outlineLevel="1" x14ac:dyDescent="0.2">
      <c r="B79" s="59"/>
      <c r="C79" s="59"/>
      <c r="D79" s="59"/>
      <c r="E79" s="59"/>
      <c r="F79" s="59"/>
      <c r="G79" s="59"/>
      <c r="H79" s="541"/>
      <c r="I79" s="617">
        <f t="shared" si="1"/>
        <v>0</v>
      </c>
      <c r="J79" s="59"/>
      <c r="K79" s="59"/>
      <c r="L79" s="59"/>
      <c r="M79" s="59"/>
      <c r="N79" s="59"/>
      <c r="O79" s="59"/>
      <c r="P79" s="59"/>
      <c r="Q79" s="59"/>
    </row>
    <row r="80" spans="2:17" outlineLevel="1" x14ac:dyDescent="0.2">
      <c r="B80" s="59"/>
      <c r="C80" s="59"/>
      <c r="D80" s="59"/>
      <c r="E80" s="59"/>
      <c r="F80" s="59"/>
      <c r="G80" s="59"/>
      <c r="H80" s="541"/>
      <c r="I80" s="617">
        <f t="shared" si="1"/>
        <v>0</v>
      </c>
      <c r="J80" s="59"/>
      <c r="K80" s="59"/>
      <c r="L80" s="59"/>
      <c r="M80" s="59"/>
      <c r="N80" s="59"/>
      <c r="O80" s="59"/>
      <c r="P80" s="59"/>
      <c r="Q80" s="59"/>
    </row>
    <row r="81" spans="2:17" outlineLevel="1" x14ac:dyDescent="0.2">
      <c r="B81" s="59"/>
      <c r="C81" s="59"/>
      <c r="D81" s="59"/>
      <c r="E81" s="59"/>
      <c r="F81" s="59"/>
      <c r="G81" s="59"/>
      <c r="H81" s="541"/>
      <c r="I81" s="617">
        <f t="shared" si="1"/>
        <v>0</v>
      </c>
      <c r="J81" s="59"/>
      <c r="K81" s="59"/>
      <c r="L81" s="59"/>
      <c r="M81" s="59"/>
      <c r="N81" s="59"/>
      <c r="O81" s="59"/>
      <c r="P81" s="59"/>
      <c r="Q81" s="59"/>
    </row>
    <row r="82" spans="2:17" outlineLevel="1" x14ac:dyDescent="0.2">
      <c r="B82" s="59"/>
      <c r="C82" s="59"/>
      <c r="D82" s="59"/>
      <c r="E82" s="59"/>
      <c r="F82" s="59"/>
      <c r="G82" s="59"/>
      <c r="H82" s="541"/>
      <c r="I82" s="617">
        <f t="shared" si="1"/>
        <v>0</v>
      </c>
      <c r="J82" s="59"/>
      <c r="K82" s="59"/>
      <c r="L82" s="59"/>
      <c r="M82" s="59"/>
      <c r="N82" s="59"/>
      <c r="O82" s="59"/>
      <c r="P82" s="59"/>
      <c r="Q82" s="59"/>
    </row>
    <row r="83" spans="2:17" outlineLevel="1" x14ac:dyDescent="0.2">
      <c r="B83" s="59"/>
      <c r="C83" s="59"/>
      <c r="D83" s="59"/>
      <c r="E83" s="59"/>
      <c r="F83" s="59"/>
      <c r="G83" s="59"/>
      <c r="H83" s="541"/>
      <c r="I83" s="617">
        <f t="shared" si="1"/>
        <v>0</v>
      </c>
      <c r="J83" s="59"/>
      <c r="K83" s="59"/>
      <c r="L83" s="59"/>
      <c r="M83" s="59"/>
      <c r="N83" s="59"/>
      <c r="O83" s="59"/>
      <c r="P83" s="59"/>
      <c r="Q83" s="59"/>
    </row>
    <row r="84" spans="2:17" outlineLevel="1" x14ac:dyDescent="0.2">
      <c r="B84" s="59"/>
      <c r="C84" s="59"/>
      <c r="D84" s="59"/>
      <c r="E84" s="59"/>
      <c r="F84" s="59"/>
      <c r="G84" s="59"/>
      <c r="H84" s="541"/>
      <c r="I84" s="617">
        <f t="shared" si="1"/>
        <v>0</v>
      </c>
      <c r="J84" s="59"/>
      <c r="K84" s="59"/>
      <c r="L84" s="59"/>
      <c r="M84" s="59"/>
      <c r="N84" s="59"/>
      <c r="O84" s="59"/>
      <c r="P84" s="59"/>
      <c r="Q84" s="59"/>
    </row>
    <row r="85" spans="2:17" outlineLevel="1" x14ac:dyDescent="0.2">
      <c r="B85" s="59"/>
      <c r="C85" s="59"/>
      <c r="D85" s="59"/>
      <c r="E85" s="59"/>
      <c r="F85" s="59"/>
      <c r="G85" s="59"/>
      <c r="H85" s="541"/>
      <c r="I85" s="617">
        <f t="shared" si="1"/>
        <v>0</v>
      </c>
      <c r="J85" s="59"/>
      <c r="K85" s="59"/>
      <c r="L85" s="59"/>
      <c r="M85" s="59"/>
      <c r="N85" s="59"/>
      <c r="O85" s="59"/>
      <c r="P85" s="59"/>
      <c r="Q85" s="59"/>
    </row>
    <row r="86" spans="2:17" outlineLevel="1" x14ac:dyDescent="0.2">
      <c r="B86" s="59"/>
      <c r="C86" s="59"/>
      <c r="D86" s="59"/>
      <c r="E86" s="59"/>
      <c r="F86" s="59"/>
      <c r="G86" s="59"/>
      <c r="H86" s="541"/>
      <c r="I86" s="617">
        <f t="shared" si="1"/>
        <v>0</v>
      </c>
      <c r="J86" s="59"/>
      <c r="K86" s="59"/>
      <c r="L86" s="59"/>
      <c r="M86" s="59"/>
      <c r="N86" s="59"/>
      <c r="O86" s="59"/>
      <c r="P86" s="59"/>
      <c r="Q86" s="59"/>
    </row>
    <row r="87" spans="2:17" outlineLevel="1" x14ac:dyDescent="0.2">
      <c r="B87" s="59"/>
      <c r="C87" s="59"/>
      <c r="D87" s="59"/>
      <c r="E87" s="59"/>
      <c r="F87" s="59"/>
      <c r="G87" s="59"/>
      <c r="H87" s="541"/>
      <c r="I87" s="617">
        <f t="shared" si="1"/>
        <v>0</v>
      </c>
      <c r="J87" s="59"/>
      <c r="K87" s="59"/>
      <c r="L87" s="59"/>
      <c r="M87" s="59"/>
      <c r="N87" s="59"/>
      <c r="O87" s="59"/>
      <c r="P87" s="59"/>
      <c r="Q87" s="59"/>
    </row>
    <row r="88" spans="2:17" outlineLevel="1" x14ac:dyDescent="0.2">
      <c r="B88" s="59"/>
      <c r="C88" s="59"/>
      <c r="D88" s="59"/>
      <c r="E88" s="59"/>
      <c r="F88" s="59"/>
      <c r="G88" s="59"/>
      <c r="H88" s="541"/>
      <c r="I88" s="617">
        <f t="shared" si="1"/>
        <v>0</v>
      </c>
      <c r="J88" s="59"/>
      <c r="K88" s="59"/>
      <c r="L88" s="59"/>
      <c r="M88" s="59"/>
      <c r="N88" s="59"/>
      <c r="O88" s="59"/>
      <c r="P88" s="59"/>
      <c r="Q88" s="59"/>
    </row>
    <row r="89" spans="2:17" outlineLevel="1" x14ac:dyDescent="0.2">
      <c r="B89" s="59"/>
      <c r="C89" s="59"/>
      <c r="D89" s="59"/>
      <c r="E89" s="59"/>
      <c r="F89" s="59"/>
      <c r="G89" s="59"/>
      <c r="H89" s="541"/>
      <c r="I89" s="617">
        <f t="shared" si="1"/>
        <v>0</v>
      </c>
      <c r="J89" s="59"/>
      <c r="K89" s="59"/>
      <c r="L89" s="59"/>
      <c r="M89" s="59"/>
      <c r="N89" s="59"/>
      <c r="O89" s="59"/>
      <c r="P89" s="59"/>
      <c r="Q89" s="59"/>
    </row>
    <row r="90" spans="2:17" outlineLevel="1" x14ac:dyDescent="0.2">
      <c r="B90" s="59"/>
      <c r="C90" s="59"/>
      <c r="D90" s="59"/>
      <c r="E90" s="59"/>
      <c r="F90" s="59"/>
      <c r="G90" s="59"/>
      <c r="H90" s="541"/>
      <c r="I90" s="617">
        <f t="shared" si="1"/>
        <v>0</v>
      </c>
      <c r="J90" s="59"/>
      <c r="K90" s="59"/>
      <c r="L90" s="59"/>
      <c r="M90" s="59"/>
      <c r="N90" s="59"/>
      <c r="O90" s="59"/>
      <c r="P90" s="59"/>
      <c r="Q90" s="59"/>
    </row>
    <row r="91" spans="2:17" outlineLevel="1" x14ac:dyDescent="0.2">
      <c r="B91" s="59"/>
      <c r="C91" s="59"/>
      <c r="D91" s="59"/>
      <c r="E91" s="59"/>
      <c r="F91" s="59"/>
      <c r="G91" s="59"/>
      <c r="H91" s="541"/>
      <c r="I91" s="617">
        <f t="shared" si="1"/>
        <v>0</v>
      </c>
      <c r="J91" s="59"/>
      <c r="K91" s="59"/>
      <c r="L91" s="59"/>
      <c r="M91" s="59"/>
      <c r="N91" s="59"/>
      <c r="O91" s="59"/>
      <c r="P91" s="59"/>
      <c r="Q91" s="59"/>
    </row>
    <row r="92" spans="2:17" outlineLevel="1" x14ac:dyDescent="0.2">
      <c r="B92" s="59"/>
      <c r="C92" s="59"/>
      <c r="D92" s="59"/>
      <c r="E92" s="59"/>
      <c r="F92" s="59"/>
      <c r="G92" s="59"/>
      <c r="H92" s="541"/>
      <c r="I92" s="617">
        <f t="shared" si="1"/>
        <v>0</v>
      </c>
      <c r="J92" s="59"/>
      <c r="K92" s="59"/>
      <c r="L92" s="59"/>
      <c r="M92" s="59"/>
      <c r="N92" s="59"/>
      <c r="O92" s="59"/>
      <c r="P92" s="59"/>
      <c r="Q92" s="59"/>
    </row>
    <row r="93" spans="2:17" outlineLevel="1" x14ac:dyDescent="0.2">
      <c r="B93" s="59"/>
      <c r="C93" s="59"/>
      <c r="D93" s="59"/>
      <c r="E93" s="59"/>
      <c r="F93" s="59"/>
      <c r="G93" s="59"/>
      <c r="H93" s="541"/>
      <c r="I93" s="617">
        <f t="shared" si="1"/>
        <v>0</v>
      </c>
      <c r="J93" s="59"/>
      <c r="K93" s="59"/>
      <c r="L93" s="59"/>
      <c r="M93" s="59"/>
      <c r="N93" s="59"/>
      <c r="O93" s="59"/>
      <c r="P93" s="59"/>
      <c r="Q93" s="59"/>
    </row>
    <row r="94" spans="2:17" outlineLevel="1" x14ac:dyDescent="0.2">
      <c r="B94" s="59"/>
      <c r="C94" s="59"/>
      <c r="D94" s="59"/>
      <c r="E94" s="59"/>
      <c r="F94" s="59"/>
      <c r="G94" s="59"/>
      <c r="H94" s="541"/>
      <c r="I94" s="617">
        <f t="shared" si="1"/>
        <v>0</v>
      </c>
      <c r="J94" s="59"/>
      <c r="K94" s="59"/>
      <c r="L94" s="59"/>
      <c r="M94" s="59"/>
      <c r="N94" s="59"/>
      <c r="O94" s="59"/>
      <c r="P94" s="59"/>
      <c r="Q94" s="59"/>
    </row>
    <row r="95" spans="2:17" outlineLevel="1" x14ac:dyDescent="0.2">
      <c r="B95" s="59"/>
      <c r="C95" s="59"/>
      <c r="D95" s="59"/>
      <c r="E95" s="59"/>
      <c r="F95" s="59"/>
      <c r="G95" s="59"/>
      <c r="H95" s="541"/>
      <c r="I95" s="617">
        <f t="shared" si="1"/>
        <v>0</v>
      </c>
      <c r="J95" s="59"/>
      <c r="K95" s="59"/>
      <c r="L95" s="59"/>
      <c r="M95" s="59"/>
      <c r="N95" s="59"/>
      <c r="O95" s="59"/>
      <c r="P95" s="59"/>
      <c r="Q95" s="59"/>
    </row>
    <row r="96" spans="2:17" outlineLevel="1" x14ac:dyDescent="0.2">
      <c r="B96" s="59"/>
      <c r="C96" s="59"/>
      <c r="D96" s="59"/>
      <c r="E96" s="59"/>
      <c r="F96" s="59"/>
      <c r="G96" s="59"/>
      <c r="H96" s="541"/>
      <c r="I96" s="617">
        <f t="shared" si="1"/>
        <v>0</v>
      </c>
      <c r="J96" s="59"/>
      <c r="K96" s="59"/>
      <c r="L96" s="59"/>
      <c r="M96" s="59"/>
      <c r="N96" s="59"/>
      <c r="O96" s="59"/>
      <c r="P96" s="59"/>
      <c r="Q96" s="59"/>
    </row>
    <row r="97" spans="2:17" outlineLevel="1" x14ac:dyDescent="0.2">
      <c r="B97" s="59"/>
      <c r="C97" s="59"/>
      <c r="D97" s="59"/>
      <c r="E97" s="59"/>
      <c r="F97" s="59"/>
      <c r="G97" s="59"/>
      <c r="H97" s="541"/>
      <c r="I97" s="617">
        <f t="shared" si="1"/>
        <v>0</v>
      </c>
      <c r="J97" s="59"/>
      <c r="K97" s="59"/>
      <c r="L97" s="59"/>
      <c r="M97" s="59"/>
      <c r="N97" s="59"/>
      <c r="O97" s="59"/>
      <c r="P97" s="59"/>
      <c r="Q97" s="59"/>
    </row>
    <row r="98" spans="2:17" outlineLevel="1" x14ac:dyDescent="0.2">
      <c r="B98" s="59"/>
      <c r="C98" s="59"/>
      <c r="D98" s="59"/>
      <c r="E98" s="59"/>
      <c r="F98" s="59"/>
      <c r="G98" s="59"/>
      <c r="H98" s="541"/>
      <c r="I98" s="617">
        <f t="shared" si="1"/>
        <v>0</v>
      </c>
      <c r="J98" s="59"/>
      <c r="K98" s="59"/>
      <c r="L98" s="59"/>
      <c r="M98" s="59"/>
      <c r="N98" s="59"/>
      <c r="O98" s="59"/>
      <c r="P98" s="59"/>
      <c r="Q98" s="59"/>
    </row>
    <row r="99" spans="2:17" outlineLevel="1" x14ac:dyDescent="0.2">
      <c r="B99" s="59"/>
      <c r="C99" s="59"/>
      <c r="D99" s="59"/>
      <c r="E99" s="59"/>
      <c r="F99" s="59"/>
      <c r="G99" s="59"/>
      <c r="H99" s="541"/>
      <c r="I99" s="617">
        <f t="shared" si="1"/>
        <v>0</v>
      </c>
      <c r="J99" s="59"/>
      <c r="K99" s="59"/>
      <c r="L99" s="59"/>
      <c r="M99" s="59"/>
      <c r="N99" s="59"/>
      <c r="O99" s="59"/>
      <c r="P99" s="59"/>
      <c r="Q99" s="59"/>
    </row>
    <row r="100" spans="2:17" outlineLevel="1" x14ac:dyDescent="0.2">
      <c r="B100" s="59"/>
      <c r="C100" s="59"/>
      <c r="D100" s="59"/>
      <c r="E100" s="59"/>
      <c r="F100" s="59"/>
      <c r="G100" s="59"/>
      <c r="H100" s="541"/>
      <c r="I100" s="617">
        <f t="shared" si="1"/>
        <v>0</v>
      </c>
      <c r="J100" s="59"/>
      <c r="K100" s="59"/>
      <c r="L100" s="59"/>
      <c r="M100" s="59"/>
      <c r="N100" s="59"/>
      <c r="O100" s="59"/>
      <c r="P100" s="59"/>
      <c r="Q100" s="59"/>
    </row>
    <row r="101" spans="2:17" outlineLevel="1" x14ac:dyDescent="0.2">
      <c r="B101" s="59"/>
      <c r="C101" s="59"/>
      <c r="D101" s="59"/>
      <c r="E101" s="59"/>
      <c r="F101" s="59"/>
      <c r="G101" s="59"/>
      <c r="H101" s="541"/>
      <c r="I101" s="617">
        <f t="shared" si="1"/>
        <v>0</v>
      </c>
      <c r="J101" s="59"/>
      <c r="K101" s="59"/>
      <c r="L101" s="59"/>
      <c r="M101" s="59"/>
      <c r="N101" s="59"/>
      <c r="O101" s="59"/>
      <c r="P101" s="59"/>
      <c r="Q101" s="59"/>
    </row>
    <row r="102" spans="2:17" outlineLevel="1" x14ac:dyDescent="0.2">
      <c r="B102" s="59"/>
      <c r="C102" s="59"/>
      <c r="D102" s="59"/>
      <c r="E102" s="59"/>
      <c r="F102" s="59"/>
      <c r="G102" s="59"/>
      <c r="H102" s="541"/>
      <c r="I102" s="617">
        <f t="shared" si="1"/>
        <v>0</v>
      </c>
      <c r="J102" s="59"/>
      <c r="K102" s="59"/>
      <c r="L102" s="59"/>
      <c r="M102" s="59"/>
      <c r="N102" s="59"/>
      <c r="O102" s="59"/>
      <c r="P102" s="59"/>
      <c r="Q102" s="59"/>
    </row>
    <row r="103" spans="2:17" outlineLevel="1" x14ac:dyDescent="0.2">
      <c r="B103" s="59"/>
      <c r="C103" s="59"/>
      <c r="D103" s="59"/>
      <c r="E103" s="59"/>
      <c r="F103" s="59"/>
      <c r="G103" s="59"/>
      <c r="H103" s="541"/>
      <c r="I103" s="617">
        <f t="shared" si="1"/>
        <v>0</v>
      </c>
      <c r="J103" s="59"/>
      <c r="K103" s="59"/>
      <c r="L103" s="59"/>
      <c r="M103" s="59"/>
      <c r="N103" s="59"/>
      <c r="O103" s="59"/>
      <c r="P103" s="59"/>
      <c r="Q103" s="59"/>
    </row>
    <row r="104" spans="2:17" outlineLevel="1" x14ac:dyDescent="0.2">
      <c r="B104" s="59"/>
      <c r="C104" s="59"/>
      <c r="D104" s="59"/>
      <c r="E104" s="59"/>
      <c r="F104" s="59"/>
      <c r="G104" s="59"/>
      <c r="H104" s="541"/>
      <c r="I104" s="617">
        <f t="shared" si="1"/>
        <v>0</v>
      </c>
      <c r="J104" s="59"/>
      <c r="K104" s="59"/>
      <c r="L104" s="59"/>
      <c r="M104" s="59"/>
      <c r="N104" s="59"/>
      <c r="O104" s="59"/>
      <c r="P104" s="59"/>
      <c r="Q104" s="59"/>
    </row>
    <row r="105" spans="2:17" outlineLevel="1" x14ac:dyDescent="0.2">
      <c r="B105" s="59"/>
      <c r="C105" s="59"/>
      <c r="D105" s="59"/>
      <c r="E105" s="59"/>
      <c r="F105" s="59"/>
      <c r="G105" s="59"/>
      <c r="H105" s="541"/>
      <c r="I105" s="617">
        <f t="shared" si="1"/>
        <v>0</v>
      </c>
      <c r="J105" s="59"/>
      <c r="K105" s="59"/>
      <c r="L105" s="59"/>
      <c r="M105" s="59"/>
      <c r="N105" s="59"/>
      <c r="O105" s="59"/>
      <c r="P105" s="59"/>
      <c r="Q105" s="59"/>
    </row>
    <row r="106" spans="2:17" outlineLevel="1" x14ac:dyDescent="0.2">
      <c r="B106" s="59"/>
      <c r="C106" s="59"/>
      <c r="D106" s="59"/>
      <c r="E106" s="59"/>
      <c r="F106" s="59"/>
      <c r="G106" s="59"/>
      <c r="H106" s="541"/>
      <c r="I106" s="617">
        <f t="shared" si="1"/>
        <v>0</v>
      </c>
      <c r="J106" s="59"/>
      <c r="K106" s="59"/>
      <c r="L106" s="59"/>
      <c r="M106" s="59"/>
      <c r="N106" s="59"/>
      <c r="O106" s="59"/>
      <c r="P106" s="59"/>
      <c r="Q106" s="59"/>
    </row>
    <row r="107" spans="2:17" outlineLevel="1" x14ac:dyDescent="0.2">
      <c r="B107" s="59"/>
      <c r="C107" s="59"/>
      <c r="D107" s="59"/>
      <c r="E107" s="59"/>
      <c r="F107" s="59"/>
      <c r="G107" s="59"/>
      <c r="H107" s="541"/>
      <c r="I107" s="617">
        <f t="shared" si="1"/>
        <v>0</v>
      </c>
      <c r="J107" s="59"/>
      <c r="K107" s="59"/>
      <c r="L107" s="59"/>
      <c r="M107" s="59"/>
      <c r="N107" s="59"/>
      <c r="O107" s="59"/>
      <c r="P107" s="59"/>
      <c r="Q107" s="59"/>
    </row>
    <row r="108" spans="2:17" outlineLevel="1" x14ac:dyDescent="0.2">
      <c r="B108" s="59"/>
      <c r="C108" s="59"/>
      <c r="D108" s="59"/>
      <c r="E108" s="59"/>
      <c r="F108" s="59"/>
      <c r="G108" s="59"/>
      <c r="H108" s="541"/>
      <c r="I108" s="617">
        <f t="shared" si="1"/>
        <v>0</v>
      </c>
      <c r="J108" s="59"/>
      <c r="K108" s="59"/>
      <c r="L108" s="59"/>
      <c r="M108" s="59"/>
      <c r="N108" s="59"/>
      <c r="O108" s="59"/>
      <c r="P108" s="59"/>
      <c r="Q108" s="59"/>
    </row>
    <row r="109" spans="2:17" outlineLevel="1" x14ac:dyDescent="0.2">
      <c r="B109" s="59"/>
      <c r="C109" s="59"/>
      <c r="D109" s="59"/>
      <c r="E109" s="59"/>
      <c r="F109" s="59"/>
      <c r="G109" s="59"/>
      <c r="H109" s="541"/>
      <c r="I109" s="617">
        <f t="shared" si="1"/>
        <v>0</v>
      </c>
      <c r="J109" s="59"/>
      <c r="K109" s="59"/>
      <c r="L109" s="59"/>
      <c r="M109" s="59"/>
      <c r="N109" s="59"/>
      <c r="O109" s="59"/>
      <c r="P109" s="59"/>
      <c r="Q109" s="59"/>
    </row>
    <row r="110" spans="2:17" outlineLevel="1" x14ac:dyDescent="0.2">
      <c r="B110" s="59"/>
      <c r="C110" s="59"/>
      <c r="D110" s="59"/>
      <c r="E110" s="59"/>
      <c r="F110" s="59"/>
      <c r="G110" s="59"/>
      <c r="H110" s="541"/>
      <c r="I110" s="617">
        <f t="shared" si="1"/>
        <v>0</v>
      </c>
      <c r="J110" s="59"/>
      <c r="K110" s="59"/>
      <c r="L110" s="59"/>
      <c r="M110" s="59"/>
      <c r="N110" s="59"/>
      <c r="O110" s="59"/>
      <c r="P110" s="59"/>
      <c r="Q110" s="59"/>
    </row>
    <row r="111" spans="2:17" outlineLevel="1" x14ac:dyDescent="0.2">
      <c r="B111" s="59"/>
      <c r="C111" s="59"/>
      <c r="D111" s="59"/>
      <c r="E111" s="59"/>
      <c r="F111" s="59"/>
      <c r="G111" s="59"/>
      <c r="H111" s="541"/>
      <c r="I111" s="617">
        <f t="shared" si="1"/>
        <v>0</v>
      </c>
      <c r="J111" s="59"/>
      <c r="K111" s="59"/>
      <c r="L111" s="59"/>
      <c r="M111" s="59"/>
      <c r="N111" s="59"/>
      <c r="O111" s="59"/>
      <c r="P111" s="59"/>
      <c r="Q111" s="59"/>
    </row>
    <row r="112" spans="2:17" outlineLevel="1" x14ac:dyDescent="0.2">
      <c r="B112" s="59"/>
      <c r="C112" s="59"/>
      <c r="D112" s="59"/>
      <c r="E112" s="59"/>
      <c r="F112" s="59"/>
      <c r="G112" s="59"/>
      <c r="H112" s="541"/>
      <c r="I112" s="617">
        <f t="shared" si="1"/>
        <v>0</v>
      </c>
      <c r="J112" s="59"/>
      <c r="K112" s="59"/>
      <c r="L112" s="59"/>
      <c r="M112" s="59"/>
      <c r="N112" s="59"/>
      <c r="O112" s="59"/>
      <c r="P112" s="59"/>
      <c r="Q112" s="59"/>
    </row>
    <row r="113" spans="2:17" outlineLevel="1" x14ac:dyDescent="0.2">
      <c r="B113" s="59"/>
      <c r="C113" s="59"/>
      <c r="D113" s="59"/>
      <c r="E113" s="59"/>
      <c r="F113" s="59"/>
      <c r="G113" s="59"/>
      <c r="H113" s="541"/>
      <c r="I113" s="617">
        <f t="shared" si="1"/>
        <v>0</v>
      </c>
      <c r="J113" s="59"/>
      <c r="K113" s="59"/>
      <c r="L113" s="59"/>
      <c r="M113" s="59"/>
      <c r="N113" s="59"/>
      <c r="O113" s="59"/>
      <c r="P113" s="59"/>
      <c r="Q113" s="59"/>
    </row>
    <row r="114" spans="2:17" outlineLevel="1" x14ac:dyDescent="0.2">
      <c r="B114" s="59"/>
      <c r="C114" s="59"/>
      <c r="D114" s="59"/>
      <c r="E114" s="59"/>
      <c r="F114" s="59"/>
      <c r="G114" s="59"/>
      <c r="H114" s="541"/>
      <c r="I114" s="617">
        <f t="shared" si="1"/>
        <v>0</v>
      </c>
      <c r="J114" s="59"/>
      <c r="K114" s="59"/>
      <c r="L114" s="59"/>
      <c r="M114" s="59"/>
      <c r="N114" s="59"/>
      <c r="O114" s="59"/>
      <c r="P114" s="59"/>
      <c r="Q114" s="59"/>
    </row>
    <row r="115" spans="2:17" outlineLevel="1" x14ac:dyDescent="0.2">
      <c r="B115" s="59"/>
      <c r="C115" s="59"/>
      <c r="D115" s="59"/>
      <c r="E115" s="59"/>
      <c r="F115" s="59"/>
      <c r="G115" s="59"/>
      <c r="H115" s="541"/>
      <c r="I115" s="617">
        <f t="shared" si="1"/>
        <v>0</v>
      </c>
      <c r="J115" s="59"/>
      <c r="K115" s="59"/>
      <c r="L115" s="59"/>
      <c r="M115" s="59"/>
      <c r="N115" s="59"/>
      <c r="O115" s="59"/>
      <c r="P115" s="59"/>
      <c r="Q115" s="59"/>
    </row>
    <row r="116" spans="2:17" outlineLevel="1" x14ac:dyDescent="0.2">
      <c r="B116" s="59"/>
      <c r="C116" s="59"/>
      <c r="D116" s="59"/>
      <c r="E116" s="59"/>
      <c r="F116" s="59"/>
      <c r="G116" s="59"/>
      <c r="H116" s="541"/>
      <c r="I116" s="617">
        <f t="shared" si="1"/>
        <v>0</v>
      </c>
      <c r="J116" s="59"/>
      <c r="K116" s="59"/>
      <c r="L116" s="59"/>
      <c r="M116" s="59"/>
      <c r="N116" s="59"/>
      <c r="O116" s="59"/>
      <c r="P116" s="59"/>
      <c r="Q116" s="59"/>
    </row>
    <row r="117" spans="2:17" outlineLevel="1" x14ac:dyDescent="0.2">
      <c r="B117" s="59"/>
      <c r="C117" s="59"/>
      <c r="D117" s="59"/>
      <c r="E117" s="59"/>
      <c r="F117" s="59"/>
      <c r="G117" s="59"/>
      <c r="H117" s="541"/>
      <c r="I117" s="617">
        <f t="shared" si="1"/>
        <v>0</v>
      </c>
      <c r="J117" s="59"/>
      <c r="K117" s="59"/>
      <c r="L117" s="59"/>
      <c r="M117" s="59"/>
      <c r="N117" s="59"/>
      <c r="O117" s="59"/>
      <c r="P117" s="59"/>
      <c r="Q117" s="59"/>
    </row>
    <row r="118" spans="2:17" outlineLevel="1" x14ac:dyDescent="0.2">
      <c r="B118" s="59"/>
      <c r="C118" s="59"/>
      <c r="D118" s="59"/>
      <c r="E118" s="59"/>
      <c r="F118" s="59"/>
      <c r="G118" s="59"/>
      <c r="H118" s="541"/>
      <c r="I118" s="617">
        <f t="shared" si="1"/>
        <v>0</v>
      </c>
      <c r="J118" s="59"/>
      <c r="K118" s="59"/>
      <c r="L118" s="59"/>
      <c r="M118" s="59"/>
      <c r="N118" s="59"/>
      <c r="O118" s="59"/>
      <c r="P118" s="59"/>
      <c r="Q118" s="59"/>
    </row>
    <row r="119" spans="2:17" outlineLevel="1" x14ac:dyDescent="0.2">
      <c r="B119" s="59"/>
      <c r="C119" s="59"/>
      <c r="D119" s="59"/>
      <c r="E119" s="59"/>
      <c r="F119" s="59"/>
      <c r="G119" s="59"/>
      <c r="H119" s="541"/>
      <c r="I119" s="617">
        <f t="shared" si="1"/>
        <v>0</v>
      </c>
      <c r="J119" s="59"/>
      <c r="K119" s="59"/>
      <c r="L119" s="59"/>
      <c r="M119" s="59"/>
      <c r="N119" s="59"/>
      <c r="O119" s="59"/>
      <c r="P119" s="59"/>
      <c r="Q119" s="59"/>
    </row>
    <row r="120" spans="2:17" outlineLevel="1" x14ac:dyDescent="0.2">
      <c r="B120" s="59"/>
      <c r="C120" s="59"/>
      <c r="D120" s="59"/>
      <c r="E120" s="59"/>
      <c r="F120" s="59"/>
      <c r="G120" s="59"/>
      <c r="H120" s="541"/>
      <c r="I120" s="617">
        <f t="shared" si="1"/>
        <v>0</v>
      </c>
      <c r="J120" s="59"/>
      <c r="K120" s="59"/>
      <c r="L120" s="59"/>
      <c r="M120" s="59"/>
      <c r="N120" s="59"/>
      <c r="O120" s="59"/>
      <c r="P120" s="59"/>
      <c r="Q120" s="59"/>
    </row>
    <row r="121" spans="2:17" outlineLevel="1" x14ac:dyDescent="0.2">
      <c r="B121" s="59"/>
      <c r="C121" s="59"/>
      <c r="D121" s="59"/>
      <c r="E121" s="59"/>
      <c r="F121" s="59"/>
      <c r="G121" s="59"/>
      <c r="H121" s="541"/>
      <c r="I121" s="617">
        <f t="shared" si="1"/>
        <v>0</v>
      </c>
      <c r="J121" s="59"/>
      <c r="K121" s="59"/>
      <c r="L121" s="59"/>
      <c r="M121" s="59"/>
      <c r="N121" s="59"/>
      <c r="O121" s="59"/>
      <c r="P121" s="59"/>
      <c r="Q121" s="59"/>
    </row>
    <row r="122" spans="2:17" outlineLevel="1" x14ac:dyDescent="0.2">
      <c r="B122" s="59"/>
      <c r="C122" s="59"/>
      <c r="D122" s="59"/>
      <c r="E122" s="59"/>
      <c r="F122" s="59"/>
      <c r="G122" s="59"/>
      <c r="H122" s="541"/>
      <c r="I122" s="617">
        <f t="shared" si="1"/>
        <v>0</v>
      </c>
      <c r="J122" s="59"/>
      <c r="K122" s="59"/>
      <c r="L122" s="59"/>
      <c r="M122" s="59"/>
      <c r="N122" s="59"/>
      <c r="O122" s="59"/>
      <c r="P122" s="59"/>
      <c r="Q122" s="59"/>
    </row>
    <row r="123" spans="2:17" outlineLevel="1" x14ac:dyDescent="0.2">
      <c r="B123" s="59"/>
      <c r="C123" s="59"/>
      <c r="D123" s="59"/>
      <c r="E123" s="59"/>
      <c r="F123" s="59"/>
      <c r="G123" s="59"/>
      <c r="H123" s="541"/>
      <c r="I123" s="617">
        <f t="shared" si="1"/>
        <v>0</v>
      </c>
      <c r="J123" s="59"/>
      <c r="K123" s="59"/>
      <c r="L123" s="59"/>
      <c r="M123" s="59"/>
      <c r="N123" s="59"/>
      <c r="O123" s="59"/>
      <c r="P123" s="59"/>
      <c r="Q123" s="59"/>
    </row>
    <row r="124" spans="2:17" outlineLevel="1" x14ac:dyDescent="0.2">
      <c r="B124" s="59"/>
      <c r="C124" s="59"/>
      <c r="D124" s="59"/>
      <c r="E124" s="59"/>
      <c r="F124" s="59"/>
      <c r="G124" s="59"/>
      <c r="H124" s="541"/>
      <c r="I124" s="617">
        <f t="shared" si="1"/>
        <v>0</v>
      </c>
      <c r="J124" s="59"/>
      <c r="K124" s="59"/>
      <c r="L124" s="59"/>
      <c r="M124" s="59"/>
      <c r="N124" s="59"/>
      <c r="O124" s="59"/>
      <c r="P124" s="59"/>
      <c r="Q124" s="59"/>
    </row>
    <row r="125" spans="2:17" outlineLevel="1" x14ac:dyDescent="0.2">
      <c r="B125" s="59"/>
      <c r="C125" s="59"/>
      <c r="D125" s="59"/>
      <c r="E125" s="59"/>
      <c r="F125" s="59"/>
      <c r="G125" s="59"/>
      <c r="H125" s="541"/>
      <c r="I125" s="617">
        <f t="shared" si="1"/>
        <v>0</v>
      </c>
      <c r="J125" s="59"/>
      <c r="K125" s="59"/>
      <c r="L125" s="59"/>
      <c r="M125" s="59"/>
      <c r="N125" s="59"/>
      <c r="O125" s="59"/>
      <c r="P125" s="59"/>
      <c r="Q125" s="59"/>
    </row>
    <row r="126" spans="2:17" outlineLevel="1" x14ac:dyDescent="0.2">
      <c r="B126" s="59"/>
      <c r="C126" s="59"/>
      <c r="D126" s="59"/>
      <c r="E126" s="59"/>
      <c r="F126" s="59"/>
      <c r="G126" s="59"/>
      <c r="H126" s="541"/>
      <c r="I126" s="617">
        <f t="shared" si="1"/>
        <v>0</v>
      </c>
      <c r="J126" s="59"/>
      <c r="K126" s="59"/>
      <c r="L126" s="59"/>
      <c r="M126" s="59"/>
      <c r="N126" s="59"/>
      <c r="O126" s="59"/>
      <c r="P126" s="59"/>
      <c r="Q126" s="59"/>
    </row>
    <row r="127" spans="2:17" outlineLevel="1" x14ac:dyDescent="0.2">
      <c r="B127" s="59"/>
      <c r="C127" s="59"/>
      <c r="D127" s="59"/>
      <c r="E127" s="59"/>
      <c r="F127" s="59"/>
      <c r="G127" s="59"/>
      <c r="H127" s="541"/>
      <c r="I127" s="617">
        <f t="shared" si="1"/>
        <v>0</v>
      </c>
      <c r="J127" s="59"/>
      <c r="K127" s="59"/>
      <c r="L127" s="59"/>
      <c r="M127" s="59"/>
      <c r="N127" s="59"/>
      <c r="O127" s="59"/>
      <c r="P127" s="59"/>
      <c r="Q127" s="59"/>
    </row>
    <row r="128" spans="2:17" outlineLevel="1" x14ac:dyDescent="0.2">
      <c r="B128" s="59"/>
      <c r="C128" s="59"/>
      <c r="D128" s="59"/>
      <c r="E128" s="59"/>
      <c r="F128" s="59"/>
      <c r="G128" s="59"/>
      <c r="H128" s="541"/>
      <c r="I128" s="617">
        <f t="shared" si="1"/>
        <v>0</v>
      </c>
      <c r="J128" s="59"/>
      <c r="K128" s="59"/>
      <c r="L128" s="59"/>
      <c r="M128" s="59"/>
      <c r="N128" s="59"/>
      <c r="O128" s="59"/>
      <c r="P128" s="59"/>
      <c r="Q128" s="59"/>
    </row>
    <row r="129" spans="2:17" outlineLevel="1" x14ac:dyDescent="0.2">
      <c r="B129" s="59"/>
      <c r="C129" s="59"/>
      <c r="D129" s="59"/>
      <c r="E129" s="59"/>
      <c r="F129" s="59"/>
      <c r="G129" s="59"/>
      <c r="H129" s="541"/>
      <c r="I129" s="617">
        <f t="shared" si="1"/>
        <v>0</v>
      </c>
      <c r="J129" s="59"/>
      <c r="K129" s="59"/>
      <c r="L129" s="59"/>
      <c r="M129" s="59"/>
      <c r="N129" s="59"/>
      <c r="O129" s="59"/>
      <c r="P129" s="59"/>
      <c r="Q129" s="59"/>
    </row>
    <row r="130" spans="2:17" outlineLevel="1" x14ac:dyDescent="0.2">
      <c r="B130" s="59"/>
      <c r="C130" s="59"/>
      <c r="D130" s="59"/>
      <c r="E130" s="59"/>
      <c r="F130" s="59"/>
      <c r="G130" s="59"/>
      <c r="H130" s="541"/>
      <c r="I130" s="617">
        <f t="shared" si="1"/>
        <v>0</v>
      </c>
      <c r="J130" s="59"/>
      <c r="K130" s="59"/>
      <c r="L130" s="59"/>
      <c r="M130" s="59"/>
      <c r="N130" s="59"/>
      <c r="O130" s="59"/>
      <c r="P130" s="59"/>
      <c r="Q130" s="59"/>
    </row>
    <row r="131" spans="2:17" outlineLevel="1" x14ac:dyDescent="0.2">
      <c r="B131" s="59"/>
      <c r="C131" s="59"/>
      <c r="D131" s="59"/>
      <c r="E131" s="59"/>
      <c r="F131" s="59"/>
      <c r="G131" s="59"/>
      <c r="H131" s="541"/>
      <c r="I131" s="617">
        <f t="shared" si="1"/>
        <v>0</v>
      </c>
      <c r="J131" s="59"/>
      <c r="K131" s="59"/>
      <c r="L131" s="59"/>
      <c r="M131" s="59"/>
      <c r="N131" s="59"/>
      <c r="O131" s="59"/>
      <c r="P131" s="59"/>
      <c r="Q131" s="59"/>
    </row>
    <row r="132" spans="2:17" outlineLevel="1" x14ac:dyDescent="0.2">
      <c r="B132" s="59"/>
      <c r="C132" s="59"/>
      <c r="D132" s="59"/>
      <c r="E132" s="59"/>
      <c r="F132" s="59"/>
      <c r="G132" s="59"/>
      <c r="H132" s="541"/>
      <c r="I132" s="617">
        <f t="shared" si="1"/>
        <v>0</v>
      </c>
      <c r="J132" s="59"/>
      <c r="K132" s="59"/>
      <c r="L132" s="59"/>
      <c r="M132" s="59"/>
      <c r="N132" s="59"/>
      <c r="O132" s="59"/>
      <c r="P132" s="59"/>
      <c r="Q132" s="59"/>
    </row>
    <row r="133" spans="2:17" outlineLevel="1" x14ac:dyDescent="0.2">
      <c r="B133" s="59"/>
      <c r="C133" s="59"/>
      <c r="D133" s="59"/>
      <c r="E133" s="59"/>
      <c r="F133" s="59"/>
      <c r="G133" s="59"/>
      <c r="H133" s="541"/>
      <c r="I133" s="617">
        <f t="shared" ref="I133:I196" si="2">G133*H133</f>
        <v>0</v>
      </c>
      <c r="J133" s="59"/>
      <c r="K133" s="59"/>
      <c r="L133" s="59"/>
      <c r="M133" s="59"/>
      <c r="N133" s="59"/>
      <c r="O133" s="59"/>
      <c r="P133" s="59"/>
      <c r="Q133" s="59"/>
    </row>
    <row r="134" spans="2:17" outlineLevel="1" x14ac:dyDescent="0.2">
      <c r="B134" s="59"/>
      <c r="C134" s="59"/>
      <c r="D134" s="59"/>
      <c r="E134" s="59"/>
      <c r="F134" s="59"/>
      <c r="G134" s="59"/>
      <c r="H134" s="541"/>
      <c r="I134" s="617">
        <f t="shared" si="2"/>
        <v>0</v>
      </c>
      <c r="J134" s="59"/>
      <c r="K134" s="59"/>
      <c r="L134" s="59"/>
      <c r="M134" s="59"/>
      <c r="N134" s="59"/>
      <c r="O134" s="59"/>
      <c r="P134" s="59"/>
      <c r="Q134" s="59"/>
    </row>
    <row r="135" spans="2:17" outlineLevel="1" x14ac:dyDescent="0.2">
      <c r="B135" s="59"/>
      <c r="C135" s="59"/>
      <c r="D135" s="59"/>
      <c r="E135" s="59"/>
      <c r="F135" s="59"/>
      <c r="G135" s="59"/>
      <c r="H135" s="541"/>
      <c r="I135" s="617">
        <f t="shared" si="2"/>
        <v>0</v>
      </c>
      <c r="J135" s="59"/>
      <c r="K135" s="59"/>
      <c r="L135" s="59"/>
      <c r="M135" s="59"/>
      <c r="N135" s="59"/>
      <c r="O135" s="59"/>
      <c r="P135" s="59"/>
      <c r="Q135" s="59"/>
    </row>
    <row r="136" spans="2:17" outlineLevel="1" x14ac:dyDescent="0.2">
      <c r="B136" s="59"/>
      <c r="C136" s="59"/>
      <c r="D136" s="59"/>
      <c r="E136" s="59"/>
      <c r="F136" s="59"/>
      <c r="G136" s="59"/>
      <c r="H136" s="541"/>
      <c r="I136" s="617">
        <f t="shared" si="2"/>
        <v>0</v>
      </c>
      <c r="J136" s="59"/>
      <c r="K136" s="59"/>
      <c r="L136" s="59"/>
      <c r="M136" s="59"/>
      <c r="N136" s="59"/>
      <c r="O136" s="59"/>
      <c r="P136" s="59"/>
      <c r="Q136" s="59"/>
    </row>
    <row r="137" spans="2:17" outlineLevel="1" x14ac:dyDescent="0.2">
      <c r="B137" s="59"/>
      <c r="C137" s="59"/>
      <c r="D137" s="59"/>
      <c r="E137" s="59"/>
      <c r="F137" s="59"/>
      <c r="G137" s="59"/>
      <c r="H137" s="541"/>
      <c r="I137" s="617">
        <f t="shared" si="2"/>
        <v>0</v>
      </c>
      <c r="J137" s="59"/>
      <c r="K137" s="59"/>
      <c r="L137" s="59"/>
      <c r="M137" s="59"/>
      <c r="N137" s="59"/>
      <c r="O137" s="59"/>
      <c r="P137" s="59"/>
      <c r="Q137" s="59"/>
    </row>
    <row r="138" spans="2:17" outlineLevel="1" x14ac:dyDescent="0.2">
      <c r="B138" s="59"/>
      <c r="C138" s="59"/>
      <c r="D138" s="59"/>
      <c r="E138" s="59"/>
      <c r="F138" s="59"/>
      <c r="G138" s="59"/>
      <c r="H138" s="541"/>
      <c r="I138" s="617">
        <f t="shared" si="2"/>
        <v>0</v>
      </c>
      <c r="J138" s="59"/>
      <c r="K138" s="59"/>
      <c r="L138" s="59"/>
      <c r="M138" s="59"/>
      <c r="N138" s="59"/>
      <c r="O138" s="59"/>
      <c r="P138" s="59"/>
      <c r="Q138" s="59"/>
    </row>
    <row r="139" spans="2:17" outlineLevel="1" x14ac:dyDescent="0.2">
      <c r="B139" s="59"/>
      <c r="C139" s="59"/>
      <c r="D139" s="59"/>
      <c r="E139" s="59"/>
      <c r="F139" s="59"/>
      <c r="G139" s="59"/>
      <c r="H139" s="541"/>
      <c r="I139" s="617">
        <f t="shared" si="2"/>
        <v>0</v>
      </c>
      <c r="J139" s="59"/>
      <c r="K139" s="59"/>
      <c r="L139" s="59"/>
      <c r="M139" s="59"/>
      <c r="N139" s="59"/>
      <c r="O139" s="59"/>
      <c r="P139" s="59"/>
      <c r="Q139" s="59"/>
    </row>
    <row r="140" spans="2:17" outlineLevel="1" x14ac:dyDescent="0.2">
      <c r="B140" s="59"/>
      <c r="C140" s="59"/>
      <c r="D140" s="59"/>
      <c r="E140" s="59"/>
      <c r="F140" s="59"/>
      <c r="G140" s="59"/>
      <c r="H140" s="541"/>
      <c r="I140" s="617">
        <f t="shared" si="2"/>
        <v>0</v>
      </c>
      <c r="J140" s="59"/>
      <c r="K140" s="59"/>
      <c r="L140" s="59"/>
      <c r="M140" s="59"/>
      <c r="N140" s="59"/>
      <c r="O140" s="59"/>
      <c r="P140" s="59"/>
      <c r="Q140" s="59"/>
    </row>
    <row r="141" spans="2:17" outlineLevel="1" x14ac:dyDescent="0.2">
      <c r="B141" s="59"/>
      <c r="C141" s="59"/>
      <c r="D141" s="59"/>
      <c r="E141" s="59"/>
      <c r="F141" s="59"/>
      <c r="G141" s="59"/>
      <c r="H141" s="541"/>
      <c r="I141" s="617">
        <f t="shared" si="2"/>
        <v>0</v>
      </c>
      <c r="J141" s="59"/>
      <c r="K141" s="59"/>
      <c r="L141" s="59"/>
      <c r="M141" s="59"/>
      <c r="N141" s="59"/>
      <c r="O141" s="59"/>
      <c r="P141" s="59"/>
      <c r="Q141" s="59"/>
    </row>
    <row r="142" spans="2:17" outlineLevel="1" x14ac:dyDescent="0.2">
      <c r="B142" s="59"/>
      <c r="C142" s="59"/>
      <c r="D142" s="59"/>
      <c r="E142" s="59"/>
      <c r="F142" s="59"/>
      <c r="G142" s="59"/>
      <c r="H142" s="541"/>
      <c r="I142" s="617">
        <f t="shared" si="2"/>
        <v>0</v>
      </c>
      <c r="J142" s="59"/>
      <c r="K142" s="59"/>
      <c r="L142" s="59"/>
      <c r="M142" s="59"/>
      <c r="N142" s="59"/>
      <c r="O142" s="59"/>
      <c r="P142" s="59"/>
      <c r="Q142" s="59"/>
    </row>
    <row r="143" spans="2:17" outlineLevel="1" x14ac:dyDescent="0.2">
      <c r="B143" s="59"/>
      <c r="C143" s="59"/>
      <c r="D143" s="59"/>
      <c r="E143" s="59"/>
      <c r="F143" s="59"/>
      <c r="G143" s="59"/>
      <c r="H143" s="541"/>
      <c r="I143" s="617">
        <f t="shared" si="2"/>
        <v>0</v>
      </c>
      <c r="J143" s="59"/>
      <c r="K143" s="59"/>
      <c r="L143" s="59"/>
      <c r="M143" s="59"/>
      <c r="N143" s="59"/>
      <c r="O143" s="59"/>
      <c r="P143" s="59"/>
      <c r="Q143" s="59"/>
    </row>
    <row r="144" spans="2:17" outlineLevel="1" x14ac:dyDescent="0.2">
      <c r="B144" s="59"/>
      <c r="C144" s="59"/>
      <c r="D144" s="59"/>
      <c r="E144" s="59"/>
      <c r="F144" s="59"/>
      <c r="G144" s="59"/>
      <c r="H144" s="541"/>
      <c r="I144" s="617">
        <f t="shared" si="2"/>
        <v>0</v>
      </c>
      <c r="J144" s="59"/>
      <c r="K144" s="59"/>
      <c r="L144" s="59"/>
      <c r="M144" s="59"/>
      <c r="N144" s="59"/>
      <c r="O144" s="59"/>
      <c r="P144" s="59"/>
      <c r="Q144" s="59"/>
    </row>
    <row r="145" spans="2:17" outlineLevel="1" x14ac:dyDescent="0.2">
      <c r="B145" s="59"/>
      <c r="C145" s="59"/>
      <c r="D145" s="59"/>
      <c r="E145" s="59"/>
      <c r="F145" s="59"/>
      <c r="G145" s="59"/>
      <c r="H145" s="541"/>
      <c r="I145" s="617">
        <f t="shared" si="2"/>
        <v>0</v>
      </c>
      <c r="J145" s="59"/>
      <c r="K145" s="59"/>
      <c r="L145" s="59"/>
      <c r="M145" s="59"/>
      <c r="N145" s="59"/>
      <c r="O145" s="59"/>
      <c r="P145" s="59"/>
      <c r="Q145" s="59"/>
    </row>
    <row r="146" spans="2:17" outlineLevel="1" x14ac:dyDescent="0.2">
      <c r="B146" s="59"/>
      <c r="C146" s="59"/>
      <c r="D146" s="59"/>
      <c r="E146" s="59"/>
      <c r="F146" s="59"/>
      <c r="G146" s="59"/>
      <c r="H146" s="541"/>
      <c r="I146" s="617">
        <f t="shared" si="2"/>
        <v>0</v>
      </c>
      <c r="J146" s="59"/>
      <c r="K146" s="59"/>
      <c r="L146" s="59"/>
      <c r="M146" s="59"/>
      <c r="N146" s="59"/>
      <c r="O146" s="59"/>
      <c r="P146" s="59"/>
      <c r="Q146" s="59"/>
    </row>
    <row r="147" spans="2:17" outlineLevel="1" x14ac:dyDescent="0.2">
      <c r="B147" s="59"/>
      <c r="C147" s="59"/>
      <c r="D147" s="59"/>
      <c r="E147" s="59"/>
      <c r="F147" s="59"/>
      <c r="G147" s="59"/>
      <c r="H147" s="541"/>
      <c r="I147" s="617">
        <f t="shared" si="2"/>
        <v>0</v>
      </c>
      <c r="J147" s="59"/>
      <c r="K147" s="59"/>
      <c r="L147" s="59"/>
      <c r="M147" s="59"/>
      <c r="N147" s="59"/>
      <c r="O147" s="59"/>
      <c r="P147" s="59"/>
      <c r="Q147" s="59"/>
    </row>
    <row r="148" spans="2:17" outlineLevel="1" x14ac:dyDescent="0.2">
      <c r="B148" s="59"/>
      <c r="C148" s="59"/>
      <c r="D148" s="59"/>
      <c r="E148" s="59"/>
      <c r="F148" s="59"/>
      <c r="G148" s="59"/>
      <c r="H148" s="541"/>
      <c r="I148" s="617">
        <f t="shared" si="2"/>
        <v>0</v>
      </c>
      <c r="J148" s="59"/>
      <c r="K148" s="59"/>
      <c r="L148" s="59"/>
      <c r="M148" s="59"/>
      <c r="N148" s="59"/>
      <c r="O148" s="59"/>
      <c r="P148" s="59"/>
      <c r="Q148" s="59"/>
    </row>
    <row r="149" spans="2:17" outlineLevel="1" x14ac:dyDescent="0.2">
      <c r="B149" s="59"/>
      <c r="C149" s="59"/>
      <c r="D149" s="59"/>
      <c r="E149" s="59"/>
      <c r="F149" s="59"/>
      <c r="G149" s="59"/>
      <c r="H149" s="541"/>
      <c r="I149" s="617">
        <f t="shared" si="2"/>
        <v>0</v>
      </c>
      <c r="J149" s="59"/>
      <c r="K149" s="59"/>
      <c r="L149" s="59"/>
      <c r="M149" s="59"/>
      <c r="N149" s="59"/>
      <c r="O149" s="59"/>
      <c r="P149" s="59"/>
      <c r="Q149" s="59"/>
    </row>
    <row r="150" spans="2:17" outlineLevel="1" x14ac:dyDescent="0.2">
      <c r="B150" s="59"/>
      <c r="C150" s="59"/>
      <c r="D150" s="59"/>
      <c r="E150" s="59"/>
      <c r="F150" s="59"/>
      <c r="G150" s="59"/>
      <c r="H150" s="541"/>
      <c r="I150" s="617">
        <f t="shared" si="2"/>
        <v>0</v>
      </c>
      <c r="J150" s="59"/>
      <c r="K150" s="59"/>
      <c r="L150" s="59"/>
      <c r="M150" s="59"/>
      <c r="N150" s="59"/>
      <c r="O150" s="59"/>
      <c r="P150" s="59"/>
      <c r="Q150" s="59"/>
    </row>
    <row r="151" spans="2:17" outlineLevel="1" x14ac:dyDescent="0.2">
      <c r="B151" s="59"/>
      <c r="C151" s="59"/>
      <c r="D151" s="59"/>
      <c r="E151" s="59"/>
      <c r="F151" s="59"/>
      <c r="G151" s="59"/>
      <c r="H151" s="541"/>
      <c r="I151" s="617">
        <f t="shared" si="2"/>
        <v>0</v>
      </c>
      <c r="J151" s="59"/>
      <c r="K151" s="59"/>
      <c r="L151" s="59"/>
      <c r="M151" s="59"/>
      <c r="N151" s="59"/>
      <c r="O151" s="59"/>
      <c r="P151" s="59"/>
      <c r="Q151" s="59"/>
    </row>
    <row r="152" spans="2:17" outlineLevel="1" x14ac:dyDescent="0.2">
      <c r="B152" s="59"/>
      <c r="C152" s="59"/>
      <c r="D152" s="59"/>
      <c r="E152" s="59"/>
      <c r="F152" s="59"/>
      <c r="G152" s="59"/>
      <c r="H152" s="541"/>
      <c r="I152" s="617">
        <f t="shared" si="2"/>
        <v>0</v>
      </c>
      <c r="J152" s="59"/>
      <c r="K152" s="59"/>
      <c r="L152" s="59"/>
      <c r="M152" s="59"/>
      <c r="N152" s="59"/>
      <c r="O152" s="59"/>
      <c r="P152" s="59"/>
      <c r="Q152" s="59"/>
    </row>
    <row r="153" spans="2:17" outlineLevel="1" x14ac:dyDescent="0.2">
      <c r="B153" s="59"/>
      <c r="C153" s="59"/>
      <c r="D153" s="59"/>
      <c r="E153" s="59"/>
      <c r="F153" s="59"/>
      <c r="G153" s="59"/>
      <c r="H153" s="541"/>
      <c r="I153" s="617">
        <f t="shared" si="2"/>
        <v>0</v>
      </c>
      <c r="J153" s="59"/>
      <c r="K153" s="59"/>
      <c r="L153" s="59"/>
      <c r="M153" s="59"/>
      <c r="N153" s="59"/>
      <c r="O153" s="59"/>
      <c r="P153" s="59"/>
      <c r="Q153" s="59"/>
    </row>
    <row r="154" spans="2:17" outlineLevel="1" x14ac:dyDescent="0.2">
      <c r="B154" s="59"/>
      <c r="C154" s="59"/>
      <c r="D154" s="59"/>
      <c r="E154" s="59"/>
      <c r="F154" s="59"/>
      <c r="G154" s="59"/>
      <c r="H154" s="541"/>
      <c r="I154" s="617">
        <f t="shared" si="2"/>
        <v>0</v>
      </c>
      <c r="J154" s="59"/>
      <c r="K154" s="59"/>
      <c r="L154" s="59"/>
      <c r="M154" s="59"/>
      <c r="N154" s="59"/>
      <c r="O154" s="59"/>
      <c r="P154" s="59"/>
      <c r="Q154" s="59"/>
    </row>
    <row r="155" spans="2:17" outlineLevel="1" x14ac:dyDescent="0.2">
      <c r="B155" s="59"/>
      <c r="C155" s="59"/>
      <c r="D155" s="59"/>
      <c r="E155" s="59"/>
      <c r="F155" s="59"/>
      <c r="G155" s="59"/>
      <c r="H155" s="541"/>
      <c r="I155" s="617">
        <f t="shared" si="2"/>
        <v>0</v>
      </c>
      <c r="J155" s="59"/>
      <c r="K155" s="59"/>
      <c r="L155" s="59"/>
      <c r="M155" s="59"/>
      <c r="N155" s="59"/>
      <c r="O155" s="59"/>
      <c r="P155" s="59"/>
      <c r="Q155" s="59"/>
    </row>
    <row r="156" spans="2:17" outlineLevel="1" x14ac:dyDescent="0.2">
      <c r="B156" s="59"/>
      <c r="C156" s="59"/>
      <c r="D156" s="59"/>
      <c r="E156" s="59"/>
      <c r="F156" s="59"/>
      <c r="G156" s="59"/>
      <c r="H156" s="541"/>
      <c r="I156" s="617">
        <f t="shared" si="2"/>
        <v>0</v>
      </c>
      <c r="J156" s="59"/>
      <c r="K156" s="59"/>
      <c r="L156" s="59"/>
      <c r="M156" s="59"/>
      <c r="N156" s="59"/>
      <c r="O156" s="59"/>
      <c r="P156" s="59"/>
      <c r="Q156" s="59"/>
    </row>
    <row r="157" spans="2:17" outlineLevel="1" x14ac:dyDescent="0.2">
      <c r="B157" s="59"/>
      <c r="C157" s="59"/>
      <c r="D157" s="59"/>
      <c r="E157" s="59"/>
      <c r="F157" s="59"/>
      <c r="G157" s="59"/>
      <c r="H157" s="541"/>
      <c r="I157" s="617">
        <f t="shared" si="2"/>
        <v>0</v>
      </c>
      <c r="J157" s="59"/>
      <c r="K157" s="59"/>
      <c r="L157" s="59"/>
      <c r="M157" s="59"/>
      <c r="N157" s="59"/>
      <c r="O157" s="59"/>
      <c r="P157" s="59"/>
      <c r="Q157" s="59"/>
    </row>
    <row r="158" spans="2:17" outlineLevel="1" x14ac:dyDescent="0.2">
      <c r="B158" s="59"/>
      <c r="C158" s="59"/>
      <c r="D158" s="59"/>
      <c r="E158" s="59"/>
      <c r="F158" s="59"/>
      <c r="G158" s="59"/>
      <c r="H158" s="541"/>
      <c r="I158" s="617">
        <f t="shared" si="2"/>
        <v>0</v>
      </c>
      <c r="J158" s="59"/>
      <c r="K158" s="59"/>
      <c r="L158" s="59"/>
      <c r="M158" s="59"/>
      <c r="N158" s="59"/>
      <c r="O158" s="59"/>
      <c r="P158" s="59"/>
      <c r="Q158" s="59"/>
    </row>
    <row r="159" spans="2:17" outlineLevel="1" x14ac:dyDescent="0.2">
      <c r="B159" s="59"/>
      <c r="C159" s="59"/>
      <c r="D159" s="59"/>
      <c r="E159" s="59"/>
      <c r="F159" s="59"/>
      <c r="G159" s="59"/>
      <c r="H159" s="541"/>
      <c r="I159" s="617">
        <f t="shared" si="2"/>
        <v>0</v>
      </c>
      <c r="J159" s="59"/>
      <c r="K159" s="59"/>
      <c r="L159" s="59"/>
      <c r="M159" s="59"/>
      <c r="N159" s="59"/>
      <c r="O159" s="59"/>
      <c r="P159" s="59"/>
      <c r="Q159" s="59"/>
    </row>
    <row r="160" spans="2:17" outlineLevel="1" x14ac:dyDescent="0.2">
      <c r="B160" s="59"/>
      <c r="C160" s="59"/>
      <c r="D160" s="59"/>
      <c r="E160" s="59"/>
      <c r="F160" s="59"/>
      <c r="G160" s="59"/>
      <c r="H160" s="541"/>
      <c r="I160" s="617">
        <f t="shared" si="2"/>
        <v>0</v>
      </c>
      <c r="J160" s="59"/>
      <c r="K160" s="59"/>
      <c r="L160" s="59"/>
      <c r="M160" s="59"/>
      <c r="N160" s="59"/>
      <c r="O160" s="59"/>
      <c r="P160" s="59"/>
      <c r="Q160" s="59"/>
    </row>
    <row r="161" spans="2:17" outlineLevel="1" x14ac:dyDescent="0.2">
      <c r="B161" s="59"/>
      <c r="C161" s="59"/>
      <c r="D161" s="59"/>
      <c r="E161" s="59"/>
      <c r="F161" s="59"/>
      <c r="G161" s="59"/>
      <c r="H161" s="541"/>
      <c r="I161" s="617">
        <f t="shared" si="2"/>
        <v>0</v>
      </c>
      <c r="J161" s="59"/>
      <c r="K161" s="59"/>
      <c r="L161" s="59"/>
      <c r="M161" s="59"/>
      <c r="N161" s="59"/>
      <c r="O161" s="59"/>
      <c r="P161" s="59"/>
      <c r="Q161" s="59"/>
    </row>
    <row r="162" spans="2:17" outlineLevel="1" x14ac:dyDescent="0.2">
      <c r="B162" s="59"/>
      <c r="C162" s="59"/>
      <c r="D162" s="59"/>
      <c r="E162" s="59"/>
      <c r="F162" s="59"/>
      <c r="G162" s="59"/>
      <c r="H162" s="541"/>
      <c r="I162" s="617">
        <f t="shared" si="2"/>
        <v>0</v>
      </c>
      <c r="J162" s="59"/>
      <c r="K162" s="59"/>
      <c r="L162" s="59"/>
      <c r="M162" s="59"/>
      <c r="N162" s="59"/>
      <c r="O162" s="59"/>
      <c r="P162" s="59"/>
      <c r="Q162" s="59"/>
    </row>
    <row r="163" spans="2:17" outlineLevel="1" x14ac:dyDescent="0.2">
      <c r="B163" s="59"/>
      <c r="C163" s="59"/>
      <c r="D163" s="59"/>
      <c r="E163" s="59"/>
      <c r="F163" s="59"/>
      <c r="G163" s="59"/>
      <c r="H163" s="541"/>
      <c r="I163" s="617">
        <f t="shared" si="2"/>
        <v>0</v>
      </c>
      <c r="J163" s="59"/>
      <c r="K163" s="59"/>
      <c r="L163" s="59"/>
      <c r="M163" s="59"/>
      <c r="N163" s="59"/>
      <c r="O163" s="59"/>
      <c r="P163" s="59"/>
      <c r="Q163" s="59"/>
    </row>
    <row r="164" spans="2:17" outlineLevel="1" x14ac:dyDescent="0.2">
      <c r="B164" s="59"/>
      <c r="C164" s="59"/>
      <c r="D164" s="59"/>
      <c r="E164" s="59"/>
      <c r="F164" s="59"/>
      <c r="G164" s="59"/>
      <c r="H164" s="541"/>
      <c r="I164" s="617">
        <f t="shared" si="2"/>
        <v>0</v>
      </c>
      <c r="J164" s="59"/>
      <c r="K164" s="59"/>
      <c r="L164" s="59"/>
      <c r="M164" s="59"/>
      <c r="N164" s="59"/>
      <c r="O164" s="59"/>
      <c r="P164" s="59"/>
      <c r="Q164" s="59"/>
    </row>
    <row r="165" spans="2:17" outlineLevel="1" x14ac:dyDescent="0.2">
      <c r="B165" s="59"/>
      <c r="C165" s="59"/>
      <c r="D165" s="59"/>
      <c r="E165" s="59"/>
      <c r="F165" s="59"/>
      <c r="G165" s="59"/>
      <c r="H165" s="541"/>
      <c r="I165" s="617">
        <f t="shared" si="2"/>
        <v>0</v>
      </c>
      <c r="J165" s="59"/>
      <c r="K165" s="59"/>
      <c r="L165" s="59"/>
      <c r="M165" s="59"/>
      <c r="N165" s="59"/>
      <c r="O165" s="59"/>
      <c r="P165" s="59"/>
      <c r="Q165" s="59"/>
    </row>
    <row r="166" spans="2:17" outlineLevel="1" x14ac:dyDescent="0.2">
      <c r="B166" s="59"/>
      <c r="C166" s="59"/>
      <c r="D166" s="59"/>
      <c r="E166" s="59"/>
      <c r="F166" s="59"/>
      <c r="G166" s="59"/>
      <c r="H166" s="541"/>
      <c r="I166" s="617">
        <f t="shared" si="2"/>
        <v>0</v>
      </c>
      <c r="J166" s="59"/>
      <c r="K166" s="59"/>
      <c r="L166" s="59"/>
      <c r="M166" s="59"/>
      <c r="N166" s="59"/>
      <c r="O166" s="59"/>
      <c r="P166" s="59"/>
      <c r="Q166" s="59"/>
    </row>
    <row r="167" spans="2:17" outlineLevel="1" x14ac:dyDescent="0.2">
      <c r="B167" s="59"/>
      <c r="C167" s="59"/>
      <c r="D167" s="59"/>
      <c r="E167" s="59"/>
      <c r="F167" s="59"/>
      <c r="G167" s="59"/>
      <c r="H167" s="541"/>
      <c r="I167" s="617">
        <f t="shared" si="2"/>
        <v>0</v>
      </c>
      <c r="J167" s="59"/>
      <c r="K167" s="59"/>
      <c r="L167" s="59"/>
      <c r="M167" s="59"/>
      <c r="N167" s="59"/>
      <c r="O167" s="59"/>
      <c r="P167" s="59"/>
      <c r="Q167" s="59"/>
    </row>
    <row r="168" spans="2:17" outlineLevel="1" x14ac:dyDescent="0.2">
      <c r="B168" s="59"/>
      <c r="C168" s="59"/>
      <c r="D168" s="59"/>
      <c r="E168" s="59"/>
      <c r="F168" s="59"/>
      <c r="G168" s="59"/>
      <c r="H168" s="541"/>
      <c r="I168" s="617">
        <f t="shared" si="2"/>
        <v>0</v>
      </c>
      <c r="J168" s="59"/>
      <c r="K168" s="59"/>
      <c r="L168" s="59"/>
      <c r="M168" s="59"/>
      <c r="N168" s="59"/>
      <c r="O168" s="59"/>
      <c r="P168" s="59"/>
      <c r="Q168" s="59"/>
    </row>
    <row r="169" spans="2:17" outlineLevel="1" x14ac:dyDescent="0.2">
      <c r="B169" s="59"/>
      <c r="C169" s="59"/>
      <c r="D169" s="59"/>
      <c r="E169" s="59"/>
      <c r="F169" s="59"/>
      <c r="G169" s="59"/>
      <c r="H169" s="541"/>
      <c r="I169" s="617">
        <f t="shared" si="2"/>
        <v>0</v>
      </c>
      <c r="J169" s="59"/>
      <c r="K169" s="59"/>
      <c r="L169" s="59"/>
      <c r="M169" s="59"/>
      <c r="N169" s="59"/>
      <c r="O169" s="59"/>
      <c r="P169" s="59"/>
      <c r="Q169" s="59"/>
    </row>
    <row r="170" spans="2:17" outlineLevel="1" x14ac:dyDescent="0.2">
      <c r="B170" s="59"/>
      <c r="C170" s="59"/>
      <c r="D170" s="59"/>
      <c r="E170" s="59"/>
      <c r="F170" s="59"/>
      <c r="G170" s="59"/>
      <c r="H170" s="541"/>
      <c r="I170" s="617">
        <f t="shared" si="2"/>
        <v>0</v>
      </c>
      <c r="J170" s="59"/>
      <c r="K170" s="59"/>
      <c r="L170" s="59"/>
      <c r="M170" s="59"/>
      <c r="N170" s="59"/>
      <c r="O170" s="59"/>
      <c r="P170" s="59"/>
      <c r="Q170" s="59"/>
    </row>
    <row r="171" spans="2:17" outlineLevel="1" x14ac:dyDescent="0.2">
      <c r="B171" s="59"/>
      <c r="C171" s="59"/>
      <c r="D171" s="59"/>
      <c r="E171" s="59"/>
      <c r="F171" s="59"/>
      <c r="G171" s="59"/>
      <c r="H171" s="541"/>
      <c r="I171" s="617">
        <f t="shared" si="2"/>
        <v>0</v>
      </c>
      <c r="J171" s="59"/>
      <c r="K171" s="59"/>
      <c r="L171" s="59"/>
      <c r="M171" s="59"/>
      <c r="N171" s="59"/>
      <c r="O171" s="59"/>
      <c r="P171" s="59"/>
      <c r="Q171" s="59"/>
    </row>
    <row r="172" spans="2:17" outlineLevel="1" x14ac:dyDescent="0.2">
      <c r="B172" s="59"/>
      <c r="C172" s="59"/>
      <c r="D172" s="59"/>
      <c r="E172" s="59"/>
      <c r="F172" s="59"/>
      <c r="G172" s="59"/>
      <c r="H172" s="541"/>
      <c r="I172" s="617">
        <f t="shared" si="2"/>
        <v>0</v>
      </c>
      <c r="J172" s="59"/>
      <c r="K172" s="59"/>
      <c r="L172" s="59"/>
      <c r="M172" s="59"/>
      <c r="N172" s="59"/>
      <c r="O172" s="59"/>
      <c r="P172" s="59"/>
      <c r="Q172" s="59"/>
    </row>
    <row r="173" spans="2:17" outlineLevel="1" x14ac:dyDescent="0.2">
      <c r="B173" s="59"/>
      <c r="C173" s="59"/>
      <c r="D173" s="59"/>
      <c r="E173" s="59"/>
      <c r="F173" s="59"/>
      <c r="G173" s="59"/>
      <c r="H173" s="541"/>
      <c r="I173" s="617">
        <f t="shared" si="2"/>
        <v>0</v>
      </c>
      <c r="J173" s="59"/>
      <c r="K173" s="59"/>
      <c r="L173" s="59"/>
      <c r="M173" s="59"/>
      <c r="N173" s="59"/>
      <c r="O173" s="59"/>
      <c r="P173" s="59"/>
      <c r="Q173" s="59"/>
    </row>
    <row r="174" spans="2:17" outlineLevel="1" x14ac:dyDescent="0.2">
      <c r="B174" s="59"/>
      <c r="C174" s="59"/>
      <c r="D174" s="59"/>
      <c r="E174" s="59"/>
      <c r="F174" s="59"/>
      <c r="G174" s="59"/>
      <c r="H174" s="541"/>
      <c r="I174" s="617">
        <f t="shared" si="2"/>
        <v>0</v>
      </c>
      <c r="J174" s="59"/>
      <c r="K174" s="59"/>
      <c r="L174" s="59"/>
      <c r="M174" s="59"/>
      <c r="N174" s="59"/>
      <c r="O174" s="59"/>
      <c r="P174" s="59"/>
      <c r="Q174" s="59"/>
    </row>
    <row r="175" spans="2:17" outlineLevel="1" x14ac:dyDescent="0.2">
      <c r="B175" s="59"/>
      <c r="C175" s="59"/>
      <c r="D175" s="59"/>
      <c r="E175" s="59"/>
      <c r="F175" s="59"/>
      <c r="G175" s="59"/>
      <c r="H175" s="541"/>
      <c r="I175" s="617">
        <f t="shared" si="2"/>
        <v>0</v>
      </c>
      <c r="J175" s="59"/>
      <c r="K175" s="59"/>
      <c r="L175" s="59"/>
      <c r="M175" s="59"/>
      <c r="N175" s="59"/>
      <c r="O175" s="59"/>
      <c r="P175" s="59"/>
      <c r="Q175" s="59"/>
    </row>
    <row r="176" spans="2:17" outlineLevel="1" x14ac:dyDescent="0.2">
      <c r="B176" s="59"/>
      <c r="C176" s="59"/>
      <c r="D176" s="59"/>
      <c r="E176" s="59"/>
      <c r="F176" s="59"/>
      <c r="G176" s="59"/>
      <c r="H176" s="541"/>
      <c r="I176" s="617">
        <f t="shared" si="2"/>
        <v>0</v>
      </c>
      <c r="J176" s="59"/>
      <c r="K176" s="59"/>
      <c r="L176" s="59"/>
      <c r="M176" s="59"/>
      <c r="N176" s="59"/>
      <c r="O176" s="59"/>
      <c r="P176" s="59"/>
      <c r="Q176" s="59"/>
    </row>
    <row r="177" spans="2:17" outlineLevel="1" x14ac:dyDescent="0.2">
      <c r="B177" s="59"/>
      <c r="C177" s="59"/>
      <c r="D177" s="59"/>
      <c r="E177" s="59"/>
      <c r="F177" s="59"/>
      <c r="G177" s="59"/>
      <c r="H177" s="541"/>
      <c r="I177" s="617">
        <f t="shared" si="2"/>
        <v>0</v>
      </c>
      <c r="J177" s="59"/>
      <c r="K177" s="59"/>
      <c r="L177" s="59"/>
      <c r="M177" s="59"/>
      <c r="N177" s="59"/>
      <c r="O177" s="59"/>
      <c r="P177" s="59"/>
      <c r="Q177" s="59"/>
    </row>
    <row r="178" spans="2:17" outlineLevel="1" x14ac:dyDescent="0.2">
      <c r="B178" s="59"/>
      <c r="C178" s="59"/>
      <c r="D178" s="59"/>
      <c r="E178" s="59"/>
      <c r="F178" s="59"/>
      <c r="G178" s="59"/>
      <c r="H178" s="541"/>
      <c r="I178" s="617">
        <f t="shared" si="2"/>
        <v>0</v>
      </c>
      <c r="J178" s="59"/>
      <c r="K178" s="59"/>
      <c r="L178" s="59"/>
      <c r="M178" s="59"/>
      <c r="N178" s="59"/>
      <c r="O178" s="59"/>
      <c r="P178" s="59"/>
      <c r="Q178" s="59"/>
    </row>
    <row r="179" spans="2:17" outlineLevel="1" x14ac:dyDescent="0.2">
      <c r="B179" s="59"/>
      <c r="C179" s="59"/>
      <c r="D179" s="59"/>
      <c r="E179" s="59"/>
      <c r="F179" s="59"/>
      <c r="G179" s="59"/>
      <c r="H179" s="541"/>
      <c r="I179" s="617">
        <f t="shared" si="2"/>
        <v>0</v>
      </c>
      <c r="J179" s="59"/>
      <c r="K179" s="59"/>
      <c r="L179" s="59"/>
      <c r="M179" s="59"/>
      <c r="N179" s="59"/>
      <c r="O179" s="59"/>
      <c r="P179" s="59"/>
      <c r="Q179" s="59"/>
    </row>
    <row r="180" spans="2:17" outlineLevel="1" x14ac:dyDescent="0.2">
      <c r="B180" s="59"/>
      <c r="C180" s="59"/>
      <c r="D180" s="59"/>
      <c r="E180" s="59"/>
      <c r="F180" s="59"/>
      <c r="G180" s="59"/>
      <c r="H180" s="541"/>
      <c r="I180" s="617">
        <f t="shared" si="2"/>
        <v>0</v>
      </c>
      <c r="J180" s="59"/>
      <c r="K180" s="59"/>
      <c r="L180" s="59"/>
      <c r="M180" s="59"/>
      <c r="N180" s="59"/>
      <c r="O180" s="59"/>
      <c r="P180" s="59"/>
      <c r="Q180" s="59"/>
    </row>
    <row r="181" spans="2:17" outlineLevel="1" x14ac:dyDescent="0.2">
      <c r="B181" s="59"/>
      <c r="C181" s="59"/>
      <c r="D181" s="59"/>
      <c r="E181" s="59"/>
      <c r="F181" s="59"/>
      <c r="G181" s="59"/>
      <c r="H181" s="541"/>
      <c r="I181" s="617">
        <f t="shared" si="2"/>
        <v>0</v>
      </c>
      <c r="J181" s="59"/>
      <c r="K181" s="59"/>
      <c r="L181" s="59"/>
      <c r="M181" s="59"/>
      <c r="N181" s="59"/>
      <c r="O181" s="59"/>
      <c r="P181" s="59"/>
      <c r="Q181" s="59"/>
    </row>
    <row r="182" spans="2:17" outlineLevel="1" x14ac:dyDescent="0.2">
      <c r="B182" s="59"/>
      <c r="C182" s="59"/>
      <c r="D182" s="59"/>
      <c r="E182" s="59"/>
      <c r="F182" s="59"/>
      <c r="G182" s="59"/>
      <c r="H182" s="541"/>
      <c r="I182" s="617">
        <f t="shared" si="2"/>
        <v>0</v>
      </c>
      <c r="J182" s="59"/>
      <c r="K182" s="59"/>
      <c r="L182" s="59"/>
      <c r="M182" s="59"/>
      <c r="N182" s="59"/>
      <c r="O182" s="59"/>
      <c r="P182" s="59"/>
      <c r="Q182" s="59"/>
    </row>
    <row r="183" spans="2:17" outlineLevel="1" x14ac:dyDescent="0.2">
      <c r="B183" s="59"/>
      <c r="C183" s="59"/>
      <c r="D183" s="59"/>
      <c r="E183" s="59"/>
      <c r="F183" s="59"/>
      <c r="G183" s="59"/>
      <c r="H183" s="541"/>
      <c r="I183" s="617">
        <f t="shared" si="2"/>
        <v>0</v>
      </c>
      <c r="J183" s="59"/>
      <c r="K183" s="59"/>
      <c r="L183" s="59"/>
      <c r="M183" s="59"/>
      <c r="N183" s="59"/>
      <c r="O183" s="59"/>
      <c r="P183" s="59"/>
      <c r="Q183" s="59"/>
    </row>
    <row r="184" spans="2:17" outlineLevel="1" x14ac:dyDescent="0.2">
      <c r="B184" s="59"/>
      <c r="C184" s="59"/>
      <c r="D184" s="59"/>
      <c r="E184" s="59"/>
      <c r="F184" s="59"/>
      <c r="G184" s="59"/>
      <c r="H184" s="541"/>
      <c r="I184" s="617">
        <f t="shared" si="2"/>
        <v>0</v>
      </c>
      <c r="J184" s="59"/>
      <c r="K184" s="59"/>
      <c r="L184" s="59"/>
      <c r="M184" s="59"/>
      <c r="N184" s="59"/>
      <c r="O184" s="59"/>
      <c r="P184" s="59"/>
      <c r="Q184" s="59"/>
    </row>
    <row r="185" spans="2:17" outlineLevel="1" x14ac:dyDescent="0.2">
      <c r="B185" s="59"/>
      <c r="C185" s="59"/>
      <c r="D185" s="59"/>
      <c r="E185" s="59"/>
      <c r="F185" s="59"/>
      <c r="G185" s="59"/>
      <c r="H185" s="541"/>
      <c r="I185" s="617">
        <f t="shared" si="2"/>
        <v>0</v>
      </c>
      <c r="J185" s="59"/>
      <c r="K185" s="59"/>
      <c r="L185" s="59"/>
      <c r="M185" s="59"/>
      <c r="N185" s="59"/>
      <c r="O185" s="59"/>
      <c r="P185" s="59"/>
      <c r="Q185" s="59"/>
    </row>
    <row r="186" spans="2:17" outlineLevel="1" x14ac:dyDescent="0.2">
      <c r="B186" s="59"/>
      <c r="C186" s="59"/>
      <c r="D186" s="59"/>
      <c r="E186" s="59"/>
      <c r="F186" s="59"/>
      <c r="G186" s="59"/>
      <c r="H186" s="541"/>
      <c r="I186" s="617">
        <f t="shared" si="2"/>
        <v>0</v>
      </c>
      <c r="J186" s="59"/>
      <c r="K186" s="59"/>
      <c r="L186" s="59"/>
      <c r="M186" s="59"/>
      <c r="N186" s="59"/>
      <c r="O186" s="59"/>
      <c r="P186" s="59"/>
      <c r="Q186" s="59"/>
    </row>
    <row r="187" spans="2:17" outlineLevel="1" x14ac:dyDescent="0.2">
      <c r="B187" s="59"/>
      <c r="C187" s="59"/>
      <c r="D187" s="59"/>
      <c r="E187" s="59"/>
      <c r="F187" s="59"/>
      <c r="G187" s="59"/>
      <c r="H187" s="541"/>
      <c r="I187" s="617">
        <f t="shared" si="2"/>
        <v>0</v>
      </c>
      <c r="J187" s="59"/>
      <c r="K187" s="59"/>
      <c r="L187" s="59"/>
      <c r="M187" s="59"/>
      <c r="N187" s="59"/>
      <c r="O187" s="59"/>
      <c r="P187" s="59"/>
      <c r="Q187" s="59"/>
    </row>
    <row r="188" spans="2:17" outlineLevel="1" x14ac:dyDescent="0.2">
      <c r="B188" s="59"/>
      <c r="C188" s="59"/>
      <c r="D188" s="59"/>
      <c r="E188" s="59"/>
      <c r="F188" s="59"/>
      <c r="G188" s="59"/>
      <c r="H188" s="541"/>
      <c r="I188" s="617">
        <f t="shared" si="2"/>
        <v>0</v>
      </c>
      <c r="J188" s="59"/>
      <c r="K188" s="59"/>
      <c r="L188" s="59"/>
      <c r="M188" s="59"/>
      <c r="N188" s="59"/>
      <c r="O188" s="59"/>
      <c r="P188" s="59"/>
      <c r="Q188" s="59"/>
    </row>
    <row r="189" spans="2:17" outlineLevel="1" x14ac:dyDescent="0.2">
      <c r="B189" s="59"/>
      <c r="C189" s="59"/>
      <c r="D189" s="59"/>
      <c r="E189" s="59"/>
      <c r="F189" s="59"/>
      <c r="G189" s="59"/>
      <c r="H189" s="541"/>
      <c r="I189" s="617">
        <f t="shared" si="2"/>
        <v>0</v>
      </c>
      <c r="J189" s="59"/>
      <c r="K189" s="59"/>
      <c r="L189" s="59"/>
      <c r="M189" s="59"/>
      <c r="N189" s="59"/>
      <c r="O189" s="59"/>
      <c r="P189" s="59"/>
      <c r="Q189" s="59"/>
    </row>
    <row r="190" spans="2:17" outlineLevel="1" x14ac:dyDescent="0.2">
      <c r="B190" s="59"/>
      <c r="C190" s="59"/>
      <c r="D190" s="59"/>
      <c r="E190" s="59"/>
      <c r="F190" s="59"/>
      <c r="G190" s="59"/>
      <c r="H190" s="541"/>
      <c r="I190" s="617">
        <f t="shared" si="2"/>
        <v>0</v>
      </c>
      <c r="J190" s="59"/>
      <c r="K190" s="59"/>
      <c r="L190" s="59"/>
      <c r="M190" s="59"/>
      <c r="N190" s="59"/>
      <c r="O190" s="59"/>
      <c r="P190" s="59"/>
      <c r="Q190" s="59"/>
    </row>
    <row r="191" spans="2:17" outlineLevel="1" x14ac:dyDescent="0.2">
      <c r="B191" s="59"/>
      <c r="C191" s="59"/>
      <c r="D191" s="59"/>
      <c r="E191" s="59"/>
      <c r="F191" s="59"/>
      <c r="G191" s="59"/>
      <c r="H191" s="541"/>
      <c r="I191" s="617">
        <f t="shared" si="2"/>
        <v>0</v>
      </c>
      <c r="J191" s="59"/>
      <c r="K191" s="59"/>
      <c r="L191" s="59"/>
      <c r="M191" s="59"/>
      <c r="N191" s="59"/>
      <c r="O191" s="59"/>
      <c r="P191" s="59"/>
      <c r="Q191" s="59"/>
    </row>
    <row r="192" spans="2:17" outlineLevel="1" x14ac:dyDescent="0.2">
      <c r="B192" s="59"/>
      <c r="C192" s="59"/>
      <c r="D192" s="59"/>
      <c r="E192" s="59"/>
      <c r="F192" s="59"/>
      <c r="G192" s="59"/>
      <c r="H192" s="541"/>
      <c r="I192" s="617">
        <f t="shared" si="2"/>
        <v>0</v>
      </c>
      <c r="J192" s="59"/>
      <c r="K192" s="59"/>
      <c r="L192" s="59"/>
      <c r="M192" s="59"/>
      <c r="N192" s="59"/>
      <c r="O192" s="59"/>
      <c r="P192" s="59"/>
      <c r="Q192" s="59"/>
    </row>
    <row r="193" spans="2:17" outlineLevel="1" x14ac:dyDescent="0.2">
      <c r="B193" s="59"/>
      <c r="C193" s="59"/>
      <c r="D193" s="59"/>
      <c r="E193" s="59"/>
      <c r="F193" s="59"/>
      <c r="G193" s="59"/>
      <c r="H193" s="541"/>
      <c r="I193" s="617">
        <f t="shared" si="2"/>
        <v>0</v>
      </c>
      <c r="J193" s="59"/>
      <c r="K193" s="59"/>
      <c r="L193" s="59"/>
      <c r="M193" s="59"/>
      <c r="N193" s="59"/>
      <c r="O193" s="59"/>
      <c r="P193" s="59"/>
      <c r="Q193" s="59"/>
    </row>
    <row r="194" spans="2:17" outlineLevel="1" x14ac:dyDescent="0.2">
      <c r="B194" s="59"/>
      <c r="C194" s="59"/>
      <c r="D194" s="59"/>
      <c r="E194" s="59"/>
      <c r="F194" s="59"/>
      <c r="G194" s="59"/>
      <c r="H194" s="541"/>
      <c r="I194" s="617">
        <f t="shared" si="2"/>
        <v>0</v>
      </c>
      <c r="J194" s="59"/>
      <c r="K194" s="59"/>
      <c r="L194" s="59"/>
      <c r="M194" s="59"/>
      <c r="N194" s="59"/>
      <c r="O194" s="59"/>
      <c r="P194" s="59"/>
      <c r="Q194" s="59"/>
    </row>
    <row r="195" spans="2:17" outlineLevel="1" x14ac:dyDescent="0.2">
      <c r="B195" s="59"/>
      <c r="C195" s="59"/>
      <c r="D195" s="59"/>
      <c r="E195" s="59"/>
      <c r="F195" s="59"/>
      <c r="G195" s="59"/>
      <c r="H195" s="541"/>
      <c r="I195" s="617">
        <f t="shared" si="2"/>
        <v>0</v>
      </c>
      <c r="J195" s="59"/>
      <c r="K195" s="59"/>
      <c r="L195" s="59"/>
      <c r="M195" s="59"/>
      <c r="N195" s="59"/>
      <c r="O195" s="59"/>
      <c r="P195" s="59"/>
      <c r="Q195" s="59"/>
    </row>
    <row r="196" spans="2:17" outlineLevel="1" x14ac:dyDescent="0.2">
      <c r="B196" s="59"/>
      <c r="C196" s="59"/>
      <c r="D196" s="59"/>
      <c r="E196" s="59"/>
      <c r="F196" s="59"/>
      <c r="G196" s="59"/>
      <c r="H196" s="541"/>
      <c r="I196" s="617">
        <f t="shared" si="2"/>
        <v>0</v>
      </c>
      <c r="J196" s="59"/>
      <c r="K196" s="59"/>
      <c r="L196" s="59"/>
      <c r="M196" s="59"/>
      <c r="N196" s="59"/>
      <c r="O196" s="59"/>
      <c r="P196" s="59"/>
      <c r="Q196" s="59"/>
    </row>
    <row r="197" spans="2:17" outlineLevel="1" x14ac:dyDescent="0.2">
      <c r="B197" s="59"/>
      <c r="C197" s="59"/>
      <c r="D197" s="59"/>
      <c r="E197" s="59"/>
      <c r="F197" s="59"/>
      <c r="G197" s="59"/>
      <c r="H197" s="541"/>
      <c r="I197" s="617">
        <f t="shared" ref="I197:I260" si="3">G197*H197</f>
        <v>0</v>
      </c>
      <c r="J197" s="59"/>
      <c r="K197" s="59"/>
      <c r="L197" s="59"/>
      <c r="M197" s="59"/>
      <c r="N197" s="59"/>
      <c r="O197" s="59"/>
      <c r="P197" s="59"/>
      <c r="Q197" s="59"/>
    </row>
    <row r="198" spans="2:17" outlineLevel="1" x14ac:dyDescent="0.2">
      <c r="B198" s="59"/>
      <c r="C198" s="59"/>
      <c r="D198" s="59"/>
      <c r="E198" s="59"/>
      <c r="F198" s="59"/>
      <c r="G198" s="59"/>
      <c r="H198" s="541"/>
      <c r="I198" s="617">
        <f t="shared" si="3"/>
        <v>0</v>
      </c>
      <c r="J198" s="59"/>
      <c r="K198" s="59"/>
      <c r="L198" s="59"/>
      <c r="M198" s="59"/>
      <c r="N198" s="59"/>
      <c r="O198" s="59"/>
      <c r="P198" s="59"/>
      <c r="Q198" s="59"/>
    </row>
    <row r="199" spans="2:17" outlineLevel="1" x14ac:dyDescent="0.2">
      <c r="B199" s="59"/>
      <c r="C199" s="59"/>
      <c r="D199" s="59"/>
      <c r="E199" s="59"/>
      <c r="F199" s="59"/>
      <c r="G199" s="59"/>
      <c r="H199" s="541"/>
      <c r="I199" s="617">
        <f t="shared" si="3"/>
        <v>0</v>
      </c>
      <c r="J199" s="59"/>
      <c r="K199" s="59"/>
      <c r="L199" s="59"/>
      <c r="M199" s="59"/>
      <c r="N199" s="59"/>
      <c r="O199" s="59"/>
      <c r="P199" s="59"/>
      <c r="Q199" s="59"/>
    </row>
    <row r="200" spans="2:17" outlineLevel="1" x14ac:dyDescent="0.2">
      <c r="B200" s="59"/>
      <c r="C200" s="59"/>
      <c r="D200" s="59"/>
      <c r="E200" s="59"/>
      <c r="F200" s="59"/>
      <c r="G200" s="59"/>
      <c r="H200" s="541"/>
      <c r="I200" s="617">
        <f t="shared" si="3"/>
        <v>0</v>
      </c>
      <c r="J200" s="59"/>
      <c r="K200" s="59"/>
      <c r="L200" s="59"/>
      <c r="M200" s="59"/>
      <c r="N200" s="59"/>
      <c r="O200" s="59"/>
      <c r="P200" s="59"/>
      <c r="Q200" s="59"/>
    </row>
    <row r="201" spans="2:17" outlineLevel="1" x14ac:dyDescent="0.2">
      <c r="B201" s="59"/>
      <c r="C201" s="59"/>
      <c r="D201" s="59"/>
      <c r="E201" s="59"/>
      <c r="F201" s="59"/>
      <c r="G201" s="59"/>
      <c r="H201" s="541"/>
      <c r="I201" s="617">
        <f t="shared" si="3"/>
        <v>0</v>
      </c>
      <c r="J201" s="59"/>
      <c r="K201" s="59"/>
      <c r="L201" s="59"/>
      <c r="M201" s="59"/>
      <c r="N201" s="59"/>
      <c r="O201" s="59"/>
      <c r="P201" s="59"/>
      <c r="Q201" s="59"/>
    </row>
    <row r="202" spans="2:17" outlineLevel="1" x14ac:dyDescent="0.2">
      <c r="B202" s="59"/>
      <c r="C202" s="59"/>
      <c r="D202" s="59"/>
      <c r="E202" s="59"/>
      <c r="F202" s="59"/>
      <c r="G202" s="59"/>
      <c r="H202" s="541"/>
      <c r="I202" s="617">
        <f t="shared" si="3"/>
        <v>0</v>
      </c>
      <c r="J202" s="59"/>
      <c r="K202" s="59"/>
      <c r="L202" s="59"/>
      <c r="M202" s="59"/>
      <c r="N202" s="59"/>
      <c r="O202" s="59"/>
      <c r="P202" s="59"/>
      <c r="Q202" s="59"/>
    </row>
    <row r="203" spans="2:17" outlineLevel="1" x14ac:dyDescent="0.2">
      <c r="B203" s="59"/>
      <c r="C203" s="59"/>
      <c r="D203" s="59"/>
      <c r="E203" s="59"/>
      <c r="F203" s="59"/>
      <c r="G203" s="59"/>
      <c r="H203" s="541"/>
      <c r="I203" s="617">
        <f t="shared" si="3"/>
        <v>0</v>
      </c>
      <c r="J203" s="59"/>
      <c r="K203" s="59"/>
      <c r="L203" s="59"/>
      <c r="M203" s="59"/>
      <c r="N203" s="59"/>
      <c r="O203" s="59"/>
      <c r="P203" s="59"/>
      <c r="Q203" s="59"/>
    </row>
    <row r="204" spans="2:17" outlineLevel="1" x14ac:dyDescent="0.2">
      <c r="B204" s="59"/>
      <c r="C204" s="59"/>
      <c r="D204" s="59"/>
      <c r="E204" s="59"/>
      <c r="F204" s="59"/>
      <c r="G204" s="59"/>
      <c r="H204" s="541"/>
      <c r="I204" s="617">
        <f t="shared" si="3"/>
        <v>0</v>
      </c>
      <c r="J204" s="59"/>
      <c r="K204" s="59"/>
      <c r="L204" s="59"/>
      <c r="M204" s="59"/>
      <c r="N204" s="59"/>
      <c r="O204" s="59"/>
      <c r="P204" s="59"/>
      <c r="Q204" s="59"/>
    </row>
    <row r="205" spans="2:17" outlineLevel="1" x14ac:dyDescent="0.2">
      <c r="B205" s="59"/>
      <c r="C205" s="59"/>
      <c r="D205" s="59"/>
      <c r="E205" s="59"/>
      <c r="F205" s="59"/>
      <c r="G205" s="59"/>
      <c r="H205" s="541"/>
      <c r="I205" s="617">
        <f t="shared" si="3"/>
        <v>0</v>
      </c>
      <c r="J205" s="59"/>
      <c r="K205" s="59"/>
      <c r="L205" s="59"/>
      <c r="M205" s="59"/>
      <c r="N205" s="59"/>
      <c r="O205" s="59"/>
      <c r="P205" s="59"/>
      <c r="Q205" s="59"/>
    </row>
    <row r="206" spans="2:17" outlineLevel="1" x14ac:dyDescent="0.2">
      <c r="B206" s="59"/>
      <c r="C206" s="59"/>
      <c r="D206" s="59"/>
      <c r="E206" s="59"/>
      <c r="F206" s="59"/>
      <c r="G206" s="59"/>
      <c r="H206" s="541"/>
      <c r="I206" s="617">
        <f t="shared" si="3"/>
        <v>0</v>
      </c>
      <c r="J206" s="59"/>
      <c r="K206" s="59"/>
      <c r="L206" s="59"/>
      <c r="M206" s="59"/>
      <c r="N206" s="59"/>
      <c r="O206" s="59"/>
      <c r="P206" s="59"/>
      <c r="Q206" s="59"/>
    </row>
    <row r="207" spans="2:17" outlineLevel="1" x14ac:dyDescent="0.2">
      <c r="B207" s="59"/>
      <c r="C207" s="59"/>
      <c r="D207" s="59"/>
      <c r="E207" s="59"/>
      <c r="F207" s="59"/>
      <c r="G207" s="59"/>
      <c r="H207" s="541"/>
      <c r="I207" s="617">
        <f t="shared" si="3"/>
        <v>0</v>
      </c>
      <c r="J207" s="59"/>
      <c r="K207" s="59"/>
      <c r="L207" s="59"/>
      <c r="M207" s="59"/>
      <c r="N207" s="59"/>
      <c r="O207" s="59"/>
      <c r="P207" s="59"/>
      <c r="Q207" s="59"/>
    </row>
    <row r="208" spans="2:17" outlineLevel="1" x14ac:dyDescent="0.2">
      <c r="B208" s="59"/>
      <c r="C208" s="59"/>
      <c r="D208" s="59"/>
      <c r="E208" s="59"/>
      <c r="F208" s="59"/>
      <c r="G208" s="59"/>
      <c r="H208" s="541"/>
      <c r="I208" s="617">
        <f t="shared" si="3"/>
        <v>0</v>
      </c>
      <c r="J208" s="59"/>
      <c r="K208" s="59"/>
      <c r="L208" s="59"/>
      <c r="M208" s="59"/>
      <c r="N208" s="59"/>
      <c r="O208" s="59"/>
      <c r="P208" s="59"/>
      <c r="Q208" s="59"/>
    </row>
    <row r="209" spans="2:17" outlineLevel="1" x14ac:dyDescent="0.2">
      <c r="B209" s="59"/>
      <c r="C209" s="59"/>
      <c r="D209" s="59"/>
      <c r="E209" s="59"/>
      <c r="F209" s="59"/>
      <c r="G209" s="59"/>
      <c r="H209" s="541"/>
      <c r="I209" s="617">
        <f t="shared" si="3"/>
        <v>0</v>
      </c>
      <c r="J209" s="59"/>
      <c r="K209" s="59"/>
      <c r="L209" s="59"/>
      <c r="M209" s="59"/>
      <c r="N209" s="59"/>
      <c r="O209" s="59"/>
      <c r="P209" s="59"/>
      <c r="Q209" s="59"/>
    </row>
    <row r="210" spans="2:17" outlineLevel="1" x14ac:dyDescent="0.2">
      <c r="B210" s="59"/>
      <c r="C210" s="59"/>
      <c r="D210" s="59"/>
      <c r="E210" s="59"/>
      <c r="F210" s="59"/>
      <c r="G210" s="59"/>
      <c r="H210" s="541"/>
      <c r="I210" s="617">
        <f t="shared" si="3"/>
        <v>0</v>
      </c>
      <c r="J210" s="59"/>
      <c r="K210" s="59"/>
      <c r="L210" s="59"/>
      <c r="M210" s="59"/>
      <c r="N210" s="59"/>
      <c r="O210" s="59"/>
      <c r="P210" s="59"/>
      <c r="Q210" s="59"/>
    </row>
    <row r="211" spans="2:17" outlineLevel="1" x14ac:dyDescent="0.2">
      <c r="B211" s="59"/>
      <c r="C211" s="59"/>
      <c r="D211" s="59"/>
      <c r="E211" s="59"/>
      <c r="F211" s="59"/>
      <c r="G211" s="59"/>
      <c r="H211" s="541"/>
      <c r="I211" s="617">
        <f t="shared" si="3"/>
        <v>0</v>
      </c>
      <c r="J211" s="59"/>
      <c r="K211" s="59"/>
      <c r="L211" s="59"/>
      <c r="M211" s="59"/>
      <c r="N211" s="59"/>
      <c r="O211" s="59"/>
      <c r="P211" s="59"/>
      <c r="Q211" s="59"/>
    </row>
    <row r="212" spans="2:17" outlineLevel="1" x14ac:dyDescent="0.2">
      <c r="B212" s="59"/>
      <c r="C212" s="59"/>
      <c r="D212" s="59"/>
      <c r="E212" s="59"/>
      <c r="F212" s="59"/>
      <c r="G212" s="59"/>
      <c r="H212" s="541"/>
      <c r="I212" s="617">
        <f t="shared" si="3"/>
        <v>0</v>
      </c>
      <c r="J212" s="59"/>
      <c r="K212" s="59"/>
      <c r="L212" s="59"/>
      <c r="M212" s="59"/>
      <c r="N212" s="59"/>
      <c r="O212" s="59"/>
      <c r="P212" s="59"/>
      <c r="Q212" s="59"/>
    </row>
    <row r="213" spans="2:17" outlineLevel="1" x14ac:dyDescent="0.2">
      <c r="B213" s="59"/>
      <c r="C213" s="59"/>
      <c r="D213" s="59"/>
      <c r="E213" s="59"/>
      <c r="F213" s="59"/>
      <c r="G213" s="59"/>
      <c r="H213" s="541"/>
      <c r="I213" s="617">
        <f t="shared" si="3"/>
        <v>0</v>
      </c>
      <c r="J213" s="59"/>
      <c r="K213" s="59"/>
      <c r="L213" s="59"/>
      <c r="M213" s="59"/>
      <c r="N213" s="59"/>
      <c r="O213" s="59"/>
      <c r="P213" s="59"/>
      <c r="Q213" s="59"/>
    </row>
    <row r="214" spans="2:17" outlineLevel="1" x14ac:dyDescent="0.2">
      <c r="B214" s="59"/>
      <c r="C214" s="59"/>
      <c r="D214" s="59"/>
      <c r="E214" s="59"/>
      <c r="F214" s="59"/>
      <c r="G214" s="59"/>
      <c r="H214" s="541"/>
      <c r="I214" s="617">
        <f t="shared" si="3"/>
        <v>0</v>
      </c>
      <c r="J214" s="59"/>
      <c r="K214" s="59"/>
      <c r="L214" s="59"/>
      <c r="M214" s="59"/>
      <c r="N214" s="59"/>
      <c r="O214" s="59"/>
      <c r="P214" s="59"/>
      <c r="Q214" s="59"/>
    </row>
    <row r="215" spans="2:17" outlineLevel="1" x14ac:dyDescent="0.2">
      <c r="B215" s="59"/>
      <c r="C215" s="59"/>
      <c r="D215" s="59"/>
      <c r="E215" s="59"/>
      <c r="F215" s="59"/>
      <c r="G215" s="59"/>
      <c r="H215" s="541"/>
      <c r="I215" s="617">
        <f t="shared" si="3"/>
        <v>0</v>
      </c>
      <c r="J215" s="59"/>
      <c r="K215" s="59"/>
      <c r="L215" s="59"/>
      <c r="M215" s="59"/>
      <c r="N215" s="59"/>
      <c r="O215" s="59"/>
      <c r="P215" s="59"/>
      <c r="Q215" s="59"/>
    </row>
    <row r="216" spans="2:17" outlineLevel="1" x14ac:dyDescent="0.2">
      <c r="B216" s="59"/>
      <c r="C216" s="59"/>
      <c r="D216" s="59"/>
      <c r="E216" s="59"/>
      <c r="F216" s="59"/>
      <c r="G216" s="59"/>
      <c r="H216" s="541"/>
      <c r="I216" s="617">
        <f t="shared" si="3"/>
        <v>0</v>
      </c>
      <c r="J216" s="59"/>
      <c r="K216" s="59"/>
      <c r="L216" s="59"/>
      <c r="M216" s="59"/>
      <c r="N216" s="59"/>
      <c r="O216" s="59"/>
      <c r="P216" s="59"/>
      <c r="Q216" s="59"/>
    </row>
    <row r="217" spans="2:17" outlineLevel="1" x14ac:dyDescent="0.2">
      <c r="B217" s="59"/>
      <c r="C217" s="59"/>
      <c r="D217" s="59"/>
      <c r="E217" s="59"/>
      <c r="F217" s="59"/>
      <c r="G217" s="59"/>
      <c r="H217" s="541"/>
      <c r="I217" s="617">
        <f t="shared" si="3"/>
        <v>0</v>
      </c>
      <c r="J217" s="59"/>
      <c r="K217" s="59"/>
      <c r="L217" s="59"/>
      <c r="M217" s="59"/>
      <c r="N217" s="59"/>
      <c r="O217" s="59"/>
      <c r="P217" s="59"/>
      <c r="Q217" s="59"/>
    </row>
    <row r="218" spans="2:17" outlineLevel="1" x14ac:dyDescent="0.2">
      <c r="B218" s="59"/>
      <c r="C218" s="59"/>
      <c r="D218" s="59"/>
      <c r="E218" s="59"/>
      <c r="F218" s="59"/>
      <c r="G218" s="59"/>
      <c r="H218" s="541"/>
      <c r="I218" s="617">
        <f t="shared" si="3"/>
        <v>0</v>
      </c>
      <c r="J218" s="59"/>
      <c r="K218" s="59"/>
      <c r="L218" s="59"/>
      <c r="M218" s="59"/>
      <c r="N218" s="59"/>
      <c r="O218" s="59"/>
      <c r="P218" s="59"/>
      <c r="Q218" s="59"/>
    </row>
    <row r="219" spans="2:17" outlineLevel="1" x14ac:dyDescent="0.2">
      <c r="B219" s="59"/>
      <c r="C219" s="59"/>
      <c r="D219" s="59"/>
      <c r="E219" s="59"/>
      <c r="F219" s="59"/>
      <c r="G219" s="59"/>
      <c r="H219" s="541"/>
      <c r="I219" s="617">
        <f t="shared" si="3"/>
        <v>0</v>
      </c>
      <c r="J219" s="59"/>
      <c r="K219" s="59"/>
      <c r="L219" s="59"/>
      <c r="M219" s="59"/>
      <c r="N219" s="59"/>
      <c r="O219" s="59"/>
      <c r="P219" s="59"/>
      <c r="Q219" s="59"/>
    </row>
    <row r="220" spans="2:17" outlineLevel="1" x14ac:dyDescent="0.2">
      <c r="B220" s="59"/>
      <c r="C220" s="59"/>
      <c r="D220" s="59"/>
      <c r="E220" s="59"/>
      <c r="F220" s="59"/>
      <c r="G220" s="59"/>
      <c r="H220" s="541"/>
      <c r="I220" s="617">
        <f t="shared" si="3"/>
        <v>0</v>
      </c>
      <c r="J220" s="59"/>
      <c r="K220" s="59"/>
      <c r="L220" s="59"/>
      <c r="M220" s="59"/>
      <c r="N220" s="59"/>
      <c r="O220" s="59"/>
      <c r="P220" s="59"/>
      <c r="Q220" s="59"/>
    </row>
    <row r="221" spans="2:17" outlineLevel="1" x14ac:dyDescent="0.2">
      <c r="B221" s="59"/>
      <c r="C221" s="59"/>
      <c r="D221" s="59"/>
      <c r="E221" s="59"/>
      <c r="F221" s="59"/>
      <c r="G221" s="59"/>
      <c r="H221" s="541"/>
      <c r="I221" s="617">
        <f t="shared" si="3"/>
        <v>0</v>
      </c>
      <c r="J221" s="59"/>
      <c r="K221" s="59"/>
      <c r="L221" s="59"/>
      <c r="M221" s="59"/>
      <c r="N221" s="59"/>
      <c r="O221" s="59"/>
      <c r="P221" s="59"/>
      <c r="Q221" s="59"/>
    </row>
    <row r="222" spans="2:17" outlineLevel="1" x14ac:dyDescent="0.2">
      <c r="B222" s="59"/>
      <c r="C222" s="59"/>
      <c r="D222" s="59"/>
      <c r="E222" s="59"/>
      <c r="F222" s="59"/>
      <c r="G222" s="59"/>
      <c r="H222" s="541"/>
      <c r="I222" s="617">
        <f t="shared" si="3"/>
        <v>0</v>
      </c>
      <c r="J222" s="59"/>
      <c r="K222" s="59"/>
      <c r="L222" s="59"/>
      <c r="M222" s="59"/>
      <c r="N222" s="59"/>
      <c r="O222" s="59"/>
      <c r="P222" s="59"/>
      <c r="Q222" s="59"/>
    </row>
    <row r="223" spans="2:17" outlineLevel="1" x14ac:dyDescent="0.2">
      <c r="B223" s="59"/>
      <c r="C223" s="59"/>
      <c r="D223" s="59"/>
      <c r="E223" s="59"/>
      <c r="F223" s="59"/>
      <c r="G223" s="59"/>
      <c r="H223" s="541"/>
      <c r="I223" s="617">
        <f t="shared" si="3"/>
        <v>0</v>
      </c>
      <c r="J223" s="59"/>
      <c r="K223" s="59"/>
      <c r="L223" s="59"/>
      <c r="M223" s="59"/>
      <c r="N223" s="59"/>
      <c r="O223" s="59"/>
      <c r="P223" s="59"/>
      <c r="Q223" s="59"/>
    </row>
    <row r="224" spans="2:17" outlineLevel="1" x14ac:dyDescent="0.2">
      <c r="B224" s="59"/>
      <c r="C224" s="59"/>
      <c r="D224" s="59"/>
      <c r="E224" s="59"/>
      <c r="F224" s="59"/>
      <c r="G224" s="59"/>
      <c r="H224" s="541"/>
      <c r="I224" s="617">
        <f t="shared" si="3"/>
        <v>0</v>
      </c>
      <c r="J224" s="59"/>
      <c r="K224" s="59"/>
      <c r="L224" s="59"/>
      <c r="M224" s="59"/>
      <c r="N224" s="59"/>
      <c r="O224" s="59"/>
      <c r="P224" s="59"/>
      <c r="Q224" s="59"/>
    </row>
    <row r="225" spans="2:17" outlineLevel="1" x14ac:dyDescent="0.2">
      <c r="B225" s="59"/>
      <c r="C225" s="59"/>
      <c r="D225" s="59"/>
      <c r="E225" s="59"/>
      <c r="F225" s="59"/>
      <c r="G225" s="59"/>
      <c r="H225" s="541"/>
      <c r="I225" s="617">
        <f t="shared" si="3"/>
        <v>0</v>
      </c>
      <c r="J225" s="59"/>
      <c r="K225" s="59"/>
      <c r="L225" s="59"/>
      <c r="M225" s="59"/>
      <c r="N225" s="59"/>
      <c r="O225" s="59"/>
      <c r="P225" s="59"/>
      <c r="Q225" s="59"/>
    </row>
    <row r="226" spans="2:17" outlineLevel="1" x14ac:dyDescent="0.2">
      <c r="B226" s="59"/>
      <c r="C226" s="59"/>
      <c r="D226" s="59"/>
      <c r="E226" s="59"/>
      <c r="F226" s="59"/>
      <c r="G226" s="59"/>
      <c r="H226" s="541"/>
      <c r="I226" s="617">
        <f t="shared" si="3"/>
        <v>0</v>
      </c>
      <c r="J226" s="59"/>
      <c r="K226" s="59"/>
      <c r="L226" s="59"/>
      <c r="M226" s="59"/>
      <c r="N226" s="59"/>
      <c r="O226" s="59"/>
      <c r="P226" s="59"/>
      <c r="Q226" s="59"/>
    </row>
    <row r="227" spans="2:17" outlineLevel="1" x14ac:dyDescent="0.2">
      <c r="B227" s="59"/>
      <c r="C227" s="59"/>
      <c r="D227" s="59"/>
      <c r="E227" s="59"/>
      <c r="F227" s="59"/>
      <c r="G227" s="59"/>
      <c r="H227" s="541"/>
      <c r="I227" s="617">
        <f t="shared" si="3"/>
        <v>0</v>
      </c>
      <c r="J227" s="59"/>
      <c r="K227" s="59"/>
      <c r="L227" s="59"/>
      <c r="M227" s="59"/>
      <c r="N227" s="59"/>
      <c r="O227" s="59"/>
      <c r="P227" s="59"/>
      <c r="Q227" s="59"/>
    </row>
    <row r="228" spans="2:17" outlineLevel="1" x14ac:dyDescent="0.2">
      <c r="B228" s="59"/>
      <c r="C228" s="59"/>
      <c r="D228" s="59"/>
      <c r="E228" s="59"/>
      <c r="F228" s="59"/>
      <c r="G228" s="59"/>
      <c r="H228" s="541"/>
      <c r="I228" s="617">
        <f t="shared" si="3"/>
        <v>0</v>
      </c>
      <c r="J228" s="59"/>
      <c r="K228" s="59"/>
      <c r="L228" s="59"/>
      <c r="M228" s="59"/>
      <c r="N228" s="59"/>
      <c r="O228" s="59"/>
      <c r="P228" s="59"/>
      <c r="Q228" s="59"/>
    </row>
    <row r="229" spans="2:17" outlineLevel="1" x14ac:dyDescent="0.2">
      <c r="B229" s="59"/>
      <c r="C229" s="59"/>
      <c r="D229" s="59"/>
      <c r="E229" s="59"/>
      <c r="F229" s="59"/>
      <c r="G229" s="59"/>
      <c r="H229" s="541"/>
      <c r="I229" s="617">
        <f t="shared" si="3"/>
        <v>0</v>
      </c>
      <c r="J229" s="59"/>
      <c r="K229" s="59"/>
      <c r="L229" s="59"/>
      <c r="M229" s="59"/>
      <c r="N229" s="59"/>
      <c r="O229" s="59"/>
      <c r="P229" s="59"/>
      <c r="Q229" s="59"/>
    </row>
    <row r="230" spans="2:17" outlineLevel="1" x14ac:dyDescent="0.2">
      <c r="B230" s="59"/>
      <c r="C230" s="59"/>
      <c r="D230" s="59"/>
      <c r="E230" s="59"/>
      <c r="F230" s="59"/>
      <c r="G230" s="59"/>
      <c r="H230" s="541"/>
      <c r="I230" s="617">
        <f t="shared" si="3"/>
        <v>0</v>
      </c>
      <c r="J230" s="59"/>
      <c r="K230" s="59"/>
      <c r="L230" s="59"/>
      <c r="M230" s="59"/>
      <c r="N230" s="59"/>
      <c r="O230" s="59"/>
      <c r="P230" s="59"/>
      <c r="Q230" s="59"/>
    </row>
    <row r="231" spans="2:17" outlineLevel="1" x14ac:dyDescent="0.2">
      <c r="B231" s="59"/>
      <c r="C231" s="59"/>
      <c r="D231" s="59"/>
      <c r="E231" s="59"/>
      <c r="F231" s="59"/>
      <c r="G231" s="59"/>
      <c r="H231" s="541"/>
      <c r="I231" s="617">
        <f t="shared" si="3"/>
        <v>0</v>
      </c>
      <c r="J231" s="59"/>
      <c r="K231" s="59"/>
      <c r="L231" s="59"/>
      <c r="M231" s="59"/>
      <c r="N231" s="59"/>
      <c r="O231" s="59"/>
      <c r="P231" s="59"/>
      <c r="Q231" s="59"/>
    </row>
    <row r="232" spans="2:17" outlineLevel="1" x14ac:dyDescent="0.2">
      <c r="B232" s="59"/>
      <c r="C232" s="59"/>
      <c r="D232" s="59"/>
      <c r="E232" s="59"/>
      <c r="F232" s="59"/>
      <c r="G232" s="59"/>
      <c r="H232" s="541"/>
      <c r="I232" s="617">
        <f t="shared" si="3"/>
        <v>0</v>
      </c>
      <c r="J232" s="59"/>
      <c r="K232" s="59"/>
      <c r="L232" s="59"/>
      <c r="M232" s="59"/>
      <c r="N232" s="59"/>
      <c r="O232" s="59"/>
      <c r="P232" s="59"/>
      <c r="Q232" s="59"/>
    </row>
    <row r="233" spans="2:17" outlineLevel="1" x14ac:dyDescent="0.2">
      <c r="B233" s="59"/>
      <c r="C233" s="59"/>
      <c r="D233" s="59"/>
      <c r="E233" s="59"/>
      <c r="F233" s="59"/>
      <c r="G233" s="59"/>
      <c r="H233" s="541"/>
      <c r="I233" s="617">
        <f t="shared" si="3"/>
        <v>0</v>
      </c>
      <c r="J233" s="59"/>
      <c r="K233" s="59"/>
      <c r="L233" s="59"/>
      <c r="M233" s="59"/>
      <c r="N233" s="59"/>
      <c r="O233" s="59"/>
      <c r="P233" s="59"/>
      <c r="Q233" s="59"/>
    </row>
    <row r="234" spans="2:17" outlineLevel="1" x14ac:dyDescent="0.2">
      <c r="B234" s="59"/>
      <c r="C234" s="59"/>
      <c r="D234" s="59"/>
      <c r="E234" s="59"/>
      <c r="F234" s="59"/>
      <c r="G234" s="59"/>
      <c r="H234" s="541"/>
      <c r="I234" s="617">
        <f t="shared" si="3"/>
        <v>0</v>
      </c>
      <c r="J234" s="59"/>
      <c r="K234" s="59"/>
      <c r="L234" s="59"/>
      <c r="M234" s="59"/>
      <c r="N234" s="59"/>
      <c r="O234" s="59"/>
      <c r="P234" s="59"/>
      <c r="Q234" s="59"/>
    </row>
    <row r="235" spans="2:17" outlineLevel="1" x14ac:dyDescent="0.2">
      <c r="B235" s="59"/>
      <c r="C235" s="59"/>
      <c r="D235" s="59"/>
      <c r="E235" s="59"/>
      <c r="F235" s="59"/>
      <c r="G235" s="59"/>
      <c r="H235" s="541"/>
      <c r="I235" s="617">
        <f t="shared" si="3"/>
        <v>0</v>
      </c>
      <c r="J235" s="59"/>
      <c r="K235" s="59"/>
      <c r="L235" s="59"/>
      <c r="M235" s="59"/>
      <c r="N235" s="59"/>
      <c r="O235" s="59"/>
      <c r="P235" s="59"/>
      <c r="Q235" s="59"/>
    </row>
    <row r="236" spans="2:17" outlineLevel="1" x14ac:dyDescent="0.2">
      <c r="B236" s="59"/>
      <c r="C236" s="59"/>
      <c r="D236" s="59"/>
      <c r="E236" s="59"/>
      <c r="F236" s="59"/>
      <c r="G236" s="59"/>
      <c r="H236" s="541"/>
      <c r="I236" s="617">
        <f t="shared" si="3"/>
        <v>0</v>
      </c>
      <c r="J236" s="59"/>
      <c r="K236" s="59"/>
      <c r="L236" s="59"/>
      <c r="M236" s="59"/>
      <c r="N236" s="59"/>
      <c r="O236" s="59"/>
      <c r="P236" s="59"/>
      <c r="Q236" s="59"/>
    </row>
    <row r="237" spans="2:17" outlineLevel="1" x14ac:dyDescent="0.2">
      <c r="B237" s="59"/>
      <c r="C237" s="59"/>
      <c r="D237" s="59"/>
      <c r="E237" s="59"/>
      <c r="F237" s="59"/>
      <c r="G237" s="59"/>
      <c r="H237" s="541"/>
      <c r="I237" s="617">
        <f t="shared" si="3"/>
        <v>0</v>
      </c>
      <c r="J237" s="59"/>
      <c r="K237" s="59"/>
      <c r="L237" s="59"/>
      <c r="M237" s="59"/>
      <c r="N237" s="59"/>
      <c r="O237" s="59"/>
      <c r="P237" s="59"/>
      <c r="Q237" s="59"/>
    </row>
    <row r="238" spans="2:17" outlineLevel="1" x14ac:dyDescent="0.2">
      <c r="B238" s="59"/>
      <c r="C238" s="59"/>
      <c r="D238" s="59"/>
      <c r="E238" s="59"/>
      <c r="F238" s="59"/>
      <c r="G238" s="59"/>
      <c r="H238" s="541"/>
      <c r="I238" s="617">
        <f t="shared" si="3"/>
        <v>0</v>
      </c>
      <c r="J238" s="59"/>
      <c r="K238" s="59"/>
      <c r="L238" s="59"/>
      <c r="M238" s="59"/>
      <c r="N238" s="59"/>
      <c r="O238" s="59"/>
      <c r="P238" s="59"/>
      <c r="Q238" s="59"/>
    </row>
    <row r="239" spans="2:17" outlineLevel="1" x14ac:dyDescent="0.2">
      <c r="B239" s="59"/>
      <c r="C239" s="59"/>
      <c r="D239" s="59"/>
      <c r="E239" s="59"/>
      <c r="F239" s="59"/>
      <c r="G239" s="59"/>
      <c r="H239" s="541"/>
      <c r="I239" s="617">
        <f t="shared" si="3"/>
        <v>0</v>
      </c>
      <c r="J239" s="59"/>
      <c r="K239" s="59"/>
      <c r="L239" s="59"/>
      <c r="M239" s="59"/>
      <c r="N239" s="59"/>
      <c r="O239" s="59"/>
      <c r="P239" s="59"/>
      <c r="Q239" s="59"/>
    </row>
    <row r="240" spans="2:17" outlineLevel="1" x14ac:dyDescent="0.2">
      <c r="B240" s="59"/>
      <c r="C240" s="59"/>
      <c r="D240" s="59"/>
      <c r="E240" s="59"/>
      <c r="F240" s="59"/>
      <c r="G240" s="59"/>
      <c r="H240" s="541"/>
      <c r="I240" s="617">
        <f t="shared" si="3"/>
        <v>0</v>
      </c>
      <c r="J240" s="59"/>
      <c r="K240" s="59"/>
      <c r="L240" s="59"/>
      <c r="M240" s="59"/>
      <c r="N240" s="59"/>
      <c r="O240" s="59"/>
      <c r="P240" s="59"/>
      <c r="Q240" s="59"/>
    </row>
    <row r="241" spans="2:17" outlineLevel="1" x14ac:dyDescent="0.2">
      <c r="B241" s="59"/>
      <c r="C241" s="59"/>
      <c r="D241" s="59"/>
      <c r="E241" s="59"/>
      <c r="F241" s="59"/>
      <c r="G241" s="59"/>
      <c r="H241" s="541"/>
      <c r="I241" s="617">
        <f t="shared" si="3"/>
        <v>0</v>
      </c>
      <c r="J241" s="59"/>
      <c r="K241" s="59"/>
      <c r="L241" s="59"/>
      <c r="M241" s="59"/>
      <c r="N241" s="59"/>
      <c r="O241" s="59"/>
      <c r="P241" s="59"/>
      <c r="Q241" s="59"/>
    </row>
    <row r="242" spans="2:17" outlineLevel="1" x14ac:dyDescent="0.2">
      <c r="B242" s="59"/>
      <c r="C242" s="59"/>
      <c r="D242" s="59"/>
      <c r="E242" s="59"/>
      <c r="F242" s="59"/>
      <c r="G242" s="59"/>
      <c r="H242" s="541"/>
      <c r="I242" s="617">
        <f t="shared" si="3"/>
        <v>0</v>
      </c>
      <c r="J242" s="59"/>
      <c r="K242" s="59"/>
      <c r="L242" s="59"/>
      <c r="M242" s="59"/>
      <c r="N242" s="59"/>
      <c r="O242" s="59"/>
      <c r="P242" s="59"/>
      <c r="Q242" s="59"/>
    </row>
    <row r="243" spans="2:17" outlineLevel="1" x14ac:dyDescent="0.2">
      <c r="B243" s="59"/>
      <c r="C243" s="59"/>
      <c r="D243" s="59"/>
      <c r="E243" s="59"/>
      <c r="F243" s="59"/>
      <c r="G243" s="59"/>
      <c r="H243" s="541"/>
      <c r="I243" s="617">
        <f t="shared" si="3"/>
        <v>0</v>
      </c>
      <c r="J243" s="59"/>
      <c r="K243" s="59"/>
      <c r="L243" s="59"/>
      <c r="M243" s="59"/>
      <c r="N243" s="59"/>
      <c r="O243" s="59"/>
      <c r="P243" s="59"/>
      <c r="Q243" s="59"/>
    </row>
    <row r="244" spans="2:17" outlineLevel="1" x14ac:dyDescent="0.2">
      <c r="B244" s="59"/>
      <c r="C244" s="59"/>
      <c r="D244" s="59"/>
      <c r="E244" s="59"/>
      <c r="F244" s="59"/>
      <c r="G244" s="59"/>
      <c r="H244" s="541"/>
      <c r="I244" s="617">
        <f t="shared" si="3"/>
        <v>0</v>
      </c>
      <c r="J244" s="59"/>
      <c r="K244" s="59"/>
      <c r="L244" s="59"/>
      <c r="M244" s="59"/>
      <c r="N244" s="59"/>
      <c r="O244" s="59"/>
      <c r="P244" s="59"/>
      <c r="Q244" s="59"/>
    </row>
    <row r="245" spans="2:17" outlineLevel="1" x14ac:dyDescent="0.2">
      <c r="B245" s="59"/>
      <c r="C245" s="59"/>
      <c r="D245" s="59"/>
      <c r="E245" s="59"/>
      <c r="F245" s="59"/>
      <c r="G245" s="59"/>
      <c r="H245" s="541"/>
      <c r="I245" s="617">
        <f t="shared" si="3"/>
        <v>0</v>
      </c>
      <c r="J245" s="59"/>
      <c r="K245" s="59"/>
      <c r="L245" s="59"/>
      <c r="M245" s="59"/>
      <c r="N245" s="59"/>
      <c r="O245" s="59"/>
      <c r="P245" s="59"/>
      <c r="Q245" s="59"/>
    </row>
    <row r="246" spans="2:17" outlineLevel="1" x14ac:dyDescent="0.2">
      <c r="B246" s="59"/>
      <c r="C246" s="59"/>
      <c r="D246" s="59"/>
      <c r="E246" s="59"/>
      <c r="F246" s="59"/>
      <c r="G246" s="59"/>
      <c r="H246" s="541"/>
      <c r="I246" s="617">
        <f t="shared" si="3"/>
        <v>0</v>
      </c>
      <c r="J246" s="59"/>
      <c r="K246" s="59"/>
      <c r="L246" s="59"/>
      <c r="M246" s="59"/>
      <c r="N246" s="59"/>
      <c r="O246" s="59"/>
      <c r="P246" s="59"/>
      <c r="Q246" s="59"/>
    </row>
    <row r="247" spans="2:17" outlineLevel="1" x14ac:dyDescent="0.2">
      <c r="B247" s="59"/>
      <c r="C247" s="59"/>
      <c r="D247" s="59"/>
      <c r="E247" s="59"/>
      <c r="F247" s="59"/>
      <c r="G247" s="59"/>
      <c r="H247" s="541"/>
      <c r="I247" s="617">
        <f t="shared" si="3"/>
        <v>0</v>
      </c>
      <c r="J247" s="59"/>
      <c r="K247" s="59"/>
      <c r="L247" s="59"/>
      <c r="M247" s="59"/>
      <c r="N247" s="59"/>
      <c r="O247" s="59"/>
      <c r="P247" s="59"/>
      <c r="Q247" s="59"/>
    </row>
    <row r="248" spans="2:17" outlineLevel="1" x14ac:dyDescent="0.2">
      <c r="B248" s="59"/>
      <c r="C248" s="59"/>
      <c r="D248" s="59"/>
      <c r="E248" s="59"/>
      <c r="F248" s="59"/>
      <c r="G248" s="59"/>
      <c r="H248" s="541"/>
      <c r="I248" s="617">
        <f t="shared" si="3"/>
        <v>0</v>
      </c>
      <c r="J248" s="59"/>
      <c r="K248" s="59"/>
      <c r="L248" s="59"/>
      <c r="M248" s="59"/>
      <c r="N248" s="59"/>
      <c r="O248" s="59"/>
      <c r="P248" s="59"/>
      <c r="Q248" s="59"/>
    </row>
    <row r="249" spans="2:17" outlineLevel="1" x14ac:dyDescent="0.2">
      <c r="B249" s="59"/>
      <c r="C249" s="59"/>
      <c r="D249" s="59"/>
      <c r="E249" s="59"/>
      <c r="F249" s="59"/>
      <c r="G249" s="59"/>
      <c r="H249" s="541"/>
      <c r="I249" s="617">
        <f t="shared" si="3"/>
        <v>0</v>
      </c>
      <c r="J249" s="59"/>
      <c r="K249" s="59"/>
      <c r="L249" s="59"/>
      <c r="M249" s="59"/>
      <c r="N249" s="59"/>
      <c r="O249" s="59"/>
      <c r="P249" s="59"/>
      <c r="Q249" s="59"/>
    </row>
    <row r="250" spans="2:17" outlineLevel="1" x14ac:dyDescent="0.2">
      <c r="B250" s="59"/>
      <c r="C250" s="59"/>
      <c r="D250" s="59"/>
      <c r="E250" s="59"/>
      <c r="F250" s="59"/>
      <c r="G250" s="59"/>
      <c r="H250" s="541"/>
      <c r="I250" s="617">
        <f t="shared" si="3"/>
        <v>0</v>
      </c>
      <c r="J250" s="59"/>
      <c r="K250" s="59"/>
      <c r="L250" s="59"/>
      <c r="M250" s="59"/>
      <c r="N250" s="59"/>
      <c r="O250" s="59"/>
      <c r="P250" s="59"/>
      <c r="Q250" s="59"/>
    </row>
    <row r="251" spans="2:17" outlineLevel="1" x14ac:dyDescent="0.2">
      <c r="B251" s="59"/>
      <c r="C251" s="59"/>
      <c r="D251" s="59"/>
      <c r="E251" s="59"/>
      <c r="F251" s="59"/>
      <c r="G251" s="59"/>
      <c r="H251" s="541"/>
      <c r="I251" s="617">
        <f t="shared" si="3"/>
        <v>0</v>
      </c>
      <c r="J251" s="59"/>
      <c r="K251" s="59"/>
      <c r="L251" s="59"/>
      <c r="M251" s="59"/>
      <c r="N251" s="59"/>
      <c r="O251" s="59"/>
      <c r="P251" s="59"/>
      <c r="Q251" s="59"/>
    </row>
    <row r="252" spans="2:17" outlineLevel="1" x14ac:dyDescent="0.2">
      <c r="B252" s="59"/>
      <c r="C252" s="59"/>
      <c r="D252" s="59"/>
      <c r="E252" s="59"/>
      <c r="F252" s="59"/>
      <c r="G252" s="59"/>
      <c r="H252" s="541"/>
      <c r="I252" s="617">
        <f t="shared" si="3"/>
        <v>0</v>
      </c>
      <c r="J252" s="59"/>
      <c r="K252" s="59"/>
      <c r="L252" s="59"/>
      <c r="M252" s="59"/>
      <c r="N252" s="59"/>
      <c r="O252" s="59"/>
      <c r="P252" s="59"/>
      <c r="Q252" s="59"/>
    </row>
    <row r="253" spans="2:17" outlineLevel="1" x14ac:dyDescent="0.2">
      <c r="B253" s="59"/>
      <c r="C253" s="59"/>
      <c r="D253" s="59"/>
      <c r="E253" s="59"/>
      <c r="F253" s="59"/>
      <c r="G253" s="59"/>
      <c r="H253" s="541"/>
      <c r="I253" s="617">
        <f t="shared" si="3"/>
        <v>0</v>
      </c>
      <c r="J253" s="59"/>
      <c r="K253" s="59"/>
      <c r="L253" s="59"/>
      <c r="M253" s="59"/>
      <c r="N253" s="59"/>
      <c r="O253" s="59"/>
      <c r="P253" s="59"/>
      <c r="Q253" s="59"/>
    </row>
    <row r="254" spans="2:17" outlineLevel="1" x14ac:dyDescent="0.2">
      <c r="B254" s="59"/>
      <c r="C254" s="59"/>
      <c r="D254" s="59"/>
      <c r="E254" s="59"/>
      <c r="F254" s="59"/>
      <c r="G254" s="59"/>
      <c r="H254" s="541"/>
      <c r="I254" s="617">
        <f t="shared" si="3"/>
        <v>0</v>
      </c>
      <c r="J254" s="59"/>
      <c r="K254" s="59"/>
      <c r="L254" s="59"/>
      <c r="M254" s="59"/>
      <c r="N254" s="59"/>
      <c r="O254" s="59"/>
      <c r="P254" s="59"/>
      <c r="Q254" s="59"/>
    </row>
    <row r="255" spans="2:17" outlineLevel="1" x14ac:dyDescent="0.2">
      <c r="B255" s="59"/>
      <c r="C255" s="59"/>
      <c r="D255" s="59"/>
      <c r="E255" s="59"/>
      <c r="F255" s="59"/>
      <c r="G255" s="59"/>
      <c r="H255" s="541"/>
      <c r="I255" s="617">
        <f t="shared" si="3"/>
        <v>0</v>
      </c>
      <c r="J255" s="59"/>
      <c r="K255" s="59"/>
      <c r="L255" s="59"/>
      <c r="M255" s="59"/>
      <c r="N255" s="59"/>
      <c r="O255" s="59"/>
      <c r="P255" s="59"/>
      <c r="Q255" s="59"/>
    </row>
    <row r="256" spans="2:17" outlineLevel="1" x14ac:dyDescent="0.2">
      <c r="B256" s="59"/>
      <c r="C256" s="59"/>
      <c r="D256" s="59"/>
      <c r="E256" s="59"/>
      <c r="F256" s="59"/>
      <c r="G256" s="59"/>
      <c r="H256" s="541"/>
      <c r="I256" s="617">
        <f t="shared" si="3"/>
        <v>0</v>
      </c>
      <c r="J256" s="59"/>
      <c r="K256" s="59"/>
      <c r="L256" s="59"/>
      <c r="M256" s="59"/>
      <c r="N256" s="59"/>
      <c r="O256" s="59"/>
      <c r="P256" s="59"/>
      <c r="Q256" s="59"/>
    </row>
    <row r="257" spans="2:17" outlineLevel="1" x14ac:dyDescent="0.2">
      <c r="B257" s="59"/>
      <c r="C257" s="59"/>
      <c r="D257" s="59"/>
      <c r="E257" s="59"/>
      <c r="F257" s="59"/>
      <c r="G257" s="59"/>
      <c r="H257" s="541"/>
      <c r="I257" s="617">
        <f t="shared" si="3"/>
        <v>0</v>
      </c>
      <c r="J257" s="59"/>
      <c r="K257" s="59"/>
      <c r="L257" s="59"/>
      <c r="M257" s="59"/>
      <c r="N257" s="59"/>
      <c r="O257" s="59"/>
      <c r="P257" s="59"/>
      <c r="Q257" s="59"/>
    </row>
    <row r="258" spans="2:17" outlineLevel="1" x14ac:dyDescent="0.2">
      <c r="B258" s="59"/>
      <c r="C258" s="59"/>
      <c r="D258" s="59"/>
      <c r="E258" s="59"/>
      <c r="F258" s="59"/>
      <c r="G258" s="59"/>
      <c r="H258" s="541"/>
      <c r="I258" s="617">
        <f t="shared" si="3"/>
        <v>0</v>
      </c>
      <c r="J258" s="59"/>
      <c r="K258" s="59"/>
      <c r="L258" s="59"/>
      <c r="M258" s="59"/>
      <c r="N258" s="59"/>
      <c r="O258" s="59"/>
      <c r="P258" s="59"/>
      <c r="Q258" s="59"/>
    </row>
    <row r="259" spans="2:17" outlineLevel="1" x14ac:dyDescent="0.2">
      <c r="B259" s="59"/>
      <c r="C259" s="59"/>
      <c r="D259" s="59"/>
      <c r="E259" s="59"/>
      <c r="F259" s="59"/>
      <c r="G259" s="59"/>
      <c r="H259" s="541"/>
      <c r="I259" s="617">
        <f t="shared" si="3"/>
        <v>0</v>
      </c>
      <c r="J259" s="59"/>
      <c r="K259" s="59"/>
      <c r="L259" s="59"/>
      <c r="M259" s="59"/>
      <c r="N259" s="59"/>
      <c r="O259" s="59"/>
      <c r="P259" s="59"/>
      <c r="Q259" s="59"/>
    </row>
    <row r="260" spans="2:17" outlineLevel="1" x14ac:dyDescent="0.2">
      <c r="B260" s="59"/>
      <c r="C260" s="59"/>
      <c r="D260" s="59"/>
      <c r="E260" s="59"/>
      <c r="F260" s="59"/>
      <c r="G260" s="59"/>
      <c r="H260" s="541"/>
      <c r="I260" s="617">
        <f t="shared" si="3"/>
        <v>0</v>
      </c>
      <c r="J260" s="59"/>
      <c r="K260" s="59"/>
      <c r="L260" s="59"/>
      <c r="M260" s="59"/>
      <c r="N260" s="59"/>
      <c r="O260" s="59"/>
      <c r="P260" s="59"/>
      <c r="Q260" s="59"/>
    </row>
    <row r="261" spans="2:17" outlineLevel="1" x14ac:dyDescent="0.2">
      <c r="B261" s="59"/>
      <c r="C261" s="59"/>
      <c r="D261" s="59"/>
      <c r="E261" s="59"/>
      <c r="F261" s="59"/>
      <c r="G261" s="59"/>
      <c r="H261" s="541"/>
      <c r="I261" s="617">
        <f t="shared" ref="I261:I324" si="4">G261*H261</f>
        <v>0</v>
      </c>
      <c r="J261" s="59"/>
      <c r="K261" s="59"/>
      <c r="L261" s="59"/>
      <c r="M261" s="59"/>
      <c r="N261" s="59"/>
      <c r="O261" s="59"/>
      <c r="P261" s="59"/>
      <c r="Q261" s="59"/>
    </row>
    <row r="262" spans="2:17" outlineLevel="1" x14ac:dyDescent="0.2">
      <c r="B262" s="59"/>
      <c r="C262" s="59"/>
      <c r="D262" s="59"/>
      <c r="E262" s="59"/>
      <c r="F262" s="59"/>
      <c r="G262" s="59"/>
      <c r="H262" s="541"/>
      <c r="I262" s="617">
        <f t="shared" si="4"/>
        <v>0</v>
      </c>
      <c r="J262" s="59"/>
      <c r="K262" s="59"/>
      <c r="L262" s="59"/>
      <c r="M262" s="59"/>
      <c r="N262" s="59"/>
      <c r="O262" s="59"/>
      <c r="P262" s="59"/>
      <c r="Q262" s="59"/>
    </row>
    <row r="263" spans="2:17" outlineLevel="1" x14ac:dyDescent="0.2">
      <c r="B263" s="59"/>
      <c r="C263" s="59"/>
      <c r="D263" s="59"/>
      <c r="E263" s="59"/>
      <c r="F263" s="59"/>
      <c r="G263" s="59"/>
      <c r="H263" s="541"/>
      <c r="I263" s="617">
        <f t="shared" si="4"/>
        <v>0</v>
      </c>
      <c r="J263" s="59"/>
      <c r="K263" s="59"/>
      <c r="L263" s="59"/>
      <c r="M263" s="59"/>
      <c r="N263" s="59"/>
      <c r="O263" s="59"/>
      <c r="P263" s="59"/>
      <c r="Q263" s="59"/>
    </row>
    <row r="264" spans="2:17" outlineLevel="1" x14ac:dyDescent="0.2">
      <c r="B264" s="59"/>
      <c r="C264" s="59"/>
      <c r="D264" s="59"/>
      <c r="E264" s="59"/>
      <c r="F264" s="59"/>
      <c r="G264" s="59"/>
      <c r="H264" s="541"/>
      <c r="I264" s="617">
        <f t="shared" si="4"/>
        <v>0</v>
      </c>
      <c r="J264" s="59"/>
      <c r="K264" s="59"/>
      <c r="L264" s="59"/>
      <c r="M264" s="59"/>
      <c r="N264" s="59"/>
      <c r="O264" s="59"/>
      <c r="P264" s="59"/>
      <c r="Q264" s="59"/>
    </row>
    <row r="265" spans="2:17" outlineLevel="1" x14ac:dyDescent="0.2">
      <c r="B265" s="59"/>
      <c r="C265" s="59"/>
      <c r="D265" s="59"/>
      <c r="E265" s="59"/>
      <c r="F265" s="59"/>
      <c r="G265" s="59"/>
      <c r="H265" s="541"/>
      <c r="I265" s="617">
        <f t="shared" si="4"/>
        <v>0</v>
      </c>
      <c r="J265" s="59"/>
      <c r="K265" s="59"/>
      <c r="L265" s="59"/>
      <c r="M265" s="59"/>
      <c r="N265" s="59"/>
      <c r="O265" s="59"/>
      <c r="P265" s="59"/>
      <c r="Q265" s="59"/>
    </row>
    <row r="266" spans="2:17" outlineLevel="1" x14ac:dyDescent="0.2">
      <c r="B266" s="59"/>
      <c r="C266" s="59"/>
      <c r="D266" s="59"/>
      <c r="E266" s="59"/>
      <c r="F266" s="59"/>
      <c r="G266" s="59"/>
      <c r="H266" s="541"/>
      <c r="I266" s="617">
        <f t="shared" si="4"/>
        <v>0</v>
      </c>
      <c r="J266" s="59"/>
      <c r="K266" s="59"/>
      <c r="L266" s="59"/>
      <c r="M266" s="59"/>
      <c r="N266" s="59"/>
      <c r="O266" s="59"/>
      <c r="P266" s="59"/>
      <c r="Q266" s="59"/>
    </row>
    <row r="267" spans="2:17" outlineLevel="1" x14ac:dyDescent="0.2">
      <c r="B267" s="59"/>
      <c r="C267" s="59"/>
      <c r="D267" s="59"/>
      <c r="E267" s="59"/>
      <c r="F267" s="59"/>
      <c r="G267" s="59"/>
      <c r="H267" s="541"/>
      <c r="I267" s="617">
        <f t="shared" si="4"/>
        <v>0</v>
      </c>
      <c r="J267" s="59"/>
      <c r="K267" s="59"/>
      <c r="L267" s="59"/>
      <c r="M267" s="59"/>
      <c r="N267" s="59"/>
      <c r="O267" s="59"/>
      <c r="P267" s="59"/>
      <c r="Q267" s="59"/>
    </row>
    <row r="268" spans="2:17" outlineLevel="1" x14ac:dyDescent="0.2">
      <c r="B268" s="59"/>
      <c r="C268" s="59"/>
      <c r="D268" s="59"/>
      <c r="E268" s="59"/>
      <c r="F268" s="59"/>
      <c r="G268" s="59"/>
      <c r="H268" s="541"/>
      <c r="I268" s="617">
        <f t="shared" si="4"/>
        <v>0</v>
      </c>
      <c r="J268" s="59"/>
      <c r="K268" s="59"/>
      <c r="L268" s="59"/>
      <c r="M268" s="59"/>
      <c r="N268" s="59"/>
      <c r="O268" s="59"/>
      <c r="P268" s="59"/>
      <c r="Q268" s="59"/>
    </row>
    <row r="269" spans="2:17" outlineLevel="1" x14ac:dyDescent="0.2">
      <c r="B269" s="59"/>
      <c r="C269" s="59"/>
      <c r="D269" s="59"/>
      <c r="E269" s="59"/>
      <c r="F269" s="59"/>
      <c r="G269" s="59"/>
      <c r="H269" s="541"/>
      <c r="I269" s="617">
        <f t="shared" si="4"/>
        <v>0</v>
      </c>
      <c r="J269" s="59"/>
      <c r="K269" s="59"/>
      <c r="L269" s="59"/>
      <c r="M269" s="59"/>
      <c r="N269" s="59"/>
      <c r="O269" s="59"/>
      <c r="P269" s="59"/>
      <c r="Q269" s="59"/>
    </row>
    <row r="270" spans="2:17" outlineLevel="1" x14ac:dyDescent="0.2">
      <c r="B270" s="59"/>
      <c r="C270" s="59"/>
      <c r="D270" s="59"/>
      <c r="E270" s="59"/>
      <c r="F270" s="59"/>
      <c r="G270" s="59"/>
      <c r="H270" s="541"/>
      <c r="I270" s="617">
        <f t="shared" si="4"/>
        <v>0</v>
      </c>
      <c r="J270" s="59"/>
      <c r="K270" s="59"/>
      <c r="L270" s="59"/>
      <c r="M270" s="59"/>
      <c r="N270" s="59"/>
      <c r="O270" s="59"/>
      <c r="P270" s="59"/>
      <c r="Q270" s="59"/>
    </row>
    <row r="271" spans="2:17" outlineLevel="1" x14ac:dyDescent="0.2">
      <c r="B271" s="59"/>
      <c r="C271" s="59"/>
      <c r="D271" s="59"/>
      <c r="E271" s="59"/>
      <c r="F271" s="59"/>
      <c r="G271" s="59"/>
      <c r="H271" s="541"/>
      <c r="I271" s="617">
        <f t="shared" si="4"/>
        <v>0</v>
      </c>
      <c r="J271" s="59"/>
      <c r="K271" s="59"/>
      <c r="L271" s="59"/>
      <c r="M271" s="59"/>
      <c r="N271" s="59"/>
      <c r="O271" s="59"/>
      <c r="P271" s="59"/>
      <c r="Q271" s="59"/>
    </row>
    <row r="272" spans="2:17" outlineLevel="1" x14ac:dyDescent="0.2">
      <c r="B272" s="59"/>
      <c r="C272" s="59"/>
      <c r="D272" s="59"/>
      <c r="E272" s="59"/>
      <c r="F272" s="59"/>
      <c r="G272" s="59"/>
      <c r="H272" s="541"/>
      <c r="I272" s="617">
        <f t="shared" si="4"/>
        <v>0</v>
      </c>
      <c r="J272" s="59"/>
      <c r="K272" s="59"/>
      <c r="L272" s="59"/>
      <c r="M272" s="59"/>
      <c r="N272" s="59"/>
      <c r="O272" s="59"/>
      <c r="P272" s="59"/>
      <c r="Q272" s="59"/>
    </row>
    <row r="273" spans="2:17" outlineLevel="1" x14ac:dyDescent="0.2">
      <c r="B273" s="59"/>
      <c r="C273" s="59"/>
      <c r="D273" s="59"/>
      <c r="E273" s="59"/>
      <c r="F273" s="59"/>
      <c r="G273" s="59"/>
      <c r="H273" s="541"/>
      <c r="I273" s="617">
        <f t="shared" si="4"/>
        <v>0</v>
      </c>
      <c r="J273" s="59"/>
      <c r="K273" s="59"/>
      <c r="L273" s="59"/>
      <c r="M273" s="59"/>
      <c r="N273" s="59"/>
      <c r="O273" s="59"/>
      <c r="P273" s="59"/>
      <c r="Q273" s="59"/>
    </row>
    <row r="274" spans="2:17" outlineLevel="1" x14ac:dyDescent="0.2">
      <c r="B274" s="59"/>
      <c r="C274" s="59"/>
      <c r="D274" s="59"/>
      <c r="E274" s="59"/>
      <c r="F274" s="59"/>
      <c r="G274" s="59"/>
      <c r="H274" s="541"/>
      <c r="I274" s="617">
        <f t="shared" si="4"/>
        <v>0</v>
      </c>
      <c r="J274" s="59"/>
      <c r="K274" s="59"/>
      <c r="L274" s="59"/>
      <c r="M274" s="59"/>
      <c r="N274" s="59"/>
      <c r="O274" s="59"/>
      <c r="P274" s="59"/>
      <c r="Q274" s="59"/>
    </row>
    <row r="275" spans="2:17" outlineLevel="1" x14ac:dyDescent="0.2">
      <c r="B275" s="59"/>
      <c r="C275" s="59"/>
      <c r="D275" s="59"/>
      <c r="E275" s="59"/>
      <c r="F275" s="59"/>
      <c r="G275" s="59"/>
      <c r="H275" s="541"/>
      <c r="I275" s="617">
        <f t="shared" si="4"/>
        <v>0</v>
      </c>
      <c r="J275" s="59"/>
      <c r="K275" s="59"/>
      <c r="L275" s="59"/>
      <c r="M275" s="59"/>
      <c r="N275" s="59"/>
      <c r="O275" s="59"/>
      <c r="P275" s="59"/>
      <c r="Q275" s="59"/>
    </row>
    <row r="276" spans="2:17" outlineLevel="1" x14ac:dyDescent="0.2">
      <c r="B276" s="59"/>
      <c r="C276" s="59"/>
      <c r="D276" s="59"/>
      <c r="E276" s="59"/>
      <c r="F276" s="59"/>
      <c r="G276" s="59"/>
      <c r="H276" s="541"/>
      <c r="I276" s="617">
        <f t="shared" si="4"/>
        <v>0</v>
      </c>
      <c r="J276" s="59"/>
      <c r="K276" s="59"/>
      <c r="L276" s="59"/>
      <c r="M276" s="59"/>
      <c r="N276" s="59"/>
      <c r="O276" s="59"/>
      <c r="P276" s="59"/>
      <c r="Q276" s="59"/>
    </row>
    <row r="277" spans="2:17" outlineLevel="1" x14ac:dyDescent="0.2">
      <c r="B277" s="59"/>
      <c r="C277" s="59"/>
      <c r="D277" s="59"/>
      <c r="E277" s="59"/>
      <c r="F277" s="59"/>
      <c r="G277" s="59"/>
      <c r="H277" s="541"/>
      <c r="I277" s="617">
        <f t="shared" si="4"/>
        <v>0</v>
      </c>
      <c r="J277" s="59"/>
      <c r="K277" s="59"/>
      <c r="L277" s="59"/>
      <c r="M277" s="59"/>
      <c r="N277" s="59"/>
      <c r="O277" s="59"/>
      <c r="P277" s="59"/>
      <c r="Q277" s="59"/>
    </row>
    <row r="278" spans="2:17" outlineLevel="1" x14ac:dyDescent="0.2">
      <c r="B278" s="59"/>
      <c r="C278" s="59"/>
      <c r="D278" s="59"/>
      <c r="E278" s="59"/>
      <c r="F278" s="59"/>
      <c r="G278" s="59"/>
      <c r="H278" s="541"/>
      <c r="I278" s="617">
        <f t="shared" si="4"/>
        <v>0</v>
      </c>
      <c r="J278" s="59"/>
      <c r="K278" s="59"/>
      <c r="L278" s="59"/>
      <c r="M278" s="59"/>
      <c r="N278" s="59"/>
      <c r="O278" s="59"/>
      <c r="P278" s="59"/>
      <c r="Q278" s="59"/>
    </row>
    <row r="279" spans="2:17" outlineLevel="1" x14ac:dyDescent="0.2">
      <c r="B279" s="59"/>
      <c r="C279" s="59"/>
      <c r="D279" s="59"/>
      <c r="E279" s="59"/>
      <c r="F279" s="59"/>
      <c r="G279" s="59"/>
      <c r="H279" s="541"/>
      <c r="I279" s="617">
        <f t="shared" si="4"/>
        <v>0</v>
      </c>
      <c r="J279" s="59"/>
      <c r="K279" s="59"/>
      <c r="L279" s="59"/>
      <c r="M279" s="59"/>
      <c r="N279" s="59"/>
      <c r="O279" s="59"/>
      <c r="P279" s="59"/>
      <c r="Q279" s="59"/>
    </row>
    <row r="280" spans="2:17" outlineLevel="1" x14ac:dyDescent="0.2">
      <c r="B280" s="59"/>
      <c r="C280" s="59"/>
      <c r="D280" s="59"/>
      <c r="E280" s="59"/>
      <c r="F280" s="59"/>
      <c r="G280" s="59"/>
      <c r="H280" s="541"/>
      <c r="I280" s="617">
        <f t="shared" si="4"/>
        <v>0</v>
      </c>
      <c r="J280" s="59"/>
      <c r="K280" s="59"/>
      <c r="L280" s="59"/>
      <c r="M280" s="59"/>
      <c r="N280" s="59"/>
      <c r="O280" s="59"/>
      <c r="P280" s="59"/>
      <c r="Q280" s="59"/>
    </row>
    <row r="281" spans="2:17" outlineLevel="1" x14ac:dyDescent="0.2">
      <c r="B281" s="59"/>
      <c r="C281" s="59"/>
      <c r="D281" s="59"/>
      <c r="E281" s="59"/>
      <c r="F281" s="59"/>
      <c r="G281" s="59"/>
      <c r="H281" s="541"/>
      <c r="I281" s="617">
        <f t="shared" si="4"/>
        <v>0</v>
      </c>
      <c r="J281" s="59"/>
      <c r="K281" s="59"/>
      <c r="L281" s="59"/>
      <c r="M281" s="59"/>
      <c r="N281" s="59"/>
      <c r="O281" s="59"/>
      <c r="P281" s="59"/>
      <c r="Q281" s="59"/>
    </row>
    <row r="282" spans="2:17" outlineLevel="1" x14ac:dyDescent="0.2">
      <c r="B282" s="59"/>
      <c r="C282" s="59"/>
      <c r="D282" s="59"/>
      <c r="E282" s="59"/>
      <c r="F282" s="59"/>
      <c r="G282" s="59"/>
      <c r="H282" s="541"/>
      <c r="I282" s="617">
        <f t="shared" si="4"/>
        <v>0</v>
      </c>
      <c r="J282" s="59"/>
      <c r="K282" s="59"/>
      <c r="L282" s="59"/>
      <c r="M282" s="59"/>
      <c r="N282" s="59"/>
      <c r="O282" s="59"/>
      <c r="P282" s="59"/>
      <c r="Q282" s="59"/>
    </row>
    <row r="283" spans="2:17" outlineLevel="1" x14ac:dyDescent="0.2">
      <c r="B283" s="59"/>
      <c r="C283" s="59"/>
      <c r="D283" s="59"/>
      <c r="E283" s="59"/>
      <c r="F283" s="59"/>
      <c r="G283" s="59"/>
      <c r="H283" s="541"/>
      <c r="I283" s="617">
        <f t="shared" si="4"/>
        <v>0</v>
      </c>
      <c r="J283" s="59"/>
      <c r="K283" s="59"/>
      <c r="L283" s="59"/>
      <c r="M283" s="59"/>
      <c r="N283" s="59"/>
      <c r="O283" s="59"/>
      <c r="P283" s="59"/>
      <c r="Q283" s="59"/>
    </row>
    <row r="284" spans="2:17" outlineLevel="1" x14ac:dyDescent="0.2">
      <c r="B284" s="59"/>
      <c r="C284" s="59"/>
      <c r="D284" s="59"/>
      <c r="E284" s="59"/>
      <c r="F284" s="59"/>
      <c r="G284" s="59"/>
      <c r="H284" s="541"/>
      <c r="I284" s="617">
        <f t="shared" si="4"/>
        <v>0</v>
      </c>
      <c r="J284" s="59"/>
      <c r="K284" s="59"/>
      <c r="L284" s="59"/>
      <c r="M284" s="59"/>
      <c r="N284" s="59"/>
      <c r="O284" s="59"/>
      <c r="P284" s="59"/>
      <c r="Q284" s="59"/>
    </row>
    <row r="285" spans="2:17" outlineLevel="1" x14ac:dyDescent="0.2">
      <c r="B285" s="59"/>
      <c r="C285" s="59"/>
      <c r="D285" s="59"/>
      <c r="E285" s="59"/>
      <c r="F285" s="59"/>
      <c r="G285" s="59"/>
      <c r="H285" s="541"/>
      <c r="I285" s="617">
        <f t="shared" si="4"/>
        <v>0</v>
      </c>
      <c r="J285" s="59"/>
      <c r="K285" s="59"/>
      <c r="L285" s="59"/>
      <c r="M285" s="59"/>
      <c r="N285" s="59"/>
      <c r="O285" s="59"/>
      <c r="P285" s="59"/>
      <c r="Q285" s="59"/>
    </row>
    <row r="286" spans="2:17" outlineLevel="1" x14ac:dyDescent="0.2">
      <c r="B286" s="59"/>
      <c r="C286" s="59"/>
      <c r="D286" s="59"/>
      <c r="E286" s="59"/>
      <c r="F286" s="59"/>
      <c r="G286" s="59"/>
      <c r="H286" s="541"/>
      <c r="I286" s="617">
        <f t="shared" si="4"/>
        <v>0</v>
      </c>
      <c r="J286" s="59"/>
      <c r="K286" s="59"/>
      <c r="L286" s="59"/>
      <c r="M286" s="59"/>
      <c r="N286" s="59"/>
      <c r="O286" s="59"/>
      <c r="P286" s="59"/>
      <c r="Q286" s="59"/>
    </row>
    <row r="287" spans="2:17" outlineLevel="1" x14ac:dyDescent="0.2">
      <c r="B287" s="59"/>
      <c r="C287" s="59"/>
      <c r="D287" s="59"/>
      <c r="E287" s="59"/>
      <c r="F287" s="59"/>
      <c r="G287" s="59"/>
      <c r="H287" s="541"/>
      <c r="I287" s="617">
        <f t="shared" si="4"/>
        <v>0</v>
      </c>
      <c r="J287" s="59"/>
      <c r="K287" s="59"/>
      <c r="L287" s="59"/>
      <c r="M287" s="59"/>
      <c r="N287" s="59"/>
      <c r="O287" s="59"/>
      <c r="P287" s="59"/>
      <c r="Q287" s="59"/>
    </row>
    <row r="288" spans="2:17" outlineLevel="1" x14ac:dyDescent="0.2">
      <c r="B288" s="59"/>
      <c r="C288" s="59"/>
      <c r="D288" s="59"/>
      <c r="E288" s="59"/>
      <c r="F288" s="59"/>
      <c r="G288" s="59"/>
      <c r="H288" s="541"/>
      <c r="I288" s="617">
        <f t="shared" si="4"/>
        <v>0</v>
      </c>
      <c r="J288" s="59"/>
      <c r="K288" s="59"/>
      <c r="L288" s="59"/>
      <c r="M288" s="59"/>
      <c r="N288" s="59"/>
      <c r="O288" s="59"/>
      <c r="P288" s="59"/>
      <c r="Q288" s="59"/>
    </row>
    <row r="289" spans="2:17" outlineLevel="1" x14ac:dyDescent="0.2">
      <c r="B289" s="59"/>
      <c r="C289" s="59"/>
      <c r="D289" s="59"/>
      <c r="E289" s="59"/>
      <c r="F289" s="59"/>
      <c r="G289" s="59"/>
      <c r="H289" s="541"/>
      <c r="I289" s="617">
        <f t="shared" si="4"/>
        <v>0</v>
      </c>
      <c r="J289" s="59"/>
      <c r="K289" s="59"/>
      <c r="L289" s="59"/>
      <c r="M289" s="59"/>
      <c r="N289" s="59"/>
      <c r="O289" s="59"/>
      <c r="P289" s="59"/>
      <c r="Q289" s="59"/>
    </row>
    <row r="290" spans="2:17" outlineLevel="1" x14ac:dyDescent="0.2">
      <c r="B290" s="59"/>
      <c r="C290" s="59"/>
      <c r="D290" s="59"/>
      <c r="E290" s="59"/>
      <c r="F290" s="59"/>
      <c r="G290" s="59"/>
      <c r="H290" s="541"/>
      <c r="I290" s="617">
        <f t="shared" si="4"/>
        <v>0</v>
      </c>
      <c r="J290" s="59"/>
      <c r="K290" s="59"/>
      <c r="L290" s="59"/>
      <c r="M290" s="59"/>
      <c r="N290" s="59"/>
      <c r="O290" s="59"/>
      <c r="P290" s="59"/>
      <c r="Q290" s="59"/>
    </row>
    <row r="291" spans="2:17" outlineLevel="1" x14ac:dyDescent="0.2">
      <c r="B291" s="59"/>
      <c r="C291" s="59"/>
      <c r="D291" s="59"/>
      <c r="E291" s="59"/>
      <c r="F291" s="59"/>
      <c r="G291" s="59"/>
      <c r="H291" s="541"/>
      <c r="I291" s="617">
        <f t="shared" si="4"/>
        <v>0</v>
      </c>
      <c r="J291" s="59"/>
      <c r="K291" s="59"/>
      <c r="L291" s="59"/>
      <c r="M291" s="59"/>
      <c r="N291" s="59"/>
      <c r="O291" s="59"/>
      <c r="P291" s="59"/>
      <c r="Q291" s="59"/>
    </row>
    <row r="292" spans="2:17" outlineLevel="1" x14ac:dyDescent="0.2">
      <c r="B292" s="59"/>
      <c r="C292" s="59"/>
      <c r="D292" s="59"/>
      <c r="E292" s="59"/>
      <c r="F292" s="59"/>
      <c r="G292" s="59"/>
      <c r="H292" s="541"/>
      <c r="I292" s="617">
        <f t="shared" si="4"/>
        <v>0</v>
      </c>
      <c r="J292" s="59"/>
      <c r="K292" s="59"/>
      <c r="L292" s="59"/>
      <c r="M292" s="59"/>
      <c r="N292" s="59"/>
      <c r="O292" s="59"/>
      <c r="P292" s="59"/>
      <c r="Q292" s="59"/>
    </row>
    <row r="293" spans="2:17" outlineLevel="1" x14ac:dyDescent="0.2">
      <c r="B293" s="59"/>
      <c r="C293" s="59"/>
      <c r="D293" s="59"/>
      <c r="E293" s="59"/>
      <c r="F293" s="59"/>
      <c r="G293" s="59"/>
      <c r="H293" s="541"/>
      <c r="I293" s="617">
        <f t="shared" si="4"/>
        <v>0</v>
      </c>
      <c r="J293" s="59"/>
      <c r="K293" s="59"/>
      <c r="L293" s="59"/>
      <c r="M293" s="59"/>
      <c r="N293" s="59"/>
      <c r="O293" s="59"/>
      <c r="P293" s="59"/>
      <c r="Q293" s="59"/>
    </row>
    <row r="294" spans="2:17" outlineLevel="1" x14ac:dyDescent="0.2">
      <c r="B294" s="59"/>
      <c r="C294" s="59"/>
      <c r="D294" s="59"/>
      <c r="E294" s="59"/>
      <c r="F294" s="59"/>
      <c r="G294" s="59"/>
      <c r="H294" s="541"/>
      <c r="I294" s="617">
        <f t="shared" si="4"/>
        <v>0</v>
      </c>
      <c r="J294" s="59"/>
      <c r="K294" s="59"/>
      <c r="L294" s="59"/>
      <c r="M294" s="59"/>
      <c r="N294" s="59"/>
      <c r="O294" s="59"/>
      <c r="P294" s="59"/>
      <c r="Q294" s="59"/>
    </row>
    <row r="295" spans="2:17" outlineLevel="1" x14ac:dyDescent="0.2">
      <c r="B295" s="59"/>
      <c r="C295" s="59"/>
      <c r="D295" s="59"/>
      <c r="E295" s="59"/>
      <c r="F295" s="59"/>
      <c r="G295" s="59"/>
      <c r="H295" s="541"/>
      <c r="I295" s="617">
        <f t="shared" si="4"/>
        <v>0</v>
      </c>
      <c r="J295" s="59"/>
      <c r="K295" s="59"/>
      <c r="L295" s="59"/>
      <c r="M295" s="59"/>
      <c r="N295" s="59"/>
      <c r="O295" s="59"/>
      <c r="P295" s="59"/>
      <c r="Q295" s="59"/>
    </row>
    <row r="296" spans="2:17" outlineLevel="1" x14ac:dyDescent="0.2">
      <c r="B296" s="59"/>
      <c r="C296" s="59"/>
      <c r="D296" s="59"/>
      <c r="E296" s="59"/>
      <c r="F296" s="59"/>
      <c r="G296" s="59"/>
      <c r="H296" s="541"/>
      <c r="I296" s="617">
        <f t="shared" si="4"/>
        <v>0</v>
      </c>
      <c r="J296" s="59"/>
      <c r="K296" s="59"/>
      <c r="L296" s="59"/>
      <c r="M296" s="59"/>
      <c r="N296" s="59"/>
      <c r="O296" s="59"/>
      <c r="P296" s="59"/>
      <c r="Q296" s="59"/>
    </row>
    <row r="297" spans="2:17" outlineLevel="1" x14ac:dyDescent="0.2">
      <c r="B297" s="59"/>
      <c r="C297" s="59"/>
      <c r="D297" s="59"/>
      <c r="E297" s="59"/>
      <c r="F297" s="59"/>
      <c r="G297" s="59"/>
      <c r="H297" s="541"/>
      <c r="I297" s="617">
        <f t="shared" si="4"/>
        <v>0</v>
      </c>
      <c r="J297" s="59"/>
      <c r="K297" s="59"/>
      <c r="L297" s="59"/>
      <c r="M297" s="59"/>
      <c r="N297" s="59"/>
      <c r="O297" s="59"/>
      <c r="P297" s="59"/>
      <c r="Q297" s="59"/>
    </row>
    <row r="298" spans="2:17" outlineLevel="1" x14ac:dyDescent="0.2">
      <c r="B298" s="59"/>
      <c r="C298" s="59"/>
      <c r="D298" s="59"/>
      <c r="E298" s="59"/>
      <c r="F298" s="59"/>
      <c r="G298" s="59"/>
      <c r="H298" s="541"/>
      <c r="I298" s="617">
        <f t="shared" si="4"/>
        <v>0</v>
      </c>
      <c r="J298" s="59"/>
      <c r="K298" s="59"/>
      <c r="L298" s="59"/>
      <c r="M298" s="59"/>
      <c r="N298" s="59"/>
      <c r="O298" s="59"/>
      <c r="P298" s="59"/>
      <c r="Q298" s="59"/>
    </row>
    <row r="299" spans="2:17" outlineLevel="1" x14ac:dyDescent="0.2">
      <c r="B299" s="59"/>
      <c r="C299" s="59"/>
      <c r="D299" s="59"/>
      <c r="E299" s="59"/>
      <c r="F299" s="59"/>
      <c r="G299" s="59"/>
      <c r="H299" s="541"/>
      <c r="I299" s="617">
        <f t="shared" si="4"/>
        <v>0</v>
      </c>
      <c r="J299" s="59"/>
      <c r="K299" s="59"/>
      <c r="L299" s="59"/>
      <c r="M299" s="59"/>
      <c r="N299" s="59"/>
      <c r="O299" s="59"/>
      <c r="P299" s="59"/>
      <c r="Q299" s="59"/>
    </row>
    <row r="300" spans="2:17" outlineLevel="1" x14ac:dyDescent="0.2">
      <c r="B300" s="59"/>
      <c r="C300" s="59"/>
      <c r="D300" s="59"/>
      <c r="E300" s="59"/>
      <c r="F300" s="59"/>
      <c r="G300" s="59"/>
      <c r="H300" s="541"/>
      <c r="I300" s="617">
        <f t="shared" si="4"/>
        <v>0</v>
      </c>
      <c r="J300" s="59"/>
      <c r="K300" s="59"/>
      <c r="L300" s="59"/>
      <c r="M300" s="59"/>
      <c r="N300" s="59"/>
      <c r="O300" s="59"/>
      <c r="P300" s="59"/>
      <c r="Q300" s="59"/>
    </row>
    <row r="301" spans="2:17" outlineLevel="1" x14ac:dyDescent="0.2">
      <c r="B301" s="59"/>
      <c r="C301" s="59"/>
      <c r="D301" s="59"/>
      <c r="E301" s="59"/>
      <c r="F301" s="59"/>
      <c r="G301" s="59"/>
      <c r="H301" s="541"/>
      <c r="I301" s="617">
        <f t="shared" si="4"/>
        <v>0</v>
      </c>
      <c r="J301" s="59"/>
      <c r="K301" s="59"/>
      <c r="L301" s="59"/>
      <c r="M301" s="59"/>
      <c r="N301" s="59"/>
      <c r="O301" s="59"/>
      <c r="P301" s="59"/>
      <c r="Q301" s="59"/>
    </row>
    <row r="302" spans="2:17" outlineLevel="1" x14ac:dyDescent="0.2">
      <c r="B302" s="59"/>
      <c r="C302" s="59"/>
      <c r="D302" s="59"/>
      <c r="E302" s="59"/>
      <c r="F302" s="59"/>
      <c r="G302" s="59"/>
      <c r="H302" s="541"/>
      <c r="I302" s="617">
        <f t="shared" si="4"/>
        <v>0</v>
      </c>
      <c r="J302" s="59"/>
      <c r="K302" s="59"/>
      <c r="L302" s="59"/>
      <c r="M302" s="59"/>
      <c r="N302" s="59"/>
      <c r="O302" s="59"/>
      <c r="P302" s="59"/>
      <c r="Q302" s="59"/>
    </row>
    <row r="303" spans="2:17" outlineLevel="1" x14ac:dyDescent="0.2">
      <c r="B303" s="59"/>
      <c r="C303" s="59"/>
      <c r="D303" s="59"/>
      <c r="E303" s="59"/>
      <c r="F303" s="59"/>
      <c r="G303" s="59"/>
      <c r="H303" s="541"/>
      <c r="I303" s="617">
        <f t="shared" si="4"/>
        <v>0</v>
      </c>
      <c r="J303" s="59"/>
      <c r="K303" s="59"/>
      <c r="L303" s="59"/>
      <c r="M303" s="59"/>
      <c r="N303" s="59"/>
      <c r="O303" s="59"/>
      <c r="P303" s="59"/>
      <c r="Q303" s="59"/>
    </row>
    <row r="304" spans="2:17" outlineLevel="1" x14ac:dyDescent="0.2">
      <c r="B304" s="59"/>
      <c r="C304" s="59"/>
      <c r="D304" s="59"/>
      <c r="E304" s="59"/>
      <c r="F304" s="59"/>
      <c r="G304" s="59"/>
      <c r="H304" s="541"/>
      <c r="I304" s="617">
        <f t="shared" si="4"/>
        <v>0</v>
      </c>
      <c r="J304" s="59"/>
      <c r="K304" s="59"/>
      <c r="L304" s="59"/>
      <c r="M304" s="59"/>
      <c r="N304" s="59"/>
      <c r="O304" s="59"/>
      <c r="P304" s="59"/>
      <c r="Q304" s="59"/>
    </row>
    <row r="305" spans="2:17" outlineLevel="1" x14ac:dyDescent="0.2">
      <c r="B305" s="59"/>
      <c r="C305" s="59"/>
      <c r="D305" s="59"/>
      <c r="E305" s="59"/>
      <c r="F305" s="59"/>
      <c r="G305" s="59"/>
      <c r="H305" s="541"/>
      <c r="I305" s="617">
        <f t="shared" si="4"/>
        <v>0</v>
      </c>
      <c r="J305" s="59"/>
      <c r="K305" s="59"/>
      <c r="L305" s="59"/>
      <c r="M305" s="59"/>
      <c r="N305" s="59"/>
      <c r="O305" s="59"/>
      <c r="P305" s="59"/>
      <c r="Q305" s="59"/>
    </row>
    <row r="306" spans="2:17" outlineLevel="1" x14ac:dyDescent="0.2">
      <c r="B306" s="59"/>
      <c r="C306" s="59"/>
      <c r="D306" s="59"/>
      <c r="E306" s="59"/>
      <c r="F306" s="59"/>
      <c r="G306" s="59"/>
      <c r="H306" s="541"/>
      <c r="I306" s="617">
        <f t="shared" si="4"/>
        <v>0</v>
      </c>
      <c r="J306" s="59"/>
      <c r="K306" s="59"/>
      <c r="L306" s="59"/>
      <c r="M306" s="59"/>
      <c r="N306" s="59"/>
      <c r="O306" s="59"/>
      <c r="P306" s="59"/>
      <c r="Q306" s="59"/>
    </row>
    <row r="307" spans="2:17" outlineLevel="1" x14ac:dyDescent="0.2">
      <c r="B307" s="59"/>
      <c r="C307" s="59"/>
      <c r="D307" s="59"/>
      <c r="E307" s="59"/>
      <c r="F307" s="59"/>
      <c r="G307" s="59"/>
      <c r="H307" s="541"/>
      <c r="I307" s="617">
        <f t="shared" si="4"/>
        <v>0</v>
      </c>
      <c r="J307" s="59"/>
      <c r="K307" s="59"/>
      <c r="L307" s="59"/>
      <c r="M307" s="59"/>
      <c r="N307" s="59"/>
      <c r="O307" s="59"/>
      <c r="P307" s="59"/>
      <c r="Q307" s="59"/>
    </row>
    <row r="308" spans="2:17" outlineLevel="1" x14ac:dyDescent="0.2">
      <c r="B308" s="59"/>
      <c r="C308" s="59"/>
      <c r="D308" s="59"/>
      <c r="E308" s="59"/>
      <c r="F308" s="59"/>
      <c r="G308" s="59"/>
      <c r="H308" s="541"/>
      <c r="I308" s="617">
        <f t="shared" si="4"/>
        <v>0</v>
      </c>
      <c r="J308" s="59"/>
      <c r="K308" s="59"/>
      <c r="L308" s="59"/>
      <c r="M308" s="59"/>
      <c r="N308" s="59"/>
      <c r="O308" s="59"/>
      <c r="P308" s="59"/>
      <c r="Q308" s="59"/>
    </row>
    <row r="309" spans="2:17" outlineLevel="1" x14ac:dyDescent="0.2">
      <c r="B309" s="59"/>
      <c r="C309" s="59"/>
      <c r="D309" s="59"/>
      <c r="E309" s="59"/>
      <c r="F309" s="59"/>
      <c r="G309" s="59"/>
      <c r="H309" s="541"/>
      <c r="I309" s="617">
        <f t="shared" si="4"/>
        <v>0</v>
      </c>
      <c r="J309" s="59"/>
      <c r="K309" s="59"/>
      <c r="L309" s="59"/>
      <c r="M309" s="59"/>
      <c r="N309" s="59"/>
      <c r="O309" s="59"/>
      <c r="P309" s="59"/>
      <c r="Q309" s="59"/>
    </row>
    <row r="310" spans="2:17" outlineLevel="1" x14ac:dyDescent="0.2">
      <c r="B310" s="59"/>
      <c r="C310" s="59"/>
      <c r="D310" s="59"/>
      <c r="E310" s="59"/>
      <c r="F310" s="59"/>
      <c r="G310" s="59"/>
      <c r="H310" s="541"/>
      <c r="I310" s="617">
        <f t="shared" si="4"/>
        <v>0</v>
      </c>
      <c r="J310" s="59"/>
      <c r="K310" s="59"/>
      <c r="L310" s="59"/>
      <c r="M310" s="59"/>
      <c r="N310" s="59"/>
      <c r="O310" s="59"/>
      <c r="P310" s="59"/>
      <c r="Q310" s="59"/>
    </row>
    <row r="311" spans="2:17" outlineLevel="1" x14ac:dyDescent="0.2">
      <c r="B311" s="59"/>
      <c r="C311" s="59"/>
      <c r="D311" s="59"/>
      <c r="E311" s="59"/>
      <c r="F311" s="59"/>
      <c r="G311" s="59"/>
      <c r="H311" s="541"/>
      <c r="I311" s="617">
        <f t="shared" si="4"/>
        <v>0</v>
      </c>
      <c r="J311" s="59"/>
      <c r="K311" s="59"/>
      <c r="L311" s="59"/>
      <c r="M311" s="59"/>
      <c r="N311" s="59"/>
      <c r="O311" s="59"/>
      <c r="P311" s="59"/>
      <c r="Q311" s="59"/>
    </row>
    <row r="312" spans="2:17" outlineLevel="1" x14ac:dyDescent="0.2">
      <c r="B312" s="59"/>
      <c r="C312" s="59"/>
      <c r="D312" s="59"/>
      <c r="E312" s="59"/>
      <c r="F312" s="59"/>
      <c r="G312" s="59"/>
      <c r="H312" s="541"/>
      <c r="I312" s="617">
        <f t="shared" si="4"/>
        <v>0</v>
      </c>
      <c r="J312" s="59"/>
      <c r="K312" s="59"/>
      <c r="L312" s="59"/>
      <c r="M312" s="59"/>
      <c r="N312" s="59"/>
      <c r="O312" s="59"/>
      <c r="P312" s="59"/>
      <c r="Q312" s="59"/>
    </row>
    <row r="313" spans="2:17" outlineLevel="1" x14ac:dyDescent="0.2">
      <c r="B313" s="59"/>
      <c r="C313" s="59"/>
      <c r="D313" s="59"/>
      <c r="E313" s="59"/>
      <c r="F313" s="59"/>
      <c r="G313" s="59"/>
      <c r="H313" s="541"/>
      <c r="I313" s="617">
        <f t="shared" si="4"/>
        <v>0</v>
      </c>
      <c r="J313" s="59"/>
      <c r="K313" s="59"/>
      <c r="L313" s="59"/>
      <c r="M313" s="59"/>
      <c r="N313" s="59"/>
      <c r="O313" s="59"/>
      <c r="P313" s="59"/>
      <c r="Q313" s="59"/>
    </row>
    <row r="314" spans="2:17" outlineLevel="1" x14ac:dyDescent="0.2">
      <c r="B314" s="59"/>
      <c r="C314" s="59"/>
      <c r="D314" s="59"/>
      <c r="E314" s="59"/>
      <c r="F314" s="59"/>
      <c r="G314" s="59"/>
      <c r="H314" s="541"/>
      <c r="I314" s="617">
        <f t="shared" si="4"/>
        <v>0</v>
      </c>
      <c r="J314" s="59"/>
      <c r="K314" s="59"/>
      <c r="L314" s="59"/>
      <c r="M314" s="59"/>
      <c r="N314" s="59"/>
      <c r="O314" s="59"/>
      <c r="P314" s="59"/>
      <c r="Q314" s="59"/>
    </row>
    <row r="315" spans="2:17" outlineLevel="1" x14ac:dyDescent="0.2">
      <c r="B315" s="59"/>
      <c r="C315" s="59"/>
      <c r="D315" s="59"/>
      <c r="E315" s="59"/>
      <c r="F315" s="59"/>
      <c r="G315" s="59"/>
      <c r="H315" s="541"/>
      <c r="I315" s="617">
        <f t="shared" si="4"/>
        <v>0</v>
      </c>
      <c r="J315" s="59"/>
      <c r="K315" s="59"/>
      <c r="L315" s="59"/>
      <c r="M315" s="59"/>
      <c r="N315" s="59"/>
      <c r="O315" s="59"/>
      <c r="P315" s="59"/>
      <c r="Q315" s="59"/>
    </row>
    <row r="316" spans="2:17" outlineLevel="1" x14ac:dyDescent="0.2">
      <c r="B316" s="59"/>
      <c r="C316" s="59"/>
      <c r="D316" s="59"/>
      <c r="E316" s="59"/>
      <c r="F316" s="59"/>
      <c r="G316" s="59"/>
      <c r="H316" s="541"/>
      <c r="I316" s="617">
        <f t="shared" si="4"/>
        <v>0</v>
      </c>
      <c r="J316" s="59"/>
      <c r="K316" s="59"/>
      <c r="L316" s="59"/>
      <c r="M316" s="59"/>
      <c r="N316" s="59"/>
      <c r="O316" s="59"/>
      <c r="P316" s="59"/>
      <c r="Q316" s="59"/>
    </row>
    <row r="317" spans="2:17" outlineLevel="1" x14ac:dyDescent="0.2">
      <c r="B317" s="59"/>
      <c r="C317" s="59"/>
      <c r="D317" s="59"/>
      <c r="E317" s="59"/>
      <c r="F317" s="59"/>
      <c r="G317" s="59"/>
      <c r="H317" s="541"/>
      <c r="I317" s="617">
        <f t="shared" si="4"/>
        <v>0</v>
      </c>
      <c r="J317" s="59"/>
      <c r="K317" s="59"/>
      <c r="L317" s="59"/>
      <c r="M317" s="59"/>
      <c r="N317" s="59"/>
      <c r="O317" s="59"/>
      <c r="P317" s="59"/>
      <c r="Q317" s="59"/>
    </row>
    <row r="318" spans="2:17" outlineLevel="1" x14ac:dyDescent="0.2">
      <c r="B318" s="59"/>
      <c r="C318" s="59"/>
      <c r="D318" s="59"/>
      <c r="E318" s="59"/>
      <c r="F318" s="59"/>
      <c r="G318" s="59"/>
      <c r="H318" s="541"/>
      <c r="I318" s="617">
        <f t="shared" si="4"/>
        <v>0</v>
      </c>
      <c r="J318" s="59"/>
      <c r="K318" s="59"/>
      <c r="L318" s="59"/>
      <c r="M318" s="59"/>
      <c r="N318" s="59"/>
      <c r="O318" s="59"/>
      <c r="P318" s="59"/>
      <c r="Q318" s="59"/>
    </row>
    <row r="319" spans="2:17" outlineLevel="1" x14ac:dyDescent="0.2">
      <c r="B319" s="59"/>
      <c r="C319" s="59"/>
      <c r="D319" s="59"/>
      <c r="E319" s="59"/>
      <c r="F319" s="59"/>
      <c r="G319" s="59"/>
      <c r="H319" s="541"/>
      <c r="I319" s="617">
        <f t="shared" si="4"/>
        <v>0</v>
      </c>
      <c r="J319" s="59"/>
      <c r="K319" s="59"/>
      <c r="L319" s="59"/>
      <c r="M319" s="59"/>
      <c r="N319" s="59"/>
      <c r="O319" s="59"/>
      <c r="P319" s="59"/>
      <c r="Q319" s="59"/>
    </row>
    <row r="320" spans="2:17" outlineLevel="1" x14ac:dyDescent="0.2">
      <c r="B320" s="59"/>
      <c r="C320" s="59"/>
      <c r="D320" s="59"/>
      <c r="E320" s="59"/>
      <c r="F320" s="59"/>
      <c r="G320" s="59"/>
      <c r="H320" s="541"/>
      <c r="I320" s="617">
        <f t="shared" si="4"/>
        <v>0</v>
      </c>
      <c r="J320" s="59"/>
      <c r="K320" s="59"/>
      <c r="L320" s="59"/>
      <c r="M320" s="59"/>
      <c r="N320" s="59"/>
      <c r="O320" s="59"/>
      <c r="P320" s="59"/>
      <c r="Q320" s="59"/>
    </row>
    <row r="321" spans="2:17" outlineLevel="1" x14ac:dyDescent="0.2">
      <c r="B321" s="59"/>
      <c r="C321" s="59"/>
      <c r="D321" s="59"/>
      <c r="E321" s="59"/>
      <c r="F321" s="59"/>
      <c r="G321" s="59"/>
      <c r="H321" s="541"/>
      <c r="I321" s="617">
        <f t="shared" si="4"/>
        <v>0</v>
      </c>
      <c r="J321" s="59"/>
      <c r="K321" s="59"/>
      <c r="L321" s="59"/>
      <c r="M321" s="59"/>
      <c r="N321" s="59"/>
      <c r="O321" s="59"/>
      <c r="P321" s="59"/>
      <c r="Q321" s="59"/>
    </row>
    <row r="322" spans="2:17" outlineLevel="1" x14ac:dyDescent="0.2">
      <c r="B322" s="59"/>
      <c r="C322" s="59"/>
      <c r="D322" s="59"/>
      <c r="E322" s="59"/>
      <c r="F322" s="59"/>
      <c r="G322" s="59"/>
      <c r="H322" s="541"/>
      <c r="I322" s="617">
        <f t="shared" si="4"/>
        <v>0</v>
      </c>
      <c r="J322" s="59"/>
      <c r="K322" s="59"/>
      <c r="L322" s="59"/>
      <c r="M322" s="59"/>
      <c r="N322" s="59"/>
      <c r="O322" s="59"/>
      <c r="P322" s="59"/>
      <c r="Q322" s="59"/>
    </row>
    <row r="323" spans="2:17" outlineLevel="1" x14ac:dyDescent="0.2">
      <c r="B323" s="59"/>
      <c r="C323" s="59"/>
      <c r="D323" s="59"/>
      <c r="E323" s="59"/>
      <c r="F323" s="59"/>
      <c r="G323" s="59"/>
      <c r="H323" s="541"/>
      <c r="I323" s="617">
        <f t="shared" si="4"/>
        <v>0</v>
      </c>
      <c r="J323" s="59"/>
      <c r="K323" s="59"/>
      <c r="L323" s="59"/>
      <c r="M323" s="59"/>
      <c r="N323" s="59"/>
      <c r="O323" s="59"/>
      <c r="P323" s="59"/>
      <c r="Q323" s="59"/>
    </row>
    <row r="324" spans="2:17" outlineLevel="1" x14ac:dyDescent="0.2">
      <c r="B324" s="59"/>
      <c r="C324" s="59"/>
      <c r="D324" s="59"/>
      <c r="E324" s="59"/>
      <c r="F324" s="59"/>
      <c r="G324" s="59"/>
      <c r="H324" s="541"/>
      <c r="I324" s="617">
        <f t="shared" si="4"/>
        <v>0</v>
      </c>
      <c r="J324" s="59"/>
      <c r="K324" s="59"/>
      <c r="L324" s="59"/>
      <c r="M324" s="59"/>
      <c r="N324" s="59"/>
      <c r="O324" s="59"/>
      <c r="P324" s="59"/>
      <c r="Q324" s="59"/>
    </row>
    <row r="325" spans="2:17" outlineLevel="1" x14ac:dyDescent="0.2">
      <c r="B325" s="59"/>
      <c r="C325" s="59"/>
      <c r="D325" s="59"/>
      <c r="E325" s="59"/>
      <c r="F325" s="59"/>
      <c r="G325" s="59"/>
      <c r="H325" s="541"/>
      <c r="I325" s="617">
        <f t="shared" ref="I325:I388" si="5">G325*H325</f>
        <v>0</v>
      </c>
      <c r="J325" s="59"/>
      <c r="K325" s="59"/>
      <c r="L325" s="59"/>
      <c r="M325" s="59"/>
      <c r="N325" s="59"/>
      <c r="O325" s="59"/>
      <c r="P325" s="59"/>
      <c r="Q325" s="59"/>
    </row>
    <row r="326" spans="2:17" outlineLevel="1" x14ac:dyDescent="0.2">
      <c r="B326" s="59"/>
      <c r="C326" s="59"/>
      <c r="D326" s="59"/>
      <c r="E326" s="59"/>
      <c r="F326" s="59"/>
      <c r="G326" s="59"/>
      <c r="H326" s="541"/>
      <c r="I326" s="617">
        <f t="shared" si="5"/>
        <v>0</v>
      </c>
      <c r="J326" s="59"/>
      <c r="K326" s="59"/>
      <c r="L326" s="59"/>
      <c r="M326" s="59"/>
      <c r="N326" s="59"/>
      <c r="O326" s="59"/>
      <c r="P326" s="59"/>
      <c r="Q326" s="59"/>
    </row>
    <row r="327" spans="2:17" outlineLevel="1" x14ac:dyDescent="0.2">
      <c r="B327" s="59"/>
      <c r="C327" s="59"/>
      <c r="D327" s="59"/>
      <c r="E327" s="59"/>
      <c r="F327" s="59"/>
      <c r="G327" s="59"/>
      <c r="H327" s="541"/>
      <c r="I327" s="617">
        <f t="shared" si="5"/>
        <v>0</v>
      </c>
      <c r="J327" s="59"/>
      <c r="K327" s="59"/>
      <c r="L327" s="59"/>
      <c r="M327" s="59"/>
      <c r="N327" s="59"/>
      <c r="O327" s="59"/>
      <c r="P327" s="59"/>
      <c r="Q327" s="59"/>
    </row>
    <row r="328" spans="2:17" outlineLevel="1" x14ac:dyDescent="0.2">
      <c r="B328" s="59"/>
      <c r="C328" s="59"/>
      <c r="D328" s="59"/>
      <c r="E328" s="59"/>
      <c r="F328" s="59"/>
      <c r="G328" s="59"/>
      <c r="H328" s="541"/>
      <c r="I328" s="617">
        <f t="shared" si="5"/>
        <v>0</v>
      </c>
      <c r="J328" s="59"/>
      <c r="K328" s="59"/>
      <c r="L328" s="59"/>
      <c r="M328" s="59"/>
      <c r="N328" s="59"/>
      <c r="O328" s="59"/>
      <c r="P328" s="59"/>
      <c r="Q328" s="59"/>
    </row>
    <row r="329" spans="2:17" outlineLevel="1" x14ac:dyDescent="0.2">
      <c r="B329" s="59"/>
      <c r="C329" s="59"/>
      <c r="D329" s="59"/>
      <c r="E329" s="59"/>
      <c r="F329" s="59"/>
      <c r="G329" s="59"/>
      <c r="H329" s="541"/>
      <c r="I329" s="617">
        <f t="shared" si="5"/>
        <v>0</v>
      </c>
      <c r="J329" s="59"/>
      <c r="K329" s="59"/>
      <c r="L329" s="59"/>
      <c r="M329" s="59"/>
      <c r="N329" s="59"/>
      <c r="O329" s="59"/>
      <c r="P329" s="59"/>
      <c r="Q329" s="59"/>
    </row>
    <row r="330" spans="2:17" outlineLevel="1" x14ac:dyDescent="0.2">
      <c r="B330" s="59"/>
      <c r="C330" s="59"/>
      <c r="D330" s="59"/>
      <c r="E330" s="59"/>
      <c r="F330" s="59"/>
      <c r="G330" s="59"/>
      <c r="H330" s="541"/>
      <c r="I330" s="617">
        <f t="shared" si="5"/>
        <v>0</v>
      </c>
      <c r="J330" s="59"/>
      <c r="K330" s="59"/>
      <c r="L330" s="59"/>
      <c r="M330" s="59"/>
      <c r="N330" s="59"/>
      <c r="O330" s="59"/>
      <c r="P330" s="59"/>
      <c r="Q330" s="59"/>
    </row>
    <row r="331" spans="2:17" outlineLevel="1" x14ac:dyDescent="0.2">
      <c r="B331" s="59"/>
      <c r="C331" s="59"/>
      <c r="D331" s="59"/>
      <c r="E331" s="59"/>
      <c r="F331" s="59"/>
      <c r="G331" s="59"/>
      <c r="H331" s="541"/>
      <c r="I331" s="617">
        <f t="shared" si="5"/>
        <v>0</v>
      </c>
      <c r="J331" s="59"/>
      <c r="K331" s="59"/>
      <c r="L331" s="59"/>
      <c r="M331" s="59"/>
      <c r="N331" s="59"/>
      <c r="O331" s="59"/>
      <c r="P331" s="59"/>
      <c r="Q331" s="59"/>
    </row>
    <row r="332" spans="2:17" outlineLevel="1" x14ac:dyDescent="0.2">
      <c r="B332" s="59"/>
      <c r="C332" s="59"/>
      <c r="D332" s="59"/>
      <c r="E332" s="59"/>
      <c r="F332" s="59"/>
      <c r="G332" s="59"/>
      <c r="H332" s="541"/>
      <c r="I332" s="617">
        <f t="shared" si="5"/>
        <v>0</v>
      </c>
      <c r="J332" s="59"/>
      <c r="K332" s="59"/>
      <c r="L332" s="59"/>
      <c r="M332" s="59"/>
      <c r="N332" s="59"/>
      <c r="O332" s="59"/>
      <c r="P332" s="59"/>
      <c r="Q332" s="59"/>
    </row>
    <row r="333" spans="2:17" outlineLevel="1" x14ac:dyDescent="0.2">
      <c r="B333" s="59"/>
      <c r="C333" s="59"/>
      <c r="D333" s="59"/>
      <c r="E333" s="59"/>
      <c r="F333" s="59"/>
      <c r="G333" s="59"/>
      <c r="H333" s="541"/>
      <c r="I333" s="617">
        <f t="shared" si="5"/>
        <v>0</v>
      </c>
      <c r="J333" s="59"/>
      <c r="K333" s="59"/>
      <c r="L333" s="59"/>
      <c r="M333" s="59"/>
      <c r="N333" s="59"/>
      <c r="O333" s="59"/>
      <c r="P333" s="59"/>
      <c r="Q333" s="59"/>
    </row>
    <row r="334" spans="2:17" outlineLevel="1" x14ac:dyDescent="0.2">
      <c r="B334" s="59"/>
      <c r="C334" s="59"/>
      <c r="D334" s="59"/>
      <c r="E334" s="59"/>
      <c r="F334" s="59"/>
      <c r="G334" s="59"/>
      <c r="H334" s="541"/>
      <c r="I334" s="617">
        <f t="shared" si="5"/>
        <v>0</v>
      </c>
      <c r="J334" s="59"/>
      <c r="K334" s="59"/>
      <c r="L334" s="59"/>
      <c r="M334" s="59"/>
      <c r="N334" s="59"/>
      <c r="O334" s="59"/>
      <c r="P334" s="59"/>
      <c r="Q334" s="59"/>
    </row>
    <row r="335" spans="2:17" outlineLevel="1" x14ac:dyDescent="0.2">
      <c r="B335" s="59"/>
      <c r="C335" s="59"/>
      <c r="D335" s="59"/>
      <c r="E335" s="59"/>
      <c r="F335" s="59"/>
      <c r="G335" s="59"/>
      <c r="H335" s="541"/>
      <c r="I335" s="617">
        <f t="shared" si="5"/>
        <v>0</v>
      </c>
      <c r="J335" s="59"/>
      <c r="K335" s="59"/>
      <c r="L335" s="59"/>
      <c r="M335" s="59"/>
      <c r="N335" s="59"/>
      <c r="O335" s="59"/>
      <c r="P335" s="59"/>
      <c r="Q335" s="59"/>
    </row>
    <row r="336" spans="2:17" outlineLevel="1" x14ac:dyDescent="0.2">
      <c r="B336" s="59"/>
      <c r="C336" s="59"/>
      <c r="D336" s="59"/>
      <c r="E336" s="59"/>
      <c r="F336" s="59"/>
      <c r="G336" s="59"/>
      <c r="H336" s="541"/>
      <c r="I336" s="617">
        <f t="shared" si="5"/>
        <v>0</v>
      </c>
      <c r="J336" s="59"/>
      <c r="K336" s="59"/>
      <c r="L336" s="59"/>
      <c r="M336" s="59"/>
      <c r="N336" s="59"/>
      <c r="O336" s="59"/>
      <c r="P336" s="59"/>
      <c r="Q336" s="59"/>
    </row>
    <row r="337" spans="2:17" outlineLevel="1" x14ac:dyDescent="0.2">
      <c r="B337" s="59"/>
      <c r="C337" s="59"/>
      <c r="D337" s="59"/>
      <c r="E337" s="59"/>
      <c r="F337" s="59"/>
      <c r="G337" s="59"/>
      <c r="H337" s="541"/>
      <c r="I337" s="617">
        <f t="shared" si="5"/>
        <v>0</v>
      </c>
      <c r="J337" s="59"/>
      <c r="K337" s="59"/>
      <c r="L337" s="59"/>
      <c r="M337" s="59"/>
      <c r="N337" s="59"/>
      <c r="O337" s="59"/>
      <c r="P337" s="59"/>
      <c r="Q337" s="59"/>
    </row>
    <row r="338" spans="2:17" outlineLevel="1" x14ac:dyDescent="0.2">
      <c r="B338" s="59"/>
      <c r="C338" s="59"/>
      <c r="D338" s="59"/>
      <c r="E338" s="59"/>
      <c r="F338" s="59"/>
      <c r="G338" s="59"/>
      <c r="H338" s="541"/>
      <c r="I338" s="617">
        <f t="shared" si="5"/>
        <v>0</v>
      </c>
      <c r="J338" s="59"/>
      <c r="K338" s="59"/>
      <c r="L338" s="59"/>
      <c r="M338" s="59"/>
      <c r="N338" s="59"/>
      <c r="O338" s="59"/>
      <c r="P338" s="59"/>
      <c r="Q338" s="59"/>
    </row>
    <row r="339" spans="2:17" outlineLevel="1" x14ac:dyDescent="0.2">
      <c r="B339" s="59"/>
      <c r="C339" s="59"/>
      <c r="D339" s="59"/>
      <c r="E339" s="59"/>
      <c r="F339" s="59"/>
      <c r="G339" s="59"/>
      <c r="H339" s="541"/>
      <c r="I339" s="617">
        <f t="shared" si="5"/>
        <v>0</v>
      </c>
      <c r="J339" s="59"/>
      <c r="K339" s="59"/>
      <c r="L339" s="59"/>
      <c r="M339" s="59"/>
      <c r="N339" s="59"/>
      <c r="O339" s="59"/>
      <c r="P339" s="59"/>
      <c r="Q339" s="59"/>
    </row>
    <row r="340" spans="2:17" outlineLevel="1" x14ac:dyDescent="0.2">
      <c r="B340" s="59"/>
      <c r="C340" s="59"/>
      <c r="D340" s="59"/>
      <c r="E340" s="59"/>
      <c r="F340" s="59"/>
      <c r="G340" s="59"/>
      <c r="H340" s="541"/>
      <c r="I340" s="617">
        <f t="shared" si="5"/>
        <v>0</v>
      </c>
      <c r="J340" s="59"/>
      <c r="K340" s="59"/>
      <c r="L340" s="59"/>
      <c r="M340" s="59"/>
      <c r="N340" s="59"/>
      <c r="O340" s="59"/>
      <c r="P340" s="59"/>
      <c r="Q340" s="59"/>
    </row>
    <row r="341" spans="2:17" outlineLevel="1" x14ac:dyDescent="0.2">
      <c r="B341" s="59"/>
      <c r="C341" s="59"/>
      <c r="D341" s="59"/>
      <c r="E341" s="59"/>
      <c r="F341" s="59"/>
      <c r="G341" s="59"/>
      <c r="H341" s="541"/>
      <c r="I341" s="617">
        <f t="shared" si="5"/>
        <v>0</v>
      </c>
      <c r="J341" s="59"/>
      <c r="K341" s="59"/>
      <c r="L341" s="59"/>
      <c r="M341" s="59"/>
      <c r="N341" s="59"/>
      <c r="O341" s="59"/>
      <c r="P341" s="59"/>
      <c r="Q341" s="59"/>
    </row>
    <row r="342" spans="2:17" outlineLevel="1" x14ac:dyDescent="0.2">
      <c r="B342" s="59"/>
      <c r="C342" s="59"/>
      <c r="D342" s="59"/>
      <c r="E342" s="59"/>
      <c r="F342" s="59"/>
      <c r="G342" s="59"/>
      <c r="H342" s="541"/>
      <c r="I342" s="617">
        <f t="shared" si="5"/>
        <v>0</v>
      </c>
      <c r="J342" s="59"/>
      <c r="K342" s="59"/>
      <c r="L342" s="59"/>
      <c r="M342" s="59"/>
      <c r="N342" s="59"/>
      <c r="O342" s="59"/>
      <c r="P342" s="59"/>
      <c r="Q342" s="59"/>
    </row>
    <row r="343" spans="2:17" outlineLevel="1" x14ac:dyDescent="0.2">
      <c r="B343" s="59"/>
      <c r="C343" s="59"/>
      <c r="D343" s="59"/>
      <c r="E343" s="59"/>
      <c r="F343" s="59"/>
      <c r="G343" s="59"/>
      <c r="H343" s="541"/>
      <c r="I343" s="617">
        <f t="shared" si="5"/>
        <v>0</v>
      </c>
      <c r="J343" s="59"/>
      <c r="K343" s="59"/>
      <c r="L343" s="59"/>
      <c r="M343" s="59"/>
      <c r="N343" s="59"/>
      <c r="O343" s="59"/>
      <c r="P343" s="59"/>
      <c r="Q343" s="59"/>
    </row>
    <row r="344" spans="2:17" outlineLevel="1" x14ac:dyDescent="0.2">
      <c r="B344" s="59"/>
      <c r="C344" s="59"/>
      <c r="D344" s="59"/>
      <c r="E344" s="59"/>
      <c r="F344" s="59"/>
      <c r="G344" s="59"/>
      <c r="H344" s="541"/>
      <c r="I344" s="617">
        <f t="shared" si="5"/>
        <v>0</v>
      </c>
      <c r="J344" s="59"/>
      <c r="K344" s="59"/>
      <c r="L344" s="59"/>
      <c r="M344" s="59"/>
      <c r="N344" s="59"/>
      <c r="O344" s="59"/>
      <c r="P344" s="59"/>
      <c r="Q344" s="59"/>
    </row>
    <row r="345" spans="2:17" outlineLevel="1" x14ac:dyDescent="0.2">
      <c r="B345" s="59"/>
      <c r="C345" s="59"/>
      <c r="D345" s="59"/>
      <c r="E345" s="59"/>
      <c r="F345" s="59"/>
      <c r="G345" s="59"/>
      <c r="H345" s="541"/>
      <c r="I345" s="617">
        <f t="shared" si="5"/>
        <v>0</v>
      </c>
      <c r="J345" s="59"/>
      <c r="K345" s="59"/>
      <c r="L345" s="59"/>
      <c r="M345" s="59"/>
      <c r="N345" s="59"/>
      <c r="O345" s="59"/>
      <c r="P345" s="59"/>
      <c r="Q345" s="59"/>
    </row>
    <row r="346" spans="2:17" outlineLevel="1" x14ac:dyDescent="0.2">
      <c r="B346" s="59"/>
      <c r="C346" s="59"/>
      <c r="D346" s="59"/>
      <c r="E346" s="59"/>
      <c r="F346" s="59"/>
      <c r="G346" s="59"/>
      <c r="H346" s="541"/>
      <c r="I346" s="617">
        <f t="shared" si="5"/>
        <v>0</v>
      </c>
      <c r="J346" s="59"/>
      <c r="K346" s="59"/>
      <c r="L346" s="59"/>
      <c r="M346" s="59"/>
      <c r="N346" s="59"/>
      <c r="O346" s="59"/>
      <c r="P346" s="59"/>
      <c r="Q346" s="59"/>
    </row>
    <row r="347" spans="2:17" outlineLevel="1" x14ac:dyDescent="0.2">
      <c r="B347" s="59"/>
      <c r="C347" s="59"/>
      <c r="D347" s="59"/>
      <c r="E347" s="59"/>
      <c r="F347" s="59"/>
      <c r="G347" s="59"/>
      <c r="H347" s="541"/>
      <c r="I347" s="617">
        <f t="shared" si="5"/>
        <v>0</v>
      </c>
      <c r="J347" s="59"/>
      <c r="K347" s="59"/>
      <c r="L347" s="59"/>
      <c r="M347" s="59"/>
      <c r="N347" s="59"/>
      <c r="O347" s="59"/>
      <c r="P347" s="59"/>
      <c r="Q347" s="59"/>
    </row>
    <row r="348" spans="2:17" outlineLevel="1" x14ac:dyDescent="0.2">
      <c r="B348" s="59"/>
      <c r="C348" s="59"/>
      <c r="D348" s="59"/>
      <c r="E348" s="59"/>
      <c r="F348" s="59"/>
      <c r="G348" s="59"/>
      <c r="H348" s="541"/>
      <c r="I348" s="617">
        <f t="shared" si="5"/>
        <v>0</v>
      </c>
      <c r="J348" s="59"/>
      <c r="K348" s="59"/>
      <c r="L348" s="59"/>
      <c r="M348" s="59"/>
      <c r="N348" s="59"/>
      <c r="O348" s="59"/>
      <c r="P348" s="59"/>
      <c r="Q348" s="59"/>
    </row>
    <row r="349" spans="2:17" outlineLevel="1" x14ac:dyDescent="0.2">
      <c r="B349" s="59"/>
      <c r="C349" s="59"/>
      <c r="D349" s="59"/>
      <c r="E349" s="59"/>
      <c r="F349" s="59"/>
      <c r="G349" s="59"/>
      <c r="H349" s="541"/>
      <c r="I349" s="617">
        <f t="shared" si="5"/>
        <v>0</v>
      </c>
      <c r="J349" s="59"/>
      <c r="K349" s="59"/>
      <c r="L349" s="59"/>
      <c r="M349" s="59"/>
      <c r="N349" s="59"/>
      <c r="O349" s="59"/>
      <c r="P349" s="59"/>
      <c r="Q349" s="59"/>
    </row>
    <row r="350" spans="2:17" outlineLevel="1" x14ac:dyDescent="0.2">
      <c r="B350" s="59"/>
      <c r="C350" s="59"/>
      <c r="D350" s="59"/>
      <c r="E350" s="59"/>
      <c r="F350" s="59"/>
      <c r="G350" s="59"/>
      <c r="H350" s="541"/>
      <c r="I350" s="617">
        <f t="shared" si="5"/>
        <v>0</v>
      </c>
      <c r="J350" s="59"/>
      <c r="K350" s="59"/>
      <c r="L350" s="59"/>
      <c r="M350" s="59"/>
      <c r="N350" s="59"/>
      <c r="O350" s="59"/>
      <c r="P350" s="59"/>
      <c r="Q350" s="59"/>
    </row>
    <row r="351" spans="2:17" outlineLevel="1" x14ac:dyDescent="0.2">
      <c r="B351" s="59"/>
      <c r="C351" s="59"/>
      <c r="D351" s="59"/>
      <c r="E351" s="59"/>
      <c r="F351" s="59"/>
      <c r="G351" s="59"/>
      <c r="H351" s="541"/>
      <c r="I351" s="617">
        <f t="shared" si="5"/>
        <v>0</v>
      </c>
      <c r="J351" s="59"/>
      <c r="K351" s="59"/>
      <c r="L351" s="59"/>
      <c r="M351" s="59"/>
      <c r="N351" s="59"/>
      <c r="O351" s="59"/>
      <c r="P351" s="59"/>
      <c r="Q351" s="59"/>
    </row>
    <row r="352" spans="2:17" outlineLevel="1" x14ac:dyDescent="0.2">
      <c r="B352" s="59"/>
      <c r="C352" s="59"/>
      <c r="D352" s="59"/>
      <c r="E352" s="59"/>
      <c r="F352" s="59"/>
      <c r="G352" s="59"/>
      <c r="H352" s="541"/>
      <c r="I352" s="617">
        <f t="shared" si="5"/>
        <v>0</v>
      </c>
      <c r="J352" s="59"/>
      <c r="K352" s="59"/>
      <c r="L352" s="59"/>
      <c r="M352" s="59"/>
      <c r="N352" s="59"/>
      <c r="O352" s="59"/>
      <c r="P352" s="59"/>
      <c r="Q352" s="59"/>
    </row>
    <row r="353" spans="2:17" outlineLevel="1" x14ac:dyDescent="0.2">
      <c r="B353" s="59"/>
      <c r="C353" s="59"/>
      <c r="D353" s="59"/>
      <c r="E353" s="59"/>
      <c r="F353" s="59"/>
      <c r="G353" s="59"/>
      <c r="H353" s="541"/>
      <c r="I353" s="617">
        <f t="shared" si="5"/>
        <v>0</v>
      </c>
      <c r="J353" s="59"/>
      <c r="K353" s="59"/>
      <c r="L353" s="59"/>
      <c r="M353" s="59"/>
      <c r="N353" s="59"/>
      <c r="O353" s="59"/>
      <c r="P353" s="59"/>
      <c r="Q353" s="59"/>
    </row>
    <row r="354" spans="2:17" outlineLevel="1" x14ac:dyDescent="0.2">
      <c r="B354" s="59"/>
      <c r="C354" s="59"/>
      <c r="D354" s="59"/>
      <c r="E354" s="59"/>
      <c r="F354" s="59"/>
      <c r="G354" s="59"/>
      <c r="H354" s="541"/>
      <c r="I354" s="617">
        <f t="shared" si="5"/>
        <v>0</v>
      </c>
      <c r="J354" s="59"/>
      <c r="K354" s="59"/>
      <c r="L354" s="59"/>
      <c r="M354" s="59"/>
      <c r="N354" s="59"/>
      <c r="O354" s="59"/>
      <c r="P354" s="59"/>
      <c r="Q354" s="59"/>
    </row>
    <row r="355" spans="2:17" outlineLevel="1" x14ac:dyDescent="0.2">
      <c r="B355" s="59"/>
      <c r="C355" s="59"/>
      <c r="D355" s="59"/>
      <c r="E355" s="59"/>
      <c r="F355" s="59"/>
      <c r="G355" s="59"/>
      <c r="H355" s="541"/>
      <c r="I355" s="617">
        <f t="shared" si="5"/>
        <v>0</v>
      </c>
      <c r="J355" s="59"/>
      <c r="K355" s="59"/>
      <c r="L355" s="59"/>
      <c r="M355" s="59"/>
      <c r="N355" s="59"/>
      <c r="O355" s="59"/>
      <c r="P355" s="59"/>
      <c r="Q355" s="59"/>
    </row>
    <row r="356" spans="2:17" outlineLevel="1" x14ac:dyDescent="0.2">
      <c r="B356" s="59"/>
      <c r="C356" s="59"/>
      <c r="D356" s="59"/>
      <c r="E356" s="59"/>
      <c r="F356" s="59"/>
      <c r="G356" s="59"/>
      <c r="H356" s="541"/>
      <c r="I356" s="617">
        <f t="shared" si="5"/>
        <v>0</v>
      </c>
      <c r="J356" s="59"/>
      <c r="K356" s="59"/>
      <c r="L356" s="59"/>
      <c r="M356" s="59"/>
      <c r="N356" s="59"/>
      <c r="O356" s="59"/>
      <c r="P356" s="59"/>
      <c r="Q356" s="59"/>
    </row>
    <row r="357" spans="2:17" outlineLevel="1" x14ac:dyDescent="0.2">
      <c r="B357" s="59"/>
      <c r="C357" s="59"/>
      <c r="D357" s="59"/>
      <c r="E357" s="59"/>
      <c r="F357" s="59"/>
      <c r="G357" s="59"/>
      <c r="H357" s="541"/>
      <c r="I357" s="617">
        <f t="shared" si="5"/>
        <v>0</v>
      </c>
      <c r="J357" s="59"/>
      <c r="K357" s="59"/>
      <c r="L357" s="59"/>
      <c r="M357" s="59"/>
      <c r="N357" s="59"/>
      <c r="O357" s="59"/>
      <c r="P357" s="59"/>
      <c r="Q357" s="59"/>
    </row>
    <row r="358" spans="2:17" outlineLevel="1" x14ac:dyDescent="0.2">
      <c r="B358" s="59"/>
      <c r="C358" s="59"/>
      <c r="D358" s="59"/>
      <c r="E358" s="59"/>
      <c r="F358" s="59"/>
      <c r="G358" s="59"/>
      <c r="H358" s="541"/>
      <c r="I358" s="617">
        <f t="shared" si="5"/>
        <v>0</v>
      </c>
      <c r="J358" s="59"/>
      <c r="K358" s="59"/>
      <c r="L358" s="59"/>
      <c r="M358" s="59"/>
      <c r="N358" s="59"/>
      <c r="O358" s="59"/>
      <c r="P358" s="59"/>
      <c r="Q358" s="59"/>
    </row>
    <row r="359" spans="2:17" outlineLevel="1" x14ac:dyDescent="0.2">
      <c r="B359" s="59"/>
      <c r="C359" s="59"/>
      <c r="D359" s="59"/>
      <c r="E359" s="59"/>
      <c r="F359" s="59"/>
      <c r="G359" s="59"/>
      <c r="H359" s="541"/>
      <c r="I359" s="617">
        <f t="shared" si="5"/>
        <v>0</v>
      </c>
      <c r="J359" s="59"/>
      <c r="K359" s="59"/>
      <c r="L359" s="59"/>
      <c r="M359" s="59"/>
      <c r="N359" s="59"/>
      <c r="O359" s="59"/>
      <c r="P359" s="59"/>
      <c r="Q359" s="59"/>
    </row>
    <row r="360" spans="2:17" outlineLevel="1" x14ac:dyDescent="0.2">
      <c r="B360" s="59"/>
      <c r="C360" s="59"/>
      <c r="D360" s="59"/>
      <c r="E360" s="59"/>
      <c r="F360" s="59"/>
      <c r="G360" s="59"/>
      <c r="H360" s="541"/>
      <c r="I360" s="617">
        <f t="shared" si="5"/>
        <v>0</v>
      </c>
      <c r="J360" s="59"/>
      <c r="K360" s="59"/>
      <c r="L360" s="59"/>
      <c r="M360" s="59"/>
      <c r="N360" s="59"/>
      <c r="O360" s="59"/>
      <c r="P360" s="59"/>
      <c r="Q360" s="59"/>
    </row>
    <row r="361" spans="2:17" outlineLevel="1" x14ac:dyDescent="0.2">
      <c r="B361" s="59"/>
      <c r="C361" s="59"/>
      <c r="D361" s="59"/>
      <c r="E361" s="59"/>
      <c r="F361" s="59"/>
      <c r="G361" s="59"/>
      <c r="H361" s="541"/>
      <c r="I361" s="617">
        <f t="shared" si="5"/>
        <v>0</v>
      </c>
      <c r="J361" s="59"/>
      <c r="K361" s="59"/>
      <c r="L361" s="59"/>
      <c r="M361" s="59"/>
      <c r="N361" s="59"/>
      <c r="O361" s="59"/>
      <c r="P361" s="59"/>
      <c r="Q361" s="59"/>
    </row>
    <row r="362" spans="2:17" outlineLevel="1" x14ac:dyDescent="0.2">
      <c r="B362" s="59"/>
      <c r="C362" s="59"/>
      <c r="D362" s="59"/>
      <c r="E362" s="59"/>
      <c r="F362" s="59"/>
      <c r="G362" s="59"/>
      <c r="H362" s="541"/>
      <c r="I362" s="617">
        <f t="shared" si="5"/>
        <v>0</v>
      </c>
      <c r="J362" s="59"/>
      <c r="K362" s="59"/>
      <c r="L362" s="59"/>
      <c r="M362" s="59"/>
      <c r="N362" s="59"/>
      <c r="O362" s="59"/>
      <c r="P362" s="59"/>
      <c r="Q362" s="59"/>
    </row>
    <row r="363" spans="2:17" outlineLevel="1" x14ac:dyDescent="0.2">
      <c r="B363" s="59"/>
      <c r="C363" s="59"/>
      <c r="D363" s="59"/>
      <c r="E363" s="59"/>
      <c r="F363" s="59"/>
      <c r="G363" s="59"/>
      <c r="H363" s="541"/>
      <c r="I363" s="617">
        <f t="shared" si="5"/>
        <v>0</v>
      </c>
      <c r="J363" s="59"/>
      <c r="K363" s="59"/>
      <c r="L363" s="59"/>
      <c r="M363" s="59"/>
      <c r="N363" s="59"/>
      <c r="O363" s="59"/>
      <c r="P363" s="59"/>
      <c r="Q363" s="59"/>
    </row>
    <row r="364" spans="2:17" outlineLevel="1" x14ac:dyDescent="0.2">
      <c r="B364" s="59"/>
      <c r="C364" s="59"/>
      <c r="D364" s="59"/>
      <c r="E364" s="59"/>
      <c r="F364" s="59"/>
      <c r="G364" s="59"/>
      <c r="H364" s="541"/>
      <c r="I364" s="617">
        <f t="shared" si="5"/>
        <v>0</v>
      </c>
      <c r="J364" s="59"/>
      <c r="K364" s="59"/>
      <c r="L364" s="59"/>
      <c r="M364" s="59"/>
      <c r="N364" s="59"/>
      <c r="O364" s="59"/>
      <c r="P364" s="59"/>
      <c r="Q364" s="59"/>
    </row>
    <row r="365" spans="2:17" outlineLevel="1" x14ac:dyDescent="0.2">
      <c r="B365" s="59"/>
      <c r="C365" s="59"/>
      <c r="D365" s="59"/>
      <c r="E365" s="59"/>
      <c r="F365" s="59"/>
      <c r="G365" s="59"/>
      <c r="H365" s="541"/>
      <c r="I365" s="617">
        <f t="shared" si="5"/>
        <v>0</v>
      </c>
      <c r="J365" s="59"/>
      <c r="K365" s="59"/>
      <c r="L365" s="59"/>
      <c r="M365" s="59"/>
      <c r="N365" s="59"/>
      <c r="O365" s="59"/>
      <c r="P365" s="59"/>
      <c r="Q365" s="59"/>
    </row>
    <row r="366" spans="2:17" outlineLevel="1" x14ac:dyDescent="0.2">
      <c r="B366" s="59"/>
      <c r="C366" s="59"/>
      <c r="D366" s="59"/>
      <c r="E366" s="59"/>
      <c r="F366" s="59"/>
      <c r="G366" s="59"/>
      <c r="H366" s="541"/>
      <c r="I366" s="617">
        <f t="shared" si="5"/>
        <v>0</v>
      </c>
      <c r="J366" s="59"/>
      <c r="K366" s="59"/>
      <c r="L366" s="59"/>
      <c r="M366" s="59"/>
      <c r="N366" s="59"/>
      <c r="O366" s="59"/>
      <c r="P366" s="59"/>
      <c r="Q366" s="59"/>
    </row>
    <row r="367" spans="2:17" outlineLevel="1" x14ac:dyDescent="0.2">
      <c r="B367" s="59"/>
      <c r="C367" s="59"/>
      <c r="D367" s="59"/>
      <c r="E367" s="59"/>
      <c r="F367" s="59"/>
      <c r="G367" s="59"/>
      <c r="H367" s="541"/>
      <c r="I367" s="617">
        <f t="shared" si="5"/>
        <v>0</v>
      </c>
      <c r="J367" s="59"/>
      <c r="K367" s="59"/>
      <c r="L367" s="59"/>
      <c r="M367" s="59"/>
      <c r="N367" s="59"/>
      <c r="O367" s="59"/>
      <c r="P367" s="59"/>
      <c r="Q367" s="59"/>
    </row>
    <row r="368" spans="2:17" outlineLevel="1" x14ac:dyDescent="0.2">
      <c r="B368" s="59"/>
      <c r="C368" s="59"/>
      <c r="D368" s="59"/>
      <c r="E368" s="59"/>
      <c r="F368" s="59"/>
      <c r="G368" s="59"/>
      <c r="H368" s="541"/>
      <c r="I368" s="617">
        <f t="shared" si="5"/>
        <v>0</v>
      </c>
      <c r="J368" s="59"/>
      <c r="K368" s="59"/>
      <c r="L368" s="59"/>
      <c r="M368" s="59"/>
      <c r="N368" s="59"/>
      <c r="O368" s="59"/>
      <c r="P368" s="59"/>
      <c r="Q368" s="59"/>
    </row>
    <row r="369" spans="2:17" outlineLevel="1" x14ac:dyDescent="0.2">
      <c r="B369" s="59"/>
      <c r="C369" s="59"/>
      <c r="D369" s="59"/>
      <c r="E369" s="59"/>
      <c r="F369" s="59"/>
      <c r="G369" s="59"/>
      <c r="H369" s="541"/>
      <c r="I369" s="617">
        <f t="shared" si="5"/>
        <v>0</v>
      </c>
      <c r="J369" s="59"/>
      <c r="K369" s="59"/>
      <c r="L369" s="59"/>
      <c r="M369" s="59"/>
      <c r="N369" s="59"/>
      <c r="O369" s="59"/>
      <c r="P369" s="59"/>
      <c r="Q369" s="59"/>
    </row>
    <row r="370" spans="2:17" outlineLevel="1" x14ac:dyDescent="0.2">
      <c r="B370" s="59"/>
      <c r="C370" s="59"/>
      <c r="D370" s="59"/>
      <c r="E370" s="59"/>
      <c r="F370" s="59"/>
      <c r="G370" s="59"/>
      <c r="H370" s="541"/>
      <c r="I370" s="617">
        <f t="shared" si="5"/>
        <v>0</v>
      </c>
      <c r="J370" s="59"/>
      <c r="K370" s="59"/>
      <c r="L370" s="59"/>
      <c r="M370" s="59"/>
      <c r="N370" s="59"/>
      <c r="O370" s="59"/>
      <c r="P370" s="59"/>
      <c r="Q370" s="59"/>
    </row>
    <row r="371" spans="2:17" outlineLevel="1" x14ac:dyDescent="0.2">
      <c r="B371" s="59"/>
      <c r="C371" s="59"/>
      <c r="D371" s="59"/>
      <c r="E371" s="59"/>
      <c r="F371" s="59"/>
      <c r="G371" s="59"/>
      <c r="H371" s="541"/>
      <c r="I371" s="617">
        <f t="shared" si="5"/>
        <v>0</v>
      </c>
      <c r="J371" s="59"/>
      <c r="K371" s="59"/>
      <c r="L371" s="59"/>
      <c r="M371" s="59"/>
      <c r="N371" s="59"/>
      <c r="O371" s="59"/>
      <c r="P371" s="59"/>
      <c r="Q371" s="59"/>
    </row>
    <row r="372" spans="2:17" outlineLevel="1" x14ac:dyDescent="0.2">
      <c r="B372" s="59"/>
      <c r="C372" s="59"/>
      <c r="D372" s="59"/>
      <c r="E372" s="59"/>
      <c r="F372" s="59"/>
      <c r="G372" s="59"/>
      <c r="H372" s="541"/>
      <c r="I372" s="617">
        <f t="shared" si="5"/>
        <v>0</v>
      </c>
      <c r="J372" s="59"/>
      <c r="K372" s="59"/>
      <c r="L372" s="59"/>
      <c r="M372" s="59"/>
      <c r="N372" s="59"/>
      <c r="O372" s="59"/>
      <c r="P372" s="59"/>
      <c r="Q372" s="59"/>
    </row>
    <row r="373" spans="2:17" outlineLevel="1" x14ac:dyDescent="0.2">
      <c r="B373" s="59"/>
      <c r="C373" s="59"/>
      <c r="D373" s="59"/>
      <c r="E373" s="59"/>
      <c r="F373" s="59"/>
      <c r="G373" s="59"/>
      <c r="H373" s="541"/>
      <c r="I373" s="617">
        <f t="shared" si="5"/>
        <v>0</v>
      </c>
      <c r="J373" s="59"/>
      <c r="K373" s="59"/>
      <c r="L373" s="59"/>
      <c r="M373" s="59"/>
      <c r="N373" s="59"/>
      <c r="O373" s="59"/>
      <c r="P373" s="59"/>
      <c r="Q373" s="59"/>
    </row>
    <row r="374" spans="2:17" outlineLevel="1" x14ac:dyDescent="0.2">
      <c r="B374" s="59"/>
      <c r="C374" s="59"/>
      <c r="D374" s="59"/>
      <c r="E374" s="59"/>
      <c r="F374" s="59"/>
      <c r="G374" s="59"/>
      <c r="H374" s="541"/>
      <c r="I374" s="617">
        <f t="shared" si="5"/>
        <v>0</v>
      </c>
      <c r="J374" s="59"/>
      <c r="K374" s="59"/>
      <c r="L374" s="59"/>
      <c r="M374" s="59"/>
      <c r="N374" s="59"/>
      <c r="O374" s="59"/>
      <c r="P374" s="59"/>
      <c r="Q374" s="59"/>
    </row>
    <row r="375" spans="2:17" outlineLevel="1" x14ac:dyDescent="0.2">
      <c r="B375" s="59"/>
      <c r="C375" s="59"/>
      <c r="D375" s="59"/>
      <c r="E375" s="59"/>
      <c r="F375" s="59"/>
      <c r="G375" s="59"/>
      <c r="H375" s="541"/>
      <c r="I375" s="617">
        <f t="shared" si="5"/>
        <v>0</v>
      </c>
      <c r="J375" s="59"/>
      <c r="K375" s="59"/>
      <c r="L375" s="59"/>
      <c r="M375" s="59"/>
      <c r="N375" s="59"/>
      <c r="O375" s="59"/>
      <c r="P375" s="59"/>
      <c r="Q375" s="59"/>
    </row>
    <row r="376" spans="2:17" outlineLevel="1" x14ac:dyDescent="0.2">
      <c r="B376" s="59"/>
      <c r="C376" s="59"/>
      <c r="D376" s="59"/>
      <c r="E376" s="59"/>
      <c r="F376" s="59"/>
      <c r="G376" s="59"/>
      <c r="H376" s="541"/>
      <c r="I376" s="617">
        <f t="shared" si="5"/>
        <v>0</v>
      </c>
      <c r="J376" s="59"/>
      <c r="K376" s="59"/>
      <c r="L376" s="59"/>
      <c r="M376" s="59"/>
      <c r="N376" s="59"/>
      <c r="O376" s="59"/>
      <c r="P376" s="59"/>
      <c r="Q376" s="59"/>
    </row>
    <row r="377" spans="2:17" outlineLevel="1" x14ac:dyDescent="0.2">
      <c r="B377" s="59"/>
      <c r="C377" s="59"/>
      <c r="D377" s="59"/>
      <c r="E377" s="59"/>
      <c r="F377" s="59"/>
      <c r="G377" s="59"/>
      <c r="H377" s="541"/>
      <c r="I377" s="617">
        <f t="shared" si="5"/>
        <v>0</v>
      </c>
      <c r="J377" s="59"/>
      <c r="K377" s="59"/>
      <c r="L377" s="59"/>
      <c r="M377" s="59"/>
      <c r="N377" s="59"/>
      <c r="O377" s="59"/>
      <c r="P377" s="59"/>
      <c r="Q377" s="59"/>
    </row>
    <row r="378" spans="2:17" outlineLevel="1" x14ac:dyDescent="0.2">
      <c r="B378" s="59"/>
      <c r="C378" s="59"/>
      <c r="D378" s="59"/>
      <c r="E378" s="59"/>
      <c r="F378" s="59"/>
      <c r="G378" s="59"/>
      <c r="H378" s="541"/>
      <c r="I378" s="617">
        <f t="shared" si="5"/>
        <v>0</v>
      </c>
      <c r="J378" s="59"/>
      <c r="K378" s="59"/>
      <c r="L378" s="59"/>
      <c r="M378" s="59"/>
      <c r="N378" s="59"/>
      <c r="O378" s="59"/>
      <c r="P378" s="59"/>
      <c r="Q378" s="59"/>
    </row>
    <row r="379" spans="2:17" outlineLevel="1" x14ac:dyDescent="0.2">
      <c r="B379" s="59"/>
      <c r="C379" s="59"/>
      <c r="D379" s="59"/>
      <c r="E379" s="59"/>
      <c r="F379" s="59"/>
      <c r="G379" s="59"/>
      <c r="H379" s="541"/>
      <c r="I379" s="617">
        <f t="shared" si="5"/>
        <v>0</v>
      </c>
      <c r="J379" s="59"/>
      <c r="K379" s="59"/>
      <c r="L379" s="59"/>
      <c r="M379" s="59"/>
      <c r="N379" s="59"/>
      <c r="O379" s="59"/>
      <c r="P379" s="59"/>
      <c r="Q379" s="59"/>
    </row>
    <row r="380" spans="2:17" outlineLevel="1" x14ac:dyDescent="0.2">
      <c r="B380" s="59"/>
      <c r="C380" s="59"/>
      <c r="D380" s="59"/>
      <c r="E380" s="59"/>
      <c r="F380" s="59"/>
      <c r="G380" s="59"/>
      <c r="H380" s="541"/>
      <c r="I380" s="617">
        <f t="shared" si="5"/>
        <v>0</v>
      </c>
      <c r="J380" s="59"/>
      <c r="K380" s="59"/>
      <c r="L380" s="59"/>
      <c r="M380" s="59"/>
      <c r="N380" s="59"/>
      <c r="O380" s="59"/>
      <c r="P380" s="59"/>
      <c r="Q380" s="59"/>
    </row>
    <row r="381" spans="2:17" outlineLevel="1" x14ac:dyDescent="0.2">
      <c r="B381" s="59"/>
      <c r="C381" s="59"/>
      <c r="D381" s="59"/>
      <c r="E381" s="59"/>
      <c r="F381" s="59"/>
      <c r="G381" s="59"/>
      <c r="H381" s="541"/>
      <c r="I381" s="617">
        <f t="shared" si="5"/>
        <v>0</v>
      </c>
      <c r="J381" s="59"/>
      <c r="K381" s="59"/>
      <c r="L381" s="59"/>
      <c r="M381" s="59"/>
      <c r="N381" s="59"/>
      <c r="O381" s="59"/>
      <c r="P381" s="59"/>
      <c r="Q381" s="59"/>
    </row>
    <row r="382" spans="2:17" outlineLevel="1" x14ac:dyDescent="0.2">
      <c r="B382" s="59"/>
      <c r="C382" s="59"/>
      <c r="D382" s="59"/>
      <c r="E382" s="59"/>
      <c r="F382" s="59"/>
      <c r="G382" s="59"/>
      <c r="H382" s="541"/>
      <c r="I382" s="617">
        <f t="shared" si="5"/>
        <v>0</v>
      </c>
      <c r="J382" s="59"/>
      <c r="K382" s="59"/>
      <c r="L382" s="59"/>
      <c r="M382" s="59"/>
      <c r="N382" s="59"/>
      <c r="O382" s="59"/>
      <c r="P382" s="59"/>
      <c r="Q382" s="59"/>
    </row>
    <row r="383" spans="2:17" outlineLevel="1" x14ac:dyDescent="0.2">
      <c r="B383" s="59"/>
      <c r="C383" s="59"/>
      <c r="D383" s="59"/>
      <c r="E383" s="59"/>
      <c r="F383" s="59"/>
      <c r="G383" s="59"/>
      <c r="H383" s="541"/>
      <c r="I383" s="617">
        <f t="shared" si="5"/>
        <v>0</v>
      </c>
      <c r="J383" s="59"/>
      <c r="K383" s="59"/>
      <c r="L383" s="59"/>
      <c r="M383" s="59"/>
      <c r="N383" s="59"/>
      <c r="O383" s="59"/>
      <c r="P383" s="59"/>
      <c r="Q383" s="59"/>
    </row>
    <row r="384" spans="2:17" outlineLevel="1" x14ac:dyDescent="0.2">
      <c r="B384" s="59"/>
      <c r="C384" s="59"/>
      <c r="D384" s="59"/>
      <c r="E384" s="59"/>
      <c r="F384" s="59"/>
      <c r="G384" s="59"/>
      <c r="H384" s="541"/>
      <c r="I384" s="617">
        <f t="shared" si="5"/>
        <v>0</v>
      </c>
      <c r="J384" s="59"/>
      <c r="K384" s="59"/>
      <c r="L384" s="59"/>
      <c r="M384" s="59"/>
      <c r="N384" s="59"/>
      <c r="O384" s="59"/>
      <c r="P384" s="59"/>
      <c r="Q384" s="59"/>
    </row>
    <row r="385" spans="2:17" outlineLevel="1" x14ac:dyDescent="0.2">
      <c r="B385" s="59"/>
      <c r="C385" s="59"/>
      <c r="D385" s="59"/>
      <c r="E385" s="59"/>
      <c r="F385" s="59"/>
      <c r="G385" s="59"/>
      <c r="H385" s="541"/>
      <c r="I385" s="617">
        <f t="shared" si="5"/>
        <v>0</v>
      </c>
      <c r="J385" s="59"/>
      <c r="K385" s="59"/>
      <c r="L385" s="59"/>
      <c r="M385" s="59"/>
      <c r="N385" s="59"/>
      <c r="O385" s="59"/>
      <c r="P385" s="59"/>
      <c r="Q385" s="59"/>
    </row>
    <row r="386" spans="2:17" outlineLevel="1" x14ac:dyDescent="0.2">
      <c r="B386" s="59"/>
      <c r="C386" s="59"/>
      <c r="D386" s="59"/>
      <c r="E386" s="59"/>
      <c r="F386" s="59"/>
      <c r="G386" s="59"/>
      <c r="H386" s="541"/>
      <c r="I386" s="617">
        <f t="shared" si="5"/>
        <v>0</v>
      </c>
      <c r="J386" s="59"/>
      <c r="K386" s="59"/>
      <c r="L386" s="59"/>
      <c r="M386" s="59"/>
      <c r="N386" s="59"/>
      <c r="O386" s="59"/>
      <c r="P386" s="59"/>
      <c r="Q386" s="59"/>
    </row>
    <row r="387" spans="2:17" outlineLevel="1" x14ac:dyDescent="0.2">
      <c r="B387" s="59"/>
      <c r="C387" s="59"/>
      <c r="D387" s="59"/>
      <c r="E387" s="59"/>
      <c r="F387" s="59"/>
      <c r="G387" s="59"/>
      <c r="H387" s="541"/>
      <c r="I387" s="617">
        <f t="shared" si="5"/>
        <v>0</v>
      </c>
      <c r="J387" s="59"/>
      <c r="K387" s="59"/>
      <c r="L387" s="59"/>
      <c r="M387" s="59"/>
      <c r="N387" s="59"/>
      <c r="O387" s="59"/>
      <c r="P387" s="59"/>
      <c r="Q387" s="59"/>
    </row>
    <row r="388" spans="2:17" outlineLevel="1" x14ac:dyDescent="0.2">
      <c r="B388" s="59"/>
      <c r="C388" s="59"/>
      <c r="D388" s="59"/>
      <c r="E388" s="59"/>
      <c r="F388" s="59"/>
      <c r="G388" s="59"/>
      <c r="H388" s="541"/>
      <c r="I388" s="617">
        <f t="shared" si="5"/>
        <v>0</v>
      </c>
      <c r="J388" s="59"/>
      <c r="K388" s="59"/>
      <c r="L388" s="59"/>
      <c r="M388" s="59"/>
      <c r="N388" s="59"/>
      <c r="O388" s="59"/>
      <c r="P388" s="59"/>
      <c r="Q388" s="59"/>
    </row>
    <row r="389" spans="2:17" outlineLevel="1" x14ac:dyDescent="0.2">
      <c r="B389" s="59"/>
      <c r="C389" s="59"/>
      <c r="D389" s="59"/>
      <c r="E389" s="59"/>
      <c r="F389" s="59"/>
      <c r="G389" s="59"/>
      <c r="H389" s="541"/>
      <c r="I389" s="617">
        <f t="shared" ref="I389:I452" si="6">G389*H389</f>
        <v>0</v>
      </c>
      <c r="J389" s="59"/>
      <c r="K389" s="59"/>
      <c r="L389" s="59"/>
      <c r="M389" s="59"/>
      <c r="N389" s="59"/>
      <c r="O389" s="59"/>
      <c r="P389" s="59"/>
      <c r="Q389" s="59"/>
    </row>
    <row r="390" spans="2:17" outlineLevel="1" x14ac:dyDescent="0.2">
      <c r="B390" s="59"/>
      <c r="C390" s="59"/>
      <c r="D390" s="59"/>
      <c r="E390" s="59"/>
      <c r="F390" s="59"/>
      <c r="G390" s="59"/>
      <c r="H390" s="541"/>
      <c r="I390" s="617">
        <f t="shared" si="6"/>
        <v>0</v>
      </c>
      <c r="J390" s="59"/>
      <c r="K390" s="59"/>
      <c r="L390" s="59"/>
      <c r="M390" s="59"/>
      <c r="N390" s="59"/>
      <c r="O390" s="59"/>
      <c r="P390" s="59"/>
      <c r="Q390" s="59"/>
    </row>
    <row r="391" spans="2:17" outlineLevel="1" x14ac:dyDescent="0.2">
      <c r="B391" s="59"/>
      <c r="C391" s="59"/>
      <c r="D391" s="59"/>
      <c r="E391" s="59"/>
      <c r="F391" s="59"/>
      <c r="G391" s="59"/>
      <c r="H391" s="541"/>
      <c r="I391" s="617">
        <f t="shared" si="6"/>
        <v>0</v>
      </c>
      <c r="J391" s="59"/>
      <c r="K391" s="59"/>
      <c r="L391" s="59"/>
      <c r="M391" s="59"/>
      <c r="N391" s="59"/>
      <c r="O391" s="59"/>
      <c r="P391" s="59"/>
      <c r="Q391" s="59"/>
    </row>
    <row r="392" spans="2:17" outlineLevel="1" x14ac:dyDescent="0.2">
      <c r="B392" s="59"/>
      <c r="C392" s="59"/>
      <c r="D392" s="59"/>
      <c r="E392" s="59"/>
      <c r="F392" s="59"/>
      <c r="G392" s="59"/>
      <c r="H392" s="541"/>
      <c r="I392" s="617">
        <f t="shared" si="6"/>
        <v>0</v>
      </c>
      <c r="J392" s="59"/>
      <c r="K392" s="59"/>
      <c r="L392" s="59"/>
      <c r="M392" s="59"/>
      <c r="N392" s="59"/>
      <c r="O392" s="59"/>
      <c r="P392" s="59"/>
      <c r="Q392" s="59"/>
    </row>
    <row r="393" spans="2:17" outlineLevel="1" x14ac:dyDescent="0.2">
      <c r="B393" s="59"/>
      <c r="C393" s="59"/>
      <c r="D393" s="59"/>
      <c r="E393" s="59"/>
      <c r="F393" s="59"/>
      <c r="G393" s="59"/>
      <c r="H393" s="541"/>
      <c r="I393" s="617">
        <f t="shared" si="6"/>
        <v>0</v>
      </c>
      <c r="J393" s="59"/>
      <c r="K393" s="59"/>
      <c r="L393" s="59"/>
      <c r="M393" s="59"/>
      <c r="N393" s="59"/>
      <c r="O393" s="59"/>
      <c r="P393" s="59"/>
      <c r="Q393" s="59"/>
    </row>
    <row r="394" spans="2:17" outlineLevel="1" x14ac:dyDescent="0.2">
      <c r="B394" s="59"/>
      <c r="C394" s="59"/>
      <c r="D394" s="59"/>
      <c r="E394" s="59"/>
      <c r="F394" s="59"/>
      <c r="G394" s="59"/>
      <c r="H394" s="541"/>
      <c r="I394" s="617">
        <f t="shared" si="6"/>
        <v>0</v>
      </c>
      <c r="J394" s="59"/>
      <c r="K394" s="59"/>
      <c r="L394" s="59"/>
      <c r="M394" s="59"/>
      <c r="N394" s="59"/>
      <c r="O394" s="59"/>
      <c r="P394" s="59"/>
      <c r="Q394" s="59"/>
    </row>
    <row r="395" spans="2:17" outlineLevel="1" x14ac:dyDescent="0.2">
      <c r="B395" s="59"/>
      <c r="C395" s="59"/>
      <c r="D395" s="59"/>
      <c r="E395" s="59"/>
      <c r="F395" s="59"/>
      <c r="G395" s="59"/>
      <c r="H395" s="541"/>
      <c r="I395" s="617">
        <f t="shared" si="6"/>
        <v>0</v>
      </c>
      <c r="J395" s="59"/>
      <c r="K395" s="59"/>
      <c r="L395" s="59"/>
      <c r="M395" s="59"/>
      <c r="N395" s="59"/>
      <c r="O395" s="59"/>
      <c r="P395" s="59"/>
      <c r="Q395" s="59"/>
    </row>
    <row r="396" spans="2:17" outlineLevel="1" x14ac:dyDescent="0.2">
      <c r="B396" s="59"/>
      <c r="C396" s="59"/>
      <c r="D396" s="59"/>
      <c r="E396" s="59"/>
      <c r="F396" s="59"/>
      <c r="G396" s="59"/>
      <c r="H396" s="541"/>
      <c r="I396" s="617">
        <f t="shared" si="6"/>
        <v>0</v>
      </c>
      <c r="J396" s="59"/>
      <c r="K396" s="59"/>
      <c r="L396" s="59"/>
      <c r="M396" s="59"/>
      <c r="N396" s="59"/>
      <c r="O396" s="59"/>
      <c r="P396" s="59"/>
      <c r="Q396" s="59"/>
    </row>
    <row r="397" spans="2:17" outlineLevel="1" x14ac:dyDescent="0.2">
      <c r="B397" s="59"/>
      <c r="C397" s="59"/>
      <c r="D397" s="59"/>
      <c r="E397" s="59"/>
      <c r="F397" s="59"/>
      <c r="G397" s="59"/>
      <c r="H397" s="541"/>
      <c r="I397" s="617">
        <f t="shared" si="6"/>
        <v>0</v>
      </c>
      <c r="J397" s="59"/>
      <c r="K397" s="59"/>
      <c r="L397" s="59"/>
      <c r="M397" s="59"/>
      <c r="N397" s="59"/>
      <c r="O397" s="59"/>
      <c r="P397" s="59"/>
      <c r="Q397" s="59"/>
    </row>
    <row r="398" spans="2:17" outlineLevel="1" x14ac:dyDescent="0.2">
      <c r="B398" s="59"/>
      <c r="C398" s="59"/>
      <c r="D398" s="59"/>
      <c r="E398" s="59"/>
      <c r="F398" s="59"/>
      <c r="G398" s="59"/>
      <c r="H398" s="541"/>
      <c r="I398" s="617">
        <f t="shared" si="6"/>
        <v>0</v>
      </c>
      <c r="J398" s="59"/>
      <c r="K398" s="59"/>
      <c r="L398" s="59"/>
      <c r="M398" s="59"/>
      <c r="N398" s="59"/>
      <c r="O398" s="59"/>
      <c r="P398" s="59"/>
      <c r="Q398" s="59"/>
    </row>
    <row r="399" spans="2:17" outlineLevel="1" x14ac:dyDescent="0.2">
      <c r="B399" s="59"/>
      <c r="C399" s="59"/>
      <c r="D399" s="59"/>
      <c r="E399" s="59"/>
      <c r="F399" s="59"/>
      <c r="G399" s="59"/>
      <c r="H399" s="541"/>
      <c r="I399" s="617">
        <f t="shared" si="6"/>
        <v>0</v>
      </c>
      <c r="J399" s="59"/>
      <c r="K399" s="59"/>
      <c r="L399" s="59"/>
      <c r="M399" s="59"/>
      <c r="N399" s="59"/>
      <c r="O399" s="59"/>
      <c r="P399" s="59"/>
      <c r="Q399" s="59"/>
    </row>
    <row r="400" spans="2:17" outlineLevel="1" x14ac:dyDescent="0.2">
      <c r="B400" s="59"/>
      <c r="C400" s="59"/>
      <c r="D400" s="59"/>
      <c r="E400" s="59"/>
      <c r="F400" s="59"/>
      <c r="G400" s="59"/>
      <c r="H400" s="541"/>
      <c r="I400" s="617">
        <f t="shared" si="6"/>
        <v>0</v>
      </c>
      <c r="J400" s="59"/>
      <c r="K400" s="59"/>
      <c r="L400" s="59"/>
      <c r="M400" s="59"/>
      <c r="N400" s="59"/>
      <c r="O400" s="59"/>
      <c r="P400" s="59"/>
      <c r="Q400" s="59"/>
    </row>
    <row r="401" spans="2:17" outlineLevel="1" x14ac:dyDescent="0.2">
      <c r="B401" s="59"/>
      <c r="C401" s="59"/>
      <c r="D401" s="59"/>
      <c r="E401" s="59"/>
      <c r="F401" s="59"/>
      <c r="G401" s="59"/>
      <c r="H401" s="541"/>
      <c r="I401" s="617">
        <f t="shared" si="6"/>
        <v>0</v>
      </c>
      <c r="J401" s="59"/>
      <c r="K401" s="59"/>
      <c r="L401" s="59"/>
      <c r="M401" s="59"/>
      <c r="N401" s="59"/>
      <c r="O401" s="59"/>
      <c r="P401" s="59"/>
      <c r="Q401" s="59"/>
    </row>
    <row r="402" spans="2:17" outlineLevel="1" x14ac:dyDescent="0.2">
      <c r="B402" s="59"/>
      <c r="C402" s="59"/>
      <c r="D402" s="59"/>
      <c r="E402" s="59"/>
      <c r="F402" s="59"/>
      <c r="G402" s="59"/>
      <c r="H402" s="541"/>
      <c r="I402" s="617">
        <f t="shared" si="6"/>
        <v>0</v>
      </c>
      <c r="J402" s="59"/>
      <c r="K402" s="59"/>
      <c r="L402" s="59"/>
      <c r="M402" s="59"/>
      <c r="N402" s="59"/>
      <c r="O402" s="59"/>
      <c r="P402" s="59"/>
      <c r="Q402" s="59"/>
    </row>
    <row r="403" spans="2:17" outlineLevel="1" x14ac:dyDescent="0.2">
      <c r="B403" s="59"/>
      <c r="C403" s="59"/>
      <c r="D403" s="59"/>
      <c r="E403" s="59"/>
      <c r="F403" s="59"/>
      <c r="G403" s="59"/>
      <c r="H403" s="541"/>
      <c r="I403" s="617">
        <f t="shared" si="6"/>
        <v>0</v>
      </c>
      <c r="J403" s="59"/>
      <c r="K403" s="59"/>
      <c r="L403" s="59"/>
      <c r="M403" s="59"/>
      <c r="N403" s="59"/>
      <c r="O403" s="59"/>
      <c r="P403" s="59"/>
      <c r="Q403" s="59"/>
    </row>
    <row r="404" spans="2:17" outlineLevel="1" x14ac:dyDescent="0.2">
      <c r="B404" s="59"/>
      <c r="C404" s="59"/>
      <c r="D404" s="59"/>
      <c r="E404" s="59"/>
      <c r="F404" s="59"/>
      <c r="G404" s="59"/>
      <c r="H404" s="541"/>
      <c r="I404" s="617">
        <f t="shared" si="6"/>
        <v>0</v>
      </c>
      <c r="J404" s="59"/>
      <c r="K404" s="59"/>
      <c r="L404" s="59"/>
      <c r="M404" s="59"/>
      <c r="N404" s="59"/>
      <c r="O404" s="59"/>
      <c r="P404" s="59"/>
      <c r="Q404" s="59"/>
    </row>
    <row r="405" spans="2:17" outlineLevel="1" x14ac:dyDescent="0.2">
      <c r="B405" s="59"/>
      <c r="C405" s="59"/>
      <c r="D405" s="59"/>
      <c r="E405" s="59"/>
      <c r="F405" s="59"/>
      <c r="G405" s="59"/>
      <c r="H405" s="541"/>
      <c r="I405" s="617">
        <f t="shared" si="6"/>
        <v>0</v>
      </c>
      <c r="J405" s="59"/>
      <c r="K405" s="59"/>
      <c r="L405" s="59"/>
      <c r="M405" s="59"/>
      <c r="N405" s="59"/>
      <c r="O405" s="59"/>
      <c r="P405" s="59"/>
      <c r="Q405" s="59"/>
    </row>
    <row r="406" spans="2:17" outlineLevel="1" x14ac:dyDescent="0.2">
      <c r="B406" s="59"/>
      <c r="C406" s="59"/>
      <c r="D406" s="59"/>
      <c r="E406" s="59"/>
      <c r="F406" s="59"/>
      <c r="G406" s="59"/>
      <c r="H406" s="541"/>
      <c r="I406" s="617">
        <f t="shared" si="6"/>
        <v>0</v>
      </c>
      <c r="J406" s="59"/>
      <c r="K406" s="59"/>
      <c r="L406" s="59"/>
      <c r="M406" s="59"/>
      <c r="N406" s="59"/>
      <c r="O406" s="59"/>
      <c r="P406" s="59"/>
      <c r="Q406" s="59"/>
    </row>
    <row r="407" spans="2:17" outlineLevel="1" x14ac:dyDescent="0.2">
      <c r="B407" s="59"/>
      <c r="C407" s="59"/>
      <c r="D407" s="59"/>
      <c r="E407" s="59"/>
      <c r="F407" s="59"/>
      <c r="G407" s="59"/>
      <c r="H407" s="541"/>
      <c r="I407" s="617">
        <f t="shared" si="6"/>
        <v>0</v>
      </c>
      <c r="J407" s="59"/>
      <c r="K407" s="59"/>
      <c r="L407" s="59"/>
      <c r="M407" s="59"/>
      <c r="N407" s="59"/>
      <c r="O407" s="59"/>
      <c r="P407" s="59"/>
      <c r="Q407" s="59"/>
    </row>
    <row r="408" spans="2:17" outlineLevel="1" x14ac:dyDescent="0.2">
      <c r="B408" s="59"/>
      <c r="C408" s="59"/>
      <c r="D408" s="59"/>
      <c r="E408" s="59"/>
      <c r="F408" s="59"/>
      <c r="G408" s="59"/>
      <c r="H408" s="541"/>
      <c r="I408" s="617">
        <f t="shared" si="6"/>
        <v>0</v>
      </c>
      <c r="J408" s="59"/>
      <c r="K408" s="59"/>
      <c r="L408" s="59"/>
      <c r="M408" s="59"/>
      <c r="N408" s="59"/>
      <c r="O408" s="59"/>
      <c r="P408" s="59"/>
      <c r="Q408" s="59"/>
    </row>
    <row r="409" spans="2:17" outlineLevel="1" x14ac:dyDescent="0.2">
      <c r="B409" s="59"/>
      <c r="C409" s="59"/>
      <c r="D409" s="59"/>
      <c r="E409" s="59"/>
      <c r="F409" s="59"/>
      <c r="G409" s="59"/>
      <c r="H409" s="541"/>
      <c r="I409" s="617">
        <f t="shared" si="6"/>
        <v>0</v>
      </c>
      <c r="J409" s="59"/>
      <c r="K409" s="59"/>
      <c r="L409" s="59"/>
      <c r="M409" s="59"/>
      <c r="N409" s="59"/>
      <c r="O409" s="59"/>
      <c r="P409" s="59"/>
      <c r="Q409" s="59"/>
    </row>
    <row r="410" spans="2:17" outlineLevel="1" x14ac:dyDescent="0.2">
      <c r="B410" s="59"/>
      <c r="C410" s="59"/>
      <c r="D410" s="59"/>
      <c r="E410" s="59"/>
      <c r="F410" s="59"/>
      <c r="G410" s="59"/>
      <c r="H410" s="541"/>
      <c r="I410" s="617">
        <f t="shared" si="6"/>
        <v>0</v>
      </c>
      <c r="J410" s="59"/>
      <c r="K410" s="59"/>
      <c r="L410" s="59"/>
      <c r="M410" s="59"/>
      <c r="N410" s="59"/>
      <c r="O410" s="59"/>
      <c r="P410" s="59"/>
      <c r="Q410" s="59"/>
    </row>
    <row r="411" spans="2:17" outlineLevel="1" x14ac:dyDescent="0.2">
      <c r="B411" s="59"/>
      <c r="C411" s="59"/>
      <c r="D411" s="59"/>
      <c r="E411" s="59"/>
      <c r="F411" s="59"/>
      <c r="G411" s="59"/>
      <c r="H411" s="541"/>
      <c r="I411" s="617">
        <f t="shared" si="6"/>
        <v>0</v>
      </c>
      <c r="J411" s="59"/>
      <c r="K411" s="59"/>
      <c r="L411" s="59"/>
      <c r="M411" s="59"/>
      <c r="N411" s="59"/>
      <c r="O411" s="59"/>
      <c r="P411" s="59"/>
      <c r="Q411" s="59"/>
    </row>
    <row r="412" spans="2:17" outlineLevel="1" x14ac:dyDescent="0.2">
      <c r="B412" s="59"/>
      <c r="C412" s="59"/>
      <c r="D412" s="59"/>
      <c r="E412" s="59"/>
      <c r="F412" s="59"/>
      <c r="G412" s="59"/>
      <c r="H412" s="541"/>
      <c r="I412" s="617">
        <f t="shared" si="6"/>
        <v>0</v>
      </c>
      <c r="J412" s="59"/>
      <c r="K412" s="59"/>
      <c r="L412" s="59"/>
      <c r="M412" s="59"/>
      <c r="N412" s="59"/>
      <c r="O412" s="59"/>
      <c r="P412" s="59"/>
      <c r="Q412" s="59"/>
    </row>
    <row r="413" spans="2:17" outlineLevel="1" x14ac:dyDescent="0.2">
      <c r="B413" s="59"/>
      <c r="C413" s="59"/>
      <c r="D413" s="59"/>
      <c r="E413" s="59"/>
      <c r="F413" s="59"/>
      <c r="G413" s="59"/>
      <c r="H413" s="541"/>
      <c r="I413" s="617">
        <f t="shared" si="6"/>
        <v>0</v>
      </c>
      <c r="J413" s="59"/>
      <c r="K413" s="59"/>
      <c r="L413" s="59"/>
      <c r="M413" s="59"/>
      <c r="N413" s="59"/>
      <c r="O413" s="59"/>
      <c r="P413" s="59"/>
      <c r="Q413" s="59"/>
    </row>
    <row r="414" spans="2:17" outlineLevel="1" x14ac:dyDescent="0.2">
      <c r="B414" s="59"/>
      <c r="C414" s="59"/>
      <c r="D414" s="59"/>
      <c r="E414" s="59"/>
      <c r="F414" s="59"/>
      <c r="G414" s="59"/>
      <c r="H414" s="541"/>
      <c r="I414" s="617">
        <f t="shared" si="6"/>
        <v>0</v>
      </c>
      <c r="J414" s="59"/>
      <c r="K414" s="59"/>
      <c r="L414" s="59"/>
      <c r="M414" s="59"/>
      <c r="N414" s="59"/>
      <c r="O414" s="59"/>
      <c r="P414" s="59"/>
      <c r="Q414" s="59"/>
    </row>
    <row r="415" spans="2:17" outlineLevel="1" x14ac:dyDescent="0.2">
      <c r="B415" s="59"/>
      <c r="C415" s="59"/>
      <c r="D415" s="59"/>
      <c r="E415" s="59"/>
      <c r="F415" s="59"/>
      <c r="G415" s="59"/>
      <c r="H415" s="541"/>
      <c r="I415" s="617">
        <f t="shared" si="6"/>
        <v>0</v>
      </c>
      <c r="J415" s="59"/>
      <c r="K415" s="59"/>
      <c r="L415" s="59"/>
      <c r="M415" s="59"/>
      <c r="N415" s="59"/>
      <c r="O415" s="59"/>
      <c r="P415" s="59"/>
      <c r="Q415" s="59"/>
    </row>
    <row r="416" spans="2:17" outlineLevel="1" x14ac:dyDescent="0.2">
      <c r="B416" s="59"/>
      <c r="C416" s="59"/>
      <c r="D416" s="59"/>
      <c r="E416" s="59"/>
      <c r="F416" s="59"/>
      <c r="G416" s="59"/>
      <c r="H416" s="541"/>
      <c r="I416" s="617">
        <f t="shared" si="6"/>
        <v>0</v>
      </c>
      <c r="J416" s="59"/>
      <c r="K416" s="59"/>
      <c r="L416" s="59"/>
      <c r="M416" s="59"/>
      <c r="N416" s="59"/>
      <c r="O416" s="59"/>
      <c r="P416" s="59"/>
      <c r="Q416" s="59"/>
    </row>
    <row r="417" spans="2:17" outlineLevel="1" x14ac:dyDescent="0.2">
      <c r="B417" s="59"/>
      <c r="C417" s="59"/>
      <c r="D417" s="59"/>
      <c r="E417" s="59"/>
      <c r="F417" s="59"/>
      <c r="G417" s="59"/>
      <c r="H417" s="541"/>
      <c r="I417" s="617">
        <f t="shared" si="6"/>
        <v>0</v>
      </c>
      <c r="J417" s="59"/>
      <c r="K417" s="59"/>
      <c r="L417" s="59"/>
      <c r="M417" s="59"/>
      <c r="N417" s="59"/>
      <c r="O417" s="59"/>
      <c r="P417" s="59"/>
      <c r="Q417" s="59"/>
    </row>
    <row r="418" spans="2:17" outlineLevel="1" x14ac:dyDescent="0.2">
      <c r="B418" s="59"/>
      <c r="C418" s="59"/>
      <c r="D418" s="59"/>
      <c r="E418" s="59"/>
      <c r="F418" s="59"/>
      <c r="G418" s="59"/>
      <c r="H418" s="541"/>
      <c r="I418" s="617">
        <f t="shared" si="6"/>
        <v>0</v>
      </c>
      <c r="J418" s="59"/>
      <c r="K418" s="59"/>
      <c r="L418" s="59"/>
      <c r="M418" s="59"/>
      <c r="N418" s="59"/>
      <c r="O418" s="59"/>
      <c r="P418" s="59"/>
      <c r="Q418" s="59"/>
    </row>
    <row r="419" spans="2:17" outlineLevel="1" x14ac:dyDescent="0.2">
      <c r="B419" s="59"/>
      <c r="C419" s="59"/>
      <c r="D419" s="59"/>
      <c r="E419" s="59"/>
      <c r="F419" s="59"/>
      <c r="G419" s="59"/>
      <c r="H419" s="541"/>
      <c r="I419" s="617">
        <f t="shared" si="6"/>
        <v>0</v>
      </c>
      <c r="J419" s="59"/>
      <c r="K419" s="59"/>
      <c r="L419" s="59"/>
      <c r="M419" s="59"/>
      <c r="N419" s="59"/>
      <c r="O419" s="59"/>
      <c r="P419" s="59"/>
      <c r="Q419" s="59"/>
    </row>
    <row r="420" spans="2:17" outlineLevel="1" x14ac:dyDescent="0.2">
      <c r="B420" s="59"/>
      <c r="C420" s="59"/>
      <c r="D420" s="59"/>
      <c r="E420" s="59"/>
      <c r="F420" s="59"/>
      <c r="G420" s="59"/>
      <c r="H420" s="541"/>
      <c r="I420" s="617">
        <f t="shared" si="6"/>
        <v>0</v>
      </c>
      <c r="J420" s="59"/>
      <c r="K420" s="59"/>
      <c r="L420" s="59"/>
      <c r="M420" s="59"/>
      <c r="N420" s="59"/>
      <c r="O420" s="59"/>
      <c r="P420" s="59"/>
      <c r="Q420" s="59"/>
    </row>
    <row r="421" spans="2:17" outlineLevel="1" x14ac:dyDescent="0.2">
      <c r="B421" s="59"/>
      <c r="C421" s="59"/>
      <c r="D421" s="59"/>
      <c r="E421" s="59"/>
      <c r="F421" s="59"/>
      <c r="G421" s="59"/>
      <c r="H421" s="541"/>
      <c r="I421" s="617">
        <f t="shared" si="6"/>
        <v>0</v>
      </c>
      <c r="J421" s="59"/>
      <c r="K421" s="59"/>
      <c r="L421" s="59"/>
      <c r="M421" s="59"/>
      <c r="N421" s="59"/>
      <c r="O421" s="59"/>
      <c r="P421" s="59"/>
      <c r="Q421" s="59"/>
    </row>
    <row r="422" spans="2:17" outlineLevel="1" x14ac:dyDescent="0.2">
      <c r="B422" s="59"/>
      <c r="C422" s="59"/>
      <c r="D422" s="59"/>
      <c r="E422" s="59"/>
      <c r="F422" s="59"/>
      <c r="G422" s="59"/>
      <c r="H422" s="541"/>
      <c r="I422" s="617">
        <f t="shared" si="6"/>
        <v>0</v>
      </c>
      <c r="J422" s="59"/>
      <c r="K422" s="59"/>
      <c r="L422" s="59"/>
      <c r="M422" s="59"/>
      <c r="N422" s="59"/>
      <c r="O422" s="59"/>
      <c r="P422" s="59"/>
      <c r="Q422" s="59"/>
    </row>
    <row r="423" spans="2:17" outlineLevel="1" x14ac:dyDescent="0.2">
      <c r="B423" s="59"/>
      <c r="C423" s="59"/>
      <c r="D423" s="59"/>
      <c r="E423" s="59"/>
      <c r="F423" s="59"/>
      <c r="G423" s="59"/>
      <c r="H423" s="541"/>
      <c r="I423" s="617">
        <f t="shared" si="6"/>
        <v>0</v>
      </c>
      <c r="J423" s="59"/>
      <c r="K423" s="59"/>
      <c r="L423" s="59"/>
      <c r="M423" s="59"/>
      <c r="N423" s="59"/>
      <c r="O423" s="59"/>
      <c r="P423" s="59"/>
      <c r="Q423" s="59"/>
    </row>
    <row r="424" spans="2:17" outlineLevel="1" x14ac:dyDescent="0.2">
      <c r="B424" s="59"/>
      <c r="C424" s="59"/>
      <c r="D424" s="59"/>
      <c r="E424" s="59"/>
      <c r="F424" s="59"/>
      <c r="G424" s="59"/>
      <c r="H424" s="541"/>
      <c r="I424" s="617">
        <f t="shared" si="6"/>
        <v>0</v>
      </c>
      <c r="J424" s="59"/>
      <c r="K424" s="59"/>
      <c r="L424" s="59"/>
      <c r="M424" s="59"/>
      <c r="N424" s="59"/>
      <c r="O424" s="59"/>
      <c r="P424" s="59"/>
      <c r="Q424" s="59"/>
    </row>
    <row r="425" spans="2:17" outlineLevel="1" x14ac:dyDescent="0.2">
      <c r="B425" s="59"/>
      <c r="C425" s="59"/>
      <c r="D425" s="59"/>
      <c r="E425" s="59"/>
      <c r="F425" s="59"/>
      <c r="G425" s="59"/>
      <c r="H425" s="541"/>
      <c r="I425" s="617">
        <f t="shared" si="6"/>
        <v>0</v>
      </c>
      <c r="J425" s="59"/>
      <c r="K425" s="59"/>
      <c r="L425" s="59"/>
      <c r="M425" s="59"/>
      <c r="N425" s="59"/>
      <c r="O425" s="59"/>
      <c r="P425" s="59"/>
      <c r="Q425" s="59"/>
    </row>
    <row r="426" spans="2:17" outlineLevel="1" x14ac:dyDescent="0.2">
      <c r="B426" s="59"/>
      <c r="C426" s="59"/>
      <c r="D426" s="59"/>
      <c r="E426" s="59"/>
      <c r="F426" s="59"/>
      <c r="G426" s="59"/>
      <c r="H426" s="541"/>
      <c r="I426" s="617">
        <f t="shared" si="6"/>
        <v>0</v>
      </c>
      <c r="J426" s="59"/>
      <c r="K426" s="59"/>
      <c r="L426" s="59"/>
      <c r="M426" s="59"/>
      <c r="N426" s="59"/>
      <c r="O426" s="59"/>
      <c r="P426" s="59"/>
      <c r="Q426" s="59"/>
    </row>
    <row r="427" spans="2:17" outlineLevel="1" x14ac:dyDescent="0.2">
      <c r="B427" s="59"/>
      <c r="C427" s="59"/>
      <c r="D427" s="59"/>
      <c r="E427" s="59"/>
      <c r="F427" s="59"/>
      <c r="G427" s="59"/>
      <c r="H427" s="541"/>
      <c r="I427" s="617">
        <f t="shared" si="6"/>
        <v>0</v>
      </c>
      <c r="J427" s="59"/>
      <c r="K427" s="59"/>
      <c r="L427" s="59"/>
      <c r="M427" s="59"/>
      <c r="N427" s="59"/>
      <c r="O427" s="59"/>
      <c r="P427" s="59"/>
      <c r="Q427" s="59"/>
    </row>
    <row r="428" spans="2:17" outlineLevel="1" x14ac:dyDescent="0.2">
      <c r="B428" s="59"/>
      <c r="C428" s="59"/>
      <c r="D428" s="59"/>
      <c r="E428" s="59"/>
      <c r="F428" s="59"/>
      <c r="G428" s="59"/>
      <c r="H428" s="541"/>
      <c r="I428" s="617">
        <f t="shared" si="6"/>
        <v>0</v>
      </c>
      <c r="J428" s="59"/>
      <c r="K428" s="59"/>
      <c r="L428" s="59"/>
      <c r="M428" s="59"/>
      <c r="N428" s="59"/>
      <c r="O428" s="59"/>
      <c r="P428" s="59"/>
      <c r="Q428" s="59"/>
    </row>
    <row r="429" spans="2:17" outlineLevel="1" x14ac:dyDescent="0.2">
      <c r="B429" s="59"/>
      <c r="C429" s="59"/>
      <c r="D429" s="59"/>
      <c r="E429" s="59"/>
      <c r="F429" s="59"/>
      <c r="G429" s="59"/>
      <c r="H429" s="541"/>
      <c r="I429" s="617">
        <f t="shared" si="6"/>
        <v>0</v>
      </c>
      <c r="J429" s="59"/>
      <c r="K429" s="59"/>
      <c r="L429" s="59"/>
      <c r="M429" s="59"/>
      <c r="N429" s="59"/>
      <c r="O429" s="59"/>
      <c r="P429" s="59"/>
      <c r="Q429" s="59"/>
    </row>
    <row r="430" spans="2:17" outlineLevel="1" x14ac:dyDescent="0.2">
      <c r="B430" s="59"/>
      <c r="C430" s="59"/>
      <c r="D430" s="59"/>
      <c r="E430" s="59"/>
      <c r="F430" s="59"/>
      <c r="G430" s="59"/>
      <c r="H430" s="541"/>
      <c r="I430" s="617">
        <f t="shared" si="6"/>
        <v>0</v>
      </c>
      <c r="J430" s="59"/>
      <c r="K430" s="59"/>
      <c r="L430" s="59"/>
      <c r="M430" s="59"/>
      <c r="N430" s="59"/>
      <c r="O430" s="59"/>
      <c r="P430" s="59"/>
      <c r="Q430" s="59"/>
    </row>
    <row r="431" spans="2:17" outlineLevel="1" x14ac:dyDescent="0.2">
      <c r="B431" s="59"/>
      <c r="C431" s="59"/>
      <c r="D431" s="59"/>
      <c r="E431" s="59"/>
      <c r="F431" s="59"/>
      <c r="G431" s="59"/>
      <c r="H431" s="541"/>
      <c r="I431" s="617">
        <f t="shared" si="6"/>
        <v>0</v>
      </c>
      <c r="J431" s="59"/>
      <c r="K431" s="59"/>
      <c r="L431" s="59"/>
      <c r="M431" s="59"/>
      <c r="N431" s="59"/>
      <c r="O431" s="59"/>
      <c r="P431" s="59"/>
      <c r="Q431" s="59"/>
    </row>
    <row r="432" spans="2:17" outlineLevel="1" x14ac:dyDescent="0.2">
      <c r="B432" s="59"/>
      <c r="C432" s="59"/>
      <c r="D432" s="59"/>
      <c r="E432" s="59"/>
      <c r="F432" s="59"/>
      <c r="G432" s="59"/>
      <c r="H432" s="541"/>
      <c r="I432" s="617">
        <f t="shared" si="6"/>
        <v>0</v>
      </c>
      <c r="J432" s="59"/>
      <c r="K432" s="59"/>
      <c r="L432" s="59"/>
      <c r="M432" s="59"/>
      <c r="N432" s="59"/>
      <c r="O432" s="59"/>
      <c r="P432" s="59"/>
      <c r="Q432" s="59"/>
    </row>
    <row r="433" spans="2:17" outlineLevel="1" x14ac:dyDescent="0.2">
      <c r="B433" s="59"/>
      <c r="C433" s="59"/>
      <c r="D433" s="59"/>
      <c r="E433" s="59"/>
      <c r="F433" s="59"/>
      <c r="G433" s="59"/>
      <c r="H433" s="541"/>
      <c r="I433" s="617">
        <f t="shared" si="6"/>
        <v>0</v>
      </c>
      <c r="J433" s="59"/>
      <c r="K433" s="59"/>
      <c r="L433" s="59"/>
      <c r="M433" s="59"/>
      <c r="N433" s="59"/>
      <c r="O433" s="59"/>
      <c r="P433" s="59"/>
      <c r="Q433" s="59"/>
    </row>
    <row r="434" spans="2:17" outlineLevel="1" x14ac:dyDescent="0.2">
      <c r="B434" s="59"/>
      <c r="C434" s="59"/>
      <c r="D434" s="59"/>
      <c r="E434" s="59"/>
      <c r="F434" s="59"/>
      <c r="G434" s="59"/>
      <c r="H434" s="541"/>
      <c r="I434" s="617">
        <f t="shared" si="6"/>
        <v>0</v>
      </c>
      <c r="J434" s="59"/>
      <c r="K434" s="59"/>
      <c r="L434" s="59"/>
      <c r="M434" s="59"/>
      <c r="N434" s="59"/>
      <c r="O434" s="59"/>
      <c r="P434" s="59"/>
      <c r="Q434" s="59"/>
    </row>
    <row r="435" spans="2:17" outlineLevel="1" x14ac:dyDescent="0.2">
      <c r="B435" s="59"/>
      <c r="C435" s="59"/>
      <c r="D435" s="59"/>
      <c r="E435" s="59"/>
      <c r="F435" s="59"/>
      <c r="G435" s="59"/>
      <c r="H435" s="541"/>
      <c r="I435" s="617">
        <f t="shared" si="6"/>
        <v>0</v>
      </c>
      <c r="J435" s="59"/>
      <c r="K435" s="59"/>
      <c r="L435" s="59"/>
      <c r="M435" s="59"/>
      <c r="N435" s="59"/>
      <c r="O435" s="59"/>
      <c r="P435" s="59"/>
      <c r="Q435" s="59"/>
    </row>
    <row r="436" spans="2:17" outlineLevel="1" x14ac:dyDescent="0.2">
      <c r="B436" s="59"/>
      <c r="C436" s="59"/>
      <c r="D436" s="59"/>
      <c r="E436" s="59"/>
      <c r="F436" s="59"/>
      <c r="G436" s="59"/>
      <c r="H436" s="541"/>
      <c r="I436" s="617">
        <f t="shared" si="6"/>
        <v>0</v>
      </c>
      <c r="J436" s="59"/>
      <c r="K436" s="59"/>
      <c r="L436" s="59"/>
      <c r="M436" s="59"/>
      <c r="N436" s="59"/>
      <c r="O436" s="59"/>
      <c r="P436" s="59"/>
      <c r="Q436" s="59"/>
    </row>
    <row r="437" spans="2:17" outlineLevel="1" x14ac:dyDescent="0.2">
      <c r="B437" s="59"/>
      <c r="C437" s="59"/>
      <c r="D437" s="59"/>
      <c r="E437" s="59"/>
      <c r="F437" s="59"/>
      <c r="G437" s="59"/>
      <c r="H437" s="541"/>
      <c r="I437" s="617">
        <f t="shared" si="6"/>
        <v>0</v>
      </c>
      <c r="J437" s="59"/>
      <c r="K437" s="59"/>
      <c r="L437" s="59"/>
      <c r="M437" s="59"/>
      <c r="N437" s="59"/>
      <c r="O437" s="59"/>
      <c r="P437" s="59"/>
      <c r="Q437" s="59"/>
    </row>
    <row r="438" spans="2:17" outlineLevel="1" x14ac:dyDescent="0.2">
      <c r="B438" s="59"/>
      <c r="C438" s="59"/>
      <c r="D438" s="59"/>
      <c r="E438" s="59"/>
      <c r="F438" s="59"/>
      <c r="G438" s="59"/>
      <c r="H438" s="541"/>
      <c r="I438" s="617">
        <f t="shared" si="6"/>
        <v>0</v>
      </c>
      <c r="J438" s="59"/>
      <c r="K438" s="59"/>
      <c r="L438" s="59"/>
      <c r="M438" s="59"/>
      <c r="N438" s="59"/>
      <c r="O438" s="59"/>
      <c r="P438" s="59"/>
      <c r="Q438" s="59"/>
    </row>
    <row r="439" spans="2:17" outlineLevel="1" x14ac:dyDescent="0.2">
      <c r="B439" s="59"/>
      <c r="C439" s="59"/>
      <c r="D439" s="59"/>
      <c r="E439" s="59"/>
      <c r="F439" s="59"/>
      <c r="G439" s="59"/>
      <c r="H439" s="541"/>
      <c r="I439" s="617">
        <f t="shared" si="6"/>
        <v>0</v>
      </c>
      <c r="J439" s="59"/>
      <c r="K439" s="59"/>
      <c r="L439" s="59"/>
      <c r="M439" s="59"/>
      <c r="N439" s="59"/>
      <c r="O439" s="59"/>
      <c r="P439" s="59"/>
      <c r="Q439" s="59"/>
    </row>
    <row r="440" spans="2:17" outlineLevel="1" x14ac:dyDescent="0.2">
      <c r="B440" s="59"/>
      <c r="C440" s="59"/>
      <c r="D440" s="59"/>
      <c r="E440" s="59"/>
      <c r="F440" s="59"/>
      <c r="G440" s="59"/>
      <c r="H440" s="541"/>
      <c r="I440" s="617">
        <f t="shared" si="6"/>
        <v>0</v>
      </c>
      <c r="J440" s="59"/>
      <c r="K440" s="59"/>
      <c r="L440" s="59"/>
      <c r="M440" s="59"/>
      <c r="N440" s="59"/>
      <c r="O440" s="59"/>
      <c r="P440" s="59"/>
      <c r="Q440" s="59"/>
    </row>
    <row r="441" spans="2:17" outlineLevel="1" x14ac:dyDescent="0.2">
      <c r="B441" s="59"/>
      <c r="C441" s="59"/>
      <c r="D441" s="59"/>
      <c r="E441" s="59"/>
      <c r="F441" s="59"/>
      <c r="G441" s="59"/>
      <c r="H441" s="541"/>
      <c r="I441" s="617">
        <f t="shared" si="6"/>
        <v>0</v>
      </c>
      <c r="J441" s="59"/>
      <c r="K441" s="59"/>
      <c r="L441" s="59"/>
      <c r="M441" s="59"/>
      <c r="N441" s="59"/>
      <c r="O441" s="59"/>
      <c r="P441" s="59"/>
      <c r="Q441" s="59"/>
    </row>
    <row r="442" spans="2:17" outlineLevel="1" x14ac:dyDescent="0.2">
      <c r="B442" s="59"/>
      <c r="C442" s="59"/>
      <c r="D442" s="59"/>
      <c r="E442" s="59"/>
      <c r="F442" s="59"/>
      <c r="G442" s="59"/>
      <c r="H442" s="541"/>
      <c r="I442" s="617">
        <f t="shared" si="6"/>
        <v>0</v>
      </c>
      <c r="J442" s="59"/>
      <c r="K442" s="59"/>
      <c r="L442" s="59"/>
      <c r="M442" s="59"/>
      <c r="N442" s="59"/>
      <c r="O442" s="59"/>
      <c r="P442" s="59"/>
      <c r="Q442" s="59"/>
    </row>
    <row r="443" spans="2:17" outlineLevel="1" x14ac:dyDescent="0.2">
      <c r="B443" s="59"/>
      <c r="C443" s="59"/>
      <c r="D443" s="59"/>
      <c r="E443" s="59"/>
      <c r="F443" s="59"/>
      <c r="G443" s="59"/>
      <c r="H443" s="541"/>
      <c r="I443" s="617">
        <f t="shared" si="6"/>
        <v>0</v>
      </c>
      <c r="J443" s="59"/>
      <c r="K443" s="59"/>
      <c r="L443" s="59"/>
      <c r="M443" s="59"/>
      <c r="N443" s="59"/>
      <c r="O443" s="59"/>
      <c r="P443" s="59"/>
      <c r="Q443" s="59"/>
    </row>
    <row r="444" spans="2:17" outlineLevel="1" x14ac:dyDescent="0.2">
      <c r="B444" s="59"/>
      <c r="C444" s="59"/>
      <c r="D444" s="59"/>
      <c r="E444" s="59"/>
      <c r="F444" s="59"/>
      <c r="G444" s="59"/>
      <c r="H444" s="541"/>
      <c r="I444" s="617">
        <f t="shared" si="6"/>
        <v>0</v>
      </c>
      <c r="J444" s="59"/>
      <c r="K444" s="59"/>
      <c r="L444" s="59"/>
      <c r="M444" s="59"/>
      <c r="N444" s="59"/>
      <c r="O444" s="59"/>
      <c r="P444" s="59"/>
      <c r="Q444" s="59"/>
    </row>
    <row r="445" spans="2:17" outlineLevel="1" x14ac:dyDescent="0.2">
      <c r="B445" s="59"/>
      <c r="C445" s="59"/>
      <c r="D445" s="59"/>
      <c r="E445" s="59"/>
      <c r="F445" s="59"/>
      <c r="G445" s="59"/>
      <c r="H445" s="541"/>
      <c r="I445" s="617">
        <f t="shared" si="6"/>
        <v>0</v>
      </c>
      <c r="J445" s="59"/>
      <c r="K445" s="59"/>
      <c r="L445" s="59"/>
      <c r="M445" s="59"/>
      <c r="N445" s="59"/>
      <c r="O445" s="59"/>
      <c r="P445" s="59"/>
      <c r="Q445" s="59"/>
    </row>
    <row r="446" spans="2:17" outlineLevel="1" x14ac:dyDescent="0.2">
      <c r="B446" s="59"/>
      <c r="C446" s="59"/>
      <c r="D446" s="59"/>
      <c r="E446" s="59"/>
      <c r="F446" s="59"/>
      <c r="G446" s="59"/>
      <c r="H446" s="541"/>
      <c r="I446" s="617">
        <f t="shared" si="6"/>
        <v>0</v>
      </c>
      <c r="J446" s="59"/>
      <c r="K446" s="59"/>
      <c r="L446" s="59"/>
      <c r="M446" s="59"/>
      <c r="N446" s="59"/>
      <c r="O446" s="59"/>
      <c r="P446" s="59"/>
      <c r="Q446" s="59"/>
    </row>
    <row r="447" spans="2:17" outlineLevel="1" x14ac:dyDescent="0.2">
      <c r="B447" s="59"/>
      <c r="C447" s="59"/>
      <c r="D447" s="59"/>
      <c r="E447" s="59"/>
      <c r="F447" s="59"/>
      <c r="G447" s="59"/>
      <c r="H447" s="541"/>
      <c r="I447" s="617">
        <f t="shared" si="6"/>
        <v>0</v>
      </c>
      <c r="J447" s="59"/>
      <c r="K447" s="59"/>
      <c r="L447" s="59"/>
      <c r="M447" s="59"/>
      <c r="N447" s="59"/>
      <c r="O447" s="59"/>
      <c r="P447" s="59"/>
      <c r="Q447" s="59"/>
    </row>
    <row r="448" spans="2:17" outlineLevel="1" x14ac:dyDescent="0.2">
      <c r="B448" s="59"/>
      <c r="C448" s="59"/>
      <c r="D448" s="59"/>
      <c r="E448" s="59"/>
      <c r="F448" s="59"/>
      <c r="G448" s="59"/>
      <c r="H448" s="541"/>
      <c r="I448" s="617">
        <f t="shared" si="6"/>
        <v>0</v>
      </c>
      <c r="J448" s="59"/>
      <c r="K448" s="59"/>
      <c r="L448" s="59"/>
      <c r="M448" s="59"/>
      <c r="N448" s="59"/>
      <c r="O448" s="59"/>
      <c r="P448" s="59"/>
      <c r="Q448" s="59"/>
    </row>
    <row r="449" spans="2:17" outlineLevel="1" x14ac:dyDescent="0.2">
      <c r="B449" s="59"/>
      <c r="C449" s="59"/>
      <c r="D449" s="59"/>
      <c r="E449" s="59"/>
      <c r="F449" s="59"/>
      <c r="G449" s="59"/>
      <c r="H449" s="541"/>
      <c r="I449" s="617">
        <f t="shared" si="6"/>
        <v>0</v>
      </c>
      <c r="J449" s="59"/>
      <c r="K449" s="59"/>
      <c r="L449" s="59"/>
      <c r="M449" s="59"/>
      <c r="N449" s="59"/>
      <c r="O449" s="59"/>
      <c r="P449" s="59"/>
      <c r="Q449" s="59"/>
    </row>
    <row r="450" spans="2:17" outlineLevel="1" x14ac:dyDescent="0.2">
      <c r="B450" s="59"/>
      <c r="C450" s="59"/>
      <c r="D450" s="59"/>
      <c r="E450" s="59"/>
      <c r="F450" s="59"/>
      <c r="G450" s="59"/>
      <c r="H450" s="541"/>
      <c r="I450" s="617">
        <f t="shared" si="6"/>
        <v>0</v>
      </c>
      <c r="J450" s="59"/>
      <c r="K450" s="59"/>
      <c r="L450" s="59"/>
      <c r="M450" s="59"/>
      <c r="N450" s="59"/>
      <c r="O450" s="59"/>
      <c r="P450" s="59"/>
      <c r="Q450" s="59"/>
    </row>
    <row r="451" spans="2:17" outlineLevel="1" x14ac:dyDescent="0.2">
      <c r="B451" s="59"/>
      <c r="C451" s="59"/>
      <c r="D451" s="59"/>
      <c r="E451" s="59"/>
      <c r="F451" s="59"/>
      <c r="G451" s="59"/>
      <c r="H451" s="541"/>
      <c r="I451" s="617">
        <f t="shared" si="6"/>
        <v>0</v>
      </c>
      <c r="J451" s="59"/>
      <c r="K451" s="59"/>
      <c r="L451" s="59"/>
      <c r="M451" s="59"/>
      <c r="N451" s="59"/>
      <c r="O451" s="59"/>
      <c r="P451" s="59"/>
      <c r="Q451" s="59"/>
    </row>
    <row r="452" spans="2:17" outlineLevel="1" x14ac:dyDescent="0.2">
      <c r="B452" s="59"/>
      <c r="C452" s="59"/>
      <c r="D452" s="59"/>
      <c r="E452" s="59"/>
      <c r="F452" s="59"/>
      <c r="G452" s="59"/>
      <c r="H452" s="541"/>
      <c r="I452" s="617">
        <f t="shared" si="6"/>
        <v>0</v>
      </c>
      <c r="J452" s="59"/>
      <c r="K452" s="59"/>
      <c r="L452" s="59"/>
      <c r="M452" s="59"/>
      <c r="N452" s="59"/>
      <c r="O452" s="59"/>
      <c r="P452" s="59"/>
      <c r="Q452" s="59"/>
    </row>
    <row r="453" spans="2:17" outlineLevel="1" x14ac:dyDescent="0.2">
      <c r="B453" s="59"/>
      <c r="C453" s="59"/>
      <c r="D453" s="59"/>
      <c r="E453" s="59"/>
      <c r="F453" s="59"/>
      <c r="G453" s="59"/>
      <c r="H453" s="541"/>
      <c r="I453" s="617">
        <f t="shared" ref="I453:I516" si="7">G453*H453</f>
        <v>0</v>
      </c>
      <c r="J453" s="59"/>
      <c r="K453" s="59"/>
      <c r="L453" s="59"/>
      <c r="M453" s="59"/>
      <c r="N453" s="59"/>
      <c r="O453" s="59"/>
      <c r="P453" s="59"/>
      <c r="Q453" s="59"/>
    </row>
    <row r="454" spans="2:17" outlineLevel="1" x14ac:dyDescent="0.2">
      <c r="B454" s="59"/>
      <c r="C454" s="59"/>
      <c r="D454" s="59"/>
      <c r="E454" s="59"/>
      <c r="F454" s="59"/>
      <c r="G454" s="59"/>
      <c r="H454" s="541"/>
      <c r="I454" s="617">
        <f t="shared" si="7"/>
        <v>0</v>
      </c>
      <c r="J454" s="59"/>
      <c r="K454" s="59"/>
      <c r="L454" s="59"/>
      <c r="M454" s="59"/>
      <c r="N454" s="59"/>
      <c r="O454" s="59"/>
      <c r="P454" s="59"/>
      <c r="Q454" s="59"/>
    </row>
    <row r="455" spans="2:17" outlineLevel="1" x14ac:dyDescent="0.2">
      <c r="B455" s="59"/>
      <c r="C455" s="59"/>
      <c r="D455" s="59"/>
      <c r="E455" s="59"/>
      <c r="F455" s="59"/>
      <c r="G455" s="59"/>
      <c r="H455" s="541"/>
      <c r="I455" s="617">
        <f t="shared" si="7"/>
        <v>0</v>
      </c>
      <c r="J455" s="59"/>
      <c r="K455" s="59"/>
      <c r="L455" s="59"/>
      <c r="M455" s="59"/>
      <c r="N455" s="59"/>
      <c r="O455" s="59"/>
      <c r="P455" s="59"/>
      <c r="Q455" s="59"/>
    </row>
    <row r="456" spans="2:17" outlineLevel="1" x14ac:dyDescent="0.2">
      <c r="B456" s="59"/>
      <c r="C456" s="59"/>
      <c r="D456" s="59"/>
      <c r="E456" s="59"/>
      <c r="F456" s="59"/>
      <c r="G456" s="59"/>
      <c r="H456" s="541"/>
      <c r="I456" s="617">
        <f t="shared" si="7"/>
        <v>0</v>
      </c>
      <c r="J456" s="59"/>
      <c r="K456" s="59"/>
      <c r="L456" s="59"/>
      <c r="M456" s="59"/>
      <c r="N456" s="59"/>
      <c r="O456" s="59"/>
      <c r="P456" s="59"/>
      <c r="Q456" s="59"/>
    </row>
    <row r="457" spans="2:17" outlineLevel="1" x14ac:dyDescent="0.2">
      <c r="B457" s="59"/>
      <c r="C457" s="59"/>
      <c r="D457" s="59"/>
      <c r="E457" s="59"/>
      <c r="F457" s="59"/>
      <c r="G457" s="59"/>
      <c r="H457" s="541"/>
      <c r="I457" s="617">
        <f t="shared" si="7"/>
        <v>0</v>
      </c>
      <c r="J457" s="59"/>
      <c r="K457" s="59"/>
      <c r="L457" s="59"/>
      <c r="M457" s="59"/>
      <c r="N457" s="59"/>
      <c r="O457" s="59"/>
      <c r="P457" s="59"/>
      <c r="Q457" s="59"/>
    </row>
    <row r="458" spans="2:17" outlineLevel="1" x14ac:dyDescent="0.2">
      <c r="B458" s="59"/>
      <c r="C458" s="59"/>
      <c r="D458" s="59"/>
      <c r="E458" s="59"/>
      <c r="F458" s="59"/>
      <c r="G458" s="59"/>
      <c r="H458" s="541"/>
      <c r="I458" s="617">
        <f t="shared" si="7"/>
        <v>0</v>
      </c>
      <c r="J458" s="59"/>
      <c r="K458" s="59"/>
      <c r="L458" s="59"/>
      <c r="M458" s="59"/>
      <c r="N458" s="59"/>
      <c r="O458" s="59"/>
      <c r="P458" s="59"/>
      <c r="Q458" s="59"/>
    </row>
    <row r="459" spans="2:17" outlineLevel="1" x14ac:dyDescent="0.2">
      <c r="B459" s="59"/>
      <c r="C459" s="59"/>
      <c r="D459" s="59"/>
      <c r="E459" s="59"/>
      <c r="F459" s="59"/>
      <c r="G459" s="59"/>
      <c r="H459" s="541"/>
      <c r="I459" s="617">
        <f t="shared" si="7"/>
        <v>0</v>
      </c>
      <c r="J459" s="59"/>
      <c r="K459" s="59"/>
      <c r="L459" s="59"/>
      <c r="M459" s="59"/>
      <c r="N459" s="59"/>
      <c r="O459" s="59"/>
      <c r="P459" s="59"/>
      <c r="Q459" s="59"/>
    </row>
    <row r="460" spans="2:17" outlineLevel="1" x14ac:dyDescent="0.2">
      <c r="B460" s="59"/>
      <c r="C460" s="59"/>
      <c r="D460" s="59"/>
      <c r="E460" s="59"/>
      <c r="F460" s="59"/>
      <c r="G460" s="59"/>
      <c r="H460" s="541"/>
      <c r="I460" s="617">
        <f t="shared" si="7"/>
        <v>0</v>
      </c>
      <c r="J460" s="59"/>
      <c r="K460" s="59"/>
      <c r="L460" s="59"/>
      <c r="M460" s="59"/>
      <c r="N460" s="59"/>
      <c r="O460" s="59"/>
      <c r="P460" s="59"/>
      <c r="Q460" s="59"/>
    </row>
    <row r="461" spans="2:17" outlineLevel="1" x14ac:dyDescent="0.2">
      <c r="B461" s="59"/>
      <c r="C461" s="59"/>
      <c r="D461" s="59"/>
      <c r="E461" s="59"/>
      <c r="F461" s="59"/>
      <c r="G461" s="59"/>
      <c r="H461" s="541"/>
      <c r="I461" s="617">
        <f t="shared" si="7"/>
        <v>0</v>
      </c>
      <c r="J461" s="59"/>
      <c r="K461" s="59"/>
      <c r="L461" s="59"/>
      <c r="M461" s="59"/>
      <c r="N461" s="59"/>
      <c r="O461" s="59"/>
      <c r="P461" s="59"/>
      <c r="Q461" s="59"/>
    </row>
    <row r="462" spans="2:17" outlineLevel="1" x14ac:dyDescent="0.2">
      <c r="B462" s="59"/>
      <c r="C462" s="59"/>
      <c r="D462" s="59"/>
      <c r="E462" s="59"/>
      <c r="F462" s="59"/>
      <c r="G462" s="59"/>
      <c r="H462" s="541"/>
      <c r="I462" s="617">
        <f t="shared" si="7"/>
        <v>0</v>
      </c>
      <c r="J462" s="59"/>
      <c r="K462" s="59"/>
      <c r="L462" s="59"/>
      <c r="M462" s="59"/>
      <c r="N462" s="59"/>
      <c r="O462" s="59"/>
      <c r="P462" s="59"/>
      <c r="Q462" s="59"/>
    </row>
    <row r="463" spans="2:17" outlineLevel="1" x14ac:dyDescent="0.2">
      <c r="B463" s="59"/>
      <c r="C463" s="59"/>
      <c r="D463" s="59"/>
      <c r="E463" s="59"/>
      <c r="F463" s="59"/>
      <c r="G463" s="59"/>
      <c r="H463" s="541"/>
      <c r="I463" s="617">
        <f t="shared" si="7"/>
        <v>0</v>
      </c>
      <c r="J463" s="59"/>
      <c r="K463" s="59"/>
      <c r="L463" s="59"/>
      <c r="M463" s="59"/>
      <c r="N463" s="59"/>
      <c r="O463" s="59"/>
      <c r="P463" s="59"/>
      <c r="Q463" s="59"/>
    </row>
    <row r="464" spans="2:17" outlineLevel="1" x14ac:dyDescent="0.2">
      <c r="B464" s="59"/>
      <c r="C464" s="59"/>
      <c r="D464" s="59"/>
      <c r="E464" s="59"/>
      <c r="F464" s="59"/>
      <c r="G464" s="59"/>
      <c r="H464" s="541"/>
      <c r="I464" s="617">
        <f t="shared" si="7"/>
        <v>0</v>
      </c>
      <c r="J464" s="59"/>
      <c r="K464" s="59"/>
      <c r="L464" s="59"/>
      <c r="M464" s="59"/>
      <c r="N464" s="59"/>
      <c r="O464" s="59"/>
      <c r="P464" s="59"/>
      <c r="Q464" s="59"/>
    </row>
    <row r="465" spans="2:17" outlineLevel="1" x14ac:dyDescent="0.2">
      <c r="B465" s="59"/>
      <c r="C465" s="59"/>
      <c r="D465" s="59"/>
      <c r="E465" s="59"/>
      <c r="F465" s="59"/>
      <c r="G465" s="59"/>
      <c r="H465" s="541"/>
      <c r="I465" s="617">
        <f t="shared" si="7"/>
        <v>0</v>
      </c>
      <c r="J465" s="59"/>
      <c r="K465" s="59"/>
      <c r="L465" s="59"/>
      <c r="M465" s="59"/>
      <c r="N465" s="59"/>
      <c r="O465" s="59"/>
      <c r="P465" s="59"/>
      <c r="Q465" s="59"/>
    </row>
    <row r="466" spans="2:17" outlineLevel="1" x14ac:dyDescent="0.2">
      <c r="B466" s="59"/>
      <c r="C466" s="59"/>
      <c r="D466" s="59"/>
      <c r="E466" s="59"/>
      <c r="F466" s="59"/>
      <c r="G466" s="59"/>
      <c r="H466" s="541"/>
      <c r="I466" s="617">
        <f t="shared" si="7"/>
        <v>0</v>
      </c>
      <c r="J466" s="59"/>
      <c r="K466" s="59"/>
      <c r="L466" s="59"/>
      <c r="M466" s="59"/>
      <c r="N466" s="59"/>
      <c r="O466" s="59"/>
      <c r="P466" s="59"/>
      <c r="Q466" s="59"/>
    </row>
    <row r="467" spans="2:17" outlineLevel="1" x14ac:dyDescent="0.2">
      <c r="B467" s="59"/>
      <c r="C467" s="59"/>
      <c r="D467" s="59"/>
      <c r="E467" s="59"/>
      <c r="F467" s="59"/>
      <c r="G467" s="59"/>
      <c r="H467" s="541"/>
      <c r="I467" s="617">
        <f t="shared" si="7"/>
        <v>0</v>
      </c>
      <c r="J467" s="59"/>
      <c r="K467" s="59"/>
      <c r="L467" s="59"/>
      <c r="M467" s="59"/>
      <c r="N467" s="59"/>
      <c r="O467" s="59"/>
      <c r="P467" s="59"/>
      <c r="Q467" s="59"/>
    </row>
    <row r="468" spans="2:17" outlineLevel="1" x14ac:dyDescent="0.2">
      <c r="B468" s="59"/>
      <c r="C468" s="59"/>
      <c r="D468" s="59"/>
      <c r="E468" s="59"/>
      <c r="F468" s="59"/>
      <c r="G468" s="59"/>
      <c r="H468" s="541"/>
      <c r="I468" s="617">
        <f t="shared" si="7"/>
        <v>0</v>
      </c>
      <c r="J468" s="59"/>
      <c r="K468" s="59"/>
      <c r="L468" s="59"/>
      <c r="M468" s="59"/>
      <c r="N468" s="59"/>
      <c r="O468" s="59"/>
      <c r="P468" s="59"/>
      <c r="Q468" s="59"/>
    </row>
    <row r="469" spans="2:17" outlineLevel="1" x14ac:dyDescent="0.2">
      <c r="B469" s="59"/>
      <c r="C469" s="59"/>
      <c r="D469" s="59"/>
      <c r="E469" s="59"/>
      <c r="F469" s="59"/>
      <c r="G469" s="59"/>
      <c r="H469" s="541"/>
      <c r="I469" s="617">
        <f t="shared" si="7"/>
        <v>0</v>
      </c>
      <c r="J469" s="59"/>
      <c r="K469" s="59"/>
      <c r="L469" s="59"/>
      <c r="M469" s="59"/>
      <c r="N469" s="59"/>
      <c r="O469" s="59"/>
      <c r="P469" s="59"/>
      <c r="Q469" s="59"/>
    </row>
    <row r="470" spans="2:17" outlineLevel="1" x14ac:dyDescent="0.2">
      <c r="B470" s="59"/>
      <c r="C470" s="59"/>
      <c r="D470" s="59"/>
      <c r="E470" s="59"/>
      <c r="F470" s="59"/>
      <c r="G470" s="59"/>
      <c r="H470" s="541"/>
      <c r="I470" s="617">
        <f t="shared" si="7"/>
        <v>0</v>
      </c>
      <c r="J470" s="59"/>
      <c r="K470" s="59"/>
      <c r="L470" s="59"/>
      <c r="M470" s="59"/>
      <c r="N470" s="59"/>
      <c r="O470" s="59"/>
      <c r="P470" s="59"/>
      <c r="Q470" s="59"/>
    </row>
    <row r="471" spans="2:17" outlineLevel="1" x14ac:dyDescent="0.2">
      <c r="B471" s="59"/>
      <c r="C471" s="59"/>
      <c r="D471" s="59"/>
      <c r="E471" s="59"/>
      <c r="F471" s="59"/>
      <c r="G471" s="59"/>
      <c r="H471" s="541"/>
      <c r="I471" s="617">
        <f t="shared" si="7"/>
        <v>0</v>
      </c>
      <c r="J471" s="59"/>
      <c r="K471" s="59"/>
      <c r="L471" s="59"/>
      <c r="M471" s="59"/>
      <c r="N471" s="59"/>
      <c r="O471" s="59"/>
      <c r="P471" s="59"/>
      <c r="Q471" s="59"/>
    </row>
    <row r="472" spans="2:17" outlineLevel="1" x14ac:dyDescent="0.2">
      <c r="B472" s="59"/>
      <c r="C472" s="59"/>
      <c r="D472" s="59"/>
      <c r="E472" s="59"/>
      <c r="F472" s="59"/>
      <c r="G472" s="59"/>
      <c r="H472" s="541"/>
      <c r="I472" s="617">
        <f t="shared" si="7"/>
        <v>0</v>
      </c>
      <c r="J472" s="59"/>
      <c r="K472" s="59"/>
      <c r="L472" s="59"/>
      <c r="M472" s="59"/>
      <c r="N472" s="59"/>
      <c r="O472" s="59"/>
      <c r="P472" s="59"/>
      <c r="Q472" s="59"/>
    </row>
    <row r="473" spans="2:17" outlineLevel="1" x14ac:dyDescent="0.2">
      <c r="B473" s="59"/>
      <c r="C473" s="59"/>
      <c r="D473" s="59"/>
      <c r="E473" s="59"/>
      <c r="F473" s="59"/>
      <c r="G473" s="59"/>
      <c r="H473" s="541"/>
      <c r="I473" s="617">
        <f t="shared" si="7"/>
        <v>0</v>
      </c>
      <c r="J473" s="59"/>
      <c r="K473" s="59"/>
      <c r="L473" s="59"/>
      <c r="M473" s="59"/>
      <c r="N473" s="59"/>
      <c r="O473" s="59"/>
      <c r="P473" s="59"/>
      <c r="Q473" s="59"/>
    </row>
    <row r="474" spans="2:17" outlineLevel="1" x14ac:dyDescent="0.2">
      <c r="B474" s="59"/>
      <c r="C474" s="59"/>
      <c r="D474" s="59"/>
      <c r="E474" s="59"/>
      <c r="F474" s="59"/>
      <c r="G474" s="59"/>
      <c r="H474" s="541"/>
      <c r="I474" s="617">
        <f t="shared" si="7"/>
        <v>0</v>
      </c>
      <c r="J474" s="59"/>
      <c r="K474" s="59"/>
      <c r="L474" s="59"/>
      <c r="M474" s="59"/>
      <c r="N474" s="59"/>
      <c r="O474" s="59"/>
      <c r="P474" s="59"/>
      <c r="Q474" s="59"/>
    </row>
    <row r="475" spans="2:17" outlineLevel="1" x14ac:dyDescent="0.2">
      <c r="B475" s="59"/>
      <c r="C475" s="59"/>
      <c r="D475" s="59"/>
      <c r="E475" s="59"/>
      <c r="F475" s="59"/>
      <c r="G475" s="59"/>
      <c r="H475" s="541"/>
      <c r="I475" s="617">
        <f t="shared" si="7"/>
        <v>0</v>
      </c>
      <c r="J475" s="59"/>
      <c r="K475" s="59"/>
      <c r="L475" s="59"/>
      <c r="M475" s="59"/>
      <c r="N475" s="59"/>
      <c r="O475" s="59"/>
      <c r="P475" s="59"/>
      <c r="Q475" s="59"/>
    </row>
    <row r="476" spans="2:17" outlineLevel="1" x14ac:dyDescent="0.2">
      <c r="B476" s="59"/>
      <c r="C476" s="59"/>
      <c r="D476" s="59"/>
      <c r="E476" s="59"/>
      <c r="F476" s="59"/>
      <c r="G476" s="59"/>
      <c r="H476" s="541"/>
      <c r="I476" s="617">
        <f t="shared" si="7"/>
        <v>0</v>
      </c>
      <c r="J476" s="59"/>
      <c r="K476" s="59"/>
      <c r="L476" s="59"/>
      <c r="M476" s="59"/>
      <c r="N476" s="59"/>
      <c r="O476" s="59"/>
      <c r="P476" s="59"/>
      <c r="Q476" s="59"/>
    </row>
    <row r="477" spans="2:17" outlineLevel="1" x14ac:dyDescent="0.2">
      <c r="B477" s="59"/>
      <c r="C477" s="59"/>
      <c r="D477" s="59"/>
      <c r="E477" s="59"/>
      <c r="F477" s="59"/>
      <c r="G477" s="59"/>
      <c r="H477" s="541"/>
      <c r="I477" s="617">
        <f t="shared" si="7"/>
        <v>0</v>
      </c>
      <c r="J477" s="59"/>
      <c r="K477" s="59"/>
      <c r="L477" s="59"/>
      <c r="M477" s="59"/>
      <c r="N477" s="59"/>
      <c r="O477" s="59"/>
      <c r="P477" s="59"/>
      <c r="Q477" s="59"/>
    </row>
    <row r="478" spans="2:17" outlineLevel="1" x14ac:dyDescent="0.2">
      <c r="B478" s="59"/>
      <c r="C478" s="59"/>
      <c r="D478" s="59"/>
      <c r="E478" s="59"/>
      <c r="F478" s="59"/>
      <c r="G478" s="59"/>
      <c r="H478" s="541"/>
      <c r="I478" s="617">
        <f t="shared" si="7"/>
        <v>0</v>
      </c>
      <c r="J478" s="59"/>
      <c r="K478" s="59"/>
      <c r="L478" s="59"/>
      <c r="M478" s="59"/>
      <c r="N478" s="59"/>
      <c r="O478" s="59"/>
      <c r="P478" s="59"/>
      <c r="Q478" s="59"/>
    </row>
    <row r="479" spans="2:17" outlineLevel="1" x14ac:dyDescent="0.2">
      <c r="B479" s="59"/>
      <c r="C479" s="59"/>
      <c r="D479" s="59"/>
      <c r="E479" s="59"/>
      <c r="F479" s="59"/>
      <c r="G479" s="59"/>
      <c r="H479" s="541"/>
      <c r="I479" s="617">
        <f t="shared" si="7"/>
        <v>0</v>
      </c>
      <c r="J479" s="59"/>
      <c r="K479" s="59"/>
      <c r="L479" s="59"/>
      <c r="M479" s="59"/>
      <c r="N479" s="59"/>
      <c r="O479" s="59"/>
      <c r="P479" s="59"/>
      <c r="Q479" s="59"/>
    </row>
    <row r="480" spans="2:17" outlineLevel="1" x14ac:dyDescent="0.2">
      <c r="B480" s="59"/>
      <c r="C480" s="59"/>
      <c r="D480" s="59"/>
      <c r="E480" s="59"/>
      <c r="F480" s="59"/>
      <c r="G480" s="59"/>
      <c r="H480" s="541"/>
      <c r="I480" s="617">
        <f t="shared" si="7"/>
        <v>0</v>
      </c>
      <c r="J480" s="59"/>
      <c r="K480" s="59"/>
      <c r="L480" s="59"/>
      <c r="M480" s="59"/>
      <c r="N480" s="59"/>
      <c r="O480" s="59"/>
      <c r="P480" s="59"/>
      <c r="Q480" s="59"/>
    </row>
    <row r="481" spans="2:17" outlineLevel="1" x14ac:dyDescent="0.2">
      <c r="B481" s="59"/>
      <c r="C481" s="59"/>
      <c r="D481" s="59"/>
      <c r="E481" s="59"/>
      <c r="F481" s="59"/>
      <c r="G481" s="59"/>
      <c r="H481" s="541"/>
      <c r="I481" s="617">
        <f t="shared" si="7"/>
        <v>0</v>
      </c>
      <c r="J481" s="59"/>
      <c r="K481" s="59"/>
      <c r="L481" s="59"/>
      <c r="M481" s="59"/>
      <c r="N481" s="59"/>
      <c r="O481" s="59"/>
      <c r="P481" s="59"/>
      <c r="Q481" s="59"/>
    </row>
    <row r="482" spans="2:17" outlineLevel="1" x14ac:dyDescent="0.2">
      <c r="B482" s="59"/>
      <c r="C482" s="59"/>
      <c r="D482" s="59"/>
      <c r="E482" s="59"/>
      <c r="F482" s="59"/>
      <c r="G482" s="59"/>
      <c r="H482" s="541"/>
      <c r="I482" s="617">
        <f t="shared" si="7"/>
        <v>0</v>
      </c>
      <c r="J482" s="59"/>
      <c r="K482" s="59"/>
      <c r="L482" s="59"/>
      <c r="M482" s="59"/>
      <c r="N482" s="59"/>
      <c r="O482" s="59"/>
      <c r="P482" s="59"/>
      <c r="Q482" s="59"/>
    </row>
    <row r="483" spans="2:17" outlineLevel="1" x14ac:dyDescent="0.2">
      <c r="B483" s="59"/>
      <c r="C483" s="59"/>
      <c r="D483" s="59"/>
      <c r="E483" s="59"/>
      <c r="F483" s="59"/>
      <c r="G483" s="59"/>
      <c r="H483" s="541"/>
      <c r="I483" s="617">
        <f t="shared" si="7"/>
        <v>0</v>
      </c>
      <c r="J483" s="59"/>
      <c r="K483" s="59"/>
      <c r="L483" s="59"/>
      <c r="M483" s="59"/>
      <c r="N483" s="59"/>
      <c r="O483" s="59"/>
      <c r="P483" s="59"/>
      <c r="Q483" s="59"/>
    </row>
    <row r="484" spans="2:17" outlineLevel="1" x14ac:dyDescent="0.2">
      <c r="B484" s="59"/>
      <c r="C484" s="59"/>
      <c r="D484" s="59"/>
      <c r="E484" s="59"/>
      <c r="F484" s="59"/>
      <c r="G484" s="59"/>
      <c r="H484" s="541"/>
      <c r="I484" s="617">
        <f t="shared" si="7"/>
        <v>0</v>
      </c>
      <c r="J484" s="59"/>
      <c r="K484" s="59"/>
      <c r="L484" s="59"/>
      <c r="M484" s="59"/>
      <c r="N484" s="59"/>
      <c r="O484" s="59"/>
      <c r="P484" s="59"/>
      <c r="Q484" s="59"/>
    </row>
    <row r="485" spans="2:17" outlineLevel="1" x14ac:dyDescent="0.2">
      <c r="B485" s="59"/>
      <c r="C485" s="59"/>
      <c r="D485" s="59"/>
      <c r="E485" s="59"/>
      <c r="F485" s="59"/>
      <c r="G485" s="59"/>
      <c r="H485" s="541"/>
      <c r="I485" s="617">
        <f t="shared" si="7"/>
        <v>0</v>
      </c>
      <c r="J485" s="59"/>
      <c r="K485" s="59"/>
      <c r="L485" s="59"/>
      <c r="M485" s="59"/>
      <c r="N485" s="59"/>
      <c r="O485" s="59"/>
      <c r="P485" s="59"/>
      <c r="Q485" s="59"/>
    </row>
    <row r="486" spans="2:17" outlineLevel="1" x14ac:dyDescent="0.2">
      <c r="B486" s="59"/>
      <c r="C486" s="59"/>
      <c r="D486" s="59"/>
      <c r="E486" s="59"/>
      <c r="F486" s="59"/>
      <c r="G486" s="59"/>
      <c r="H486" s="541"/>
      <c r="I486" s="617">
        <f t="shared" si="7"/>
        <v>0</v>
      </c>
      <c r="J486" s="59"/>
      <c r="K486" s="59"/>
      <c r="L486" s="59"/>
      <c r="M486" s="59"/>
      <c r="N486" s="59"/>
      <c r="O486" s="59"/>
      <c r="P486" s="59"/>
      <c r="Q486" s="59"/>
    </row>
    <row r="487" spans="2:17" outlineLevel="1" x14ac:dyDescent="0.2">
      <c r="B487" s="59"/>
      <c r="C487" s="59"/>
      <c r="D487" s="59"/>
      <c r="E487" s="59"/>
      <c r="F487" s="59"/>
      <c r="G487" s="59"/>
      <c r="H487" s="541"/>
      <c r="I487" s="617">
        <f t="shared" si="7"/>
        <v>0</v>
      </c>
      <c r="J487" s="59"/>
      <c r="K487" s="59"/>
      <c r="L487" s="59"/>
      <c r="M487" s="59"/>
      <c r="N487" s="59"/>
      <c r="O487" s="59"/>
      <c r="P487" s="59"/>
      <c r="Q487" s="59"/>
    </row>
    <row r="488" spans="2:17" outlineLevel="1" x14ac:dyDescent="0.2">
      <c r="B488" s="59"/>
      <c r="C488" s="59"/>
      <c r="D488" s="59"/>
      <c r="E488" s="59"/>
      <c r="F488" s="59"/>
      <c r="G488" s="59"/>
      <c r="H488" s="541"/>
      <c r="I488" s="617">
        <f t="shared" si="7"/>
        <v>0</v>
      </c>
      <c r="J488" s="59"/>
      <c r="K488" s="59"/>
      <c r="L488" s="59"/>
      <c r="M488" s="59"/>
      <c r="N488" s="59"/>
      <c r="O488" s="59"/>
      <c r="P488" s="59"/>
      <c r="Q488" s="59"/>
    </row>
    <row r="489" spans="2:17" outlineLevel="1" x14ac:dyDescent="0.2">
      <c r="B489" s="59"/>
      <c r="C489" s="59"/>
      <c r="D489" s="59"/>
      <c r="E489" s="59"/>
      <c r="F489" s="59"/>
      <c r="G489" s="59"/>
      <c r="H489" s="541"/>
      <c r="I489" s="617">
        <f t="shared" si="7"/>
        <v>0</v>
      </c>
      <c r="J489" s="59"/>
      <c r="K489" s="59"/>
      <c r="L489" s="59"/>
      <c r="M489" s="59"/>
      <c r="N489" s="59"/>
      <c r="O489" s="59"/>
      <c r="P489" s="59"/>
      <c r="Q489" s="59"/>
    </row>
    <row r="490" spans="2:17" outlineLevel="1" x14ac:dyDescent="0.2">
      <c r="B490" s="59"/>
      <c r="C490" s="59"/>
      <c r="D490" s="59"/>
      <c r="E490" s="59"/>
      <c r="F490" s="59"/>
      <c r="G490" s="59"/>
      <c r="H490" s="541"/>
      <c r="I490" s="617">
        <f t="shared" si="7"/>
        <v>0</v>
      </c>
      <c r="J490" s="59"/>
      <c r="K490" s="59"/>
      <c r="L490" s="59"/>
      <c r="M490" s="59"/>
      <c r="N490" s="59"/>
      <c r="O490" s="59"/>
      <c r="P490" s="59"/>
      <c r="Q490" s="59"/>
    </row>
    <row r="491" spans="2:17" outlineLevel="1" x14ac:dyDescent="0.2">
      <c r="B491" s="59"/>
      <c r="C491" s="59"/>
      <c r="D491" s="59"/>
      <c r="E491" s="59"/>
      <c r="F491" s="59"/>
      <c r="G491" s="59"/>
      <c r="H491" s="541"/>
      <c r="I491" s="617">
        <f t="shared" si="7"/>
        <v>0</v>
      </c>
      <c r="J491" s="59"/>
      <c r="K491" s="59"/>
      <c r="L491" s="59"/>
      <c r="M491" s="59"/>
      <c r="N491" s="59"/>
      <c r="O491" s="59"/>
      <c r="P491" s="59"/>
      <c r="Q491" s="59"/>
    </row>
    <row r="492" spans="2:17" outlineLevel="1" x14ac:dyDescent="0.2">
      <c r="B492" s="59"/>
      <c r="C492" s="59"/>
      <c r="D492" s="59"/>
      <c r="E492" s="59"/>
      <c r="F492" s="59"/>
      <c r="G492" s="59"/>
      <c r="H492" s="541"/>
      <c r="I492" s="617">
        <f t="shared" si="7"/>
        <v>0</v>
      </c>
      <c r="J492" s="59"/>
      <c r="K492" s="59"/>
      <c r="L492" s="59"/>
      <c r="M492" s="59"/>
      <c r="N492" s="59"/>
      <c r="O492" s="59"/>
      <c r="P492" s="59"/>
      <c r="Q492" s="59"/>
    </row>
    <row r="493" spans="2:17" outlineLevel="1" x14ac:dyDescent="0.2">
      <c r="B493" s="59"/>
      <c r="C493" s="59"/>
      <c r="D493" s="59"/>
      <c r="E493" s="59"/>
      <c r="F493" s="59"/>
      <c r="G493" s="59"/>
      <c r="H493" s="541"/>
      <c r="I493" s="617">
        <f t="shared" si="7"/>
        <v>0</v>
      </c>
      <c r="J493" s="59"/>
      <c r="K493" s="59"/>
      <c r="L493" s="59"/>
      <c r="M493" s="59"/>
      <c r="N493" s="59"/>
      <c r="O493" s="59"/>
      <c r="P493" s="59"/>
      <c r="Q493" s="59"/>
    </row>
    <row r="494" spans="2:17" outlineLevel="1" x14ac:dyDescent="0.2">
      <c r="B494" s="59"/>
      <c r="C494" s="59"/>
      <c r="D494" s="59"/>
      <c r="E494" s="59"/>
      <c r="F494" s="59"/>
      <c r="G494" s="59"/>
      <c r="H494" s="541"/>
      <c r="I494" s="617">
        <f t="shared" si="7"/>
        <v>0</v>
      </c>
      <c r="J494" s="59"/>
      <c r="K494" s="59"/>
      <c r="L494" s="59"/>
      <c r="M494" s="59"/>
      <c r="N494" s="59"/>
      <c r="O494" s="59"/>
      <c r="P494" s="59"/>
      <c r="Q494" s="59"/>
    </row>
    <row r="495" spans="2:17" outlineLevel="1" x14ac:dyDescent="0.2">
      <c r="B495" s="59"/>
      <c r="C495" s="59"/>
      <c r="D495" s="59"/>
      <c r="E495" s="59"/>
      <c r="F495" s="59"/>
      <c r="G495" s="59"/>
      <c r="H495" s="541"/>
      <c r="I495" s="617">
        <f t="shared" si="7"/>
        <v>0</v>
      </c>
      <c r="J495" s="59"/>
      <c r="K495" s="59"/>
      <c r="L495" s="59"/>
      <c r="M495" s="59"/>
      <c r="N495" s="59"/>
      <c r="O495" s="59"/>
      <c r="P495" s="59"/>
      <c r="Q495" s="59"/>
    </row>
    <row r="496" spans="2:17" outlineLevel="1" x14ac:dyDescent="0.2">
      <c r="B496" s="59"/>
      <c r="C496" s="59"/>
      <c r="D496" s="59"/>
      <c r="E496" s="59"/>
      <c r="F496" s="59"/>
      <c r="G496" s="59"/>
      <c r="H496" s="541"/>
      <c r="I496" s="617">
        <f t="shared" si="7"/>
        <v>0</v>
      </c>
      <c r="J496" s="59"/>
      <c r="K496" s="59"/>
      <c r="L496" s="59"/>
      <c r="M496" s="59"/>
      <c r="N496" s="59"/>
      <c r="O496" s="59"/>
      <c r="P496" s="59"/>
      <c r="Q496" s="59"/>
    </row>
    <row r="497" spans="2:17" outlineLevel="1" x14ac:dyDescent="0.2">
      <c r="B497" s="59"/>
      <c r="C497" s="59"/>
      <c r="D497" s="59"/>
      <c r="E497" s="59"/>
      <c r="F497" s="59"/>
      <c r="G497" s="59"/>
      <c r="H497" s="541"/>
      <c r="I497" s="617">
        <f t="shared" si="7"/>
        <v>0</v>
      </c>
      <c r="J497" s="59"/>
      <c r="K497" s="59"/>
      <c r="L497" s="59"/>
      <c r="M497" s="59"/>
      <c r="N497" s="59"/>
      <c r="O497" s="59"/>
      <c r="P497" s="59"/>
      <c r="Q497" s="59"/>
    </row>
    <row r="498" spans="2:17" outlineLevel="1" x14ac:dyDescent="0.2">
      <c r="B498" s="59"/>
      <c r="C498" s="59"/>
      <c r="D498" s="59"/>
      <c r="E498" s="59"/>
      <c r="F498" s="59"/>
      <c r="G498" s="59"/>
      <c r="H498" s="541"/>
      <c r="I498" s="617">
        <f t="shared" si="7"/>
        <v>0</v>
      </c>
      <c r="J498" s="59"/>
      <c r="K498" s="59"/>
      <c r="L498" s="59"/>
      <c r="M498" s="59"/>
      <c r="N498" s="59"/>
      <c r="O498" s="59"/>
      <c r="P498" s="59"/>
      <c r="Q498" s="59"/>
    </row>
    <row r="499" spans="2:17" outlineLevel="1" x14ac:dyDescent="0.2">
      <c r="B499" s="59"/>
      <c r="C499" s="59"/>
      <c r="D499" s="59"/>
      <c r="E499" s="59"/>
      <c r="F499" s="59"/>
      <c r="G499" s="59"/>
      <c r="H499" s="541"/>
      <c r="I499" s="617">
        <f t="shared" si="7"/>
        <v>0</v>
      </c>
      <c r="J499" s="59"/>
      <c r="K499" s="59"/>
      <c r="L499" s="59"/>
      <c r="M499" s="59"/>
      <c r="N499" s="59"/>
      <c r="O499" s="59"/>
      <c r="P499" s="59"/>
      <c r="Q499" s="59"/>
    </row>
    <row r="500" spans="2:17" outlineLevel="1" x14ac:dyDescent="0.2">
      <c r="B500" s="59"/>
      <c r="C500" s="59"/>
      <c r="D500" s="59"/>
      <c r="E500" s="59"/>
      <c r="F500" s="59"/>
      <c r="G500" s="59"/>
      <c r="H500" s="541"/>
      <c r="I500" s="617">
        <f t="shared" si="7"/>
        <v>0</v>
      </c>
      <c r="J500" s="59"/>
      <c r="K500" s="59"/>
      <c r="L500" s="59"/>
      <c r="M500" s="59"/>
      <c r="N500" s="59"/>
      <c r="O500" s="59"/>
      <c r="P500" s="59"/>
      <c r="Q500" s="59"/>
    </row>
    <row r="501" spans="2:17" outlineLevel="1" x14ac:dyDescent="0.2">
      <c r="B501" s="59"/>
      <c r="C501" s="59"/>
      <c r="D501" s="59"/>
      <c r="E501" s="59"/>
      <c r="F501" s="59"/>
      <c r="G501" s="59"/>
      <c r="H501" s="541"/>
      <c r="I501" s="617">
        <f t="shared" si="7"/>
        <v>0</v>
      </c>
      <c r="J501" s="59"/>
      <c r="K501" s="59"/>
      <c r="L501" s="59"/>
      <c r="M501" s="59"/>
      <c r="N501" s="59"/>
      <c r="O501" s="59"/>
      <c r="P501" s="59"/>
      <c r="Q501" s="59"/>
    </row>
    <row r="502" spans="2:17" outlineLevel="1" x14ac:dyDescent="0.2">
      <c r="B502" s="59"/>
      <c r="C502" s="59"/>
      <c r="D502" s="59"/>
      <c r="E502" s="59"/>
      <c r="F502" s="59"/>
      <c r="G502" s="59"/>
      <c r="H502" s="541"/>
      <c r="I502" s="617">
        <f t="shared" si="7"/>
        <v>0</v>
      </c>
      <c r="J502" s="59"/>
      <c r="K502" s="59"/>
      <c r="L502" s="59"/>
      <c r="M502" s="59"/>
      <c r="N502" s="59"/>
      <c r="O502" s="59"/>
      <c r="P502" s="59"/>
      <c r="Q502" s="59"/>
    </row>
    <row r="503" spans="2:17" outlineLevel="1" x14ac:dyDescent="0.2">
      <c r="B503" s="59"/>
      <c r="C503" s="59"/>
      <c r="D503" s="59"/>
      <c r="E503" s="59"/>
      <c r="F503" s="59"/>
      <c r="G503" s="59"/>
      <c r="H503" s="541"/>
      <c r="I503" s="617">
        <f t="shared" si="7"/>
        <v>0</v>
      </c>
      <c r="J503" s="59"/>
      <c r="K503" s="59"/>
      <c r="L503" s="59"/>
      <c r="M503" s="59"/>
      <c r="N503" s="59"/>
      <c r="O503" s="59"/>
      <c r="P503" s="59"/>
      <c r="Q503" s="59"/>
    </row>
    <row r="504" spans="2:17" outlineLevel="1" x14ac:dyDescent="0.2">
      <c r="B504" s="59"/>
      <c r="C504" s="59"/>
      <c r="D504" s="59"/>
      <c r="E504" s="59"/>
      <c r="F504" s="59"/>
      <c r="G504" s="59"/>
      <c r="H504" s="541"/>
      <c r="I504" s="617">
        <f t="shared" si="7"/>
        <v>0</v>
      </c>
      <c r="J504" s="59"/>
      <c r="K504" s="59"/>
      <c r="L504" s="59"/>
      <c r="M504" s="59"/>
      <c r="N504" s="59"/>
      <c r="O504" s="59"/>
      <c r="P504" s="59"/>
      <c r="Q504" s="59"/>
    </row>
    <row r="505" spans="2:17" outlineLevel="1" x14ac:dyDescent="0.2">
      <c r="B505" s="59"/>
      <c r="C505" s="59"/>
      <c r="D505" s="59"/>
      <c r="E505" s="59"/>
      <c r="F505" s="59"/>
      <c r="G505" s="59"/>
      <c r="H505" s="541"/>
      <c r="I505" s="617">
        <f t="shared" si="7"/>
        <v>0</v>
      </c>
      <c r="J505" s="59"/>
      <c r="K505" s="59"/>
      <c r="L505" s="59"/>
      <c r="M505" s="59"/>
      <c r="N505" s="59"/>
      <c r="O505" s="59"/>
      <c r="P505" s="59"/>
      <c r="Q505" s="59"/>
    </row>
    <row r="506" spans="2:17" outlineLevel="1" x14ac:dyDescent="0.2">
      <c r="B506" s="59"/>
      <c r="C506" s="59"/>
      <c r="D506" s="59"/>
      <c r="E506" s="59"/>
      <c r="F506" s="59"/>
      <c r="G506" s="59"/>
      <c r="H506" s="541"/>
      <c r="I506" s="617">
        <f t="shared" si="7"/>
        <v>0</v>
      </c>
      <c r="J506" s="59"/>
      <c r="K506" s="59"/>
      <c r="L506" s="59"/>
      <c r="M506" s="59"/>
      <c r="N506" s="59"/>
      <c r="O506" s="59"/>
      <c r="P506" s="59"/>
      <c r="Q506" s="59"/>
    </row>
    <row r="507" spans="2:17" outlineLevel="1" x14ac:dyDescent="0.2">
      <c r="B507" s="59"/>
      <c r="C507" s="59"/>
      <c r="D507" s="59"/>
      <c r="E507" s="59"/>
      <c r="F507" s="59"/>
      <c r="G507" s="59"/>
      <c r="H507" s="541"/>
      <c r="I507" s="617">
        <f t="shared" si="7"/>
        <v>0</v>
      </c>
      <c r="J507" s="59"/>
      <c r="K507" s="59"/>
      <c r="L507" s="59"/>
      <c r="M507" s="59"/>
      <c r="N507" s="59"/>
      <c r="O507" s="59"/>
      <c r="P507" s="59"/>
      <c r="Q507" s="59"/>
    </row>
    <row r="508" spans="2:17" outlineLevel="1" x14ac:dyDescent="0.2">
      <c r="B508" s="59"/>
      <c r="C508" s="59"/>
      <c r="D508" s="59"/>
      <c r="E508" s="59"/>
      <c r="F508" s="59"/>
      <c r="G508" s="59"/>
      <c r="H508" s="541"/>
      <c r="I508" s="617">
        <f t="shared" si="7"/>
        <v>0</v>
      </c>
      <c r="J508" s="59"/>
      <c r="K508" s="59"/>
      <c r="L508" s="59"/>
      <c r="M508" s="59"/>
      <c r="N508" s="59"/>
      <c r="O508" s="59"/>
      <c r="P508" s="59"/>
      <c r="Q508" s="59"/>
    </row>
    <row r="509" spans="2:17" outlineLevel="1" x14ac:dyDescent="0.2">
      <c r="B509" s="59"/>
      <c r="C509" s="59"/>
      <c r="D509" s="59"/>
      <c r="E509" s="59"/>
      <c r="F509" s="59"/>
      <c r="G509" s="59"/>
      <c r="H509" s="541"/>
      <c r="I509" s="617">
        <f t="shared" si="7"/>
        <v>0</v>
      </c>
      <c r="J509" s="59"/>
      <c r="K509" s="59"/>
      <c r="L509" s="59"/>
      <c r="M509" s="59"/>
      <c r="N509" s="59"/>
      <c r="O509" s="59"/>
      <c r="P509" s="59"/>
      <c r="Q509" s="59"/>
    </row>
    <row r="510" spans="2:17" outlineLevel="1" x14ac:dyDescent="0.2">
      <c r="B510" s="59"/>
      <c r="C510" s="59"/>
      <c r="D510" s="59"/>
      <c r="E510" s="59"/>
      <c r="F510" s="59"/>
      <c r="G510" s="59"/>
      <c r="H510" s="541"/>
      <c r="I510" s="617">
        <f t="shared" si="7"/>
        <v>0</v>
      </c>
      <c r="J510" s="59"/>
      <c r="K510" s="59"/>
      <c r="L510" s="59"/>
      <c r="M510" s="59"/>
      <c r="N510" s="59"/>
      <c r="O510" s="59"/>
      <c r="P510" s="59"/>
      <c r="Q510" s="59"/>
    </row>
    <row r="511" spans="2:17" outlineLevel="1" x14ac:dyDescent="0.2">
      <c r="B511" s="59"/>
      <c r="C511" s="59"/>
      <c r="D511" s="59"/>
      <c r="E511" s="59"/>
      <c r="F511" s="59"/>
      <c r="G511" s="59"/>
      <c r="H511" s="541"/>
      <c r="I511" s="617">
        <f t="shared" si="7"/>
        <v>0</v>
      </c>
      <c r="J511" s="59"/>
      <c r="K511" s="59"/>
      <c r="L511" s="59"/>
      <c r="M511" s="59"/>
      <c r="N511" s="59"/>
      <c r="O511" s="59"/>
      <c r="P511" s="59"/>
      <c r="Q511" s="59"/>
    </row>
    <row r="512" spans="2:17" outlineLevel="1" x14ac:dyDescent="0.2">
      <c r="B512" s="59"/>
      <c r="C512" s="59"/>
      <c r="D512" s="59"/>
      <c r="E512" s="59"/>
      <c r="F512" s="59"/>
      <c r="G512" s="59"/>
      <c r="H512" s="541"/>
      <c r="I512" s="617">
        <f t="shared" si="7"/>
        <v>0</v>
      </c>
      <c r="J512" s="59"/>
      <c r="K512" s="59"/>
      <c r="L512" s="59"/>
      <c r="M512" s="59"/>
      <c r="N512" s="59"/>
      <c r="O512" s="59"/>
      <c r="P512" s="59"/>
      <c r="Q512" s="59"/>
    </row>
    <row r="513" spans="2:17" outlineLevel="1" x14ac:dyDescent="0.2">
      <c r="B513" s="59"/>
      <c r="C513" s="59"/>
      <c r="D513" s="59"/>
      <c r="E513" s="59"/>
      <c r="F513" s="59"/>
      <c r="G513" s="59"/>
      <c r="H513" s="541"/>
      <c r="I513" s="617">
        <f t="shared" si="7"/>
        <v>0</v>
      </c>
      <c r="J513" s="59"/>
      <c r="K513" s="59"/>
      <c r="L513" s="59"/>
      <c r="M513" s="59"/>
      <c r="N513" s="59"/>
      <c r="O513" s="59"/>
      <c r="P513" s="59"/>
      <c r="Q513" s="59"/>
    </row>
    <row r="514" spans="2:17" outlineLevel="1" x14ac:dyDescent="0.2">
      <c r="B514" s="59"/>
      <c r="C514" s="59"/>
      <c r="D514" s="59"/>
      <c r="E514" s="59"/>
      <c r="F514" s="59"/>
      <c r="G514" s="59"/>
      <c r="H514" s="541"/>
      <c r="I514" s="617">
        <f t="shared" si="7"/>
        <v>0</v>
      </c>
      <c r="J514" s="59"/>
      <c r="K514" s="59"/>
      <c r="L514" s="59"/>
      <c r="M514" s="59"/>
      <c r="N514" s="59"/>
      <c r="O514" s="59"/>
      <c r="P514" s="59"/>
      <c r="Q514" s="59"/>
    </row>
    <row r="515" spans="2:17" outlineLevel="1" x14ac:dyDescent="0.2">
      <c r="B515" s="59"/>
      <c r="C515" s="59"/>
      <c r="D515" s="59"/>
      <c r="E515" s="59"/>
      <c r="F515" s="59"/>
      <c r="G515" s="59"/>
      <c r="H515" s="541"/>
      <c r="I515" s="617">
        <f t="shared" si="7"/>
        <v>0</v>
      </c>
      <c r="J515" s="59"/>
      <c r="K515" s="59"/>
      <c r="L515" s="59"/>
      <c r="M515" s="59"/>
      <c r="N515" s="59"/>
      <c r="O515" s="59"/>
      <c r="P515" s="59"/>
      <c r="Q515" s="59"/>
    </row>
    <row r="516" spans="2:17" outlineLevel="1" x14ac:dyDescent="0.2">
      <c r="B516" s="59"/>
      <c r="C516" s="59"/>
      <c r="D516" s="59"/>
      <c r="E516" s="59"/>
      <c r="F516" s="59"/>
      <c r="G516" s="59"/>
      <c r="H516" s="541"/>
      <c r="I516" s="617">
        <f t="shared" si="7"/>
        <v>0</v>
      </c>
      <c r="J516" s="59"/>
      <c r="K516" s="59"/>
      <c r="L516" s="59"/>
      <c r="M516" s="59"/>
      <c r="N516" s="59"/>
      <c r="O516" s="59"/>
      <c r="P516" s="59"/>
      <c r="Q516" s="59"/>
    </row>
    <row r="517" spans="2:17" outlineLevel="1" x14ac:dyDescent="0.2">
      <c r="B517" s="59"/>
      <c r="C517" s="59"/>
      <c r="D517" s="59"/>
      <c r="E517" s="59"/>
      <c r="F517" s="59"/>
      <c r="G517" s="59"/>
      <c r="H517" s="541"/>
      <c r="I517" s="617">
        <f t="shared" ref="I517:I580" si="8">G517*H517</f>
        <v>0</v>
      </c>
      <c r="J517" s="59"/>
      <c r="K517" s="59"/>
      <c r="L517" s="59"/>
      <c r="M517" s="59"/>
      <c r="N517" s="59"/>
      <c r="O517" s="59"/>
      <c r="P517" s="59"/>
      <c r="Q517" s="59"/>
    </row>
    <row r="518" spans="2:17" outlineLevel="1" x14ac:dyDescent="0.2">
      <c r="B518" s="59"/>
      <c r="C518" s="59"/>
      <c r="D518" s="59"/>
      <c r="E518" s="59"/>
      <c r="F518" s="59"/>
      <c r="G518" s="59"/>
      <c r="H518" s="541"/>
      <c r="I518" s="617">
        <f t="shared" si="8"/>
        <v>0</v>
      </c>
      <c r="J518" s="59"/>
      <c r="K518" s="59"/>
      <c r="L518" s="59"/>
      <c r="M518" s="59"/>
      <c r="N518" s="59"/>
      <c r="O518" s="59"/>
      <c r="P518" s="59"/>
      <c r="Q518" s="59"/>
    </row>
    <row r="519" spans="2:17" outlineLevel="1" x14ac:dyDescent="0.2">
      <c r="B519" s="59"/>
      <c r="C519" s="59"/>
      <c r="D519" s="59"/>
      <c r="E519" s="59"/>
      <c r="F519" s="59"/>
      <c r="G519" s="59"/>
      <c r="H519" s="541"/>
      <c r="I519" s="617">
        <f t="shared" si="8"/>
        <v>0</v>
      </c>
      <c r="J519" s="59"/>
      <c r="K519" s="59"/>
      <c r="L519" s="59"/>
      <c r="M519" s="59"/>
      <c r="N519" s="59"/>
      <c r="O519" s="59"/>
      <c r="P519" s="59"/>
      <c r="Q519" s="59"/>
    </row>
    <row r="520" spans="2:17" outlineLevel="1" x14ac:dyDescent="0.2">
      <c r="B520" s="59"/>
      <c r="C520" s="59"/>
      <c r="D520" s="59"/>
      <c r="E520" s="59"/>
      <c r="F520" s="59"/>
      <c r="G520" s="59"/>
      <c r="H520" s="541"/>
      <c r="I520" s="617">
        <f t="shared" si="8"/>
        <v>0</v>
      </c>
      <c r="J520" s="59"/>
      <c r="K520" s="59"/>
      <c r="L520" s="59"/>
      <c r="M520" s="59"/>
      <c r="N520" s="59"/>
      <c r="O520" s="59"/>
      <c r="P520" s="59"/>
      <c r="Q520" s="59"/>
    </row>
    <row r="521" spans="2:17" outlineLevel="1" x14ac:dyDescent="0.2">
      <c r="B521" s="59"/>
      <c r="C521" s="59"/>
      <c r="D521" s="59"/>
      <c r="E521" s="59"/>
      <c r="F521" s="59"/>
      <c r="G521" s="59"/>
      <c r="H521" s="541"/>
      <c r="I521" s="617">
        <f t="shared" si="8"/>
        <v>0</v>
      </c>
      <c r="J521" s="59"/>
      <c r="K521" s="59"/>
      <c r="L521" s="59"/>
      <c r="M521" s="59"/>
      <c r="N521" s="59"/>
      <c r="O521" s="59"/>
      <c r="P521" s="59"/>
      <c r="Q521" s="59"/>
    </row>
    <row r="522" spans="2:17" outlineLevel="1" x14ac:dyDescent="0.2">
      <c r="B522" s="59"/>
      <c r="C522" s="59"/>
      <c r="D522" s="59"/>
      <c r="E522" s="59"/>
      <c r="F522" s="59"/>
      <c r="G522" s="59"/>
      <c r="H522" s="541"/>
      <c r="I522" s="617">
        <f t="shared" si="8"/>
        <v>0</v>
      </c>
      <c r="J522" s="59"/>
      <c r="K522" s="59"/>
      <c r="L522" s="59"/>
      <c r="M522" s="59"/>
      <c r="N522" s="59"/>
      <c r="O522" s="59"/>
      <c r="P522" s="59"/>
      <c r="Q522" s="59"/>
    </row>
    <row r="523" spans="2:17" outlineLevel="1" x14ac:dyDescent="0.2">
      <c r="B523" s="59"/>
      <c r="C523" s="59"/>
      <c r="D523" s="59"/>
      <c r="E523" s="59"/>
      <c r="F523" s="59"/>
      <c r="G523" s="59"/>
      <c r="H523" s="541"/>
      <c r="I523" s="617">
        <f t="shared" si="8"/>
        <v>0</v>
      </c>
      <c r="J523" s="59"/>
      <c r="K523" s="59"/>
      <c r="L523" s="59"/>
      <c r="M523" s="59"/>
      <c r="N523" s="59"/>
      <c r="O523" s="59"/>
      <c r="P523" s="59"/>
      <c r="Q523" s="59"/>
    </row>
    <row r="524" spans="2:17" outlineLevel="1" x14ac:dyDescent="0.2">
      <c r="B524" s="59"/>
      <c r="C524" s="59"/>
      <c r="D524" s="59"/>
      <c r="E524" s="59"/>
      <c r="F524" s="59"/>
      <c r="G524" s="59"/>
      <c r="H524" s="541"/>
      <c r="I524" s="617">
        <f t="shared" si="8"/>
        <v>0</v>
      </c>
      <c r="J524" s="59"/>
      <c r="K524" s="59"/>
      <c r="L524" s="59"/>
      <c r="M524" s="59"/>
      <c r="N524" s="59"/>
      <c r="O524" s="59"/>
      <c r="P524" s="59"/>
      <c r="Q524" s="59"/>
    </row>
    <row r="525" spans="2:17" outlineLevel="1" x14ac:dyDescent="0.2">
      <c r="B525" s="59"/>
      <c r="C525" s="59"/>
      <c r="D525" s="59"/>
      <c r="E525" s="59"/>
      <c r="F525" s="59"/>
      <c r="G525" s="59"/>
      <c r="H525" s="541"/>
      <c r="I525" s="617">
        <f t="shared" si="8"/>
        <v>0</v>
      </c>
      <c r="J525" s="59"/>
      <c r="K525" s="59"/>
      <c r="L525" s="59"/>
      <c r="M525" s="59"/>
      <c r="N525" s="59"/>
      <c r="O525" s="59"/>
      <c r="P525" s="59"/>
      <c r="Q525" s="59"/>
    </row>
    <row r="526" spans="2:17" outlineLevel="1" x14ac:dyDescent="0.2">
      <c r="B526" s="59"/>
      <c r="C526" s="59"/>
      <c r="D526" s="59"/>
      <c r="E526" s="59"/>
      <c r="F526" s="59"/>
      <c r="G526" s="59"/>
      <c r="H526" s="541"/>
      <c r="I526" s="617">
        <f t="shared" si="8"/>
        <v>0</v>
      </c>
      <c r="J526" s="59"/>
      <c r="K526" s="59"/>
      <c r="L526" s="59"/>
      <c r="M526" s="59"/>
      <c r="N526" s="59"/>
      <c r="O526" s="59"/>
      <c r="P526" s="59"/>
      <c r="Q526" s="59"/>
    </row>
    <row r="527" spans="2:17" outlineLevel="1" x14ac:dyDescent="0.2">
      <c r="B527" s="59"/>
      <c r="C527" s="59"/>
      <c r="D527" s="59"/>
      <c r="E527" s="59"/>
      <c r="F527" s="59"/>
      <c r="G527" s="59"/>
      <c r="H527" s="541"/>
      <c r="I527" s="617">
        <f t="shared" si="8"/>
        <v>0</v>
      </c>
      <c r="J527" s="59"/>
      <c r="K527" s="59"/>
      <c r="L527" s="59"/>
      <c r="M527" s="59"/>
      <c r="N527" s="59"/>
      <c r="O527" s="59"/>
      <c r="P527" s="59"/>
      <c r="Q527" s="59"/>
    </row>
    <row r="528" spans="2:17" outlineLevel="1" x14ac:dyDescent="0.2">
      <c r="B528" s="59"/>
      <c r="C528" s="59"/>
      <c r="D528" s="59"/>
      <c r="E528" s="59"/>
      <c r="F528" s="59"/>
      <c r="G528" s="59"/>
      <c r="H528" s="541"/>
      <c r="I528" s="617">
        <f t="shared" si="8"/>
        <v>0</v>
      </c>
      <c r="J528" s="59"/>
      <c r="K528" s="59"/>
      <c r="L528" s="59"/>
      <c r="M528" s="59"/>
      <c r="N528" s="59"/>
      <c r="O528" s="59"/>
      <c r="P528" s="59"/>
      <c r="Q528" s="59"/>
    </row>
    <row r="529" spans="2:17" outlineLevel="1" x14ac:dyDescent="0.2">
      <c r="B529" s="59"/>
      <c r="C529" s="59"/>
      <c r="D529" s="59"/>
      <c r="E529" s="59"/>
      <c r="F529" s="59"/>
      <c r="G529" s="59"/>
      <c r="H529" s="541"/>
      <c r="I529" s="617">
        <f t="shared" si="8"/>
        <v>0</v>
      </c>
      <c r="J529" s="59"/>
      <c r="K529" s="59"/>
      <c r="L529" s="59"/>
      <c r="M529" s="59"/>
      <c r="N529" s="59"/>
      <c r="O529" s="59"/>
      <c r="P529" s="59"/>
      <c r="Q529" s="59"/>
    </row>
    <row r="530" spans="2:17" outlineLevel="1" x14ac:dyDescent="0.2">
      <c r="B530" s="59"/>
      <c r="C530" s="59"/>
      <c r="D530" s="59"/>
      <c r="E530" s="59"/>
      <c r="F530" s="59"/>
      <c r="G530" s="59"/>
      <c r="H530" s="541"/>
      <c r="I530" s="617">
        <f t="shared" si="8"/>
        <v>0</v>
      </c>
      <c r="J530" s="59"/>
      <c r="K530" s="59"/>
      <c r="L530" s="59"/>
      <c r="M530" s="59"/>
      <c r="N530" s="59"/>
      <c r="O530" s="59"/>
      <c r="P530" s="59"/>
      <c r="Q530" s="59"/>
    </row>
    <row r="531" spans="2:17" outlineLevel="1" x14ac:dyDescent="0.2">
      <c r="B531" s="59"/>
      <c r="C531" s="59"/>
      <c r="D531" s="59"/>
      <c r="E531" s="59"/>
      <c r="F531" s="59"/>
      <c r="G531" s="59"/>
      <c r="H531" s="541"/>
      <c r="I531" s="617">
        <f t="shared" si="8"/>
        <v>0</v>
      </c>
      <c r="J531" s="59"/>
      <c r="K531" s="59"/>
      <c r="L531" s="59"/>
      <c r="M531" s="59"/>
      <c r="N531" s="59"/>
      <c r="O531" s="59"/>
      <c r="P531" s="59"/>
      <c r="Q531" s="59"/>
    </row>
    <row r="532" spans="2:17" outlineLevel="1" x14ac:dyDescent="0.2">
      <c r="B532" s="59"/>
      <c r="C532" s="59"/>
      <c r="D532" s="59"/>
      <c r="E532" s="59"/>
      <c r="F532" s="59"/>
      <c r="G532" s="59"/>
      <c r="H532" s="541"/>
      <c r="I532" s="617">
        <f t="shared" si="8"/>
        <v>0</v>
      </c>
      <c r="J532" s="59"/>
      <c r="K532" s="59"/>
      <c r="L532" s="59"/>
      <c r="M532" s="59"/>
      <c r="N532" s="59"/>
      <c r="O532" s="59"/>
      <c r="P532" s="59"/>
      <c r="Q532" s="59"/>
    </row>
    <row r="533" spans="2:17" outlineLevel="1" x14ac:dyDescent="0.2">
      <c r="B533" s="59"/>
      <c r="C533" s="59"/>
      <c r="D533" s="59"/>
      <c r="E533" s="59"/>
      <c r="F533" s="59"/>
      <c r="G533" s="59"/>
      <c r="H533" s="541"/>
      <c r="I533" s="617">
        <f t="shared" si="8"/>
        <v>0</v>
      </c>
      <c r="J533" s="59"/>
      <c r="K533" s="59"/>
      <c r="L533" s="59"/>
      <c r="M533" s="59"/>
      <c r="N533" s="59"/>
      <c r="O533" s="59"/>
      <c r="P533" s="59"/>
      <c r="Q533" s="59"/>
    </row>
    <row r="534" spans="2:17" outlineLevel="1" x14ac:dyDescent="0.2">
      <c r="B534" s="59"/>
      <c r="C534" s="59"/>
      <c r="D534" s="59"/>
      <c r="E534" s="59"/>
      <c r="F534" s="59"/>
      <c r="G534" s="59"/>
      <c r="H534" s="541"/>
      <c r="I534" s="617">
        <f t="shared" si="8"/>
        <v>0</v>
      </c>
      <c r="J534" s="59"/>
      <c r="K534" s="59"/>
      <c r="L534" s="59"/>
      <c r="M534" s="59"/>
      <c r="N534" s="59"/>
      <c r="O534" s="59"/>
      <c r="P534" s="59"/>
      <c r="Q534" s="59"/>
    </row>
    <row r="535" spans="2:17" outlineLevel="1" x14ac:dyDescent="0.2">
      <c r="B535" s="59"/>
      <c r="C535" s="59"/>
      <c r="D535" s="59"/>
      <c r="E535" s="59"/>
      <c r="F535" s="59"/>
      <c r="G535" s="59"/>
      <c r="H535" s="541"/>
      <c r="I535" s="617">
        <f t="shared" si="8"/>
        <v>0</v>
      </c>
      <c r="J535" s="59"/>
      <c r="K535" s="59"/>
      <c r="L535" s="59"/>
      <c r="M535" s="59"/>
      <c r="N535" s="59"/>
      <c r="O535" s="59"/>
      <c r="P535" s="59"/>
      <c r="Q535" s="59"/>
    </row>
    <row r="536" spans="2:17" outlineLevel="1" x14ac:dyDescent="0.2">
      <c r="B536" s="59"/>
      <c r="C536" s="59"/>
      <c r="D536" s="59"/>
      <c r="E536" s="59"/>
      <c r="F536" s="59"/>
      <c r="G536" s="59"/>
      <c r="H536" s="541"/>
      <c r="I536" s="617">
        <f t="shared" si="8"/>
        <v>0</v>
      </c>
      <c r="J536" s="59"/>
      <c r="K536" s="59"/>
      <c r="L536" s="59"/>
      <c r="M536" s="59"/>
      <c r="N536" s="59"/>
      <c r="O536" s="59"/>
      <c r="P536" s="59"/>
      <c r="Q536" s="59"/>
    </row>
    <row r="537" spans="2:17" outlineLevel="1" x14ac:dyDescent="0.2">
      <c r="B537" s="59"/>
      <c r="C537" s="59"/>
      <c r="D537" s="59"/>
      <c r="E537" s="59"/>
      <c r="F537" s="59"/>
      <c r="G537" s="59"/>
      <c r="H537" s="541"/>
      <c r="I537" s="617">
        <f t="shared" si="8"/>
        <v>0</v>
      </c>
      <c r="J537" s="59"/>
      <c r="K537" s="59"/>
      <c r="L537" s="59"/>
      <c r="M537" s="59"/>
      <c r="N537" s="59"/>
      <c r="O537" s="59"/>
      <c r="P537" s="59"/>
      <c r="Q537" s="59"/>
    </row>
    <row r="538" spans="2:17" outlineLevel="1" x14ac:dyDescent="0.2">
      <c r="B538" s="59"/>
      <c r="C538" s="59"/>
      <c r="D538" s="59"/>
      <c r="E538" s="59"/>
      <c r="F538" s="59"/>
      <c r="G538" s="59"/>
      <c r="H538" s="541"/>
      <c r="I538" s="617">
        <f t="shared" si="8"/>
        <v>0</v>
      </c>
      <c r="J538" s="59"/>
      <c r="K538" s="59"/>
      <c r="L538" s="59"/>
      <c r="M538" s="59"/>
      <c r="N538" s="59"/>
      <c r="O538" s="59"/>
      <c r="P538" s="59"/>
      <c r="Q538" s="59"/>
    </row>
    <row r="539" spans="2:17" outlineLevel="1" x14ac:dyDescent="0.2">
      <c r="B539" s="59"/>
      <c r="C539" s="59"/>
      <c r="D539" s="59"/>
      <c r="E539" s="59"/>
      <c r="F539" s="59"/>
      <c r="G539" s="59"/>
      <c r="H539" s="541"/>
      <c r="I539" s="617">
        <f t="shared" si="8"/>
        <v>0</v>
      </c>
      <c r="J539" s="59"/>
      <c r="K539" s="59"/>
      <c r="L539" s="59"/>
      <c r="M539" s="59"/>
      <c r="N539" s="59"/>
      <c r="O539" s="59"/>
      <c r="P539" s="59"/>
      <c r="Q539" s="59"/>
    </row>
    <row r="540" spans="2:17" outlineLevel="1" x14ac:dyDescent="0.2">
      <c r="B540" s="59"/>
      <c r="C540" s="59"/>
      <c r="D540" s="59"/>
      <c r="E540" s="59"/>
      <c r="F540" s="59"/>
      <c r="G540" s="59"/>
      <c r="H540" s="541"/>
      <c r="I540" s="617">
        <f t="shared" si="8"/>
        <v>0</v>
      </c>
      <c r="J540" s="59"/>
      <c r="K540" s="59"/>
      <c r="L540" s="59"/>
      <c r="M540" s="59"/>
      <c r="N540" s="59"/>
      <c r="O540" s="59"/>
      <c r="P540" s="59"/>
      <c r="Q540" s="59"/>
    </row>
    <row r="541" spans="2:17" outlineLevel="1" x14ac:dyDescent="0.2">
      <c r="B541" s="59"/>
      <c r="C541" s="59"/>
      <c r="D541" s="59"/>
      <c r="E541" s="59"/>
      <c r="F541" s="59"/>
      <c r="G541" s="59"/>
      <c r="H541" s="541"/>
      <c r="I541" s="617">
        <f t="shared" si="8"/>
        <v>0</v>
      </c>
      <c r="J541" s="59"/>
      <c r="K541" s="59"/>
      <c r="L541" s="59"/>
      <c r="M541" s="59"/>
      <c r="N541" s="59"/>
      <c r="O541" s="59"/>
      <c r="P541" s="59"/>
      <c r="Q541" s="59"/>
    </row>
    <row r="542" spans="2:17" outlineLevel="1" x14ac:dyDescent="0.2">
      <c r="B542" s="59"/>
      <c r="C542" s="59"/>
      <c r="D542" s="59"/>
      <c r="E542" s="59"/>
      <c r="F542" s="59"/>
      <c r="G542" s="59"/>
      <c r="H542" s="541"/>
      <c r="I542" s="617">
        <f t="shared" si="8"/>
        <v>0</v>
      </c>
      <c r="J542" s="59"/>
      <c r="K542" s="59"/>
      <c r="L542" s="59"/>
      <c r="M542" s="59"/>
      <c r="N542" s="59"/>
      <c r="O542" s="59"/>
      <c r="P542" s="59"/>
      <c r="Q542" s="59"/>
    </row>
    <row r="543" spans="2:17" outlineLevel="1" x14ac:dyDescent="0.2">
      <c r="B543" s="59"/>
      <c r="C543" s="59"/>
      <c r="D543" s="59"/>
      <c r="E543" s="59"/>
      <c r="F543" s="59"/>
      <c r="G543" s="59"/>
      <c r="H543" s="541"/>
      <c r="I543" s="617">
        <f t="shared" si="8"/>
        <v>0</v>
      </c>
      <c r="J543" s="59"/>
      <c r="K543" s="59"/>
      <c r="L543" s="59"/>
      <c r="M543" s="59"/>
      <c r="N543" s="59"/>
      <c r="O543" s="59"/>
      <c r="P543" s="59"/>
      <c r="Q543" s="59"/>
    </row>
    <row r="544" spans="2:17" outlineLevel="1" x14ac:dyDescent="0.2">
      <c r="B544" s="59"/>
      <c r="C544" s="59"/>
      <c r="D544" s="59"/>
      <c r="E544" s="59"/>
      <c r="F544" s="59"/>
      <c r="G544" s="59"/>
      <c r="H544" s="541"/>
      <c r="I544" s="617">
        <f t="shared" si="8"/>
        <v>0</v>
      </c>
      <c r="J544" s="59"/>
      <c r="K544" s="59"/>
      <c r="L544" s="59"/>
      <c r="M544" s="59"/>
      <c r="N544" s="59"/>
      <c r="O544" s="59"/>
      <c r="P544" s="59"/>
      <c r="Q544" s="59"/>
    </row>
    <row r="545" spans="2:17" outlineLevel="1" x14ac:dyDescent="0.2">
      <c r="B545" s="59"/>
      <c r="C545" s="59"/>
      <c r="D545" s="59"/>
      <c r="E545" s="59"/>
      <c r="F545" s="59"/>
      <c r="G545" s="59"/>
      <c r="H545" s="541"/>
      <c r="I545" s="617">
        <f t="shared" si="8"/>
        <v>0</v>
      </c>
      <c r="J545" s="59"/>
      <c r="K545" s="59"/>
      <c r="L545" s="59"/>
      <c r="M545" s="59"/>
      <c r="N545" s="59"/>
      <c r="O545" s="59"/>
      <c r="P545" s="59"/>
      <c r="Q545" s="59"/>
    </row>
    <row r="546" spans="2:17" outlineLevel="1" x14ac:dyDescent="0.2">
      <c r="B546" s="59"/>
      <c r="C546" s="59"/>
      <c r="D546" s="59"/>
      <c r="E546" s="59"/>
      <c r="F546" s="59"/>
      <c r="G546" s="59"/>
      <c r="H546" s="541"/>
      <c r="I546" s="617">
        <f t="shared" si="8"/>
        <v>0</v>
      </c>
      <c r="J546" s="59"/>
      <c r="K546" s="59"/>
      <c r="L546" s="59"/>
      <c r="M546" s="59"/>
      <c r="N546" s="59"/>
      <c r="O546" s="59"/>
      <c r="P546" s="59"/>
      <c r="Q546" s="59"/>
    </row>
    <row r="547" spans="2:17" outlineLevel="1" x14ac:dyDescent="0.2">
      <c r="B547" s="59"/>
      <c r="C547" s="59"/>
      <c r="D547" s="59"/>
      <c r="E547" s="59"/>
      <c r="F547" s="59"/>
      <c r="G547" s="59"/>
      <c r="H547" s="541"/>
      <c r="I547" s="617">
        <f t="shared" si="8"/>
        <v>0</v>
      </c>
      <c r="J547" s="59"/>
      <c r="K547" s="59"/>
      <c r="L547" s="59"/>
      <c r="M547" s="59"/>
      <c r="N547" s="59"/>
      <c r="O547" s="59"/>
      <c r="P547" s="59"/>
      <c r="Q547" s="59"/>
    </row>
    <row r="548" spans="2:17" outlineLevel="1" x14ac:dyDescent="0.2">
      <c r="B548" s="59"/>
      <c r="C548" s="59"/>
      <c r="D548" s="59"/>
      <c r="E548" s="59"/>
      <c r="F548" s="59"/>
      <c r="G548" s="59"/>
      <c r="H548" s="541"/>
      <c r="I548" s="617">
        <f t="shared" si="8"/>
        <v>0</v>
      </c>
      <c r="J548" s="59"/>
      <c r="K548" s="59"/>
      <c r="L548" s="59"/>
      <c r="M548" s="59"/>
      <c r="N548" s="59"/>
      <c r="O548" s="59"/>
      <c r="P548" s="59"/>
      <c r="Q548" s="59"/>
    </row>
    <row r="549" spans="2:17" outlineLevel="1" x14ac:dyDescent="0.2">
      <c r="B549" s="59"/>
      <c r="C549" s="59"/>
      <c r="D549" s="59"/>
      <c r="E549" s="59"/>
      <c r="F549" s="59"/>
      <c r="G549" s="59"/>
      <c r="H549" s="541"/>
      <c r="I549" s="617">
        <f t="shared" si="8"/>
        <v>0</v>
      </c>
      <c r="J549" s="59"/>
      <c r="K549" s="59"/>
      <c r="L549" s="59"/>
      <c r="M549" s="59"/>
      <c r="N549" s="59"/>
      <c r="O549" s="59"/>
      <c r="P549" s="59"/>
      <c r="Q549" s="59"/>
    </row>
    <row r="550" spans="2:17" outlineLevel="1" x14ac:dyDescent="0.2">
      <c r="B550" s="59"/>
      <c r="C550" s="59"/>
      <c r="D550" s="59"/>
      <c r="E550" s="59"/>
      <c r="F550" s="59"/>
      <c r="G550" s="59"/>
      <c r="H550" s="541"/>
      <c r="I550" s="617">
        <f t="shared" si="8"/>
        <v>0</v>
      </c>
      <c r="J550" s="59"/>
      <c r="K550" s="59"/>
      <c r="L550" s="59"/>
      <c r="M550" s="59"/>
      <c r="N550" s="59"/>
      <c r="O550" s="59"/>
      <c r="P550" s="59"/>
      <c r="Q550" s="59"/>
    </row>
    <row r="551" spans="2:17" outlineLevel="1" x14ac:dyDescent="0.2">
      <c r="B551" s="59"/>
      <c r="C551" s="59"/>
      <c r="D551" s="59"/>
      <c r="E551" s="59"/>
      <c r="F551" s="59"/>
      <c r="G551" s="59"/>
      <c r="H551" s="541"/>
      <c r="I551" s="617">
        <f t="shared" si="8"/>
        <v>0</v>
      </c>
      <c r="J551" s="59"/>
      <c r="K551" s="59"/>
      <c r="L551" s="59"/>
      <c r="M551" s="59"/>
      <c r="N551" s="59"/>
      <c r="O551" s="59"/>
      <c r="P551" s="59"/>
      <c r="Q551" s="59"/>
    </row>
    <row r="552" spans="2:17" outlineLevel="1" x14ac:dyDescent="0.2">
      <c r="B552" s="59"/>
      <c r="C552" s="59"/>
      <c r="D552" s="59"/>
      <c r="E552" s="59"/>
      <c r="F552" s="59"/>
      <c r="G552" s="59"/>
      <c r="H552" s="541"/>
      <c r="I552" s="617">
        <f t="shared" si="8"/>
        <v>0</v>
      </c>
      <c r="J552" s="59"/>
      <c r="K552" s="59"/>
      <c r="L552" s="59"/>
      <c r="M552" s="59"/>
      <c r="N552" s="59"/>
      <c r="O552" s="59"/>
      <c r="P552" s="59"/>
      <c r="Q552" s="59"/>
    </row>
    <row r="553" spans="2:17" outlineLevel="1" x14ac:dyDescent="0.2">
      <c r="B553" s="59"/>
      <c r="C553" s="59"/>
      <c r="D553" s="59"/>
      <c r="E553" s="59"/>
      <c r="F553" s="59"/>
      <c r="G553" s="59"/>
      <c r="H553" s="541"/>
      <c r="I553" s="617">
        <f t="shared" si="8"/>
        <v>0</v>
      </c>
      <c r="J553" s="59"/>
      <c r="K553" s="59"/>
      <c r="L553" s="59"/>
      <c r="M553" s="59"/>
      <c r="N553" s="59"/>
      <c r="O553" s="59"/>
      <c r="P553" s="59"/>
      <c r="Q553" s="59"/>
    </row>
    <row r="554" spans="2:17" outlineLevel="1" x14ac:dyDescent="0.2">
      <c r="B554" s="59"/>
      <c r="C554" s="59"/>
      <c r="D554" s="59"/>
      <c r="E554" s="59"/>
      <c r="F554" s="59"/>
      <c r="G554" s="59"/>
      <c r="H554" s="541"/>
      <c r="I554" s="617">
        <f t="shared" si="8"/>
        <v>0</v>
      </c>
      <c r="J554" s="59"/>
      <c r="K554" s="59"/>
      <c r="L554" s="59"/>
      <c r="M554" s="59"/>
      <c r="N554" s="59"/>
      <c r="O554" s="59"/>
      <c r="P554" s="59"/>
      <c r="Q554" s="59"/>
    </row>
    <row r="555" spans="2:17" outlineLevel="1" x14ac:dyDescent="0.2">
      <c r="B555" s="59"/>
      <c r="C555" s="59"/>
      <c r="D555" s="59"/>
      <c r="E555" s="59"/>
      <c r="F555" s="59"/>
      <c r="G555" s="59"/>
      <c r="H555" s="541"/>
      <c r="I555" s="617">
        <f t="shared" si="8"/>
        <v>0</v>
      </c>
      <c r="J555" s="59"/>
      <c r="K555" s="59"/>
      <c r="L555" s="59"/>
      <c r="M555" s="59"/>
      <c r="N555" s="59"/>
      <c r="O555" s="59"/>
      <c r="P555" s="59"/>
      <c r="Q555" s="59"/>
    </row>
    <row r="556" spans="2:17" outlineLevel="1" x14ac:dyDescent="0.2">
      <c r="B556" s="59"/>
      <c r="C556" s="59"/>
      <c r="D556" s="59"/>
      <c r="E556" s="59"/>
      <c r="F556" s="59"/>
      <c r="G556" s="59"/>
      <c r="H556" s="541"/>
      <c r="I556" s="617">
        <f t="shared" si="8"/>
        <v>0</v>
      </c>
      <c r="J556" s="59"/>
      <c r="K556" s="59"/>
      <c r="L556" s="59"/>
      <c r="M556" s="59"/>
      <c r="N556" s="59"/>
      <c r="O556" s="59"/>
      <c r="P556" s="59"/>
      <c r="Q556" s="59"/>
    </row>
    <row r="557" spans="2:17" outlineLevel="1" x14ac:dyDescent="0.2">
      <c r="B557" s="59"/>
      <c r="C557" s="59"/>
      <c r="D557" s="59"/>
      <c r="E557" s="59"/>
      <c r="F557" s="59"/>
      <c r="G557" s="59"/>
      <c r="H557" s="541"/>
      <c r="I557" s="617">
        <f t="shared" si="8"/>
        <v>0</v>
      </c>
      <c r="J557" s="59"/>
      <c r="K557" s="59"/>
      <c r="L557" s="59"/>
      <c r="M557" s="59"/>
      <c r="N557" s="59"/>
      <c r="O557" s="59"/>
      <c r="P557" s="59"/>
      <c r="Q557" s="59"/>
    </row>
    <row r="558" spans="2:17" outlineLevel="1" x14ac:dyDescent="0.2">
      <c r="B558" s="59"/>
      <c r="C558" s="59"/>
      <c r="D558" s="59"/>
      <c r="E558" s="59"/>
      <c r="F558" s="59"/>
      <c r="G558" s="59"/>
      <c r="H558" s="541"/>
      <c r="I558" s="617">
        <f t="shared" si="8"/>
        <v>0</v>
      </c>
      <c r="J558" s="59"/>
      <c r="K558" s="59"/>
      <c r="L558" s="59"/>
      <c r="M558" s="59"/>
      <c r="N558" s="59"/>
      <c r="O558" s="59"/>
      <c r="P558" s="59"/>
      <c r="Q558" s="59"/>
    </row>
    <row r="559" spans="2:17" outlineLevel="1" x14ac:dyDescent="0.2">
      <c r="B559" s="59"/>
      <c r="C559" s="59"/>
      <c r="D559" s="59"/>
      <c r="E559" s="59"/>
      <c r="F559" s="59"/>
      <c r="G559" s="59"/>
      <c r="H559" s="541"/>
      <c r="I559" s="617">
        <f t="shared" si="8"/>
        <v>0</v>
      </c>
      <c r="J559" s="59"/>
      <c r="K559" s="59"/>
      <c r="L559" s="59"/>
      <c r="M559" s="59"/>
      <c r="N559" s="59"/>
      <c r="O559" s="59"/>
      <c r="P559" s="59"/>
      <c r="Q559" s="59"/>
    </row>
    <row r="560" spans="2:17" outlineLevel="1" x14ac:dyDescent="0.2">
      <c r="B560" s="59"/>
      <c r="C560" s="59"/>
      <c r="D560" s="59"/>
      <c r="E560" s="59"/>
      <c r="F560" s="59"/>
      <c r="G560" s="59"/>
      <c r="H560" s="541"/>
      <c r="I560" s="617">
        <f t="shared" si="8"/>
        <v>0</v>
      </c>
      <c r="J560" s="59"/>
      <c r="K560" s="59"/>
      <c r="L560" s="59"/>
      <c r="M560" s="59"/>
      <c r="N560" s="59"/>
      <c r="O560" s="59"/>
      <c r="P560" s="59"/>
      <c r="Q560" s="59"/>
    </row>
    <row r="561" spans="2:17" outlineLevel="1" x14ac:dyDescent="0.2">
      <c r="B561" s="59"/>
      <c r="C561" s="59"/>
      <c r="D561" s="59"/>
      <c r="E561" s="59"/>
      <c r="F561" s="59"/>
      <c r="G561" s="59"/>
      <c r="H561" s="541"/>
      <c r="I561" s="617">
        <f t="shared" si="8"/>
        <v>0</v>
      </c>
      <c r="J561" s="59"/>
      <c r="K561" s="59"/>
      <c r="L561" s="59"/>
      <c r="M561" s="59"/>
      <c r="N561" s="59"/>
      <c r="O561" s="59"/>
      <c r="P561" s="59"/>
      <c r="Q561" s="59"/>
    </row>
    <row r="562" spans="2:17" outlineLevel="1" x14ac:dyDescent="0.2">
      <c r="B562" s="59"/>
      <c r="C562" s="59"/>
      <c r="D562" s="59"/>
      <c r="E562" s="59"/>
      <c r="F562" s="59"/>
      <c r="G562" s="59"/>
      <c r="H562" s="541"/>
      <c r="I562" s="617">
        <f t="shared" si="8"/>
        <v>0</v>
      </c>
      <c r="J562" s="59"/>
      <c r="K562" s="59"/>
      <c r="L562" s="59"/>
      <c r="M562" s="59"/>
      <c r="N562" s="59"/>
      <c r="O562" s="59"/>
      <c r="P562" s="59"/>
      <c r="Q562" s="59"/>
    </row>
    <row r="563" spans="2:17" outlineLevel="1" x14ac:dyDescent="0.2">
      <c r="B563" s="59"/>
      <c r="C563" s="59"/>
      <c r="D563" s="59"/>
      <c r="E563" s="59"/>
      <c r="F563" s="59"/>
      <c r="G563" s="59"/>
      <c r="H563" s="541"/>
      <c r="I563" s="617">
        <f t="shared" si="8"/>
        <v>0</v>
      </c>
      <c r="J563" s="59"/>
      <c r="K563" s="59"/>
      <c r="L563" s="59"/>
      <c r="M563" s="59"/>
      <c r="N563" s="59"/>
      <c r="O563" s="59"/>
      <c r="P563" s="59"/>
      <c r="Q563" s="59"/>
    </row>
    <row r="564" spans="2:17" outlineLevel="1" x14ac:dyDescent="0.2">
      <c r="B564" s="59"/>
      <c r="C564" s="59"/>
      <c r="D564" s="59"/>
      <c r="E564" s="59"/>
      <c r="F564" s="59"/>
      <c r="G564" s="59"/>
      <c r="H564" s="541"/>
      <c r="I564" s="617">
        <f t="shared" si="8"/>
        <v>0</v>
      </c>
      <c r="J564" s="59"/>
      <c r="K564" s="59"/>
      <c r="L564" s="59"/>
      <c r="M564" s="59"/>
      <c r="N564" s="59"/>
      <c r="O564" s="59"/>
      <c r="P564" s="59"/>
      <c r="Q564" s="59"/>
    </row>
    <row r="565" spans="2:17" outlineLevel="1" x14ac:dyDescent="0.2">
      <c r="B565" s="59"/>
      <c r="C565" s="59"/>
      <c r="D565" s="59"/>
      <c r="E565" s="59"/>
      <c r="F565" s="59"/>
      <c r="G565" s="59"/>
      <c r="H565" s="541"/>
      <c r="I565" s="617">
        <f t="shared" si="8"/>
        <v>0</v>
      </c>
      <c r="J565" s="59"/>
      <c r="K565" s="59"/>
      <c r="L565" s="59"/>
      <c r="M565" s="59"/>
      <c r="N565" s="59"/>
      <c r="O565" s="59"/>
      <c r="P565" s="59"/>
      <c r="Q565" s="59"/>
    </row>
    <row r="566" spans="2:17" outlineLevel="1" x14ac:dyDescent="0.2">
      <c r="B566" s="59"/>
      <c r="C566" s="59"/>
      <c r="D566" s="59"/>
      <c r="E566" s="59"/>
      <c r="F566" s="59"/>
      <c r="G566" s="59"/>
      <c r="H566" s="541"/>
      <c r="I566" s="617">
        <f t="shared" si="8"/>
        <v>0</v>
      </c>
      <c r="J566" s="59"/>
      <c r="K566" s="59"/>
      <c r="L566" s="59"/>
      <c r="M566" s="59"/>
      <c r="N566" s="59"/>
      <c r="O566" s="59"/>
      <c r="P566" s="59"/>
      <c r="Q566" s="59"/>
    </row>
    <row r="567" spans="2:17" outlineLevel="1" x14ac:dyDescent="0.2">
      <c r="B567" s="59"/>
      <c r="C567" s="59"/>
      <c r="D567" s="59"/>
      <c r="E567" s="59"/>
      <c r="F567" s="59"/>
      <c r="G567" s="59"/>
      <c r="H567" s="541"/>
      <c r="I567" s="617">
        <f t="shared" si="8"/>
        <v>0</v>
      </c>
      <c r="J567" s="59"/>
      <c r="K567" s="59"/>
      <c r="L567" s="59"/>
      <c r="M567" s="59"/>
      <c r="N567" s="59"/>
      <c r="O567" s="59"/>
      <c r="P567" s="59"/>
      <c r="Q567" s="59"/>
    </row>
    <row r="568" spans="2:17" outlineLevel="1" x14ac:dyDescent="0.2">
      <c r="B568" s="59"/>
      <c r="C568" s="59"/>
      <c r="D568" s="59"/>
      <c r="E568" s="59"/>
      <c r="F568" s="59"/>
      <c r="G568" s="59"/>
      <c r="H568" s="541"/>
      <c r="I568" s="617">
        <f t="shared" si="8"/>
        <v>0</v>
      </c>
      <c r="J568" s="59"/>
      <c r="K568" s="59"/>
      <c r="L568" s="59"/>
      <c r="M568" s="59"/>
      <c r="N568" s="59"/>
      <c r="O568" s="59"/>
      <c r="P568" s="59"/>
      <c r="Q568" s="59"/>
    </row>
    <row r="569" spans="2:17" outlineLevel="1" x14ac:dyDescent="0.2">
      <c r="B569" s="59"/>
      <c r="C569" s="59"/>
      <c r="D569" s="59"/>
      <c r="E569" s="59"/>
      <c r="F569" s="59"/>
      <c r="G569" s="59"/>
      <c r="H569" s="541"/>
      <c r="I569" s="617">
        <f t="shared" si="8"/>
        <v>0</v>
      </c>
      <c r="J569" s="59"/>
      <c r="K569" s="59"/>
      <c r="L569" s="59"/>
      <c r="M569" s="59"/>
      <c r="N569" s="59"/>
      <c r="O569" s="59"/>
      <c r="P569" s="59"/>
      <c r="Q569" s="59"/>
    </row>
    <row r="570" spans="2:17" outlineLevel="1" x14ac:dyDescent="0.2">
      <c r="B570" s="59"/>
      <c r="C570" s="59"/>
      <c r="D570" s="59"/>
      <c r="E570" s="59"/>
      <c r="F570" s="59"/>
      <c r="G570" s="59"/>
      <c r="H570" s="541"/>
      <c r="I570" s="617">
        <f t="shared" si="8"/>
        <v>0</v>
      </c>
      <c r="J570" s="59"/>
      <c r="K570" s="59"/>
      <c r="L570" s="59"/>
      <c r="M570" s="59"/>
      <c r="N570" s="59"/>
      <c r="O570" s="59"/>
      <c r="P570" s="59"/>
      <c r="Q570" s="59"/>
    </row>
    <row r="571" spans="2:17" outlineLevel="1" x14ac:dyDescent="0.2">
      <c r="B571" s="59"/>
      <c r="C571" s="59"/>
      <c r="D571" s="59"/>
      <c r="E571" s="59"/>
      <c r="F571" s="59"/>
      <c r="G571" s="59"/>
      <c r="H571" s="541"/>
      <c r="I571" s="617">
        <f t="shared" si="8"/>
        <v>0</v>
      </c>
      <c r="J571" s="59"/>
      <c r="K571" s="59"/>
      <c r="L571" s="59"/>
      <c r="M571" s="59"/>
      <c r="N571" s="59"/>
      <c r="O571" s="59"/>
      <c r="P571" s="59"/>
      <c r="Q571" s="59"/>
    </row>
    <row r="572" spans="2:17" outlineLevel="1" x14ac:dyDescent="0.2">
      <c r="B572" s="59"/>
      <c r="C572" s="59"/>
      <c r="D572" s="59"/>
      <c r="E572" s="59"/>
      <c r="F572" s="59"/>
      <c r="G572" s="59"/>
      <c r="H572" s="541"/>
      <c r="I572" s="617">
        <f t="shared" si="8"/>
        <v>0</v>
      </c>
      <c r="J572" s="59"/>
      <c r="K572" s="59"/>
      <c r="L572" s="59"/>
      <c r="M572" s="59"/>
      <c r="N572" s="59"/>
      <c r="O572" s="59"/>
      <c r="P572" s="59"/>
      <c r="Q572" s="59"/>
    </row>
    <row r="573" spans="2:17" outlineLevel="1" x14ac:dyDescent="0.2">
      <c r="B573" s="59"/>
      <c r="C573" s="59"/>
      <c r="D573" s="59"/>
      <c r="E573" s="59"/>
      <c r="F573" s="59"/>
      <c r="G573" s="59"/>
      <c r="H573" s="541"/>
      <c r="I573" s="617">
        <f t="shared" si="8"/>
        <v>0</v>
      </c>
      <c r="J573" s="59"/>
      <c r="K573" s="59"/>
      <c r="L573" s="59"/>
      <c r="M573" s="59"/>
      <c r="N573" s="59"/>
      <c r="O573" s="59"/>
      <c r="P573" s="59"/>
      <c r="Q573" s="59"/>
    </row>
    <row r="574" spans="2:17" outlineLevel="1" x14ac:dyDescent="0.2">
      <c r="B574" s="59"/>
      <c r="C574" s="59"/>
      <c r="D574" s="59"/>
      <c r="E574" s="59"/>
      <c r="F574" s="59"/>
      <c r="G574" s="59"/>
      <c r="H574" s="541"/>
      <c r="I574" s="617">
        <f t="shared" si="8"/>
        <v>0</v>
      </c>
      <c r="J574" s="59"/>
      <c r="K574" s="59"/>
      <c r="L574" s="59"/>
      <c r="M574" s="59"/>
      <c r="N574" s="59"/>
      <c r="O574" s="59"/>
      <c r="P574" s="59"/>
      <c r="Q574" s="59"/>
    </row>
    <row r="575" spans="2:17" outlineLevel="1" x14ac:dyDescent="0.2">
      <c r="B575" s="59"/>
      <c r="C575" s="59"/>
      <c r="D575" s="59"/>
      <c r="E575" s="59"/>
      <c r="F575" s="59"/>
      <c r="G575" s="59"/>
      <c r="H575" s="541"/>
      <c r="I575" s="617">
        <f t="shared" si="8"/>
        <v>0</v>
      </c>
      <c r="J575" s="59"/>
      <c r="K575" s="59"/>
      <c r="L575" s="59"/>
      <c r="M575" s="59"/>
      <c r="N575" s="59"/>
      <c r="O575" s="59"/>
      <c r="P575" s="59"/>
      <c r="Q575" s="59"/>
    </row>
    <row r="576" spans="2:17" outlineLevel="1" x14ac:dyDescent="0.2">
      <c r="B576" s="59"/>
      <c r="C576" s="59"/>
      <c r="D576" s="59"/>
      <c r="E576" s="59"/>
      <c r="F576" s="59"/>
      <c r="G576" s="59"/>
      <c r="H576" s="541"/>
      <c r="I576" s="617">
        <f t="shared" si="8"/>
        <v>0</v>
      </c>
      <c r="J576" s="59"/>
      <c r="K576" s="59"/>
      <c r="L576" s="59"/>
      <c r="M576" s="59"/>
      <c r="N576" s="59"/>
      <c r="O576" s="59"/>
      <c r="P576" s="59"/>
      <c r="Q576" s="59"/>
    </row>
    <row r="577" spans="2:17" outlineLevel="1" x14ac:dyDescent="0.2">
      <c r="B577" s="59"/>
      <c r="C577" s="59"/>
      <c r="D577" s="59"/>
      <c r="E577" s="59"/>
      <c r="F577" s="59"/>
      <c r="G577" s="59"/>
      <c r="H577" s="541"/>
      <c r="I577" s="617">
        <f t="shared" si="8"/>
        <v>0</v>
      </c>
      <c r="J577" s="59"/>
      <c r="K577" s="59"/>
      <c r="L577" s="59"/>
      <c r="M577" s="59"/>
      <c r="N577" s="59"/>
      <c r="O577" s="59"/>
      <c r="P577" s="59"/>
      <c r="Q577" s="59"/>
    </row>
    <row r="578" spans="2:17" outlineLevel="1" x14ac:dyDescent="0.2">
      <c r="B578" s="59"/>
      <c r="C578" s="59"/>
      <c r="D578" s="59"/>
      <c r="E578" s="59"/>
      <c r="F578" s="59"/>
      <c r="G578" s="59"/>
      <c r="H578" s="541"/>
      <c r="I578" s="617">
        <f t="shared" si="8"/>
        <v>0</v>
      </c>
      <c r="J578" s="59"/>
      <c r="K578" s="59"/>
      <c r="L578" s="59"/>
      <c r="M578" s="59"/>
      <c r="N578" s="59"/>
      <c r="O578" s="59"/>
      <c r="P578" s="59"/>
      <c r="Q578" s="59"/>
    </row>
    <row r="579" spans="2:17" outlineLevel="1" x14ac:dyDescent="0.2">
      <c r="B579" s="59"/>
      <c r="C579" s="59"/>
      <c r="D579" s="59"/>
      <c r="E579" s="59"/>
      <c r="F579" s="59"/>
      <c r="G579" s="59"/>
      <c r="H579" s="541"/>
      <c r="I579" s="617">
        <f t="shared" si="8"/>
        <v>0</v>
      </c>
      <c r="J579" s="59"/>
      <c r="K579" s="59"/>
      <c r="L579" s="59"/>
      <c r="M579" s="59"/>
      <c r="N579" s="59"/>
      <c r="O579" s="59"/>
      <c r="P579" s="59"/>
      <c r="Q579" s="59"/>
    </row>
    <row r="580" spans="2:17" outlineLevel="1" x14ac:dyDescent="0.2">
      <c r="B580" s="59"/>
      <c r="C580" s="59"/>
      <c r="D580" s="59"/>
      <c r="E580" s="59"/>
      <c r="F580" s="59"/>
      <c r="G580" s="59"/>
      <c r="H580" s="541"/>
      <c r="I580" s="617">
        <f t="shared" si="8"/>
        <v>0</v>
      </c>
      <c r="J580" s="59"/>
      <c r="K580" s="59"/>
      <c r="L580" s="59"/>
      <c r="M580" s="59"/>
      <c r="N580" s="59"/>
      <c r="O580" s="59"/>
      <c r="P580" s="59"/>
      <c r="Q580" s="59"/>
    </row>
    <row r="581" spans="2:17" outlineLevel="1" x14ac:dyDescent="0.2">
      <c r="B581" s="59"/>
      <c r="C581" s="59"/>
      <c r="D581" s="59"/>
      <c r="E581" s="59"/>
      <c r="F581" s="59"/>
      <c r="G581" s="59"/>
      <c r="H581" s="541"/>
      <c r="I581" s="617">
        <f t="shared" ref="I581:I644" si="9">G581*H581</f>
        <v>0</v>
      </c>
      <c r="J581" s="59"/>
      <c r="K581" s="59"/>
      <c r="L581" s="59"/>
      <c r="M581" s="59"/>
      <c r="N581" s="59"/>
      <c r="O581" s="59"/>
      <c r="P581" s="59"/>
      <c r="Q581" s="59"/>
    </row>
    <row r="582" spans="2:17" outlineLevel="1" x14ac:dyDescent="0.2">
      <c r="B582" s="59"/>
      <c r="C582" s="59"/>
      <c r="D582" s="59"/>
      <c r="E582" s="59"/>
      <c r="F582" s="59"/>
      <c r="G582" s="59"/>
      <c r="H582" s="541"/>
      <c r="I582" s="617">
        <f t="shared" si="9"/>
        <v>0</v>
      </c>
      <c r="J582" s="59"/>
      <c r="K582" s="59"/>
      <c r="L582" s="59"/>
      <c r="M582" s="59"/>
      <c r="N582" s="59"/>
      <c r="O582" s="59"/>
      <c r="P582" s="59"/>
      <c r="Q582" s="59"/>
    </row>
    <row r="583" spans="2:17" outlineLevel="1" x14ac:dyDescent="0.2">
      <c r="B583" s="59"/>
      <c r="C583" s="59"/>
      <c r="D583" s="59"/>
      <c r="E583" s="59"/>
      <c r="F583" s="59"/>
      <c r="G583" s="59"/>
      <c r="H583" s="541"/>
      <c r="I583" s="617">
        <f t="shared" si="9"/>
        <v>0</v>
      </c>
      <c r="J583" s="59"/>
      <c r="K583" s="59"/>
      <c r="L583" s="59"/>
      <c r="M583" s="59"/>
      <c r="N583" s="59"/>
      <c r="O583" s="59"/>
      <c r="P583" s="59"/>
      <c r="Q583" s="59"/>
    </row>
    <row r="584" spans="2:17" outlineLevel="1" x14ac:dyDescent="0.2">
      <c r="B584" s="59"/>
      <c r="C584" s="59"/>
      <c r="D584" s="59"/>
      <c r="E584" s="59"/>
      <c r="F584" s="59"/>
      <c r="G584" s="59"/>
      <c r="H584" s="541"/>
      <c r="I584" s="617">
        <f t="shared" si="9"/>
        <v>0</v>
      </c>
      <c r="J584" s="59"/>
      <c r="K584" s="59"/>
      <c r="L584" s="59"/>
      <c r="M584" s="59"/>
      <c r="N584" s="59"/>
      <c r="O584" s="59"/>
      <c r="P584" s="59"/>
      <c r="Q584" s="59"/>
    </row>
    <row r="585" spans="2:17" outlineLevel="1" x14ac:dyDescent="0.2">
      <c r="B585" s="59"/>
      <c r="C585" s="59"/>
      <c r="D585" s="59"/>
      <c r="E585" s="59"/>
      <c r="F585" s="59"/>
      <c r="G585" s="59"/>
      <c r="H585" s="541"/>
      <c r="I585" s="617">
        <f t="shared" si="9"/>
        <v>0</v>
      </c>
      <c r="J585" s="59"/>
      <c r="K585" s="59"/>
      <c r="L585" s="59"/>
      <c r="M585" s="59"/>
      <c r="N585" s="59"/>
      <c r="O585" s="59"/>
      <c r="P585" s="59"/>
      <c r="Q585" s="59"/>
    </row>
    <row r="586" spans="2:17" outlineLevel="1" x14ac:dyDescent="0.2">
      <c r="B586" s="59"/>
      <c r="C586" s="59"/>
      <c r="D586" s="59"/>
      <c r="E586" s="59"/>
      <c r="F586" s="59"/>
      <c r="G586" s="59"/>
      <c r="H586" s="541"/>
      <c r="I586" s="617">
        <f t="shared" si="9"/>
        <v>0</v>
      </c>
      <c r="J586" s="59"/>
      <c r="K586" s="59"/>
      <c r="L586" s="59"/>
      <c r="M586" s="59"/>
      <c r="N586" s="59"/>
      <c r="O586" s="59"/>
      <c r="P586" s="59"/>
      <c r="Q586" s="59"/>
    </row>
    <row r="587" spans="2:17" outlineLevel="1" x14ac:dyDescent="0.2">
      <c r="B587" s="59"/>
      <c r="C587" s="59"/>
      <c r="D587" s="59"/>
      <c r="E587" s="59"/>
      <c r="F587" s="59"/>
      <c r="G587" s="59"/>
      <c r="H587" s="541"/>
      <c r="I587" s="617">
        <f t="shared" si="9"/>
        <v>0</v>
      </c>
      <c r="J587" s="59"/>
      <c r="K587" s="59"/>
      <c r="L587" s="59"/>
      <c r="M587" s="59"/>
      <c r="N587" s="59"/>
      <c r="O587" s="59"/>
      <c r="P587" s="59"/>
      <c r="Q587" s="59"/>
    </row>
    <row r="588" spans="2:17" outlineLevel="1" x14ac:dyDescent="0.2">
      <c r="B588" s="59"/>
      <c r="C588" s="59"/>
      <c r="D588" s="59"/>
      <c r="E588" s="59"/>
      <c r="F588" s="59"/>
      <c r="G588" s="59"/>
      <c r="H588" s="541"/>
      <c r="I588" s="617">
        <f t="shared" si="9"/>
        <v>0</v>
      </c>
      <c r="J588" s="59"/>
      <c r="K588" s="59"/>
      <c r="L588" s="59"/>
      <c r="M588" s="59"/>
      <c r="N588" s="59"/>
      <c r="O588" s="59"/>
      <c r="P588" s="59"/>
      <c r="Q588" s="59"/>
    </row>
    <row r="589" spans="2:17" outlineLevel="1" x14ac:dyDescent="0.2">
      <c r="B589" s="59"/>
      <c r="C589" s="59"/>
      <c r="D589" s="59"/>
      <c r="E589" s="59"/>
      <c r="F589" s="59"/>
      <c r="G589" s="59"/>
      <c r="H589" s="541"/>
      <c r="I589" s="617">
        <f t="shared" si="9"/>
        <v>0</v>
      </c>
      <c r="J589" s="59"/>
      <c r="K589" s="59"/>
      <c r="L589" s="59"/>
      <c r="M589" s="59"/>
      <c r="N589" s="59"/>
      <c r="O589" s="59"/>
      <c r="P589" s="59"/>
      <c r="Q589" s="59"/>
    </row>
    <row r="590" spans="2:17" outlineLevel="1" x14ac:dyDescent="0.2">
      <c r="B590" s="59"/>
      <c r="C590" s="59"/>
      <c r="D590" s="59"/>
      <c r="E590" s="59"/>
      <c r="F590" s="59"/>
      <c r="G590" s="59"/>
      <c r="H590" s="541"/>
      <c r="I590" s="617">
        <f t="shared" si="9"/>
        <v>0</v>
      </c>
      <c r="J590" s="59"/>
      <c r="K590" s="59"/>
      <c r="L590" s="59"/>
      <c r="M590" s="59"/>
      <c r="N590" s="59"/>
      <c r="O590" s="59"/>
      <c r="P590" s="59"/>
      <c r="Q590" s="59"/>
    </row>
    <row r="591" spans="2:17" outlineLevel="1" x14ac:dyDescent="0.2">
      <c r="B591" s="59"/>
      <c r="C591" s="59"/>
      <c r="D591" s="59"/>
      <c r="E591" s="59"/>
      <c r="F591" s="59"/>
      <c r="G591" s="59"/>
      <c r="H591" s="541"/>
      <c r="I591" s="617">
        <f t="shared" si="9"/>
        <v>0</v>
      </c>
      <c r="J591" s="59"/>
      <c r="K591" s="59"/>
      <c r="L591" s="59"/>
      <c r="M591" s="59"/>
      <c r="N591" s="59"/>
      <c r="O591" s="59"/>
      <c r="P591" s="59"/>
      <c r="Q591" s="59"/>
    </row>
    <row r="592" spans="2:17" outlineLevel="1" x14ac:dyDescent="0.2">
      <c r="B592" s="59"/>
      <c r="C592" s="59"/>
      <c r="D592" s="59"/>
      <c r="E592" s="59"/>
      <c r="F592" s="59"/>
      <c r="G592" s="59"/>
      <c r="H592" s="541"/>
      <c r="I592" s="617">
        <f t="shared" si="9"/>
        <v>0</v>
      </c>
      <c r="J592" s="59"/>
      <c r="K592" s="59"/>
      <c r="L592" s="59"/>
      <c r="M592" s="59"/>
      <c r="N592" s="59"/>
      <c r="O592" s="59"/>
      <c r="P592" s="59"/>
      <c r="Q592" s="59"/>
    </row>
    <row r="593" spans="2:17" outlineLevel="1" x14ac:dyDescent="0.2">
      <c r="B593" s="59"/>
      <c r="C593" s="59"/>
      <c r="D593" s="59"/>
      <c r="E593" s="59"/>
      <c r="F593" s="59"/>
      <c r="G593" s="59"/>
      <c r="H593" s="541"/>
      <c r="I593" s="617">
        <f t="shared" si="9"/>
        <v>0</v>
      </c>
      <c r="J593" s="59"/>
      <c r="K593" s="59"/>
      <c r="L593" s="59"/>
      <c r="M593" s="59"/>
      <c r="N593" s="59"/>
      <c r="O593" s="59"/>
      <c r="P593" s="59"/>
      <c r="Q593" s="59"/>
    </row>
    <row r="594" spans="2:17" outlineLevel="1" x14ac:dyDescent="0.2">
      <c r="B594" s="59"/>
      <c r="C594" s="59"/>
      <c r="D594" s="59"/>
      <c r="E594" s="59"/>
      <c r="F594" s="59"/>
      <c r="G594" s="59"/>
      <c r="H594" s="541"/>
      <c r="I594" s="617">
        <f t="shared" si="9"/>
        <v>0</v>
      </c>
      <c r="J594" s="59"/>
      <c r="K594" s="59"/>
      <c r="L594" s="59"/>
      <c r="M594" s="59"/>
      <c r="N594" s="59"/>
      <c r="O594" s="59"/>
      <c r="P594" s="59"/>
      <c r="Q594" s="59"/>
    </row>
    <row r="595" spans="2:17" outlineLevel="1" x14ac:dyDescent="0.2">
      <c r="B595" s="59"/>
      <c r="C595" s="59"/>
      <c r="D595" s="59"/>
      <c r="E595" s="59"/>
      <c r="F595" s="59"/>
      <c r="G595" s="59"/>
      <c r="H595" s="541"/>
      <c r="I595" s="617">
        <f t="shared" si="9"/>
        <v>0</v>
      </c>
      <c r="J595" s="59"/>
      <c r="K595" s="59"/>
      <c r="L595" s="59"/>
      <c r="M595" s="59"/>
      <c r="N595" s="59"/>
      <c r="O595" s="59"/>
      <c r="P595" s="59"/>
      <c r="Q595" s="59"/>
    </row>
    <row r="596" spans="2:17" outlineLevel="1" x14ac:dyDescent="0.2">
      <c r="B596" s="59"/>
      <c r="C596" s="59"/>
      <c r="D596" s="59"/>
      <c r="E596" s="59"/>
      <c r="F596" s="59"/>
      <c r="G596" s="59"/>
      <c r="H596" s="541"/>
      <c r="I596" s="617">
        <f t="shared" si="9"/>
        <v>0</v>
      </c>
      <c r="J596" s="59"/>
      <c r="K596" s="59"/>
      <c r="L596" s="59"/>
      <c r="M596" s="59"/>
      <c r="N596" s="59"/>
      <c r="O596" s="59"/>
      <c r="P596" s="59"/>
      <c r="Q596" s="59"/>
    </row>
    <row r="597" spans="2:17" outlineLevel="1" x14ac:dyDescent="0.2">
      <c r="B597" s="59"/>
      <c r="C597" s="59"/>
      <c r="D597" s="59"/>
      <c r="E597" s="59"/>
      <c r="F597" s="59"/>
      <c r="G597" s="59"/>
      <c r="H597" s="541"/>
      <c r="I597" s="617">
        <f t="shared" si="9"/>
        <v>0</v>
      </c>
      <c r="J597" s="59"/>
      <c r="K597" s="59"/>
      <c r="L597" s="59"/>
      <c r="M597" s="59"/>
      <c r="N597" s="59"/>
      <c r="O597" s="59"/>
      <c r="P597" s="59"/>
      <c r="Q597" s="59"/>
    </row>
    <row r="598" spans="2:17" outlineLevel="1" x14ac:dyDescent="0.2">
      <c r="B598" s="59"/>
      <c r="C598" s="59"/>
      <c r="D598" s="59"/>
      <c r="E598" s="59"/>
      <c r="F598" s="59"/>
      <c r="G598" s="59"/>
      <c r="H598" s="541"/>
      <c r="I598" s="617">
        <f t="shared" si="9"/>
        <v>0</v>
      </c>
      <c r="J598" s="59"/>
      <c r="K598" s="59"/>
      <c r="L598" s="59"/>
      <c r="M598" s="59"/>
      <c r="N598" s="59"/>
      <c r="O598" s="59"/>
      <c r="P598" s="59"/>
      <c r="Q598" s="59"/>
    </row>
    <row r="599" spans="2:17" outlineLevel="1" x14ac:dyDescent="0.2">
      <c r="B599" s="59"/>
      <c r="C599" s="59"/>
      <c r="D599" s="59"/>
      <c r="E599" s="59"/>
      <c r="F599" s="59"/>
      <c r="G599" s="59"/>
      <c r="H599" s="541"/>
      <c r="I599" s="617">
        <f t="shared" si="9"/>
        <v>0</v>
      </c>
      <c r="J599" s="59"/>
      <c r="K599" s="59"/>
      <c r="L599" s="59"/>
      <c r="M599" s="59"/>
      <c r="N599" s="59"/>
      <c r="O599" s="59"/>
      <c r="P599" s="59"/>
      <c r="Q599" s="59"/>
    </row>
    <row r="600" spans="2:17" outlineLevel="1" x14ac:dyDescent="0.2">
      <c r="B600" s="59"/>
      <c r="C600" s="59"/>
      <c r="D600" s="59"/>
      <c r="E600" s="59"/>
      <c r="F600" s="59"/>
      <c r="G600" s="59"/>
      <c r="H600" s="541"/>
      <c r="I600" s="617">
        <f t="shared" si="9"/>
        <v>0</v>
      </c>
      <c r="J600" s="59"/>
      <c r="K600" s="59"/>
      <c r="L600" s="59"/>
      <c r="M600" s="59"/>
      <c r="N600" s="59"/>
      <c r="O600" s="59"/>
      <c r="P600" s="59"/>
      <c r="Q600" s="59"/>
    </row>
    <row r="601" spans="2:17" outlineLevel="1" x14ac:dyDescent="0.2">
      <c r="B601" s="59"/>
      <c r="C601" s="59"/>
      <c r="D601" s="59"/>
      <c r="E601" s="59"/>
      <c r="F601" s="59"/>
      <c r="G601" s="59"/>
      <c r="H601" s="541"/>
      <c r="I601" s="617">
        <f t="shared" si="9"/>
        <v>0</v>
      </c>
      <c r="J601" s="59"/>
      <c r="K601" s="59"/>
      <c r="L601" s="59"/>
      <c r="M601" s="59"/>
      <c r="N601" s="59"/>
      <c r="O601" s="59"/>
      <c r="P601" s="59"/>
      <c r="Q601" s="59"/>
    </row>
    <row r="602" spans="2:17" outlineLevel="1" x14ac:dyDescent="0.2">
      <c r="B602" s="59"/>
      <c r="C602" s="59"/>
      <c r="D602" s="59"/>
      <c r="E602" s="59"/>
      <c r="F602" s="59"/>
      <c r="G602" s="59"/>
      <c r="H602" s="541"/>
      <c r="I602" s="617">
        <f t="shared" si="9"/>
        <v>0</v>
      </c>
      <c r="J602" s="59"/>
      <c r="K602" s="59"/>
      <c r="L602" s="59"/>
      <c r="M602" s="59"/>
      <c r="N602" s="59"/>
      <c r="O602" s="59"/>
      <c r="P602" s="59"/>
      <c r="Q602" s="59"/>
    </row>
    <row r="603" spans="2:17" outlineLevel="1" x14ac:dyDescent="0.2">
      <c r="B603" s="59"/>
      <c r="C603" s="59"/>
      <c r="D603" s="59"/>
      <c r="E603" s="59"/>
      <c r="F603" s="59"/>
      <c r="G603" s="59"/>
      <c r="H603" s="541"/>
      <c r="I603" s="617">
        <f t="shared" si="9"/>
        <v>0</v>
      </c>
      <c r="J603" s="59"/>
      <c r="K603" s="59"/>
      <c r="L603" s="59"/>
      <c r="M603" s="59"/>
      <c r="N603" s="59"/>
      <c r="O603" s="59"/>
      <c r="P603" s="59"/>
      <c r="Q603" s="59"/>
    </row>
    <row r="604" spans="2:17" outlineLevel="1" x14ac:dyDescent="0.2">
      <c r="B604" s="59"/>
      <c r="C604" s="59"/>
      <c r="D604" s="59"/>
      <c r="E604" s="59"/>
      <c r="F604" s="59"/>
      <c r="G604" s="59"/>
      <c r="H604" s="541"/>
      <c r="I604" s="617">
        <f t="shared" si="9"/>
        <v>0</v>
      </c>
      <c r="J604" s="59"/>
      <c r="K604" s="59"/>
      <c r="L604" s="59"/>
      <c r="M604" s="59"/>
      <c r="N604" s="59"/>
      <c r="O604" s="59"/>
      <c r="P604" s="59"/>
      <c r="Q604" s="59"/>
    </row>
    <row r="605" spans="2:17" outlineLevel="1" x14ac:dyDescent="0.2">
      <c r="B605" s="59"/>
      <c r="C605" s="59"/>
      <c r="D605" s="59"/>
      <c r="E605" s="59"/>
      <c r="F605" s="59"/>
      <c r="G605" s="59"/>
      <c r="H605" s="541"/>
      <c r="I605" s="617">
        <f t="shared" si="9"/>
        <v>0</v>
      </c>
      <c r="J605" s="59"/>
      <c r="K605" s="59"/>
      <c r="L605" s="59"/>
      <c r="M605" s="59"/>
      <c r="N605" s="59"/>
      <c r="O605" s="59"/>
      <c r="P605" s="59"/>
      <c r="Q605" s="59"/>
    </row>
    <row r="606" spans="2:17" outlineLevel="1" x14ac:dyDescent="0.2">
      <c r="B606" s="59"/>
      <c r="C606" s="59"/>
      <c r="D606" s="59"/>
      <c r="E606" s="59"/>
      <c r="F606" s="59"/>
      <c r="G606" s="59"/>
      <c r="H606" s="541"/>
      <c r="I606" s="617">
        <f t="shared" si="9"/>
        <v>0</v>
      </c>
      <c r="J606" s="59"/>
      <c r="K606" s="59"/>
      <c r="L606" s="59"/>
      <c r="M606" s="59"/>
      <c r="N606" s="59"/>
      <c r="O606" s="59"/>
      <c r="P606" s="59"/>
      <c r="Q606" s="59"/>
    </row>
    <row r="607" spans="2:17" outlineLevel="1" x14ac:dyDescent="0.2">
      <c r="B607" s="59"/>
      <c r="C607" s="59"/>
      <c r="D607" s="59"/>
      <c r="E607" s="59"/>
      <c r="F607" s="59"/>
      <c r="G607" s="59"/>
      <c r="H607" s="541"/>
      <c r="I607" s="617">
        <f t="shared" si="9"/>
        <v>0</v>
      </c>
      <c r="J607" s="59"/>
      <c r="K607" s="59"/>
      <c r="L607" s="59"/>
      <c r="M607" s="59"/>
      <c r="N607" s="59"/>
      <c r="O607" s="59"/>
      <c r="P607" s="59"/>
      <c r="Q607" s="59"/>
    </row>
    <row r="608" spans="2:17" outlineLevel="1" x14ac:dyDescent="0.2">
      <c r="B608" s="59"/>
      <c r="C608" s="59"/>
      <c r="D608" s="59"/>
      <c r="E608" s="59"/>
      <c r="F608" s="59"/>
      <c r="G608" s="59"/>
      <c r="H608" s="541"/>
      <c r="I608" s="617">
        <f t="shared" si="9"/>
        <v>0</v>
      </c>
      <c r="J608" s="59"/>
      <c r="K608" s="59"/>
      <c r="L608" s="59"/>
      <c r="M608" s="59"/>
      <c r="N608" s="59"/>
      <c r="O608" s="59"/>
      <c r="P608" s="59"/>
      <c r="Q608" s="59"/>
    </row>
    <row r="609" spans="2:17" outlineLevel="1" x14ac:dyDescent="0.2">
      <c r="B609" s="59"/>
      <c r="C609" s="59"/>
      <c r="D609" s="59"/>
      <c r="E609" s="59"/>
      <c r="F609" s="59"/>
      <c r="G609" s="59"/>
      <c r="H609" s="541"/>
      <c r="I609" s="617">
        <f t="shared" si="9"/>
        <v>0</v>
      </c>
      <c r="J609" s="59"/>
      <c r="K609" s="59"/>
      <c r="L609" s="59"/>
      <c r="M609" s="59"/>
      <c r="N609" s="59"/>
      <c r="O609" s="59"/>
      <c r="P609" s="59"/>
      <c r="Q609" s="59"/>
    </row>
    <row r="610" spans="2:17" outlineLevel="1" x14ac:dyDescent="0.2">
      <c r="B610" s="59"/>
      <c r="C610" s="59"/>
      <c r="D610" s="59"/>
      <c r="E610" s="59"/>
      <c r="F610" s="59"/>
      <c r="G610" s="59"/>
      <c r="H610" s="541"/>
      <c r="I610" s="617">
        <f t="shared" si="9"/>
        <v>0</v>
      </c>
      <c r="J610" s="59"/>
      <c r="K610" s="59"/>
      <c r="L610" s="59"/>
      <c r="M610" s="59"/>
      <c r="N610" s="59"/>
      <c r="O610" s="59"/>
      <c r="P610" s="59"/>
      <c r="Q610" s="59"/>
    </row>
    <row r="611" spans="2:17" outlineLevel="1" x14ac:dyDescent="0.2">
      <c r="B611" s="59"/>
      <c r="C611" s="59"/>
      <c r="D611" s="59"/>
      <c r="E611" s="59"/>
      <c r="F611" s="59"/>
      <c r="G611" s="59"/>
      <c r="H611" s="541"/>
      <c r="I611" s="617">
        <f t="shared" si="9"/>
        <v>0</v>
      </c>
      <c r="J611" s="59"/>
      <c r="K611" s="59"/>
      <c r="L611" s="59"/>
      <c r="M611" s="59"/>
      <c r="N611" s="59"/>
      <c r="O611" s="59"/>
      <c r="P611" s="59"/>
      <c r="Q611" s="59"/>
    </row>
    <row r="612" spans="2:17" outlineLevel="1" x14ac:dyDescent="0.2">
      <c r="B612" s="59"/>
      <c r="C612" s="59"/>
      <c r="D612" s="59"/>
      <c r="E612" s="59"/>
      <c r="F612" s="59"/>
      <c r="G612" s="59"/>
      <c r="H612" s="541"/>
      <c r="I612" s="617">
        <f t="shared" si="9"/>
        <v>0</v>
      </c>
      <c r="J612" s="59"/>
      <c r="K612" s="59"/>
      <c r="L612" s="59"/>
      <c r="M612" s="59"/>
      <c r="N612" s="59"/>
      <c r="O612" s="59"/>
      <c r="P612" s="59"/>
      <c r="Q612" s="59"/>
    </row>
    <row r="613" spans="2:17" outlineLevel="1" x14ac:dyDescent="0.2">
      <c r="B613" s="59"/>
      <c r="C613" s="59"/>
      <c r="D613" s="59"/>
      <c r="E613" s="59"/>
      <c r="F613" s="59"/>
      <c r="G613" s="59"/>
      <c r="H613" s="541"/>
      <c r="I613" s="617">
        <f t="shared" si="9"/>
        <v>0</v>
      </c>
      <c r="J613" s="59"/>
      <c r="K613" s="59"/>
      <c r="L613" s="59"/>
      <c r="M613" s="59"/>
      <c r="N613" s="59"/>
      <c r="O613" s="59"/>
      <c r="P613" s="59"/>
      <c r="Q613" s="59"/>
    </row>
    <row r="614" spans="2:17" outlineLevel="1" x14ac:dyDescent="0.2">
      <c r="B614" s="59"/>
      <c r="C614" s="59"/>
      <c r="D614" s="59"/>
      <c r="E614" s="59"/>
      <c r="F614" s="59"/>
      <c r="G614" s="59"/>
      <c r="H614" s="541"/>
      <c r="I614" s="617">
        <f t="shared" si="9"/>
        <v>0</v>
      </c>
      <c r="J614" s="59"/>
      <c r="K614" s="59"/>
      <c r="L614" s="59"/>
      <c r="M614" s="59"/>
      <c r="N614" s="59"/>
      <c r="O614" s="59"/>
      <c r="P614" s="59"/>
      <c r="Q614" s="59"/>
    </row>
    <row r="615" spans="2:17" outlineLevel="1" x14ac:dyDescent="0.2">
      <c r="B615" s="59"/>
      <c r="C615" s="59"/>
      <c r="D615" s="59"/>
      <c r="E615" s="59"/>
      <c r="F615" s="59"/>
      <c r="G615" s="59"/>
      <c r="H615" s="541"/>
      <c r="I615" s="617">
        <f t="shared" si="9"/>
        <v>0</v>
      </c>
      <c r="J615" s="59"/>
      <c r="K615" s="59"/>
      <c r="L615" s="59"/>
      <c r="M615" s="59"/>
      <c r="N615" s="59"/>
      <c r="O615" s="59"/>
      <c r="P615" s="59"/>
      <c r="Q615" s="59"/>
    </row>
    <row r="616" spans="2:17" outlineLevel="1" x14ac:dyDescent="0.2">
      <c r="B616" s="59"/>
      <c r="C616" s="59"/>
      <c r="D616" s="59"/>
      <c r="E616" s="59"/>
      <c r="F616" s="59"/>
      <c r="G616" s="59"/>
      <c r="H616" s="541"/>
      <c r="I616" s="617">
        <f t="shared" si="9"/>
        <v>0</v>
      </c>
      <c r="J616" s="59"/>
      <c r="K616" s="59"/>
      <c r="L616" s="59"/>
      <c r="M616" s="59"/>
      <c r="N616" s="59"/>
      <c r="O616" s="59"/>
      <c r="P616" s="59"/>
      <c r="Q616" s="59"/>
    </row>
    <row r="617" spans="2:17" outlineLevel="1" x14ac:dyDescent="0.2">
      <c r="B617" s="59"/>
      <c r="C617" s="59"/>
      <c r="D617" s="59"/>
      <c r="E617" s="59"/>
      <c r="F617" s="59"/>
      <c r="G617" s="59"/>
      <c r="H617" s="541"/>
      <c r="I617" s="617">
        <f t="shared" si="9"/>
        <v>0</v>
      </c>
      <c r="J617" s="59"/>
      <c r="K617" s="59"/>
      <c r="L617" s="59"/>
      <c r="M617" s="59"/>
      <c r="N617" s="59"/>
      <c r="O617" s="59"/>
      <c r="P617" s="59"/>
      <c r="Q617" s="59"/>
    </row>
    <row r="618" spans="2:17" outlineLevel="1" x14ac:dyDescent="0.2">
      <c r="B618" s="59"/>
      <c r="C618" s="59"/>
      <c r="D618" s="59"/>
      <c r="E618" s="59"/>
      <c r="F618" s="59"/>
      <c r="G618" s="59"/>
      <c r="H618" s="541"/>
      <c r="I618" s="617">
        <f t="shared" si="9"/>
        <v>0</v>
      </c>
      <c r="J618" s="59"/>
      <c r="K618" s="59"/>
      <c r="L618" s="59"/>
      <c r="M618" s="59"/>
      <c r="N618" s="59"/>
      <c r="O618" s="59"/>
      <c r="P618" s="59"/>
      <c r="Q618" s="59"/>
    </row>
    <row r="619" spans="2:17" outlineLevel="1" x14ac:dyDescent="0.2">
      <c r="B619" s="59"/>
      <c r="C619" s="59"/>
      <c r="D619" s="59"/>
      <c r="E619" s="59"/>
      <c r="F619" s="59"/>
      <c r="G619" s="59"/>
      <c r="H619" s="541"/>
      <c r="I619" s="617">
        <f t="shared" si="9"/>
        <v>0</v>
      </c>
      <c r="J619" s="59"/>
      <c r="K619" s="59"/>
      <c r="L619" s="59"/>
      <c r="M619" s="59"/>
      <c r="N619" s="59"/>
      <c r="O619" s="59"/>
      <c r="P619" s="59"/>
      <c r="Q619" s="59"/>
    </row>
    <row r="620" spans="2:17" outlineLevel="1" x14ac:dyDescent="0.2">
      <c r="B620" s="59"/>
      <c r="C620" s="59"/>
      <c r="D620" s="59"/>
      <c r="E620" s="59"/>
      <c r="F620" s="59"/>
      <c r="G620" s="59"/>
      <c r="H620" s="541"/>
      <c r="I620" s="617">
        <f t="shared" si="9"/>
        <v>0</v>
      </c>
      <c r="J620" s="59"/>
      <c r="K620" s="59"/>
      <c r="L620" s="59"/>
      <c r="M620" s="59"/>
      <c r="N620" s="59"/>
      <c r="O620" s="59"/>
      <c r="P620" s="59"/>
      <c r="Q620" s="59"/>
    </row>
    <row r="621" spans="2:17" outlineLevel="1" x14ac:dyDescent="0.2">
      <c r="B621" s="59"/>
      <c r="C621" s="59"/>
      <c r="D621" s="59"/>
      <c r="E621" s="59"/>
      <c r="F621" s="59"/>
      <c r="G621" s="59"/>
      <c r="H621" s="541"/>
      <c r="I621" s="617">
        <f t="shared" si="9"/>
        <v>0</v>
      </c>
      <c r="J621" s="59"/>
      <c r="K621" s="59"/>
      <c r="L621" s="59"/>
      <c r="M621" s="59"/>
      <c r="N621" s="59"/>
      <c r="O621" s="59"/>
      <c r="P621" s="59"/>
      <c r="Q621" s="59"/>
    </row>
    <row r="622" spans="2:17" outlineLevel="1" x14ac:dyDescent="0.2">
      <c r="B622" s="59"/>
      <c r="C622" s="59"/>
      <c r="D622" s="59"/>
      <c r="E622" s="59"/>
      <c r="F622" s="59"/>
      <c r="G622" s="59"/>
      <c r="H622" s="541"/>
      <c r="I622" s="617">
        <f t="shared" si="9"/>
        <v>0</v>
      </c>
      <c r="J622" s="59"/>
      <c r="K622" s="59"/>
      <c r="L622" s="59"/>
      <c r="M622" s="59"/>
      <c r="N622" s="59"/>
      <c r="O622" s="59"/>
      <c r="P622" s="59"/>
      <c r="Q622" s="59"/>
    </row>
    <row r="623" spans="2:17" outlineLevel="1" x14ac:dyDescent="0.2">
      <c r="B623" s="59"/>
      <c r="C623" s="59"/>
      <c r="D623" s="59"/>
      <c r="E623" s="59"/>
      <c r="F623" s="59"/>
      <c r="G623" s="59"/>
      <c r="H623" s="541"/>
      <c r="I623" s="617">
        <f t="shared" si="9"/>
        <v>0</v>
      </c>
      <c r="J623" s="59"/>
      <c r="K623" s="59"/>
      <c r="L623" s="59"/>
      <c r="M623" s="59"/>
      <c r="N623" s="59"/>
      <c r="O623" s="59"/>
      <c r="P623" s="59"/>
      <c r="Q623" s="59"/>
    </row>
    <row r="624" spans="2:17" outlineLevel="1" x14ac:dyDescent="0.2">
      <c r="B624" s="59"/>
      <c r="C624" s="59"/>
      <c r="D624" s="59"/>
      <c r="E624" s="59"/>
      <c r="F624" s="59"/>
      <c r="G624" s="59"/>
      <c r="H624" s="541"/>
      <c r="I624" s="617">
        <f t="shared" si="9"/>
        <v>0</v>
      </c>
      <c r="J624" s="59"/>
      <c r="K624" s="59"/>
      <c r="L624" s="59"/>
      <c r="M624" s="59"/>
      <c r="N624" s="59"/>
      <c r="O624" s="59"/>
      <c r="P624" s="59"/>
      <c r="Q624" s="59"/>
    </row>
    <row r="625" spans="2:17" outlineLevel="1" x14ac:dyDescent="0.2">
      <c r="B625" s="59"/>
      <c r="C625" s="59"/>
      <c r="D625" s="59"/>
      <c r="E625" s="59"/>
      <c r="F625" s="59"/>
      <c r="G625" s="59"/>
      <c r="H625" s="541"/>
      <c r="I625" s="617">
        <f t="shared" si="9"/>
        <v>0</v>
      </c>
      <c r="J625" s="59"/>
      <c r="K625" s="59"/>
      <c r="L625" s="59"/>
      <c r="M625" s="59"/>
      <c r="N625" s="59"/>
      <c r="O625" s="59"/>
      <c r="P625" s="59"/>
      <c r="Q625" s="59"/>
    </row>
    <row r="626" spans="2:17" outlineLevel="1" x14ac:dyDescent="0.2">
      <c r="B626" s="59"/>
      <c r="C626" s="59"/>
      <c r="D626" s="59"/>
      <c r="E626" s="59"/>
      <c r="F626" s="59"/>
      <c r="G626" s="59"/>
      <c r="H626" s="541"/>
      <c r="I626" s="617">
        <f t="shared" si="9"/>
        <v>0</v>
      </c>
      <c r="J626" s="59"/>
      <c r="K626" s="59"/>
      <c r="L626" s="59"/>
      <c r="M626" s="59"/>
      <c r="N626" s="59"/>
      <c r="O626" s="59"/>
      <c r="P626" s="59"/>
      <c r="Q626" s="59"/>
    </row>
    <row r="627" spans="2:17" outlineLevel="1" x14ac:dyDescent="0.2">
      <c r="B627" s="59"/>
      <c r="C627" s="59"/>
      <c r="D627" s="59"/>
      <c r="E627" s="59"/>
      <c r="F627" s="59"/>
      <c r="G627" s="59"/>
      <c r="H627" s="541"/>
      <c r="I627" s="617">
        <f t="shared" si="9"/>
        <v>0</v>
      </c>
      <c r="J627" s="59"/>
      <c r="K627" s="59"/>
      <c r="L627" s="59"/>
      <c r="M627" s="59"/>
      <c r="N627" s="59"/>
      <c r="O627" s="59"/>
      <c r="P627" s="59"/>
      <c r="Q627" s="59"/>
    </row>
    <row r="628" spans="2:17" outlineLevel="1" x14ac:dyDescent="0.2">
      <c r="B628" s="59"/>
      <c r="C628" s="59"/>
      <c r="D628" s="59"/>
      <c r="E628" s="59"/>
      <c r="F628" s="59"/>
      <c r="G628" s="59"/>
      <c r="H628" s="541"/>
      <c r="I628" s="617">
        <f t="shared" si="9"/>
        <v>0</v>
      </c>
      <c r="J628" s="59"/>
      <c r="K628" s="59"/>
      <c r="L628" s="59"/>
      <c r="M628" s="59"/>
      <c r="N628" s="59"/>
      <c r="O628" s="59"/>
      <c r="P628" s="59"/>
      <c r="Q628" s="59"/>
    </row>
    <row r="629" spans="2:17" outlineLevel="1" x14ac:dyDescent="0.2">
      <c r="B629" s="59"/>
      <c r="C629" s="59"/>
      <c r="D629" s="59"/>
      <c r="E629" s="59"/>
      <c r="F629" s="59"/>
      <c r="G629" s="59"/>
      <c r="H629" s="541"/>
      <c r="I629" s="617">
        <f t="shared" si="9"/>
        <v>0</v>
      </c>
      <c r="J629" s="59"/>
      <c r="K629" s="59"/>
      <c r="L629" s="59"/>
      <c r="M629" s="59"/>
      <c r="N629" s="59"/>
      <c r="O629" s="59"/>
      <c r="P629" s="59"/>
      <c r="Q629" s="59"/>
    </row>
    <row r="630" spans="2:17" outlineLevel="1" x14ac:dyDescent="0.2">
      <c r="B630" s="59"/>
      <c r="C630" s="59"/>
      <c r="D630" s="59"/>
      <c r="E630" s="59"/>
      <c r="F630" s="59"/>
      <c r="G630" s="59"/>
      <c r="H630" s="541"/>
      <c r="I630" s="617">
        <f t="shared" si="9"/>
        <v>0</v>
      </c>
      <c r="J630" s="59"/>
      <c r="K630" s="59"/>
      <c r="L630" s="59"/>
      <c r="M630" s="59"/>
      <c r="N630" s="59"/>
      <c r="O630" s="59"/>
      <c r="P630" s="59"/>
      <c r="Q630" s="59"/>
    </row>
    <row r="631" spans="2:17" outlineLevel="1" x14ac:dyDescent="0.2">
      <c r="B631" s="59"/>
      <c r="C631" s="59"/>
      <c r="D631" s="59"/>
      <c r="E631" s="59"/>
      <c r="F631" s="59"/>
      <c r="G631" s="59"/>
      <c r="H631" s="541"/>
      <c r="I631" s="617">
        <f t="shared" si="9"/>
        <v>0</v>
      </c>
      <c r="J631" s="59"/>
      <c r="K631" s="59"/>
      <c r="L631" s="59"/>
      <c r="M631" s="59"/>
      <c r="N631" s="59"/>
      <c r="O631" s="59"/>
      <c r="P631" s="59"/>
      <c r="Q631" s="59"/>
    </row>
    <row r="632" spans="2:17" outlineLevel="1" x14ac:dyDescent="0.2">
      <c r="B632" s="59"/>
      <c r="C632" s="59"/>
      <c r="D632" s="59"/>
      <c r="E632" s="59"/>
      <c r="F632" s="59"/>
      <c r="G632" s="59"/>
      <c r="H632" s="541"/>
      <c r="I632" s="617">
        <f t="shared" si="9"/>
        <v>0</v>
      </c>
      <c r="J632" s="59"/>
      <c r="K632" s="59"/>
      <c r="L632" s="59"/>
      <c r="M632" s="59"/>
      <c r="N632" s="59"/>
      <c r="O632" s="59"/>
      <c r="P632" s="59"/>
      <c r="Q632" s="59"/>
    </row>
    <row r="633" spans="2:17" outlineLevel="1" x14ac:dyDescent="0.2">
      <c r="B633" s="59"/>
      <c r="C633" s="59"/>
      <c r="D633" s="59"/>
      <c r="E633" s="59"/>
      <c r="F633" s="59"/>
      <c r="G633" s="59"/>
      <c r="H633" s="541"/>
      <c r="I633" s="617">
        <f t="shared" si="9"/>
        <v>0</v>
      </c>
      <c r="J633" s="59"/>
      <c r="K633" s="59"/>
      <c r="L633" s="59"/>
      <c r="M633" s="59"/>
      <c r="N633" s="59"/>
      <c r="O633" s="59"/>
      <c r="P633" s="59"/>
      <c r="Q633" s="59"/>
    </row>
    <row r="634" spans="2:17" outlineLevel="1" x14ac:dyDescent="0.2">
      <c r="B634" s="59"/>
      <c r="C634" s="59"/>
      <c r="D634" s="59"/>
      <c r="E634" s="59"/>
      <c r="F634" s="59"/>
      <c r="G634" s="59"/>
      <c r="H634" s="541"/>
      <c r="I634" s="617">
        <f t="shared" si="9"/>
        <v>0</v>
      </c>
      <c r="J634" s="59"/>
      <c r="K634" s="59"/>
      <c r="L634" s="59"/>
      <c r="M634" s="59"/>
      <c r="N634" s="59"/>
      <c r="O634" s="59"/>
      <c r="P634" s="59"/>
      <c r="Q634" s="59"/>
    </row>
    <row r="635" spans="2:17" outlineLevel="1" x14ac:dyDescent="0.2">
      <c r="B635" s="59"/>
      <c r="C635" s="59"/>
      <c r="D635" s="59"/>
      <c r="E635" s="59"/>
      <c r="F635" s="59"/>
      <c r="G635" s="59"/>
      <c r="H635" s="541"/>
      <c r="I635" s="617">
        <f t="shared" si="9"/>
        <v>0</v>
      </c>
      <c r="J635" s="59"/>
      <c r="K635" s="59"/>
      <c r="L635" s="59"/>
      <c r="M635" s="59"/>
      <c r="N635" s="59"/>
      <c r="O635" s="59"/>
      <c r="P635" s="59"/>
      <c r="Q635" s="59"/>
    </row>
    <row r="636" spans="2:17" outlineLevel="1" x14ac:dyDescent="0.2">
      <c r="B636" s="59"/>
      <c r="C636" s="59"/>
      <c r="D636" s="59"/>
      <c r="E636" s="59"/>
      <c r="F636" s="59"/>
      <c r="G636" s="59"/>
      <c r="H636" s="541"/>
      <c r="I636" s="617">
        <f t="shared" si="9"/>
        <v>0</v>
      </c>
      <c r="J636" s="59"/>
      <c r="K636" s="59"/>
      <c r="L636" s="59"/>
      <c r="M636" s="59"/>
      <c r="N636" s="59"/>
      <c r="O636" s="59"/>
      <c r="P636" s="59"/>
      <c r="Q636" s="59"/>
    </row>
    <row r="637" spans="2:17" outlineLevel="1" x14ac:dyDescent="0.2">
      <c r="B637" s="59"/>
      <c r="C637" s="59"/>
      <c r="D637" s="59"/>
      <c r="E637" s="59"/>
      <c r="F637" s="59"/>
      <c r="G637" s="59"/>
      <c r="H637" s="541"/>
      <c r="I637" s="617">
        <f t="shared" si="9"/>
        <v>0</v>
      </c>
      <c r="J637" s="59"/>
      <c r="K637" s="59"/>
      <c r="L637" s="59"/>
      <c r="M637" s="59"/>
      <c r="N637" s="59"/>
      <c r="O637" s="59"/>
      <c r="P637" s="59"/>
      <c r="Q637" s="59"/>
    </row>
    <row r="638" spans="2:17" outlineLevel="1" x14ac:dyDescent="0.2">
      <c r="B638" s="59"/>
      <c r="C638" s="59"/>
      <c r="D638" s="59"/>
      <c r="E638" s="59"/>
      <c r="F638" s="59"/>
      <c r="G638" s="59"/>
      <c r="H638" s="541"/>
      <c r="I638" s="617">
        <f t="shared" si="9"/>
        <v>0</v>
      </c>
      <c r="J638" s="59"/>
      <c r="K638" s="59"/>
      <c r="L638" s="59"/>
      <c r="M638" s="59"/>
      <c r="N638" s="59"/>
      <c r="O638" s="59"/>
      <c r="P638" s="59"/>
      <c r="Q638" s="59"/>
    </row>
    <row r="639" spans="2:17" outlineLevel="1" x14ac:dyDescent="0.2">
      <c r="B639" s="59"/>
      <c r="C639" s="59"/>
      <c r="D639" s="59"/>
      <c r="E639" s="59"/>
      <c r="F639" s="59"/>
      <c r="G639" s="59"/>
      <c r="H639" s="541"/>
      <c r="I639" s="617">
        <f t="shared" si="9"/>
        <v>0</v>
      </c>
      <c r="J639" s="59"/>
      <c r="K639" s="59"/>
      <c r="L639" s="59"/>
      <c r="M639" s="59"/>
      <c r="N639" s="59"/>
      <c r="O639" s="59"/>
      <c r="P639" s="59"/>
      <c r="Q639" s="59"/>
    </row>
    <row r="640" spans="2:17" outlineLevel="1" x14ac:dyDescent="0.2">
      <c r="B640" s="59"/>
      <c r="C640" s="59"/>
      <c r="D640" s="59"/>
      <c r="E640" s="59"/>
      <c r="F640" s="59"/>
      <c r="G640" s="59"/>
      <c r="H640" s="541"/>
      <c r="I640" s="617">
        <f t="shared" si="9"/>
        <v>0</v>
      </c>
      <c r="J640" s="59"/>
      <c r="K640" s="59"/>
      <c r="L640" s="59"/>
      <c r="M640" s="59"/>
      <c r="N640" s="59"/>
      <c r="O640" s="59"/>
      <c r="P640" s="59"/>
      <c r="Q640" s="59"/>
    </row>
    <row r="641" spans="2:17" outlineLevel="1" x14ac:dyDescent="0.2">
      <c r="B641" s="59"/>
      <c r="C641" s="59"/>
      <c r="D641" s="59"/>
      <c r="E641" s="59"/>
      <c r="F641" s="59"/>
      <c r="G641" s="59"/>
      <c r="H641" s="541"/>
      <c r="I641" s="617">
        <f t="shared" si="9"/>
        <v>0</v>
      </c>
      <c r="J641" s="59"/>
      <c r="K641" s="59"/>
      <c r="L641" s="59"/>
      <c r="M641" s="59"/>
      <c r="N641" s="59"/>
      <c r="O641" s="59"/>
      <c r="P641" s="59"/>
      <c r="Q641" s="59"/>
    </row>
    <row r="642" spans="2:17" outlineLevel="1" x14ac:dyDescent="0.2">
      <c r="B642" s="59"/>
      <c r="C642" s="59"/>
      <c r="D642" s="59"/>
      <c r="E642" s="59"/>
      <c r="F642" s="59"/>
      <c r="G642" s="59"/>
      <c r="H642" s="541"/>
      <c r="I642" s="617">
        <f t="shared" si="9"/>
        <v>0</v>
      </c>
      <c r="J642" s="59"/>
      <c r="K642" s="59"/>
      <c r="L642" s="59"/>
      <c r="M642" s="59"/>
      <c r="N642" s="59"/>
      <c r="O642" s="59"/>
      <c r="P642" s="59"/>
      <c r="Q642" s="59"/>
    </row>
    <row r="643" spans="2:17" outlineLevel="1" x14ac:dyDescent="0.2">
      <c r="B643" s="59"/>
      <c r="C643" s="59"/>
      <c r="D643" s="59"/>
      <c r="E643" s="59"/>
      <c r="F643" s="59"/>
      <c r="G643" s="59"/>
      <c r="H643" s="541"/>
      <c r="I643" s="617">
        <f t="shared" si="9"/>
        <v>0</v>
      </c>
      <c r="J643" s="59"/>
      <c r="K643" s="59"/>
      <c r="L643" s="59"/>
      <c r="M643" s="59"/>
      <c r="N643" s="59"/>
      <c r="O643" s="59"/>
      <c r="P643" s="59"/>
      <c r="Q643" s="59"/>
    </row>
    <row r="644" spans="2:17" outlineLevel="1" x14ac:dyDescent="0.2">
      <c r="B644" s="59"/>
      <c r="C644" s="59"/>
      <c r="D644" s="59"/>
      <c r="E644" s="59"/>
      <c r="F644" s="59"/>
      <c r="G644" s="59"/>
      <c r="H644" s="541"/>
      <c r="I644" s="617">
        <f t="shared" si="9"/>
        <v>0</v>
      </c>
      <c r="J644" s="59"/>
      <c r="K644" s="59"/>
      <c r="L644" s="59"/>
      <c r="M644" s="59"/>
      <c r="N644" s="59"/>
      <c r="O644" s="59"/>
      <c r="P644" s="59"/>
      <c r="Q644" s="59"/>
    </row>
    <row r="645" spans="2:17" outlineLevel="1" x14ac:dyDescent="0.2">
      <c r="B645" s="59"/>
      <c r="C645" s="59"/>
      <c r="D645" s="59"/>
      <c r="E645" s="59"/>
      <c r="F645" s="59"/>
      <c r="G645" s="59"/>
      <c r="H645" s="541"/>
      <c r="I645" s="617">
        <f t="shared" ref="I645:I708" si="10">G645*H645</f>
        <v>0</v>
      </c>
      <c r="J645" s="59"/>
      <c r="K645" s="59"/>
      <c r="L645" s="59"/>
      <c r="M645" s="59"/>
      <c r="N645" s="59"/>
      <c r="O645" s="59"/>
      <c r="P645" s="59"/>
      <c r="Q645" s="59"/>
    </row>
    <row r="646" spans="2:17" outlineLevel="1" x14ac:dyDescent="0.2">
      <c r="B646" s="59"/>
      <c r="C646" s="59"/>
      <c r="D646" s="59"/>
      <c r="E646" s="59"/>
      <c r="F646" s="59"/>
      <c r="G646" s="59"/>
      <c r="H646" s="541"/>
      <c r="I646" s="617">
        <f t="shared" si="10"/>
        <v>0</v>
      </c>
      <c r="J646" s="59"/>
      <c r="K646" s="59"/>
      <c r="L646" s="59"/>
      <c r="M646" s="59"/>
      <c r="N646" s="59"/>
      <c r="O646" s="59"/>
      <c r="P646" s="59"/>
      <c r="Q646" s="59"/>
    </row>
    <row r="647" spans="2:17" outlineLevel="1" x14ac:dyDescent="0.2">
      <c r="B647" s="59"/>
      <c r="C647" s="59"/>
      <c r="D647" s="59"/>
      <c r="E647" s="59"/>
      <c r="F647" s="59"/>
      <c r="G647" s="59"/>
      <c r="H647" s="541"/>
      <c r="I647" s="617">
        <f t="shared" si="10"/>
        <v>0</v>
      </c>
      <c r="J647" s="59"/>
      <c r="K647" s="59"/>
      <c r="L647" s="59"/>
      <c r="M647" s="59"/>
      <c r="N647" s="59"/>
      <c r="O647" s="59"/>
      <c r="P647" s="59"/>
      <c r="Q647" s="59"/>
    </row>
    <row r="648" spans="2:17" outlineLevel="1" x14ac:dyDescent="0.2">
      <c r="B648" s="59"/>
      <c r="C648" s="59"/>
      <c r="D648" s="59"/>
      <c r="E648" s="59"/>
      <c r="F648" s="59"/>
      <c r="G648" s="59"/>
      <c r="H648" s="541"/>
      <c r="I648" s="617">
        <f t="shared" si="10"/>
        <v>0</v>
      </c>
      <c r="J648" s="59"/>
      <c r="K648" s="59"/>
      <c r="L648" s="59"/>
      <c r="M648" s="59"/>
      <c r="N648" s="59"/>
      <c r="O648" s="59"/>
      <c r="P648" s="59"/>
      <c r="Q648" s="59"/>
    </row>
    <row r="649" spans="2:17" outlineLevel="1" x14ac:dyDescent="0.2">
      <c r="B649" s="59"/>
      <c r="C649" s="59"/>
      <c r="D649" s="59"/>
      <c r="E649" s="59"/>
      <c r="F649" s="59"/>
      <c r="G649" s="59"/>
      <c r="H649" s="541"/>
      <c r="I649" s="617">
        <f t="shared" si="10"/>
        <v>0</v>
      </c>
      <c r="J649" s="59"/>
      <c r="K649" s="59"/>
      <c r="L649" s="59"/>
      <c r="M649" s="59"/>
      <c r="N649" s="59"/>
      <c r="O649" s="59"/>
      <c r="P649" s="59"/>
      <c r="Q649" s="59"/>
    </row>
    <row r="650" spans="2:17" outlineLevel="1" x14ac:dyDescent="0.2">
      <c r="B650" s="59"/>
      <c r="C650" s="59"/>
      <c r="D650" s="59"/>
      <c r="E650" s="59"/>
      <c r="F650" s="59"/>
      <c r="G650" s="59"/>
      <c r="H650" s="541"/>
      <c r="I650" s="617">
        <f t="shared" si="10"/>
        <v>0</v>
      </c>
      <c r="J650" s="59"/>
      <c r="K650" s="59"/>
      <c r="L650" s="59"/>
      <c r="M650" s="59"/>
      <c r="N650" s="59"/>
      <c r="O650" s="59"/>
      <c r="P650" s="59"/>
      <c r="Q650" s="59"/>
    </row>
    <row r="651" spans="2:17" outlineLevel="1" x14ac:dyDescent="0.2">
      <c r="B651" s="59"/>
      <c r="C651" s="59"/>
      <c r="D651" s="59"/>
      <c r="E651" s="59"/>
      <c r="F651" s="59"/>
      <c r="G651" s="59"/>
      <c r="H651" s="541"/>
      <c r="I651" s="617">
        <f t="shared" si="10"/>
        <v>0</v>
      </c>
      <c r="J651" s="59"/>
      <c r="K651" s="59"/>
      <c r="L651" s="59"/>
      <c r="M651" s="59"/>
      <c r="N651" s="59"/>
      <c r="O651" s="59"/>
      <c r="P651" s="59"/>
      <c r="Q651" s="59"/>
    </row>
    <row r="652" spans="2:17" outlineLevel="1" x14ac:dyDescent="0.2">
      <c r="B652" s="59"/>
      <c r="C652" s="59"/>
      <c r="D652" s="59"/>
      <c r="E652" s="59"/>
      <c r="F652" s="59"/>
      <c r="G652" s="59"/>
      <c r="H652" s="541"/>
      <c r="I652" s="617">
        <f t="shared" si="10"/>
        <v>0</v>
      </c>
      <c r="J652" s="59"/>
      <c r="K652" s="59"/>
      <c r="L652" s="59"/>
      <c r="M652" s="59"/>
      <c r="N652" s="59"/>
      <c r="O652" s="59"/>
      <c r="P652" s="59"/>
      <c r="Q652" s="59"/>
    </row>
    <row r="653" spans="2:17" outlineLevel="1" x14ac:dyDescent="0.2">
      <c r="B653" s="59"/>
      <c r="C653" s="59"/>
      <c r="D653" s="59"/>
      <c r="E653" s="59"/>
      <c r="F653" s="59"/>
      <c r="G653" s="59"/>
      <c r="H653" s="541"/>
      <c r="I653" s="617">
        <f t="shared" si="10"/>
        <v>0</v>
      </c>
      <c r="J653" s="59"/>
      <c r="K653" s="59"/>
      <c r="L653" s="59"/>
      <c r="M653" s="59"/>
      <c r="N653" s="59"/>
      <c r="O653" s="59"/>
      <c r="P653" s="59"/>
      <c r="Q653" s="59"/>
    </row>
    <row r="654" spans="2:17" outlineLevel="1" x14ac:dyDescent="0.2">
      <c r="B654" s="59"/>
      <c r="C654" s="59"/>
      <c r="D654" s="59"/>
      <c r="E654" s="59"/>
      <c r="F654" s="59"/>
      <c r="G654" s="59"/>
      <c r="H654" s="541"/>
      <c r="I654" s="617">
        <f t="shared" si="10"/>
        <v>0</v>
      </c>
      <c r="J654" s="59"/>
      <c r="K654" s="59"/>
      <c r="L654" s="59"/>
      <c r="M654" s="59"/>
      <c r="N654" s="59"/>
      <c r="O654" s="59"/>
      <c r="P654" s="59"/>
      <c r="Q654" s="59"/>
    </row>
    <row r="655" spans="2:17" outlineLevel="1" x14ac:dyDescent="0.2">
      <c r="B655" s="59"/>
      <c r="C655" s="59"/>
      <c r="D655" s="59"/>
      <c r="E655" s="59"/>
      <c r="F655" s="59"/>
      <c r="G655" s="59"/>
      <c r="H655" s="541"/>
      <c r="I655" s="617">
        <f t="shared" si="10"/>
        <v>0</v>
      </c>
      <c r="J655" s="59"/>
      <c r="K655" s="59"/>
      <c r="L655" s="59"/>
      <c r="M655" s="59"/>
      <c r="N655" s="59"/>
      <c r="O655" s="59"/>
      <c r="P655" s="59"/>
      <c r="Q655" s="59"/>
    </row>
    <row r="656" spans="2:17" outlineLevel="1" x14ac:dyDescent="0.2">
      <c r="B656" s="59"/>
      <c r="C656" s="59"/>
      <c r="D656" s="59"/>
      <c r="E656" s="59"/>
      <c r="F656" s="59"/>
      <c r="G656" s="59"/>
      <c r="H656" s="541"/>
      <c r="I656" s="617">
        <f t="shared" si="10"/>
        <v>0</v>
      </c>
      <c r="J656" s="59"/>
      <c r="K656" s="59"/>
      <c r="L656" s="59"/>
      <c r="M656" s="59"/>
      <c r="N656" s="59"/>
      <c r="O656" s="59"/>
      <c r="P656" s="59"/>
      <c r="Q656" s="59"/>
    </row>
    <row r="657" spans="2:17" outlineLevel="1" x14ac:dyDescent="0.2">
      <c r="B657" s="59"/>
      <c r="C657" s="59"/>
      <c r="D657" s="59"/>
      <c r="E657" s="59"/>
      <c r="F657" s="59"/>
      <c r="G657" s="59"/>
      <c r="H657" s="541"/>
      <c r="I657" s="617">
        <f t="shared" si="10"/>
        <v>0</v>
      </c>
      <c r="J657" s="59"/>
      <c r="K657" s="59"/>
      <c r="L657" s="59"/>
      <c r="M657" s="59"/>
      <c r="N657" s="59"/>
      <c r="O657" s="59"/>
      <c r="P657" s="59"/>
      <c r="Q657" s="59"/>
    </row>
    <row r="658" spans="2:17" outlineLevel="1" x14ac:dyDescent="0.2">
      <c r="B658" s="59"/>
      <c r="C658" s="59"/>
      <c r="D658" s="59"/>
      <c r="E658" s="59"/>
      <c r="F658" s="59"/>
      <c r="G658" s="59"/>
      <c r="H658" s="541"/>
      <c r="I658" s="617">
        <f t="shared" si="10"/>
        <v>0</v>
      </c>
      <c r="J658" s="59"/>
      <c r="K658" s="59"/>
      <c r="L658" s="59"/>
      <c r="M658" s="59"/>
      <c r="N658" s="59"/>
      <c r="O658" s="59"/>
      <c r="P658" s="59"/>
      <c r="Q658" s="59"/>
    </row>
    <row r="659" spans="2:17" outlineLevel="1" x14ac:dyDescent="0.2">
      <c r="B659" s="59"/>
      <c r="C659" s="59"/>
      <c r="D659" s="59"/>
      <c r="E659" s="59"/>
      <c r="F659" s="59"/>
      <c r="G659" s="59"/>
      <c r="H659" s="541"/>
      <c r="I659" s="617">
        <f t="shared" si="10"/>
        <v>0</v>
      </c>
      <c r="J659" s="59"/>
      <c r="K659" s="59"/>
      <c r="L659" s="59"/>
      <c r="M659" s="59"/>
      <c r="N659" s="59"/>
      <c r="O659" s="59"/>
      <c r="P659" s="59"/>
      <c r="Q659" s="59"/>
    </row>
    <row r="660" spans="2:17" outlineLevel="1" x14ac:dyDescent="0.2">
      <c r="B660" s="59"/>
      <c r="C660" s="59"/>
      <c r="D660" s="59"/>
      <c r="E660" s="59"/>
      <c r="F660" s="59"/>
      <c r="G660" s="59"/>
      <c r="H660" s="541"/>
      <c r="I660" s="617">
        <f t="shared" si="10"/>
        <v>0</v>
      </c>
      <c r="J660" s="59"/>
      <c r="K660" s="59"/>
      <c r="L660" s="59"/>
      <c r="M660" s="59"/>
      <c r="N660" s="59"/>
      <c r="O660" s="59"/>
      <c r="P660" s="59"/>
      <c r="Q660" s="59"/>
    </row>
    <row r="661" spans="2:17" outlineLevel="1" x14ac:dyDescent="0.2">
      <c r="B661" s="59"/>
      <c r="C661" s="59"/>
      <c r="D661" s="59"/>
      <c r="E661" s="59"/>
      <c r="F661" s="59"/>
      <c r="G661" s="59"/>
      <c r="H661" s="541"/>
      <c r="I661" s="617">
        <f t="shared" si="10"/>
        <v>0</v>
      </c>
      <c r="J661" s="59"/>
      <c r="K661" s="59"/>
      <c r="L661" s="59"/>
      <c r="M661" s="59"/>
      <c r="N661" s="59"/>
      <c r="O661" s="59"/>
      <c r="P661" s="59"/>
      <c r="Q661" s="59"/>
    </row>
    <row r="662" spans="2:17" outlineLevel="1" x14ac:dyDescent="0.2">
      <c r="B662" s="59"/>
      <c r="C662" s="59"/>
      <c r="D662" s="59"/>
      <c r="E662" s="59"/>
      <c r="F662" s="59"/>
      <c r="G662" s="59"/>
      <c r="H662" s="541"/>
      <c r="I662" s="617">
        <f t="shared" si="10"/>
        <v>0</v>
      </c>
      <c r="J662" s="59"/>
      <c r="K662" s="59"/>
      <c r="L662" s="59"/>
      <c r="M662" s="59"/>
      <c r="N662" s="59"/>
      <c r="O662" s="59"/>
      <c r="P662" s="59"/>
      <c r="Q662" s="59"/>
    </row>
    <row r="663" spans="2:17" outlineLevel="1" x14ac:dyDescent="0.2">
      <c r="B663" s="59"/>
      <c r="C663" s="59"/>
      <c r="D663" s="59"/>
      <c r="E663" s="59"/>
      <c r="F663" s="59"/>
      <c r="G663" s="59"/>
      <c r="H663" s="541"/>
      <c r="I663" s="617">
        <f t="shared" si="10"/>
        <v>0</v>
      </c>
      <c r="J663" s="59"/>
      <c r="K663" s="59"/>
      <c r="L663" s="59"/>
      <c r="M663" s="59"/>
      <c r="N663" s="59"/>
      <c r="O663" s="59"/>
      <c r="P663" s="59"/>
      <c r="Q663" s="59"/>
    </row>
    <row r="664" spans="2:17" outlineLevel="1" x14ac:dyDescent="0.2">
      <c r="B664" s="59"/>
      <c r="C664" s="59"/>
      <c r="D664" s="59"/>
      <c r="E664" s="59"/>
      <c r="F664" s="59"/>
      <c r="G664" s="59"/>
      <c r="H664" s="541"/>
      <c r="I664" s="617">
        <f t="shared" si="10"/>
        <v>0</v>
      </c>
      <c r="J664" s="59"/>
      <c r="K664" s="59"/>
      <c r="L664" s="59"/>
      <c r="M664" s="59"/>
      <c r="N664" s="59"/>
      <c r="O664" s="59"/>
      <c r="P664" s="59"/>
      <c r="Q664" s="59"/>
    </row>
    <row r="665" spans="2:17" outlineLevel="1" x14ac:dyDescent="0.2">
      <c r="B665" s="59"/>
      <c r="C665" s="59"/>
      <c r="D665" s="59"/>
      <c r="E665" s="59"/>
      <c r="F665" s="59"/>
      <c r="G665" s="59"/>
      <c r="H665" s="541"/>
      <c r="I665" s="617">
        <f t="shared" si="10"/>
        <v>0</v>
      </c>
      <c r="J665" s="59"/>
      <c r="K665" s="59"/>
      <c r="L665" s="59"/>
      <c r="M665" s="59"/>
      <c r="N665" s="59"/>
      <c r="O665" s="59"/>
      <c r="P665" s="59"/>
      <c r="Q665" s="59"/>
    </row>
    <row r="666" spans="2:17" outlineLevel="1" x14ac:dyDescent="0.2">
      <c r="B666" s="59"/>
      <c r="C666" s="59"/>
      <c r="D666" s="59"/>
      <c r="E666" s="59"/>
      <c r="F666" s="59"/>
      <c r="G666" s="59"/>
      <c r="H666" s="541"/>
      <c r="I666" s="617">
        <f t="shared" si="10"/>
        <v>0</v>
      </c>
      <c r="J666" s="59"/>
      <c r="K666" s="59"/>
      <c r="L666" s="59"/>
      <c r="M666" s="59"/>
      <c r="N666" s="59"/>
      <c r="O666" s="59"/>
      <c r="P666" s="59"/>
      <c r="Q666" s="59"/>
    </row>
    <row r="667" spans="2:17" outlineLevel="1" x14ac:dyDescent="0.2">
      <c r="B667" s="59"/>
      <c r="C667" s="59"/>
      <c r="D667" s="59"/>
      <c r="E667" s="59"/>
      <c r="F667" s="59"/>
      <c r="G667" s="59"/>
      <c r="H667" s="541"/>
      <c r="I667" s="617">
        <f t="shared" si="10"/>
        <v>0</v>
      </c>
      <c r="J667" s="59"/>
      <c r="K667" s="59"/>
      <c r="L667" s="59"/>
      <c r="M667" s="59"/>
      <c r="N667" s="59"/>
      <c r="O667" s="59"/>
      <c r="P667" s="59"/>
      <c r="Q667" s="59"/>
    </row>
    <row r="668" spans="2:17" outlineLevel="1" x14ac:dyDescent="0.2">
      <c r="B668" s="59"/>
      <c r="C668" s="59"/>
      <c r="D668" s="59"/>
      <c r="E668" s="59"/>
      <c r="F668" s="59"/>
      <c r="G668" s="59"/>
      <c r="H668" s="541"/>
      <c r="I668" s="617">
        <f t="shared" si="10"/>
        <v>0</v>
      </c>
      <c r="J668" s="59"/>
      <c r="K668" s="59"/>
      <c r="L668" s="59"/>
      <c r="M668" s="59"/>
      <c r="N668" s="59"/>
      <c r="O668" s="59"/>
      <c r="P668" s="59"/>
      <c r="Q668" s="59"/>
    </row>
    <row r="669" spans="2:17" outlineLevel="1" x14ac:dyDescent="0.2">
      <c r="B669" s="59"/>
      <c r="C669" s="59"/>
      <c r="D669" s="59"/>
      <c r="E669" s="59"/>
      <c r="F669" s="59"/>
      <c r="G669" s="59"/>
      <c r="H669" s="541"/>
      <c r="I669" s="617">
        <f t="shared" si="10"/>
        <v>0</v>
      </c>
      <c r="J669" s="59"/>
      <c r="K669" s="59"/>
      <c r="L669" s="59"/>
      <c r="M669" s="59"/>
      <c r="N669" s="59"/>
      <c r="O669" s="59"/>
      <c r="P669" s="59"/>
      <c r="Q669" s="59"/>
    </row>
    <row r="670" spans="2:17" outlineLevel="1" x14ac:dyDescent="0.2">
      <c r="B670" s="59"/>
      <c r="C670" s="59"/>
      <c r="D670" s="59"/>
      <c r="E670" s="59"/>
      <c r="F670" s="59"/>
      <c r="G670" s="59"/>
      <c r="H670" s="541"/>
      <c r="I670" s="617">
        <f t="shared" si="10"/>
        <v>0</v>
      </c>
      <c r="J670" s="59"/>
      <c r="K670" s="59"/>
      <c r="L670" s="59"/>
      <c r="M670" s="59"/>
      <c r="N670" s="59"/>
      <c r="O670" s="59"/>
      <c r="P670" s="59"/>
      <c r="Q670" s="59"/>
    </row>
    <row r="671" spans="2:17" outlineLevel="1" x14ac:dyDescent="0.2">
      <c r="B671" s="59"/>
      <c r="C671" s="59"/>
      <c r="D671" s="59"/>
      <c r="E671" s="59"/>
      <c r="F671" s="59"/>
      <c r="G671" s="59"/>
      <c r="H671" s="541"/>
      <c r="I671" s="617">
        <f t="shared" si="10"/>
        <v>0</v>
      </c>
      <c r="J671" s="59"/>
      <c r="K671" s="59"/>
      <c r="L671" s="59"/>
      <c r="M671" s="59"/>
      <c r="N671" s="59"/>
      <c r="O671" s="59"/>
      <c r="P671" s="59"/>
      <c r="Q671" s="59"/>
    </row>
    <row r="672" spans="2:17" outlineLevel="1" x14ac:dyDescent="0.2">
      <c r="B672" s="59"/>
      <c r="C672" s="59"/>
      <c r="D672" s="59"/>
      <c r="E672" s="59"/>
      <c r="F672" s="59"/>
      <c r="G672" s="59"/>
      <c r="H672" s="541"/>
      <c r="I672" s="617">
        <f t="shared" si="10"/>
        <v>0</v>
      </c>
      <c r="J672" s="59"/>
      <c r="K672" s="59"/>
      <c r="L672" s="59"/>
      <c r="M672" s="59"/>
      <c r="N672" s="59"/>
      <c r="O672" s="59"/>
      <c r="P672" s="59"/>
      <c r="Q672" s="59"/>
    </row>
    <row r="673" spans="2:17" outlineLevel="1" x14ac:dyDescent="0.2">
      <c r="B673" s="59"/>
      <c r="C673" s="59"/>
      <c r="D673" s="59"/>
      <c r="E673" s="59"/>
      <c r="F673" s="59"/>
      <c r="G673" s="59"/>
      <c r="H673" s="541"/>
      <c r="I673" s="617">
        <f t="shared" si="10"/>
        <v>0</v>
      </c>
      <c r="J673" s="59"/>
      <c r="K673" s="59"/>
      <c r="L673" s="59"/>
      <c r="M673" s="59"/>
      <c r="N673" s="59"/>
      <c r="O673" s="59"/>
      <c r="P673" s="59"/>
      <c r="Q673" s="59"/>
    </row>
    <row r="674" spans="2:17" outlineLevel="1" x14ac:dyDescent="0.2">
      <c r="B674" s="59"/>
      <c r="C674" s="59"/>
      <c r="D674" s="59"/>
      <c r="E674" s="59"/>
      <c r="F674" s="59"/>
      <c r="G674" s="59"/>
      <c r="H674" s="541"/>
      <c r="I674" s="617">
        <f t="shared" si="10"/>
        <v>0</v>
      </c>
      <c r="J674" s="59"/>
      <c r="K674" s="59"/>
      <c r="L674" s="59"/>
      <c r="M674" s="59"/>
      <c r="N674" s="59"/>
      <c r="O674" s="59"/>
      <c r="P674" s="59"/>
      <c r="Q674" s="59"/>
    </row>
    <row r="675" spans="2:17" outlineLevel="1" x14ac:dyDescent="0.2">
      <c r="B675" s="59"/>
      <c r="C675" s="59"/>
      <c r="D675" s="59"/>
      <c r="E675" s="59"/>
      <c r="F675" s="59"/>
      <c r="G675" s="59"/>
      <c r="H675" s="541"/>
      <c r="I675" s="617">
        <f t="shared" si="10"/>
        <v>0</v>
      </c>
      <c r="J675" s="59"/>
      <c r="K675" s="59"/>
      <c r="L675" s="59"/>
      <c r="M675" s="59"/>
      <c r="N675" s="59"/>
      <c r="O675" s="59"/>
      <c r="P675" s="59"/>
      <c r="Q675" s="59"/>
    </row>
    <row r="676" spans="2:17" outlineLevel="1" x14ac:dyDescent="0.2">
      <c r="B676" s="59"/>
      <c r="C676" s="59"/>
      <c r="D676" s="59"/>
      <c r="E676" s="59"/>
      <c r="F676" s="59"/>
      <c r="G676" s="59"/>
      <c r="H676" s="541"/>
      <c r="I676" s="617">
        <f t="shared" si="10"/>
        <v>0</v>
      </c>
      <c r="J676" s="59"/>
      <c r="K676" s="59"/>
      <c r="L676" s="59"/>
      <c r="M676" s="59"/>
      <c r="N676" s="59"/>
      <c r="O676" s="59"/>
      <c r="P676" s="59"/>
      <c r="Q676" s="59"/>
    </row>
    <row r="677" spans="2:17" outlineLevel="1" x14ac:dyDescent="0.2">
      <c r="B677" s="59"/>
      <c r="C677" s="59"/>
      <c r="D677" s="59"/>
      <c r="E677" s="59"/>
      <c r="F677" s="59"/>
      <c r="G677" s="59"/>
      <c r="H677" s="541"/>
      <c r="I677" s="617">
        <f t="shared" si="10"/>
        <v>0</v>
      </c>
      <c r="J677" s="59"/>
      <c r="K677" s="59"/>
      <c r="L677" s="59"/>
      <c r="M677" s="59"/>
      <c r="N677" s="59"/>
      <c r="O677" s="59"/>
      <c r="P677" s="59"/>
      <c r="Q677" s="59"/>
    </row>
    <row r="678" spans="2:17" outlineLevel="1" x14ac:dyDescent="0.2">
      <c r="B678" s="59"/>
      <c r="C678" s="59"/>
      <c r="D678" s="59"/>
      <c r="E678" s="59"/>
      <c r="F678" s="59"/>
      <c r="G678" s="59"/>
      <c r="H678" s="541"/>
      <c r="I678" s="617">
        <f t="shared" si="10"/>
        <v>0</v>
      </c>
      <c r="J678" s="59"/>
      <c r="K678" s="59"/>
      <c r="L678" s="59"/>
      <c r="M678" s="59"/>
      <c r="N678" s="59"/>
      <c r="O678" s="59"/>
      <c r="P678" s="59"/>
      <c r="Q678" s="59"/>
    </row>
    <row r="679" spans="2:17" outlineLevel="1" x14ac:dyDescent="0.2">
      <c r="B679" s="59"/>
      <c r="C679" s="59"/>
      <c r="D679" s="59"/>
      <c r="E679" s="59"/>
      <c r="F679" s="59"/>
      <c r="G679" s="59"/>
      <c r="H679" s="541"/>
      <c r="I679" s="617">
        <f t="shared" si="10"/>
        <v>0</v>
      </c>
      <c r="J679" s="59"/>
      <c r="K679" s="59"/>
      <c r="L679" s="59"/>
      <c r="M679" s="59"/>
      <c r="N679" s="59"/>
      <c r="O679" s="59"/>
      <c r="P679" s="59"/>
      <c r="Q679" s="59"/>
    </row>
    <row r="680" spans="2:17" outlineLevel="1" x14ac:dyDescent="0.2">
      <c r="B680" s="59"/>
      <c r="C680" s="59"/>
      <c r="D680" s="59"/>
      <c r="E680" s="59"/>
      <c r="F680" s="59"/>
      <c r="G680" s="59"/>
      <c r="H680" s="541"/>
      <c r="I680" s="617">
        <f t="shared" si="10"/>
        <v>0</v>
      </c>
      <c r="J680" s="59"/>
      <c r="K680" s="59"/>
      <c r="L680" s="59"/>
      <c r="M680" s="59"/>
      <c r="N680" s="59"/>
      <c r="O680" s="59"/>
      <c r="P680" s="59"/>
      <c r="Q680" s="59"/>
    </row>
    <row r="681" spans="2:17" outlineLevel="1" x14ac:dyDescent="0.2">
      <c r="B681" s="59"/>
      <c r="C681" s="59"/>
      <c r="D681" s="59"/>
      <c r="E681" s="59"/>
      <c r="F681" s="59"/>
      <c r="G681" s="59"/>
      <c r="H681" s="541"/>
      <c r="I681" s="617">
        <f t="shared" si="10"/>
        <v>0</v>
      </c>
      <c r="J681" s="59"/>
      <c r="K681" s="59"/>
      <c r="L681" s="59"/>
      <c r="M681" s="59"/>
      <c r="N681" s="59"/>
      <c r="O681" s="59"/>
      <c r="P681" s="59"/>
      <c r="Q681" s="59"/>
    </row>
    <row r="682" spans="2:17" outlineLevel="1" x14ac:dyDescent="0.2">
      <c r="B682" s="59"/>
      <c r="C682" s="59"/>
      <c r="D682" s="59"/>
      <c r="E682" s="59"/>
      <c r="F682" s="59"/>
      <c r="G682" s="59"/>
      <c r="H682" s="541"/>
      <c r="I682" s="617">
        <f t="shared" si="10"/>
        <v>0</v>
      </c>
      <c r="J682" s="59"/>
      <c r="K682" s="59"/>
      <c r="L682" s="59"/>
      <c r="M682" s="59"/>
      <c r="N682" s="59"/>
      <c r="O682" s="59"/>
      <c r="P682" s="59"/>
      <c r="Q682" s="59"/>
    </row>
    <row r="683" spans="2:17" outlineLevel="1" x14ac:dyDescent="0.2">
      <c r="B683" s="59"/>
      <c r="C683" s="59"/>
      <c r="D683" s="59"/>
      <c r="E683" s="59"/>
      <c r="F683" s="59"/>
      <c r="G683" s="59"/>
      <c r="H683" s="541"/>
      <c r="I683" s="617">
        <f t="shared" si="10"/>
        <v>0</v>
      </c>
      <c r="J683" s="59"/>
      <c r="K683" s="59"/>
      <c r="L683" s="59"/>
      <c r="M683" s="59"/>
      <c r="N683" s="59"/>
      <c r="O683" s="59"/>
      <c r="P683" s="59"/>
      <c r="Q683" s="59"/>
    </row>
    <row r="684" spans="2:17" outlineLevel="1" x14ac:dyDescent="0.2">
      <c r="B684" s="59"/>
      <c r="C684" s="59"/>
      <c r="D684" s="59"/>
      <c r="E684" s="59"/>
      <c r="F684" s="59"/>
      <c r="G684" s="59"/>
      <c r="H684" s="541"/>
      <c r="I684" s="617">
        <f t="shared" si="10"/>
        <v>0</v>
      </c>
      <c r="J684" s="59"/>
      <c r="K684" s="59"/>
      <c r="L684" s="59"/>
      <c r="M684" s="59"/>
      <c r="N684" s="59"/>
      <c r="O684" s="59"/>
      <c r="P684" s="59"/>
      <c r="Q684" s="59"/>
    </row>
    <row r="685" spans="2:17" outlineLevel="1" x14ac:dyDescent="0.2">
      <c r="B685" s="59"/>
      <c r="C685" s="59"/>
      <c r="D685" s="59"/>
      <c r="E685" s="59"/>
      <c r="F685" s="59"/>
      <c r="G685" s="59"/>
      <c r="H685" s="541"/>
      <c r="I685" s="617">
        <f t="shared" si="10"/>
        <v>0</v>
      </c>
      <c r="J685" s="59"/>
      <c r="K685" s="59"/>
      <c r="L685" s="59"/>
      <c r="M685" s="59"/>
      <c r="N685" s="59"/>
      <c r="O685" s="59"/>
      <c r="P685" s="59"/>
      <c r="Q685" s="59"/>
    </row>
    <row r="686" spans="2:17" outlineLevel="1" x14ac:dyDescent="0.2">
      <c r="B686" s="59"/>
      <c r="C686" s="59"/>
      <c r="D686" s="59"/>
      <c r="E686" s="59"/>
      <c r="F686" s="59"/>
      <c r="G686" s="59"/>
      <c r="H686" s="541"/>
      <c r="I686" s="617">
        <f t="shared" si="10"/>
        <v>0</v>
      </c>
      <c r="J686" s="59"/>
      <c r="K686" s="59"/>
      <c r="L686" s="59"/>
      <c r="M686" s="59"/>
      <c r="N686" s="59"/>
      <c r="O686" s="59"/>
      <c r="P686" s="59"/>
      <c r="Q686" s="59"/>
    </row>
    <row r="687" spans="2:17" outlineLevel="1" x14ac:dyDescent="0.2">
      <c r="B687" s="59"/>
      <c r="C687" s="59"/>
      <c r="D687" s="59"/>
      <c r="E687" s="59"/>
      <c r="F687" s="59"/>
      <c r="G687" s="59"/>
      <c r="H687" s="541"/>
      <c r="I687" s="617">
        <f t="shared" si="10"/>
        <v>0</v>
      </c>
      <c r="J687" s="59"/>
      <c r="K687" s="59"/>
      <c r="L687" s="59"/>
      <c r="M687" s="59"/>
      <c r="N687" s="59"/>
      <c r="O687" s="59"/>
      <c r="P687" s="59"/>
      <c r="Q687" s="59"/>
    </row>
    <row r="688" spans="2:17" outlineLevel="1" x14ac:dyDescent="0.2">
      <c r="B688" s="59"/>
      <c r="C688" s="59"/>
      <c r="D688" s="59"/>
      <c r="E688" s="59"/>
      <c r="F688" s="59"/>
      <c r="G688" s="59"/>
      <c r="H688" s="541"/>
      <c r="I688" s="617">
        <f t="shared" si="10"/>
        <v>0</v>
      </c>
      <c r="J688" s="59"/>
      <c r="K688" s="59"/>
      <c r="L688" s="59"/>
      <c r="M688" s="59"/>
      <c r="N688" s="59"/>
      <c r="O688" s="59"/>
      <c r="P688" s="59"/>
      <c r="Q688" s="59"/>
    </row>
    <row r="689" spans="2:17" outlineLevel="1" x14ac:dyDescent="0.2">
      <c r="B689" s="59"/>
      <c r="C689" s="59"/>
      <c r="D689" s="59"/>
      <c r="E689" s="59"/>
      <c r="F689" s="59"/>
      <c r="G689" s="59"/>
      <c r="H689" s="541"/>
      <c r="I689" s="617">
        <f t="shared" si="10"/>
        <v>0</v>
      </c>
      <c r="J689" s="59"/>
      <c r="K689" s="59"/>
      <c r="L689" s="59"/>
      <c r="M689" s="59"/>
      <c r="N689" s="59"/>
      <c r="O689" s="59"/>
      <c r="P689" s="59"/>
      <c r="Q689" s="59"/>
    </row>
    <row r="690" spans="2:17" outlineLevel="1" x14ac:dyDescent="0.2">
      <c r="B690" s="59"/>
      <c r="C690" s="59"/>
      <c r="D690" s="59"/>
      <c r="E690" s="59"/>
      <c r="F690" s="59"/>
      <c r="G690" s="59"/>
      <c r="H690" s="541"/>
      <c r="I690" s="617">
        <f t="shared" si="10"/>
        <v>0</v>
      </c>
      <c r="J690" s="59"/>
      <c r="K690" s="59"/>
      <c r="L690" s="59"/>
      <c r="M690" s="59"/>
      <c r="N690" s="59"/>
      <c r="O690" s="59"/>
      <c r="P690" s="59"/>
      <c r="Q690" s="59"/>
    </row>
    <row r="691" spans="2:17" outlineLevel="1" x14ac:dyDescent="0.2">
      <c r="B691" s="59"/>
      <c r="C691" s="59"/>
      <c r="D691" s="59"/>
      <c r="E691" s="59"/>
      <c r="F691" s="59"/>
      <c r="G691" s="59"/>
      <c r="H691" s="541"/>
      <c r="I691" s="617">
        <f t="shared" si="10"/>
        <v>0</v>
      </c>
      <c r="J691" s="59"/>
      <c r="K691" s="59"/>
      <c r="L691" s="59"/>
      <c r="M691" s="59"/>
      <c r="N691" s="59"/>
      <c r="O691" s="59"/>
      <c r="P691" s="59"/>
      <c r="Q691" s="59"/>
    </row>
    <row r="692" spans="2:17" outlineLevel="1" x14ac:dyDescent="0.2">
      <c r="B692" s="59"/>
      <c r="C692" s="59"/>
      <c r="D692" s="59"/>
      <c r="E692" s="59"/>
      <c r="F692" s="59"/>
      <c r="G692" s="59"/>
      <c r="H692" s="541"/>
      <c r="I692" s="617">
        <f t="shared" si="10"/>
        <v>0</v>
      </c>
      <c r="J692" s="59"/>
      <c r="K692" s="59"/>
      <c r="L692" s="59"/>
      <c r="M692" s="59"/>
      <c r="N692" s="59"/>
      <c r="O692" s="59"/>
      <c r="P692" s="59"/>
      <c r="Q692" s="59"/>
    </row>
    <row r="693" spans="2:17" outlineLevel="1" x14ac:dyDescent="0.2">
      <c r="B693" s="59"/>
      <c r="C693" s="59"/>
      <c r="D693" s="59"/>
      <c r="E693" s="59"/>
      <c r="F693" s="59"/>
      <c r="G693" s="59"/>
      <c r="H693" s="541"/>
      <c r="I693" s="617">
        <f t="shared" si="10"/>
        <v>0</v>
      </c>
      <c r="J693" s="59"/>
      <c r="K693" s="59"/>
      <c r="L693" s="59"/>
      <c r="M693" s="59"/>
      <c r="N693" s="59"/>
      <c r="O693" s="59"/>
      <c r="P693" s="59"/>
      <c r="Q693" s="59"/>
    </row>
    <row r="694" spans="2:17" outlineLevel="1" x14ac:dyDescent="0.2">
      <c r="B694" s="59"/>
      <c r="C694" s="59"/>
      <c r="D694" s="59"/>
      <c r="E694" s="59"/>
      <c r="F694" s="59"/>
      <c r="G694" s="59"/>
      <c r="H694" s="541"/>
      <c r="I694" s="617">
        <f t="shared" si="10"/>
        <v>0</v>
      </c>
      <c r="J694" s="59"/>
      <c r="K694" s="59"/>
      <c r="L694" s="59"/>
      <c r="M694" s="59"/>
      <c r="N694" s="59"/>
      <c r="O694" s="59"/>
      <c r="P694" s="59"/>
      <c r="Q694" s="59"/>
    </row>
    <row r="695" spans="2:17" outlineLevel="1" x14ac:dyDescent="0.2">
      <c r="B695" s="59"/>
      <c r="C695" s="59"/>
      <c r="D695" s="59"/>
      <c r="E695" s="59"/>
      <c r="F695" s="59"/>
      <c r="G695" s="59"/>
      <c r="H695" s="541"/>
      <c r="I695" s="617">
        <f t="shared" si="10"/>
        <v>0</v>
      </c>
      <c r="J695" s="59"/>
      <c r="K695" s="59"/>
      <c r="L695" s="59"/>
      <c r="M695" s="59"/>
      <c r="N695" s="59"/>
      <c r="O695" s="59"/>
      <c r="P695" s="59"/>
      <c r="Q695" s="59"/>
    </row>
    <row r="696" spans="2:17" outlineLevel="1" x14ac:dyDescent="0.2">
      <c r="B696" s="59"/>
      <c r="C696" s="59"/>
      <c r="D696" s="59"/>
      <c r="E696" s="59"/>
      <c r="F696" s="59"/>
      <c r="G696" s="59"/>
      <c r="H696" s="541"/>
      <c r="I696" s="617">
        <f t="shared" si="10"/>
        <v>0</v>
      </c>
      <c r="J696" s="59"/>
      <c r="K696" s="59"/>
      <c r="L696" s="59"/>
      <c r="M696" s="59"/>
      <c r="N696" s="59"/>
      <c r="O696" s="59"/>
      <c r="P696" s="59"/>
      <c r="Q696" s="59"/>
    </row>
    <row r="697" spans="2:17" outlineLevel="1" x14ac:dyDescent="0.2">
      <c r="B697" s="59"/>
      <c r="C697" s="59"/>
      <c r="D697" s="59"/>
      <c r="E697" s="59"/>
      <c r="F697" s="59"/>
      <c r="G697" s="59"/>
      <c r="H697" s="541"/>
      <c r="I697" s="617">
        <f t="shared" si="10"/>
        <v>0</v>
      </c>
      <c r="J697" s="59"/>
      <c r="K697" s="59"/>
      <c r="L697" s="59"/>
      <c r="M697" s="59"/>
      <c r="N697" s="59"/>
      <c r="O697" s="59"/>
      <c r="P697" s="59"/>
      <c r="Q697" s="59"/>
    </row>
    <row r="698" spans="2:17" outlineLevel="1" x14ac:dyDescent="0.2">
      <c r="B698" s="59"/>
      <c r="C698" s="59"/>
      <c r="D698" s="59"/>
      <c r="E698" s="59"/>
      <c r="F698" s="59"/>
      <c r="G698" s="59"/>
      <c r="H698" s="541"/>
      <c r="I698" s="617">
        <f t="shared" si="10"/>
        <v>0</v>
      </c>
      <c r="J698" s="59"/>
      <c r="K698" s="59"/>
      <c r="L698" s="59"/>
      <c r="M698" s="59"/>
      <c r="N698" s="59"/>
      <c r="O698" s="59"/>
      <c r="P698" s="59"/>
      <c r="Q698" s="59"/>
    </row>
    <row r="699" spans="2:17" outlineLevel="1" x14ac:dyDescent="0.2">
      <c r="B699" s="59"/>
      <c r="C699" s="59"/>
      <c r="D699" s="59"/>
      <c r="E699" s="59"/>
      <c r="F699" s="59"/>
      <c r="G699" s="59"/>
      <c r="H699" s="541"/>
      <c r="I699" s="617">
        <f t="shared" si="10"/>
        <v>0</v>
      </c>
      <c r="J699" s="59"/>
      <c r="K699" s="59"/>
      <c r="L699" s="59"/>
      <c r="M699" s="59"/>
      <c r="N699" s="59"/>
      <c r="O699" s="59"/>
      <c r="P699" s="59"/>
      <c r="Q699" s="59"/>
    </row>
    <row r="700" spans="2:17" outlineLevel="1" x14ac:dyDescent="0.2">
      <c r="B700" s="59"/>
      <c r="C700" s="59"/>
      <c r="D700" s="59"/>
      <c r="E700" s="59"/>
      <c r="F700" s="59"/>
      <c r="G700" s="59"/>
      <c r="H700" s="541"/>
      <c r="I700" s="617">
        <f t="shared" si="10"/>
        <v>0</v>
      </c>
      <c r="J700" s="59"/>
      <c r="K700" s="59"/>
      <c r="L700" s="59"/>
      <c r="M700" s="59"/>
      <c r="N700" s="59"/>
      <c r="O700" s="59"/>
      <c r="P700" s="59"/>
      <c r="Q700" s="59"/>
    </row>
    <row r="701" spans="2:17" outlineLevel="1" x14ac:dyDescent="0.2">
      <c r="B701" s="59"/>
      <c r="C701" s="59"/>
      <c r="D701" s="59"/>
      <c r="E701" s="59"/>
      <c r="F701" s="59"/>
      <c r="G701" s="59"/>
      <c r="H701" s="541"/>
      <c r="I701" s="617">
        <f t="shared" si="10"/>
        <v>0</v>
      </c>
      <c r="J701" s="59"/>
      <c r="K701" s="59"/>
      <c r="L701" s="59"/>
      <c r="M701" s="59"/>
      <c r="N701" s="59"/>
      <c r="O701" s="59"/>
      <c r="P701" s="59"/>
      <c r="Q701" s="59"/>
    </row>
    <row r="702" spans="2:17" outlineLevel="1" x14ac:dyDescent="0.2">
      <c r="B702" s="59"/>
      <c r="C702" s="59"/>
      <c r="D702" s="59"/>
      <c r="E702" s="59"/>
      <c r="F702" s="59"/>
      <c r="G702" s="59"/>
      <c r="H702" s="541"/>
      <c r="I702" s="617">
        <f t="shared" si="10"/>
        <v>0</v>
      </c>
      <c r="J702" s="59"/>
      <c r="K702" s="59"/>
      <c r="L702" s="59"/>
      <c r="M702" s="59"/>
      <c r="N702" s="59"/>
      <c r="O702" s="59"/>
      <c r="P702" s="59"/>
      <c r="Q702" s="59"/>
    </row>
    <row r="703" spans="2:17" outlineLevel="1" x14ac:dyDescent="0.2">
      <c r="B703" s="59"/>
      <c r="C703" s="59"/>
      <c r="D703" s="59"/>
      <c r="E703" s="59"/>
      <c r="F703" s="59"/>
      <c r="G703" s="59"/>
      <c r="H703" s="541"/>
      <c r="I703" s="617">
        <f t="shared" si="10"/>
        <v>0</v>
      </c>
      <c r="J703" s="59"/>
      <c r="K703" s="59"/>
      <c r="L703" s="59"/>
      <c r="M703" s="59"/>
      <c r="N703" s="59"/>
      <c r="O703" s="59"/>
      <c r="P703" s="59"/>
      <c r="Q703" s="59"/>
    </row>
    <row r="704" spans="2:17" outlineLevel="1" x14ac:dyDescent="0.2">
      <c r="B704" s="59"/>
      <c r="C704" s="59"/>
      <c r="D704" s="59"/>
      <c r="E704" s="59"/>
      <c r="F704" s="59"/>
      <c r="G704" s="59"/>
      <c r="H704" s="541"/>
      <c r="I704" s="617">
        <f t="shared" si="10"/>
        <v>0</v>
      </c>
      <c r="J704" s="59"/>
      <c r="K704" s="59"/>
      <c r="L704" s="59"/>
      <c r="M704" s="59"/>
      <c r="N704" s="59"/>
      <c r="O704" s="59"/>
      <c r="P704" s="59"/>
      <c r="Q704" s="59"/>
    </row>
    <row r="705" spans="2:17" outlineLevel="1" x14ac:dyDescent="0.2">
      <c r="B705" s="59"/>
      <c r="C705" s="59"/>
      <c r="D705" s="59"/>
      <c r="E705" s="59"/>
      <c r="F705" s="59"/>
      <c r="G705" s="59"/>
      <c r="H705" s="541"/>
      <c r="I705" s="617">
        <f t="shared" si="10"/>
        <v>0</v>
      </c>
      <c r="J705" s="59"/>
      <c r="K705" s="59"/>
      <c r="L705" s="59"/>
      <c r="M705" s="59"/>
      <c r="N705" s="59"/>
      <c r="O705" s="59"/>
      <c r="P705" s="59"/>
      <c r="Q705" s="59"/>
    </row>
    <row r="706" spans="2:17" outlineLevel="1" x14ac:dyDescent="0.2">
      <c r="B706" s="59"/>
      <c r="C706" s="59"/>
      <c r="D706" s="59"/>
      <c r="E706" s="59"/>
      <c r="F706" s="59"/>
      <c r="G706" s="59"/>
      <c r="H706" s="541"/>
      <c r="I706" s="617">
        <f t="shared" si="10"/>
        <v>0</v>
      </c>
      <c r="J706" s="59"/>
      <c r="K706" s="59"/>
      <c r="L706" s="59"/>
      <c r="M706" s="59"/>
      <c r="N706" s="59"/>
      <c r="O706" s="59"/>
      <c r="P706" s="59"/>
      <c r="Q706" s="59"/>
    </row>
    <row r="707" spans="2:17" outlineLevel="1" x14ac:dyDescent="0.2">
      <c r="B707" s="59"/>
      <c r="C707" s="59"/>
      <c r="D707" s="59"/>
      <c r="E707" s="59"/>
      <c r="F707" s="59"/>
      <c r="G707" s="59"/>
      <c r="H707" s="541"/>
      <c r="I707" s="617">
        <f t="shared" si="10"/>
        <v>0</v>
      </c>
      <c r="J707" s="59"/>
      <c r="K707" s="59"/>
      <c r="L707" s="59"/>
      <c r="M707" s="59"/>
      <c r="N707" s="59"/>
      <c r="O707" s="59"/>
      <c r="P707" s="59"/>
      <c r="Q707" s="59"/>
    </row>
    <row r="708" spans="2:17" outlineLevel="1" x14ac:dyDescent="0.2">
      <c r="B708" s="59"/>
      <c r="C708" s="59"/>
      <c r="D708" s="59"/>
      <c r="E708" s="59"/>
      <c r="F708" s="59"/>
      <c r="G708" s="59"/>
      <c r="H708" s="541"/>
      <c r="I708" s="617">
        <f t="shared" si="10"/>
        <v>0</v>
      </c>
      <c r="J708" s="59"/>
      <c r="K708" s="59"/>
      <c r="L708" s="59"/>
      <c r="M708" s="59"/>
      <c r="N708" s="59"/>
      <c r="O708" s="59"/>
      <c r="P708" s="59"/>
      <c r="Q708" s="59"/>
    </row>
    <row r="709" spans="2:17" outlineLevel="1" x14ac:dyDescent="0.2">
      <c r="B709" s="59"/>
      <c r="C709" s="59"/>
      <c r="D709" s="59"/>
      <c r="E709" s="59"/>
      <c r="F709" s="59"/>
      <c r="G709" s="59"/>
      <c r="H709" s="541"/>
      <c r="I709" s="617">
        <f t="shared" ref="I709:I772" si="11">G709*H709</f>
        <v>0</v>
      </c>
      <c r="J709" s="59"/>
      <c r="K709" s="59"/>
      <c r="L709" s="59"/>
      <c r="M709" s="59"/>
      <c r="N709" s="59"/>
      <c r="O709" s="59"/>
      <c r="P709" s="59"/>
      <c r="Q709" s="59"/>
    </row>
    <row r="710" spans="2:17" outlineLevel="1" x14ac:dyDescent="0.2">
      <c r="B710" s="59"/>
      <c r="C710" s="59"/>
      <c r="D710" s="59"/>
      <c r="E710" s="59"/>
      <c r="F710" s="59"/>
      <c r="G710" s="59"/>
      <c r="H710" s="541"/>
      <c r="I710" s="617">
        <f t="shared" si="11"/>
        <v>0</v>
      </c>
      <c r="J710" s="59"/>
      <c r="K710" s="59"/>
      <c r="L710" s="59"/>
      <c r="M710" s="59"/>
      <c r="N710" s="59"/>
      <c r="O710" s="59"/>
      <c r="P710" s="59"/>
      <c r="Q710" s="59"/>
    </row>
    <row r="711" spans="2:17" outlineLevel="1" x14ac:dyDescent="0.2">
      <c r="B711" s="59"/>
      <c r="C711" s="59"/>
      <c r="D711" s="59"/>
      <c r="E711" s="59"/>
      <c r="F711" s="59"/>
      <c r="G711" s="59"/>
      <c r="H711" s="541"/>
      <c r="I711" s="617">
        <f t="shared" si="11"/>
        <v>0</v>
      </c>
      <c r="J711" s="59"/>
      <c r="K711" s="59"/>
      <c r="L711" s="59"/>
      <c r="M711" s="59"/>
      <c r="N711" s="59"/>
      <c r="O711" s="59"/>
      <c r="P711" s="59"/>
      <c r="Q711" s="59"/>
    </row>
    <row r="712" spans="2:17" outlineLevel="1" x14ac:dyDescent="0.2">
      <c r="B712" s="59"/>
      <c r="C712" s="59"/>
      <c r="D712" s="59"/>
      <c r="E712" s="59"/>
      <c r="F712" s="59"/>
      <c r="G712" s="59"/>
      <c r="H712" s="541"/>
      <c r="I712" s="617">
        <f t="shared" si="11"/>
        <v>0</v>
      </c>
      <c r="J712" s="59"/>
      <c r="K712" s="59"/>
      <c r="L712" s="59"/>
      <c r="M712" s="59"/>
      <c r="N712" s="59"/>
      <c r="O712" s="59"/>
      <c r="P712" s="59"/>
      <c r="Q712" s="59"/>
    </row>
    <row r="713" spans="2:17" outlineLevel="1" x14ac:dyDescent="0.2">
      <c r="B713" s="59"/>
      <c r="C713" s="59"/>
      <c r="D713" s="59"/>
      <c r="E713" s="59"/>
      <c r="F713" s="59"/>
      <c r="G713" s="59"/>
      <c r="H713" s="541"/>
      <c r="I713" s="617">
        <f t="shared" si="11"/>
        <v>0</v>
      </c>
      <c r="J713" s="59"/>
      <c r="K713" s="59"/>
      <c r="L713" s="59"/>
      <c r="M713" s="59"/>
      <c r="N713" s="59"/>
      <c r="O713" s="59"/>
      <c r="P713" s="59"/>
      <c r="Q713" s="59"/>
    </row>
    <row r="714" spans="2:17" outlineLevel="1" x14ac:dyDescent="0.2">
      <c r="B714" s="59"/>
      <c r="C714" s="59"/>
      <c r="D714" s="59"/>
      <c r="E714" s="59"/>
      <c r="F714" s="59"/>
      <c r="G714" s="59"/>
      <c r="H714" s="541"/>
      <c r="I714" s="617">
        <f t="shared" si="11"/>
        <v>0</v>
      </c>
      <c r="J714" s="59"/>
      <c r="K714" s="59"/>
      <c r="L714" s="59"/>
      <c r="M714" s="59"/>
      <c r="N714" s="59"/>
      <c r="O714" s="59"/>
      <c r="P714" s="59"/>
      <c r="Q714" s="59"/>
    </row>
    <row r="715" spans="2:17" outlineLevel="1" x14ac:dyDescent="0.2">
      <c r="B715" s="59"/>
      <c r="C715" s="59"/>
      <c r="D715" s="59"/>
      <c r="E715" s="59"/>
      <c r="F715" s="59"/>
      <c r="G715" s="59"/>
      <c r="H715" s="541"/>
      <c r="I715" s="617">
        <f t="shared" si="11"/>
        <v>0</v>
      </c>
      <c r="J715" s="59"/>
      <c r="K715" s="59"/>
      <c r="L715" s="59"/>
      <c r="M715" s="59"/>
      <c r="N715" s="59"/>
      <c r="O715" s="59"/>
      <c r="P715" s="59"/>
      <c r="Q715" s="59"/>
    </row>
    <row r="716" spans="2:17" outlineLevel="1" x14ac:dyDescent="0.2">
      <c r="B716" s="59"/>
      <c r="C716" s="59"/>
      <c r="D716" s="59"/>
      <c r="E716" s="59"/>
      <c r="F716" s="59"/>
      <c r="G716" s="59"/>
      <c r="H716" s="541"/>
      <c r="I716" s="617">
        <f t="shared" si="11"/>
        <v>0</v>
      </c>
      <c r="J716" s="59"/>
      <c r="K716" s="59"/>
      <c r="L716" s="59"/>
      <c r="M716" s="59"/>
      <c r="N716" s="59"/>
      <c r="O716" s="59"/>
      <c r="P716" s="59"/>
      <c r="Q716" s="59"/>
    </row>
    <row r="717" spans="2:17" outlineLevel="1" x14ac:dyDescent="0.2">
      <c r="B717" s="59"/>
      <c r="C717" s="59"/>
      <c r="D717" s="59"/>
      <c r="E717" s="59"/>
      <c r="F717" s="59"/>
      <c r="G717" s="59"/>
      <c r="H717" s="541"/>
      <c r="I717" s="617">
        <f t="shared" si="11"/>
        <v>0</v>
      </c>
      <c r="J717" s="59"/>
      <c r="K717" s="59"/>
      <c r="L717" s="59"/>
      <c r="M717" s="59"/>
      <c r="N717" s="59"/>
      <c r="O717" s="59"/>
      <c r="P717" s="59"/>
      <c r="Q717" s="59"/>
    </row>
    <row r="718" spans="2:17" outlineLevel="1" x14ac:dyDescent="0.2">
      <c r="B718" s="59"/>
      <c r="C718" s="59"/>
      <c r="D718" s="59"/>
      <c r="E718" s="59"/>
      <c r="F718" s="59"/>
      <c r="G718" s="59"/>
      <c r="H718" s="541"/>
      <c r="I718" s="617">
        <f t="shared" si="11"/>
        <v>0</v>
      </c>
      <c r="J718" s="59"/>
      <c r="K718" s="59"/>
      <c r="L718" s="59"/>
      <c r="M718" s="59"/>
      <c r="N718" s="59"/>
      <c r="O718" s="59"/>
      <c r="P718" s="59"/>
      <c r="Q718" s="59"/>
    </row>
    <row r="719" spans="2:17" outlineLevel="1" x14ac:dyDescent="0.2">
      <c r="B719" s="59"/>
      <c r="C719" s="59"/>
      <c r="D719" s="59"/>
      <c r="E719" s="59"/>
      <c r="F719" s="59"/>
      <c r="G719" s="59"/>
      <c r="H719" s="541"/>
      <c r="I719" s="617">
        <f t="shared" si="11"/>
        <v>0</v>
      </c>
      <c r="J719" s="59"/>
      <c r="K719" s="59"/>
      <c r="L719" s="59"/>
      <c r="M719" s="59"/>
      <c r="N719" s="59"/>
      <c r="O719" s="59"/>
      <c r="P719" s="59"/>
      <c r="Q719" s="59"/>
    </row>
    <row r="720" spans="2:17" outlineLevel="1" x14ac:dyDescent="0.2">
      <c r="B720" s="59"/>
      <c r="C720" s="59"/>
      <c r="D720" s="59"/>
      <c r="E720" s="59"/>
      <c r="F720" s="59"/>
      <c r="G720" s="59"/>
      <c r="H720" s="541"/>
      <c r="I720" s="617">
        <f t="shared" si="11"/>
        <v>0</v>
      </c>
      <c r="J720" s="59"/>
      <c r="K720" s="59"/>
      <c r="L720" s="59"/>
      <c r="M720" s="59"/>
      <c r="N720" s="59"/>
      <c r="O720" s="59"/>
      <c r="P720" s="59"/>
      <c r="Q720" s="59"/>
    </row>
    <row r="721" spans="2:17" outlineLevel="1" x14ac:dyDescent="0.2">
      <c r="B721" s="59"/>
      <c r="C721" s="59"/>
      <c r="D721" s="59"/>
      <c r="E721" s="59"/>
      <c r="F721" s="59"/>
      <c r="G721" s="59"/>
      <c r="H721" s="541"/>
      <c r="I721" s="617">
        <f t="shared" si="11"/>
        <v>0</v>
      </c>
      <c r="J721" s="59"/>
      <c r="K721" s="59"/>
      <c r="L721" s="59"/>
      <c r="M721" s="59"/>
      <c r="N721" s="59"/>
      <c r="O721" s="59"/>
      <c r="P721" s="59"/>
      <c r="Q721" s="59"/>
    </row>
    <row r="722" spans="2:17" outlineLevel="1" x14ac:dyDescent="0.2">
      <c r="B722" s="59"/>
      <c r="C722" s="59"/>
      <c r="D722" s="59"/>
      <c r="E722" s="59"/>
      <c r="F722" s="59"/>
      <c r="G722" s="59"/>
      <c r="H722" s="541"/>
      <c r="I722" s="617">
        <f t="shared" si="11"/>
        <v>0</v>
      </c>
      <c r="J722" s="59"/>
      <c r="K722" s="59"/>
      <c r="L722" s="59"/>
      <c r="M722" s="59"/>
      <c r="N722" s="59"/>
      <c r="O722" s="59"/>
      <c r="P722" s="59"/>
      <c r="Q722" s="59"/>
    </row>
    <row r="723" spans="2:17" outlineLevel="1" x14ac:dyDescent="0.2">
      <c r="B723" s="59"/>
      <c r="C723" s="59"/>
      <c r="D723" s="59"/>
      <c r="E723" s="59"/>
      <c r="F723" s="59"/>
      <c r="G723" s="59"/>
      <c r="H723" s="541"/>
      <c r="I723" s="617">
        <f t="shared" si="11"/>
        <v>0</v>
      </c>
      <c r="J723" s="59"/>
      <c r="K723" s="59"/>
      <c r="L723" s="59"/>
      <c r="M723" s="59"/>
      <c r="N723" s="59"/>
      <c r="O723" s="59"/>
      <c r="P723" s="59"/>
      <c r="Q723" s="59"/>
    </row>
    <row r="724" spans="2:17" outlineLevel="1" x14ac:dyDescent="0.2">
      <c r="B724" s="59"/>
      <c r="C724" s="59"/>
      <c r="D724" s="59"/>
      <c r="E724" s="59"/>
      <c r="F724" s="59"/>
      <c r="G724" s="59"/>
      <c r="H724" s="541"/>
      <c r="I724" s="617">
        <f t="shared" si="11"/>
        <v>0</v>
      </c>
      <c r="J724" s="59"/>
      <c r="K724" s="59"/>
      <c r="L724" s="59"/>
      <c r="M724" s="59"/>
      <c r="N724" s="59"/>
      <c r="O724" s="59"/>
      <c r="P724" s="59"/>
      <c r="Q724" s="59"/>
    </row>
    <row r="725" spans="2:17" outlineLevel="1" x14ac:dyDescent="0.2">
      <c r="B725" s="59"/>
      <c r="C725" s="59"/>
      <c r="D725" s="59"/>
      <c r="E725" s="59"/>
      <c r="F725" s="59"/>
      <c r="G725" s="59"/>
      <c r="H725" s="541"/>
      <c r="I725" s="617">
        <f t="shared" si="11"/>
        <v>0</v>
      </c>
      <c r="J725" s="59"/>
      <c r="K725" s="59"/>
      <c r="L725" s="59"/>
      <c r="M725" s="59"/>
      <c r="N725" s="59"/>
      <c r="O725" s="59"/>
      <c r="P725" s="59"/>
      <c r="Q725" s="59"/>
    </row>
    <row r="726" spans="2:17" outlineLevel="1" x14ac:dyDescent="0.2">
      <c r="B726" s="59"/>
      <c r="C726" s="59"/>
      <c r="D726" s="59"/>
      <c r="E726" s="59"/>
      <c r="F726" s="59"/>
      <c r="G726" s="59"/>
      <c r="H726" s="541"/>
      <c r="I726" s="617">
        <f t="shared" si="11"/>
        <v>0</v>
      </c>
      <c r="J726" s="59"/>
      <c r="K726" s="59"/>
      <c r="L726" s="59"/>
      <c r="M726" s="59"/>
      <c r="N726" s="59"/>
      <c r="O726" s="59"/>
      <c r="P726" s="59"/>
      <c r="Q726" s="59"/>
    </row>
    <row r="727" spans="2:17" outlineLevel="1" x14ac:dyDescent="0.2">
      <c r="B727" s="59"/>
      <c r="C727" s="59"/>
      <c r="D727" s="59"/>
      <c r="E727" s="59"/>
      <c r="F727" s="59"/>
      <c r="G727" s="59"/>
      <c r="H727" s="541"/>
      <c r="I727" s="617">
        <f t="shared" si="11"/>
        <v>0</v>
      </c>
      <c r="J727" s="59"/>
      <c r="K727" s="59"/>
      <c r="L727" s="59"/>
      <c r="M727" s="59"/>
      <c r="N727" s="59"/>
      <c r="O727" s="59"/>
      <c r="P727" s="59"/>
      <c r="Q727" s="59"/>
    </row>
    <row r="728" spans="2:17" outlineLevel="1" x14ac:dyDescent="0.2">
      <c r="B728" s="59"/>
      <c r="C728" s="59"/>
      <c r="D728" s="59"/>
      <c r="E728" s="59"/>
      <c r="F728" s="59"/>
      <c r="G728" s="59"/>
      <c r="H728" s="541"/>
      <c r="I728" s="617">
        <f t="shared" si="11"/>
        <v>0</v>
      </c>
      <c r="J728" s="59"/>
      <c r="K728" s="59"/>
      <c r="L728" s="59"/>
      <c r="M728" s="59"/>
      <c r="N728" s="59"/>
      <c r="O728" s="59"/>
      <c r="P728" s="59"/>
      <c r="Q728" s="59"/>
    </row>
    <row r="729" spans="2:17" outlineLevel="1" x14ac:dyDescent="0.2">
      <c r="B729" s="59"/>
      <c r="C729" s="59"/>
      <c r="D729" s="59"/>
      <c r="E729" s="59"/>
      <c r="F729" s="59"/>
      <c r="G729" s="59"/>
      <c r="H729" s="541"/>
      <c r="I729" s="617">
        <f t="shared" si="11"/>
        <v>0</v>
      </c>
      <c r="J729" s="59"/>
      <c r="K729" s="59"/>
      <c r="L729" s="59"/>
      <c r="M729" s="59"/>
      <c r="N729" s="59"/>
      <c r="O729" s="59"/>
      <c r="P729" s="59"/>
      <c r="Q729" s="59"/>
    </row>
    <row r="730" spans="2:17" outlineLevel="1" x14ac:dyDescent="0.2">
      <c r="B730" s="59"/>
      <c r="C730" s="59"/>
      <c r="D730" s="59"/>
      <c r="E730" s="59"/>
      <c r="F730" s="59"/>
      <c r="G730" s="59"/>
      <c r="H730" s="541"/>
      <c r="I730" s="617">
        <f t="shared" si="11"/>
        <v>0</v>
      </c>
      <c r="J730" s="59"/>
      <c r="K730" s="59"/>
      <c r="L730" s="59"/>
      <c r="M730" s="59"/>
      <c r="N730" s="59"/>
      <c r="O730" s="59"/>
      <c r="P730" s="59"/>
      <c r="Q730" s="59"/>
    </row>
    <row r="731" spans="2:17" outlineLevel="1" x14ac:dyDescent="0.2">
      <c r="B731" s="59"/>
      <c r="C731" s="59"/>
      <c r="D731" s="59"/>
      <c r="E731" s="59"/>
      <c r="F731" s="59"/>
      <c r="G731" s="59"/>
      <c r="H731" s="541"/>
      <c r="I731" s="617">
        <f t="shared" si="11"/>
        <v>0</v>
      </c>
      <c r="J731" s="59"/>
      <c r="K731" s="59"/>
      <c r="L731" s="59"/>
      <c r="M731" s="59"/>
      <c r="N731" s="59"/>
      <c r="O731" s="59"/>
      <c r="P731" s="59"/>
      <c r="Q731" s="59"/>
    </row>
    <row r="732" spans="2:17" outlineLevel="1" x14ac:dyDescent="0.2">
      <c r="B732" s="59"/>
      <c r="C732" s="59"/>
      <c r="D732" s="59"/>
      <c r="E732" s="59"/>
      <c r="F732" s="59"/>
      <c r="G732" s="59"/>
      <c r="H732" s="541"/>
      <c r="I732" s="617">
        <f t="shared" si="11"/>
        <v>0</v>
      </c>
      <c r="J732" s="59"/>
      <c r="K732" s="59"/>
      <c r="L732" s="59"/>
      <c r="M732" s="59"/>
      <c r="N732" s="59"/>
      <c r="O732" s="59"/>
      <c r="P732" s="59"/>
      <c r="Q732" s="59"/>
    </row>
    <row r="733" spans="2:17" outlineLevel="1" x14ac:dyDescent="0.2">
      <c r="B733" s="59"/>
      <c r="C733" s="59"/>
      <c r="D733" s="59"/>
      <c r="E733" s="59"/>
      <c r="F733" s="59"/>
      <c r="G733" s="59"/>
      <c r="H733" s="541"/>
      <c r="I733" s="617">
        <f t="shared" si="11"/>
        <v>0</v>
      </c>
      <c r="J733" s="59"/>
      <c r="K733" s="59"/>
      <c r="L733" s="59"/>
      <c r="M733" s="59"/>
      <c r="N733" s="59"/>
      <c r="O733" s="59"/>
      <c r="P733" s="59"/>
      <c r="Q733" s="59"/>
    </row>
    <row r="734" spans="2:17" outlineLevel="1" x14ac:dyDescent="0.2">
      <c r="B734" s="59"/>
      <c r="C734" s="59"/>
      <c r="D734" s="59"/>
      <c r="E734" s="59"/>
      <c r="F734" s="59"/>
      <c r="G734" s="59"/>
      <c r="H734" s="541"/>
      <c r="I734" s="617">
        <f t="shared" si="11"/>
        <v>0</v>
      </c>
      <c r="J734" s="59"/>
      <c r="K734" s="59"/>
      <c r="L734" s="59"/>
      <c r="M734" s="59"/>
      <c r="N734" s="59"/>
      <c r="O734" s="59"/>
      <c r="P734" s="59"/>
      <c r="Q734" s="59"/>
    </row>
    <row r="735" spans="2:17" outlineLevel="1" x14ac:dyDescent="0.2">
      <c r="B735" s="59"/>
      <c r="C735" s="59"/>
      <c r="D735" s="59"/>
      <c r="E735" s="59"/>
      <c r="F735" s="59"/>
      <c r="G735" s="59"/>
      <c r="H735" s="541"/>
      <c r="I735" s="617">
        <f t="shared" si="11"/>
        <v>0</v>
      </c>
      <c r="J735" s="59"/>
      <c r="K735" s="59"/>
      <c r="L735" s="59"/>
      <c r="M735" s="59"/>
      <c r="N735" s="59"/>
      <c r="O735" s="59"/>
      <c r="P735" s="59"/>
      <c r="Q735" s="59"/>
    </row>
    <row r="736" spans="2:17" outlineLevel="1" x14ac:dyDescent="0.2">
      <c r="B736" s="59"/>
      <c r="C736" s="59"/>
      <c r="D736" s="59"/>
      <c r="E736" s="59"/>
      <c r="F736" s="59"/>
      <c r="G736" s="59"/>
      <c r="H736" s="541"/>
      <c r="I736" s="617">
        <f t="shared" si="11"/>
        <v>0</v>
      </c>
      <c r="J736" s="59"/>
      <c r="K736" s="59"/>
      <c r="L736" s="59"/>
      <c r="M736" s="59"/>
      <c r="N736" s="59"/>
      <c r="O736" s="59"/>
      <c r="P736" s="59"/>
      <c r="Q736" s="59"/>
    </row>
    <row r="737" spans="2:17" outlineLevel="1" x14ac:dyDescent="0.2">
      <c r="B737" s="59"/>
      <c r="C737" s="59"/>
      <c r="D737" s="59"/>
      <c r="E737" s="59"/>
      <c r="F737" s="59"/>
      <c r="G737" s="59"/>
      <c r="H737" s="541"/>
      <c r="I737" s="617">
        <f t="shared" si="11"/>
        <v>0</v>
      </c>
      <c r="J737" s="59"/>
      <c r="K737" s="59"/>
      <c r="L737" s="59"/>
      <c r="M737" s="59"/>
      <c r="N737" s="59"/>
      <c r="O737" s="59"/>
      <c r="P737" s="59"/>
      <c r="Q737" s="59"/>
    </row>
    <row r="738" spans="2:17" outlineLevel="1" x14ac:dyDescent="0.2">
      <c r="B738" s="59"/>
      <c r="C738" s="59"/>
      <c r="D738" s="59"/>
      <c r="E738" s="59"/>
      <c r="F738" s="59"/>
      <c r="G738" s="59"/>
      <c r="H738" s="541"/>
      <c r="I738" s="617">
        <f t="shared" si="11"/>
        <v>0</v>
      </c>
      <c r="J738" s="59"/>
      <c r="K738" s="59"/>
      <c r="L738" s="59"/>
      <c r="M738" s="59"/>
      <c r="N738" s="59"/>
      <c r="O738" s="59"/>
      <c r="P738" s="59"/>
      <c r="Q738" s="59"/>
    </row>
    <row r="739" spans="2:17" outlineLevel="1" x14ac:dyDescent="0.2">
      <c r="B739" s="59"/>
      <c r="C739" s="59"/>
      <c r="D739" s="59"/>
      <c r="E739" s="59"/>
      <c r="F739" s="59"/>
      <c r="G739" s="59"/>
      <c r="H739" s="541"/>
      <c r="I739" s="617">
        <f t="shared" si="11"/>
        <v>0</v>
      </c>
      <c r="J739" s="59"/>
      <c r="K739" s="59"/>
      <c r="L739" s="59"/>
      <c r="M739" s="59"/>
      <c r="N739" s="59"/>
      <c r="O739" s="59"/>
      <c r="P739" s="59"/>
      <c r="Q739" s="59"/>
    </row>
    <row r="740" spans="2:17" outlineLevel="1" x14ac:dyDescent="0.2">
      <c r="B740" s="59"/>
      <c r="C740" s="59"/>
      <c r="D740" s="59"/>
      <c r="E740" s="59"/>
      <c r="F740" s="59"/>
      <c r="G740" s="59"/>
      <c r="H740" s="541"/>
      <c r="I740" s="617">
        <f t="shared" si="11"/>
        <v>0</v>
      </c>
      <c r="J740" s="59"/>
      <c r="K740" s="59"/>
      <c r="L740" s="59"/>
      <c r="M740" s="59"/>
      <c r="N740" s="59"/>
      <c r="O740" s="59"/>
      <c r="P740" s="59"/>
      <c r="Q740" s="59"/>
    </row>
    <row r="741" spans="2:17" outlineLevel="1" x14ac:dyDescent="0.2">
      <c r="B741" s="59"/>
      <c r="C741" s="59"/>
      <c r="D741" s="59"/>
      <c r="E741" s="59"/>
      <c r="F741" s="59"/>
      <c r="G741" s="59"/>
      <c r="H741" s="541"/>
      <c r="I741" s="617">
        <f t="shared" si="11"/>
        <v>0</v>
      </c>
      <c r="J741" s="59"/>
      <c r="K741" s="59"/>
      <c r="L741" s="59"/>
      <c r="M741" s="59"/>
      <c r="N741" s="59"/>
      <c r="O741" s="59"/>
      <c r="P741" s="59"/>
      <c r="Q741" s="59"/>
    </row>
    <row r="742" spans="2:17" outlineLevel="1" x14ac:dyDescent="0.2">
      <c r="B742" s="59"/>
      <c r="C742" s="59"/>
      <c r="D742" s="59"/>
      <c r="E742" s="59"/>
      <c r="F742" s="59"/>
      <c r="G742" s="59"/>
      <c r="H742" s="541"/>
      <c r="I742" s="617">
        <f t="shared" si="11"/>
        <v>0</v>
      </c>
      <c r="J742" s="59"/>
      <c r="K742" s="59"/>
      <c r="L742" s="59"/>
      <c r="M742" s="59"/>
      <c r="N742" s="59"/>
      <c r="O742" s="59"/>
      <c r="P742" s="59"/>
      <c r="Q742" s="59"/>
    </row>
    <row r="743" spans="2:17" outlineLevel="1" x14ac:dyDescent="0.2">
      <c r="B743" s="59"/>
      <c r="C743" s="59"/>
      <c r="D743" s="59"/>
      <c r="E743" s="59"/>
      <c r="F743" s="59"/>
      <c r="G743" s="59"/>
      <c r="H743" s="541"/>
      <c r="I743" s="617">
        <f t="shared" si="11"/>
        <v>0</v>
      </c>
      <c r="J743" s="59"/>
      <c r="K743" s="59"/>
      <c r="L743" s="59"/>
      <c r="M743" s="59"/>
      <c r="N743" s="59"/>
      <c r="O743" s="59"/>
      <c r="P743" s="59"/>
      <c r="Q743" s="59"/>
    </row>
    <row r="744" spans="2:17" outlineLevel="1" x14ac:dyDescent="0.2">
      <c r="B744" s="59"/>
      <c r="C744" s="59"/>
      <c r="D744" s="59"/>
      <c r="E744" s="59"/>
      <c r="F744" s="59"/>
      <c r="G744" s="59"/>
      <c r="H744" s="541"/>
      <c r="I744" s="617">
        <f t="shared" si="11"/>
        <v>0</v>
      </c>
      <c r="J744" s="59"/>
      <c r="K744" s="59"/>
      <c r="L744" s="59"/>
      <c r="M744" s="59"/>
      <c r="N744" s="59"/>
      <c r="O744" s="59"/>
      <c r="P744" s="59"/>
      <c r="Q744" s="59"/>
    </row>
    <row r="745" spans="2:17" outlineLevel="1" x14ac:dyDescent="0.2">
      <c r="B745" s="59"/>
      <c r="C745" s="59"/>
      <c r="D745" s="59"/>
      <c r="E745" s="59"/>
      <c r="F745" s="59"/>
      <c r="G745" s="59"/>
      <c r="H745" s="541"/>
      <c r="I745" s="617">
        <f t="shared" si="11"/>
        <v>0</v>
      </c>
      <c r="J745" s="59"/>
      <c r="K745" s="59"/>
      <c r="L745" s="59"/>
      <c r="M745" s="59"/>
      <c r="N745" s="59"/>
      <c r="O745" s="59"/>
      <c r="P745" s="59"/>
      <c r="Q745" s="59"/>
    </row>
    <row r="746" spans="2:17" outlineLevel="1" x14ac:dyDescent="0.2">
      <c r="B746" s="59"/>
      <c r="C746" s="59"/>
      <c r="D746" s="59"/>
      <c r="E746" s="59"/>
      <c r="F746" s="59"/>
      <c r="G746" s="59"/>
      <c r="H746" s="541"/>
      <c r="I746" s="617">
        <f t="shared" si="11"/>
        <v>0</v>
      </c>
      <c r="J746" s="59"/>
      <c r="K746" s="59"/>
      <c r="L746" s="59"/>
      <c r="M746" s="59"/>
      <c r="N746" s="59"/>
      <c r="O746" s="59"/>
      <c r="P746" s="59"/>
      <c r="Q746" s="59"/>
    </row>
    <row r="747" spans="2:17" outlineLevel="1" x14ac:dyDescent="0.2">
      <c r="B747" s="59"/>
      <c r="C747" s="59"/>
      <c r="D747" s="59"/>
      <c r="E747" s="59"/>
      <c r="F747" s="59"/>
      <c r="G747" s="59"/>
      <c r="H747" s="541"/>
      <c r="I747" s="617">
        <f t="shared" si="11"/>
        <v>0</v>
      </c>
      <c r="J747" s="59"/>
      <c r="K747" s="59"/>
      <c r="L747" s="59"/>
      <c r="M747" s="59"/>
      <c r="N747" s="59"/>
      <c r="O747" s="59"/>
      <c r="P747" s="59"/>
      <c r="Q747" s="59"/>
    </row>
    <row r="748" spans="2:17" outlineLevel="1" x14ac:dyDescent="0.2">
      <c r="B748" s="59"/>
      <c r="C748" s="59"/>
      <c r="D748" s="59"/>
      <c r="E748" s="59"/>
      <c r="F748" s="59"/>
      <c r="G748" s="59"/>
      <c r="H748" s="541"/>
      <c r="I748" s="617">
        <f t="shared" si="11"/>
        <v>0</v>
      </c>
      <c r="J748" s="59"/>
      <c r="K748" s="59"/>
      <c r="L748" s="59"/>
      <c r="M748" s="59"/>
      <c r="N748" s="59"/>
      <c r="O748" s="59"/>
      <c r="P748" s="59"/>
      <c r="Q748" s="59"/>
    </row>
    <row r="749" spans="2:17" outlineLevel="1" x14ac:dyDescent="0.2">
      <c r="B749" s="59"/>
      <c r="C749" s="59"/>
      <c r="D749" s="59"/>
      <c r="E749" s="59"/>
      <c r="F749" s="59"/>
      <c r="G749" s="59"/>
      <c r="H749" s="541"/>
      <c r="I749" s="617">
        <f t="shared" si="11"/>
        <v>0</v>
      </c>
      <c r="J749" s="59"/>
      <c r="K749" s="59"/>
      <c r="L749" s="59"/>
      <c r="M749" s="59"/>
      <c r="N749" s="59"/>
      <c r="O749" s="59"/>
      <c r="P749" s="59"/>
      <c r="Q749" s="59"/>
    </row>
    <row r="750" spans="2:17" outlineLevel="1" x14ac:dyDescent="0.2">
      <c r="B750" s="59"/>
      <c r="C750" s="59"/>
      <c r="D750" s="59"/>
      <c r="E750" s="59"/>
      <c r="F750" s="59"/>
      <c r="G750" s="59"/>
      <c r="H750" s="541"/>
      <c r="I750" s="617">
        <f t="shared" si="11"/>
        <v>0</v>
      </c>
      <c r="J750" s="59"/>
      <c r="K750" s="59"/>
      <c r="L750" s="59"/>
      <c r="M750" s="59"/>
      <c r="N750" s="59"/>
      <c r="O750" s="59"/>
      <c r="P750" s="59"/>
      <c r="Q750" s="59"/>
    </row>
    <row r="751" spans="2:17" outlineLevel="1" x14ac:dyDescent="0.2">
      <c r="B751" s="59"/>
      <c r="C751" s="59"/>
      <c r="D751" s="59"/>
      <c r="E751" s="59"/>
      <c r="F751" s="59"/>
      <c r="G751" s="59"/>
      <c r="H751" s="541"/>
      <c r="I751" s="617">
        <f t="shared" si="11"/>
        <v>0</v>
      </c>
      <c r="J751" s="59"/>
      <c r="K751" s="59"/>
      <c r="L751" s="59"/>
      <c r="M751" s="59"/>
      <c r="N751" s="59"/>
      <c r="O751" s="59"/>
      <c r="P751" s="59"/>
      <c r="Q751" s="59"/>
    </row>
    <row r="752" spans="2:17" outlineLevel="1" x14ac:dyDescent="0.2">
      <c r="B752" s="59"/>
      <c r="C752" s="59"/>
      <c r="D752" s="59"/>
      <c r="E752" s="59"/>
      <c r="F752" s="59"/>
      <c r="G752" s="59"/>
      <c r="H752" s="541"/>
      <c r="I752" s="617">
        <f t="shared" si="11"/>
        <v>0</v>
      </c>
      <c r="J752" s="59"/>
      <c r="K752" s="59"/>
      <c r="L752" s="59"/>
      <c r="M752" s="59"/>
      <c r="N752" s="59"/>
      <c r="O752" s="59"/>
      <c r="P752" s="59"/>
      <c r="Q752" s="59"/>
    </row>
    <row r="753" spans="2:17" outlineLevel="1" x14ac:dyDescent="0.2">
      <c r="B753" s="59"/>
      <c r="C753" s="59"/>
      <c r="D753" s="59"/>
      <c r="E753" s="59"/>
      <c r="F753" s="59"/>
      <c r="G753" s="59"/>
      <c r="H753" s="541"/>
      <c r="I753" s="617">
        <f t="shared" si="11"/>
        <v>0</v>
      </c>
      <c r="J753" s="59"/>
      <c r="K753" s="59"/>
      <c r="L753" s="59"/>
      <c r="M753" s="59"/>
      <c r="N753" s="59"/>
      <c r="O753" s="59"/>
      <c r="P753" s="59"/>
      <c r="Q753" s="59"/>
    </row>
    <row r="754" spans="2:17" outlineLevel="1" x14ac:dyDescent="0.2">
      <c r="B754" s="59"/>
      <c r="C754" s="59"/>
      <c r="D754" s="59"/>
      <c r="E754" s="59"/>
      <c r="F754" s="59"/>
      <c r="G754" s="59"/>
      <c r="H754" s="541"/>
      <c r="I754" s="617">
        <f t="shared" si="11"/>
        <v>0</v>
      </c>
      <c r="J754" s="59"/>
      <c r="K754" s="59"/>
      <c r="L754" s="59"/>
      <c r="M754" s="59"/>
      <c r="N754" s="59"/>
      <c r="O754" s="59"/>
      <c r="P754" s="59"/>
      <c r="Q754" s="59"/>
    </row>
    <row r="755" spans="2:17" outlineLevel="1" x14ac:dyDescent="0.2">
      <c r="B755" s="59"/>
      <c r="C755" s="59"/>
      <c r="D755" s="59"/>
      <c r="E755" s="59"/>
      <c r="F755" s="59"/>
      <c r="G755" s="59"/>
      <c r="H755" s="541"/>
      <c r="I755" s="617">
        <f t="shared" si="11"/>
        <v>0</v>
      </c>
      <c r="J755" s="59"/>
      <c r="K755" s="59"/>
      <c r="L755" s="59"/>
      <c r="M755" s="59"/>
      <c r="N755" s="59"/>
      <c r="O755" s="59"/>
      <c r="P755" s="59"/>
      <c r="Q755" s="59"/>
    </row>
    <row r="756" spans="2:17" outlineLevel="1" x14ac:dyDescent="0.2">
      <c r="B756" s="59"/>
      <c r="C756" s="59"/>
      <c r="D756" s="59"/>
      <c r="E756" s="59"/>
      <c r="F756" s="59"/>
      <c r="G756" s="59"/>
      <c r="H756" s="541"/>
      <c r="I756" s="617">
        <f t="shared" si="11"/>
        <v>0</v>
      </c>
      <c r="J756" s="59"/>
      <c r="K756" s="59"/>
      <c r="L756" s="59"/>
      <c r="M756" s="59"/>
      <c r="N756" s="59"/>
      <c r="O756" s="59"/>
      <c r="P756" s="59"/>
      <c r="Q756" s="59"/>
    </row>
    <row r="757" spans="2:17" outlineLevel="1" x14ac:dyDescent="0.2">
      <c r="B757" s="59"/>
      <c r="C757" s="59"/>
      <c r="D757" s="59"/>
      <c r="E757" s="59"/>
      <c r="F757" s="59"/>
      <c r="G757" s="59"/>
      <c r="H757" s="541"/>
      <c r="I757" s="617">
        <f t="shared" si="11"/>
        <v>0</v>
      </c>
      <c r="J757" s="59"/>
      <c r="K757" s="59"/>
      <c r="L757" s="59"/>
      <c r="M757" s="59"/>
      <c r="N757" s="59"/>
      <c r="O757" s="59"/>
      <c r="P757" s="59"/>
      <c r="Q757" s="59"/>
    </row>
    <row r="758" spans="2:17" outlineLevel="1" x14ac:dyDescent="0.2">
      <c r="B758" s="59"/>
      <c r="C758" s="59"/>
      <c r="D758" s="59"/>
      <c r="E758" s="59"/>
      <c r="F758" s="59"/>
      <c r="G758" s="59"/>
      <c r="H758" s="541"/>
      <c r="I758" s="617">
        <f t="shared" si="11"/>
        <v>0</v>
      </c>
      <c r="J758" s="59"/>
      <c r="K758" s="59"/>
      <c r="L758" s="59"/>
      <c r="M758" s="59"/>
      <c r="N758" s="59"/>
      <c r="O758" s="59"/>
      <c r="P758" s="59"/>
      <c r="Q758" s="59"/>
    </row>
    <row r="759" spans="2:17" outlineLevel="1" x14ac:dyDescent="0.2">
      <c r="B759" s="59"/>
      <c r="C759" s="59"/>
      <c r="D759" s="59"/>
      <c r="E759" s="59"/>
      <c r="F759" s="59"/>
      <c r="G759" s="59"/>
      <c r="H759" s="541"/>
      <c r="I759" s="617">
        <f t="shared" si="11"/>
        <v>0</v>
      </c>
      <c r="J759" s="59"/>
      <c r="K759" s="59"/>
      <c r="L759" s="59"/>
      <c r="M759" s="59"/>
      <c r="N759" s="59"/>
      <c r="O759" s="59"/>
      <c r="P759" s="59"/>
      <c r="Q759" s="59"/>
    </row>
    <row r="760" spans="2:17" outlineLevel="1" x14ac:dyDescent="0.2">
      <c r="B760" s="59"/>
      <c r="C760" s="59"/>
      <c r="D760" s="59"/>
      <c r="E760" s="59"/>
      <c r="F760" s="59"/>
      <c r="G760" s="59"/>
      <c r="H760" s="541"/>
      <c r="I760" s="617">
        <f t="shared" si="11"/>
        <v>0</v>
      </c>
      <c r="J760" s="59"/>
      <c r="K760" s="59"/>
      <c r="L760" s="59"/>
      <c r="M760" s="59"/>
      <c r="N760" s="59"/>
      <c r="O760" s="59"/>
      <c r="P760" s="59"/>
      <c r="Q760" s="59"/>
    </row>
    <row r="761" spans="2:17" outlineLevel="1" x14ac:dyDescent="0.2">
      <c r="B761" s="59"/>
      <c r="C761" s="59"/>
      <c r="D761" s="59"/>
      <c r="E761" s="59"/>
      <c r="F761" s="59"/>
      <c r="G761" s="59"/>
      <c r="H761" s="541"/>
      <c r="I761" s="617">
        <f t="shared" si="11"/>
        <v>0</v>
      </c>
      <c r="J761" s="59"/>
      <c r="K761" s="59"/>
      <c r="L761" s="59"/>
      <c r="M761" s="59"/>
      <c r="N761" s="59"/>
      <c r="O761" s="59"/>
      <c r="P761" s="59"/>
      <c r="Q761" s="59"/>
    </row>
    <row r="762" spans="2:17" outlineLevel="1" x14ac:dyDescent="0.2">
      <c r="B762" s="59"/>
      <c r="C762" s="59"/>
      <c r="D762" s="59"/>
      <c r="E762" s="59"/>
      <c r="F762" s="59"/>
      <c r="G762" s="59"/>
      <c r="H762" s="541"/>
      <c r="I762" s="617">
        <f t="shared" si="11"/>
        <v>0</v>
      </c>
      <c r="J762" s="59"/>
      <c r="K762" s="59"/>
      <c r="L762" s="59"/>
      <c r="M762" s="59"/>
      <c r="N762" s="59"/>
      <c r="O762" s="59"/>
      <c r="P762" s="59"/>
      <c r="Q762" s="59"/>
    </row>
    <row r="763" spans="2:17" outlineLevel="1" x14ac:dyDescent="0.2">
      <c r="B763" s="59"/>
      <c r="C763" s="59"/>
      <c r="D763" s="59"/>
      <c r="E763" s="59"/>
      <c r="F763" s="59"/>
      <c r="G763" s="59"/>
      <c r="H763" s="541"/>
      <c r="I763" s="617">
        <f t="shared" si="11"/>
        <v>0</v>
      </c>
      <c r="J763" s="59"/>
      <c r="K763" s="59"/>
      <c r="L763" s="59"/>
      <c r="M763" s="59"/>
      <c r="N763" s="59"/>
      <c r="O763" s="59"/>
      <c r="P763" s="59"/>
      <c r="Q763" s="59"/>
    </row>
    <row r="764" spans="2:17" outlineLevel="1" x14ac:dyDescent="0.2">
      <c r="B764" s="59"/>
      <c r="C764" s="59"/>
      <c r="D764" s="59"/>
      <c r="E764" s="59"/>
      <c r="F764" s="59"/>
      <c r="G764" s="59"/>
      <c r="H764" s="541"/>
      <c r="I764" s="617">
        <f t="shared" si="11"/>
        <v>0</v>
      </c>
      <c r="J764" s="59"/>
      <c r="K764" s="59"/>
      <c r="L764" s="59"/>
      <c r="M764" s="59"/>
      <c r="N764" s="59"/>
      <c r="O764" s="59"/>
      <c r="P764" s="59"/>
      <c r="Q764" s="59"/>
    </row>
    <row r="765" spans="2:17" outlineLevel="1" x14ac:dyDescent="0.2">
      <c r="B765" s="59"/>
      <c r="C765" s="59"/>
      <c r="D765" s="59"/>
      <c r="E765" s="59"/>
      <c r="F765" s="59"/>
      <c r="G765" s="59"/>
      <c r="H765" s="541"/>
      <c r="I765" s="617">
        <f t="shared" si="11"/>
        <v>0</v>
      </c>
      <c r="J765" s="59"/>
      <c r="K765" s="59"/>
      <c r="L765" s="59"/>
      <c r="M765" s="59"/>
      <c r="N765" s="59"/>
      <c r="O765" s="59"/>
      <c r="P765" s="59"/>
      <c r="Q765" s="59"/>
    </row>
    <row r="766" spans="2:17" outlineLevel="1" x14ac:dyDescent="0.2">
      <c r="B766" s="59"/>
      <c r="C766" s="59"/>
      <c r="D766" s="59"/>
      <c r="E766" s="59"/>
      <c r="F766" s="59"/>
      <c r="G766" s="59"/>
      <c r="H766" s="541"/>
      <c r="I766" s="617">
        <f t="shared" si="11"/>
        <v>0</v>
      </c>
      <c r="J766" s="59"/>
      <c r="K766" s="59"/>
      <c r="L766" s="59"/>
      <c r="M766" s="59"/>
      <c r="N766" s="59"/>
      <c r="O766" s="59"/>
      <c r="P766" s="59"/>
      <c r="Q766" s="59"/>
    </row>
    <row r="767" spans="2:17" outlineLevel="1" x14ac:dyDescent="0.2">
      <c r="B767" s="59"/>
      <c r="C767" s="59"/>
      <c r="D767" s="59"/>
      <c r="E767" s="59"/>
      <c r="F767" s="59"/>
      <c r="G767" s="59"/>
      <c r="H767" s="541"/>
      <c r="I767" s="617">
        <f t="shared" si="11"/>
        <v>0</v>
      </c>
      <c r="J767" s="59"/>
      <c r="K767" s="59"/>
      <c r="L767" s="59"/>
      <c r="M767" s="59"/>
      <c r="N767" s="59"/>
      <c r="O767" s="59"/>
      <c r="P767" s="59"/>
      <c r="Q767" s="59"/>
    </row>
    <row r="768" spans="2:17" outlineLevel="1" x14ac:dyDescent="0.2">
      <c r="B768" s="59"/>
      <c r="C768" s="59"/>
      <c r="D768" s="59"/>
      <c r="E768" s="59"/>
      <c r="F768" s="59"/>
      <c r="G768" s="59"/>
      <c r="H768" s="541"/>
      <c r="I768" s="617">
        <f t="shared" si="11"/>
        <v>0</v>
      </c>
      <c r="J768" s="59"/>
      <c r="K768" s="59"/>
      <c r="L768" s="59"/>
      <c r="M768" s="59"/>
      <c r="N768" s="59"/>
      <c r="O768" s="59"/>
      <c r="P768" s="59"/>
      <c r="Q768" s="59"/>
    </row>
    <row r="769" spans="2:17" outlineLevel="1" x14ac:dyDescent="0.2">
      <c r="B769" s="59"/>
      <c r="C769" s="59"/>
      <c r="D769" s="59"/>
      <c r="E769" s="59"/>
      <c r="F769" s="59"/>
      <c r="G769" s="59"/>
      <c r="H769" s="541"/>
      <c r="I769" s="617">
        <f t="shared" si="11"/>
        <v>0</v>
      </c>
      <c r="J769" s="59"/>
      <c r="K769" s="59"/>
      <c r="L769" s="59"/>
      <c r="M769" s="59"/>
      <c r="N769" s="59"/>
      <c r="O769" s="59"/>
      <c r="P769" s="59"/>
      <c r="Q769" s="59"/>
    </row>
    <row r="770" spans="2:17" outlineLevel="1" x14ac:dyDescent="0.2">
      <c r="B770" s="59"/>
      <c r="C770" s="59"/>
      <c r="D770" s="59"/>
      <c r="E770" s="59"/>
      <c r="F770" s="59"/>
      <c r="G770" s="59"/>
      <c r="H770" s="541"/>
      <c r="I770" s="617">
        <f t="shared" si="11"/>
        <v>0</v>
      </c>
      <c r="J770" s="59"/>
      <c r="K770" s="59"/>
      <c r="L770" s="59"/>
      <c r="M770" s="59"/>
      <c r="N770" s="59"/>
      <c r="O770" s="59"/>
      <c r="P770" s="59"/>
      <c r="Q770" s="59"/>
    </row>
    <row r="771" spans="2:17" outlineLevel="1" x14ac:dyDescent="0.2">
      <c r="B771" s="59"/>
      <c r="C771" s="59"/>
      <c r="D771" s="59"/>
      <c r="E771" s="59"/>
      <c r="F771" s="59"/>
      <c r="G771" s="59"/>
      <c r="H771" s="541"/>
      <c r="I771" s="617">
        <f t="shared" si="11"/>
        <v>0</v>
      </c>
      <c r="J771" s="59"/>
      <c r="K771" s="59"/>
      <c r="L771" s="59"/>
      <c r="M771" s="59"/>
      <c r="N771" s="59"/>
      <c r="O771" s="59"/>
      <c r="P771" s="59"/>
      <c r="Q771" s="59"/>
    </row>
    <row r="772" spans="2:17" outlineLevel="1" x14ac:dyDescent="0.2">
      <c r="B772" s="59"/>
      <c r="C772" s="59"/>
      <c r="D772" s="59"/>
      <c r="E772" s="59"/>
      <c r="F772" s="59"/>
      <c r="G772" s="59"/>
      <c r="H772" s="541"/>
      <c r="I772" s="617">
        <f t="shared" si="11"/>
        <v>0</v>
      </c>
      <c r="J772" s="59"/>
      <c r="K772" s="59"/>
      <c r="L772" s="59"/>
      <c r="M772" s="59"/>
      <c r="N772" s="59"/>
      <c r="O772" s="59"/>
      <c r="P772" s="59"/>
      <c r="Q772" s="59"/>
    </row>
    <row r="773" spans="2:17" outlineLevel="1" x14ac:dyDescent="0.2">
      <c r="B773" s="59"/>
      <c r="C773" s="59"/>
      <c r="D773" s="59"/>
      <c r="E773" s="59"/>
      <c r="F773" s="59"/>
      <c r="G773" s="59"/>
      <c r="H773" s="541"/>
      <c r="I773" s="617">
        <f t="shared" ref="I773:I836" si="12">G773*H773</f>
        <v>0</v>
      </c>
      <c r="J773" s="59"/>
      <c r="K773" s="59"/>
      <c r="L773" s="59"/>
      <c r="M773" s="59"/>
      <c r="N773" s="59"/>
      <c r="O773" s="59"/>
      <c r="P773" s="59"/>
      <c r="Q773" s="59"/>
    </row>
    <row r="774" spans="2:17" outlineLevel="1" x14ac:dyDescent="0.2">
      <c r="B774" s="59"/>
      <c r="C774" s="59"/>
      <c r="D774" s="59"/>
      <c r="E774" s="59"/>
      <c r="F774" s="59"/>
      <c r="G774" s="59"/>
      <c r="H774" s="541"/>
      <c r="I774" s="617">
        <f t="shared" si="12"/>
        <v>0</v>
      </c>
      <c r="J774" s="59"/>
      <c r="K774" s="59"/>
      <c r="L774" s="59"/>
      <c r="M774" s="59"/>
      <c r="N774" s="59"/>
      <c r="O774" s="59"/>
      <c r="P774" s="59"/>
      <c r="Q774" s="59"/>
    </row>
    <row r="775" spans="2:17" outlineLevel="1" x14ac:dyDescent="0.2">
      <c r="B775" s="59"/>
      <c r="C775" s="59"/>
      <c r="D775" s="59"/>
      <c r="E775" s="59"/>
      <c r="F775" s="59"/>
      <c r="G775" s="59"/>
      <c r="H775" s="541"/>
      <c r="I775" s="617">
        <f t="shared" si="12"/>
        <v>0</v>
      </c>
      <c r="J775" s="59"/>
      <c r="K775" s="59"/>
      <c r="L775" s="59"/>
      <c r="M775" s="59"/>
      <c r="N775" s="59"/>
      <c r="O775" s="59"/>
      <c r="P775" s="59"/>
      <c r="Q775" s="59"/>
    </row>
    <row r="776" spans="2:17" outlineLevel="1" x14ac:dyDescent="0.2">
      <c r="B776" s="59"/>
      <c r="C776" s="59"/>
      <c r="D776" s="59"/>
      <c r="E776" s="59"/>
      <c r="F776" s="59"/>
      <c r="G776" s="59"/>
      <c r="H776" s="541"/>
      <c r="I776" s="617">
        <f t="shared" si="12"/>
        <v>0</v>
      </c>
      <c r="J776" s="59"/>
      <c r="K776" s="59"/>
      <c r="L776" s="59"/>
      <c r="M776" s="59"/>
      <c r="N776" s="59"/>
      <c r="O776" s="59"/>
      <c r="P776" s="59"/>
      <c r="Q776" s="59"/>
    </row>
    <row r="777" spans="2:17" outlineLevel="1" x14ac:dyDescent="0.2">
      <c r="B777" s="59"/>
      <c r="C777" s="59"/>
      <c r="D777" s="59"/>
      <c r="E777" s="59"/>
      <c r="F777" s="59"/>
      <c r="G777" s="59"/>
      <c r="H777" s="541"/>
      <c r="I777" s="617">
        <f t="shared" si="12"/>
        <v>0</v>
      </c>
      <c r="J777" s="59"/>
      <c r="K777" s="59"/>
      <c r="L777" s="59"/>
      <c r="M777" s="59"/>
      <c r="N777" s="59"/>
      <c r="O777" s="59"/>
      <c r="P777" s="59"/>
      <c r="Q777" s="59"/>
    </row>
    <row r="778" spans="2:17" outlineLevel="1" x14ac:dyDescent="0.2">
      <c r="B778" s="59"/>
      <c r="C778" s="59"/>
      <c r="D778" s="59"/>
      <c r="E778" s="59"/>
      <c r="F778" s="59"/>
      <c r="G778" s="59"/>
      <c r="H778" s="541"/>
      <c r="I778" s="617">
        <f t="shared" si="12"/>
        <v>0</v>
      </c>
      <c r="J778" s="59"/>
      <c r="K778" s="59"/>
      <c r="L778" s="59"/>
      <c r="M778" s="59"/>
      <c r="N778" s="59"/>
      <c r="O778" s="59"/>
      <c r="P778" s="59"/>
      <c r="Q778" s="59"/>
    </row>
    <row r="779" spans="2:17" outlineLevel="1" x14ac:dyDescent="0.2">
      <c r="B779" s="59"/>
      <c r="C779" s="59"/>
      <c r="D779" s="59"/>
      <c r="E779" s="59"/>
      <c r="F779" s="59"/>
      <c r="G779" s="59"/>
      <c r="H779" s="541"/>
      <c r="I779" s="617">
        <f t="shared" si="12"/>
        <v>0</v>
      </c>
      <c r="J779" s="59"/>
      <c r="K779" s="59"/>
      <c r="L779" s="59"/>
      <c r="M779" s="59"/>
      <c r="N779" s="59"/>
      <c r="O779" s="59"/>
      <c r="P779" s="59"/>
      <c r="Q779" s="59"/>
    </row>
    <row r="780" spans="2:17" outlineLevel="1" x14ac:dyDescent="0.2">
      <c r="B780" s="59"/>
      <c r="C780" s="59"/>
      <c r="D780" s="59"/>
      <c r="E780" s="59"/>
      <c r="F780" s="59"/>
      <c r="G780" s="59"/>
      <c r="H780" s="541"/>
      <c r="I780" s="617">
        <f t="shared" si="12"/>
        <v>0</v>
      </c>
      <c r="J780" s="59"/>
      <c r="K780" s="59"/>
      <c r="L780" s="59"/>
      <c r="M780" s="59"/>
      <c r="N780" s="59"/>
      <c r="O780" s="59"/>
      <c r="P780" s="59"/>
      <c r="Q780" s="59"/>
    </row>
    <row r="781" spans="2:17" outlineLevel="1" x14ac:dyDescent="0.2">
      <c r="B781" s="59"/>
      <c r="C781" s="59"/>
      <c r="D781" s="59"/>
      <c r="E781" s="59"/>
      <c r="F781" s="59"/>
      <c r="G781" s="59"/>
      <c r="H781" s="541"/>
      <c r="I781" s="617">
        <f t="shared" si="12"/>
        <v>0</v>
      </c>
      <c r="J781" s="59"/>
      <c r="K781" s="59"/>
      <c r="L781" s="59"/>
      <c r="M781" s="59"/>
      <c r="N781" s="59"/>
      <c r="O781" s="59"/>
      <c r="P781" s="59"/>
      <c r="Q781" s="59"/>
    </row>
    <row r="782" spans="2:17" outlineLevel="1" x14ac:dyDescent="0.2">
      <c r="B782" s="59"/>
      <c r="C782" s="59"/>
      <c r="D782" s="59"/>
      <c r="E782" s="59"/>
      <c r="F782" s="59"/>
      <c r="G782" s="59"/>
      <c r="H782" s="541"/>
      <c r="I782" s="617">
        <f t="shared" si="12"/>
        <v>0</v>
      </c>
      <c r="J782" s="59"/>
      <c r="K782" s="59"/>
      <c r="L782" s="59"/>
      <c r="M782" s="59"/>
      <c r="N782" s="59"/>
      <c r="O782" s="59"/>
      <c r="P782" s="59"/>
      <c r="Q782" s="59"/>
    </row>
    <row r="783" spans="2:17" outlineLevel="1" x14ac:dyDescent="0.2">
      <c r="B783" s="59"/>
      <c r="C783" s="59"/>
      <c r="D783" s="59"/>
      <c r="E783" s="59"/>
      <c r="F783" s="59"/>
      <c r="G783" s="59"/>
      <c r="H783" s="541"/>
      <c r="I783" s="617">
        <f t="shared" si="12"/>
        <v>0</v>
      </c>
      <c r="J783" s="59"/>
      <c r="K783" s="59"/>
      <c r="L783" s="59"/>
      <c r="M783" s="59"/>
      <c r="N783" s="59"/>
      <c r="O783" s="59"/>
      <c r="P783" s="59"/>
      <c r="Q783" s="59"/>
    </row>
    <row r="784" spans="2:17" outlineLevel="1" x14ac:dyDescent="0.2">
      <c r="B784" s="59"/>
      <c r="C784" s="59"/>
      <c r="D784" s="59"/>
      <c r="E784" s="59"/>
      <c r="F784" s="59"/>
      <c r="G784" s="59"/>
      <c r="H784" s="541"/>
      <c r="I784" s="617">
        <f t="shared" si="12"/>
        <v>0</v>
      </c>
      <c r="J784" s="59"/>
      <c r="K784" s="59"/>
      <c r="L784" s="59"/>
      <c r="M784" s="59"/>
      <c r="N784" s="59"/>
      <c r="O784" s="59"/>
      <c r="P784" s="59"/>
      <c r="Q784" s="59"/>
    </row>
    <row r="785" spans="2:17" outlineLevel="1" x14ac:dyDescent="0.2">
      <c r="B785" s="59"/>
      <c r="C785" s="59"/>
      <c r="D785" s="59"/>
      <c r="E785" s="59"/>
      <c r="F785" s="59"/>
      <c r="G785" s="59"/>
      <c r="H785" s="541"/>
      <c r="I785" s="617">
        <f t="shared" si="12"/>
        <v>0</v>
      </c>
      <c r="J785" s="59"/>
      <c r="K785" s="59"/>
      <c r="L785" s="59"/>
      <c r="M785" s="59"/>
      <c r="N785" s="59"/>
      <c r="O785" s="59"/>
      <c r="P785" s="59"/>
      <c r="Q785" s="59"/>
    </row>
    <row r="786" spans="2:17" outlineLevel="1" x14ac:dyDescent="0.2">
      <c r="B786" s="59"/>
      <c r="C786" s="59"/>
      <c r="D786" s="59"/>
      <c r="E786" s="59"/>
      <c r="F786" s="59"/>
      <c r="G786" s="59"/>
      <c r="H786" s="541"/>
      <c r="I786" s="617">
        <f t="shared" si="12"/>
        <v>0</v>
      </c>
      <c r="J786" s="59"/>
      <c r="K786" s="59"/>
      <c r="L786" s="59"/>
      <c r="M786" s="59"/>
      <c r="N786" s="59"/>
      <c r="O786" s="59"/>
      <c r="P786" s="59"/>
      <c r="Q786" s="59"/>
    </row>
    <row r="787" spans="2:17" outlineLevel="1" x14ac:dyDescent="0.2">
      <c r="B787" s="59"/>
      <c r="C787" s="59"/>
      <c r="D787" s="59"/>
      <c r="E787" s="59"/>
      <c r="F787" s="59"/>
      <c r="G787" s="59"/>
      <c r="H787" s="541"/>
      <c r="I787" s="617">
        <f t="shared" si="12"/>
        <v>0</v>
      </c>
      <c r="J787" s="59"/>
      <c r="K787" s="59"/>
      <c r="L787" s="59"/>
      <c r="M787" s="59"/>
      <c r="N787" s="59"/>
      <c r="O787" s="59"/>
      <c r="P787" s="59"/>
      <c r="Q787" s="59"/>
    </row>
    <row r="788" spans="2:17" outlineLevel="1" x14ac:dyDescent="0.2">
      <c r="B788" s="59"/>
      <c r="C788" s="59"/>
      <c r="D788" s="59"/>
      <c r="E788" s="59"/>
      <c r="F788" s="59"/>
      <c r="G788" s="59"/>
      <c r="H788" s="541"/>
      <c r="I788" s="617">
        <f t="shared" si="12"/>
        <v>0</v>
      </c>
      <c r="J788" s="59"/>
      <c r="K788" s="59"/>
      <c r="L788" s="59"/>
      <c r="M788" s="59"/>
      <c r="N788" s="59"/>
      <c r="O788" s="59"/>
      <c r="P788" s="59"/>
      <c r="Q788" s="59"/>
    </row>
    <row r="789" spans="2:17" outlineLevel="1" x14ac:dyDescent="0.2">
      <c r="B789" s="59"/>
      <c r="C789" s="59"/>
      <c r="D789" s="59"/>
      <c r="E789" s="59"/>
      <c r="F789" s="59"/>
      <c r="G789" s="59"/>
      <c r="H789" s="541"/>
      <c r="I789" s="617">
        <f t="shared" si="12"/>
        <v>0</v>
      </c>
      <c r="J789" s="59"/>
      <c r="K789" s="59"/>
      <c r="L789" s="59"/>
      <c r="M789" s="59"/>
      <c r="N789" s="59"/>
      <c r="O789" s="59"/>
      <c r="P789" s="59"/>
      <c r="Q789" s="59"/>
    </row>
    <row r="790" spans="2:17" outlineLevel="1" x14ac:dyDescent="0.2">
      <c r="B790" s="59"/>
      <c r="C790" s="59"/>
      <c r="D790" s="59"/>
      <c r="E790" s="59"/>
      <c r="F790" s="59"/>
      <c r="G790" s="59"/>
      <c r="H790" s="541"/>
      <c r="I790" s="617">
        <f t="shared" si="12"/>
        <v>0</v>
      </c>
      <c r="J790" s="59"/>
      <c r="K790" s="59"/>
      <c r="L790" s="59"/>
      <c r="M790" s="59"/>
      <c r="N790" s="59"/>
      <c r="O790" s="59"/>
      <c r="P790" s="59"/>
      <c r="Q790" s="59"/>
    </row>
    <row r="791" spans="2:17" outlineLevel="1" x14ac:dyDescent="0.2">
      <c r="B791" s="59"/>
      <c r="C791" s="59"/>
      <c r="D791" s="59"/>
      <c r="E791" s="59"/>
      <c r="F791" s="59"/>
      <c r="G791" s="59"/>
      <c r="H791" s="541"/>
      <c r="I791" s="617">
        <f t="shared" si="12"/>
        <v>0</v>
      </c>
      <c r="J791" s="59"/>
      <c r="K791" s="59"/>
      <c r="L791" s="59"/>
      <c r="M791" s="59"/>
      <c r="N791" s="59"/>
      <c r="O791" s="59"/>
      <c r="P791" s="59"/>
      <c r="Q791" s="59"/>
    </row>
    <row r="792" spans="2:17" outlineLevel="1" x14ac:dyDescent="0.2">
      <c r="B792" s="59"/>
      <c r="C792" s="59"/>
      <c r="D792" s="59"/>
      <c r="E792" s="59"/>
      <c r="F792" s="59"/>
      <c r="G792" s="59"/>
      <c r="H792" s="541"/>
      <c r="I792" s="617">
        <f t="shared" si="12"/>
        <v>0</v>
      </c>
      <c r="J792" s="59"/>
      <c r="K792" s="59"/>
      <c r="L792" s="59"/>
      <c r="M792" s="59"/>
      <c r="N792" s="59"/>
      <c r="O792" s="59"/>
      <c r="P792" s="59"/>
      <c r="Q792" s="59"/>
    </row>
    <row r="793" spans="2:17" outlineLevel="1" x14ac:dyDescent="0.2">
      <c r="B793" s="59"/>
      <c r="C793" s="59"/>
      <c r="D793" s="59"/>
      <c r="E793" s="59"/>
      <c r="F793" s="59"/>
      <c r="G793" s="59"/>
      <c r="H793" s="541"/>
      <c r="I793" s="617">
        <f t="shared" si="12"/>
        <v>0</v>
      </c>
      <c r="J793" s="59"/>
      <c r="K793" s="59"/>
      <c r="L793" s="59"/>
      <c r="M793" s="59"/>
      <c r="N793" s="59"/>
      <c r="O793" s="59"/>
      <c r="P793" s="59"/>
      <c r="Q793" s="59"/>
    </row>
    <row r="794" spans="2:17" outlineLevel="1" x14ac:dyDescent="0.2">
      <c r="B794" s="59"/>
      <c r="C794" s="59"/>
      <c r="D794" s="59"/>
      <c r="E794" s="59"/>
      <c r="F794" s="59"/>
      <c r="G794" s="59"/>
      <c r="H794" s="541"/>
      <c r="I794" s="617">
        <f t="shared" si="12"/>
        <v>0</v>
      </c>
      <c r="J794" s="59"/>
      <c r="K794" s="59"/>
      <c r="L794" s="59"/>
      <c r="M794" s="59"/>
      <c r="N794" s="59"/>
      <c r="O794" s="59"/>
      <c r="P794" s="59"/>
      <c r="Q794" s="59"/>
    </row>
    <row r="795" spans="2:17" outlineLevel="1" x14ac:dyDescent="0.2">
      <c r="B795" s="59"/>
      <c r="C795" s="59"/>
      <c r="D795" s="59"/>
      <c r="E795" s="59"/>
      <c r="F795" s="59"/>
      <c r="G795" s="59"/>
      <c r="H795" s="541"/>
      <c r="I795" s="617">
        <f t="shared" si="12"/>
        <v>0</v>
      </c>
      <c r="J795" s="59"/>
      <c r="K795" s="59"/>
      <c r="L795" s="59"/>
      <c r="M795" s="59"/>
      <c r="N795" s="59"/>
      <c r="O795" s="59"/>
      <c r="P795" s="59"/>
      <c r="Q795" s="59"/>
    </row>
    <row r="796" spans="2:17" outlineLevel="1" x14ac:dyDescent="0.2">
      <c r="B796" s="59"/>
      <c r="C796" s="59"/>
      <c r="D796" s="59"/>
      <c r="E796" s="59"/>
      <c r="F796" s="59"/>
      <c r="G796" s="59"/>
      <c r="H796" s="541"/>
      <c r="I796" s="617">
        <f t="shared" si="12"/>
        <v>0</v>
      </c>
      <c r="J796" s="59"/>
      <c r="K796" s="59"/>
      <c r="L796" s="59"/>
      <c r="M796" s="59"/>
      <c r="N796" s="59"/>
      <c r="O796" s="59"/>
      <c r="P796" s="59"/>
      <c r="Q796" s="59"/>
    </row>
    <row r="797" spans="2:17" outlineLevel="1" x14ac:dyDescent="0.2">
      <c r="B797" s="59"/>
      <c r="C797" s="59"/>
      <c r="D797" s="59"/>
      <c r="E797" s="59"/>
      <c r="F797" s="59"/>
      <c r="G797" s="59"/>
      <c r="H797" s="541"/>
      <c r="I797" s="617">
        <f t="shared" si="12"/>
        <v>0</v>
      </c>
      <c r="J797" s="59"/>
      <c r="K797" s="59"/>
      <c r="L797" s="59"/>
      <c r="M797" s="59"/>
      <c r="N797" s="59"/>
      <c r="O797" s="59"/>
      <c r="P797" s="59"/>
      <c r="Q797" s="59"/>
    </row>
    <row r="798" spans="2:17" outlineLevel="1" x14ac:dyDescent="0.2">
      <c r="B798" s="59"/>
      <c r="C798" s="59"/>
      <c r="D798" s="59"/>
      <c r="E798" s="59"/>
      <c r="F798" s="59"/>
      <c r="G798" s="59"/>
      <c r="H798" s="541"/>
      <c r="I798" s="617">
        <f t="shared" si="12"/>
        <v>0</v>
      </c>
      <c r="J798" s="59"/>
      <c r="K798" s="59"/>
      <c r="L798" s="59"/>
      <c r="M798" s="59"/>
      <c r="N798" s="59"/>
      <c r="O798" s="59"/>
      <c r="P798" s="59"/>
      <c r="Q798" s="59"/>
    </row>
    <row r="799" spans="2:17" outlineLevel="1" x14ac:dyDescent="0.2">
      <c r="B799" s="59"/>
      <c r="C799" s="59"/>
      <c r="D799" s="59"/>
      <c r="E799" s="59"/>
      <c r="F799" s="59"/>
      <c r="G799" s="59"/>
      <c r="H799" s="541"/>
      <c r="I799" s="617">
        <f t="shared" si="12"/>
        <v>0</v>
      </c>
      <c r="J799" s="59"/>
      <c r="K799" s="59"/>
      <c r="L799" s="59"/>
      <c r="M799" s="59"/>
      <c r="N799" s="59"/>
      <c r="O799" s="59"/>
      <c r="P799" s="59"/>
      <c r="Q799" s="59"/>
    </row>
    <row r="800" spans="2:17" outlineLevel="1" x14ac:dyDescent="0.2">
      <c r="B800" s="59"/>
      <c r="C800" s="59"/>
      <c r="D800" s="59"/>
      <c r="E800" s="59"/>
      <c r="F800" s="59"/>
      <c r="G800" s="59"/>
      <c r="H800" s="541"/>
      <c r="I800" s="617">
        <f t="shared" si="12"/>
        <v>0</v>
      </c>
      <c r="J800" s="59"/>
      <c r="K800" s="59"/>
      <c r="L800" s="59"/>
      <c r="M800" s="59"/>
      <c r="N800" s="59"/>
      <c r="O800" s="59"/>
      <c r="P800" s="59"/>
      <c r="Q800" s="59"/>
    </row>
    <row r="801" spans="2:17" outlineLevel="1" x14ac:dyDescent="0.2">
      <c r="B801" s="59"/>
      <c r="C801" s="59"/>
      <c r="D801" s="59"/>
      <c r="E801" s="59"/>
      <c r="F801" s="59"/>
      <c r="G801" s="59"/>
      <c r="H801" s="541"/>
      <c r="I801" s="617">
        <f t="shared" si="12"/>
        <v>0</v>
      </c>
      <c r="J801" s="59"/>
      <c r="K801" s="59"/>
      <c r="L801" s="59"/>
      <c r="M801" s="59"/>
      <c r="N801" s="59"/>
      <c r="O801" s="59"/>
      <c r="P801" s="59"/>
      <c r="Q801" s="59"/>
    </row>
    <row r="802" spans="2:17" outlineLevel="1" x14ac:dyDescent="0.2">
      <c r="B802" s="59"/>
      <c r="C802" s="59"/>
      <c r="D802" s="59"/>
      <c r="E802" s="59"/>
      <c r="F802" s="59"/>
      <c r="G802" s="59"/>
      <c r="H802" s="541"/>
      <c r="I802" s="617">
        <f t="shared" si="12"/>
        <v>0</v>
      </c>
      <c r="J802" s="59"/>
      <c r="K802" s="59"/>
      <c r="L802" s="59"/>
      <c r="M802" s="59"/>
      <c r="N802" s="59"/>
      <c r="O802" s="59"/>
      <c r="P802" s="59"/>
      <c r="Q802" s="59"/>
    </row>
    <row r="803" spans="2:17" outlineLevel="1" x14ac:dyDescent="0.2">
      <c r="B803" s="59"/>
      <c r="C803" s="59"/>
      <c r="D803" s="59"/>
      <c r="E803" s="59"/>
      <c r="F803" s="59"/>
      <c r="G803" s="59"/>
      <c r="H803" s="541"/>
      <c r="I803" s="617">
        <f t="shared" si="12"/>
        <v>0</v>
      </c>
      <c r="J803" s="59"/>
      <c r="K803" s="59"/>
      <c r="L803" s="59"/>
      <c r="M803" s="59"/>
      <c r="N803" s="59"/>
      <c r="O803" s="59"/>
      <c r="P803" s="59"/>
      <c r="Q803" s="59"/>
    </row>
    <row r="804" spans="2:17" outlineLevel="1" x14ac:dyDescent="0.2">
      <c r="B804" s="59"/>
      <c r="C804" s="59"/>
      <c r="D804" s="59"/>
      <c r="E804" s="59"/>
      <c r="F804" s="59"/>
      <c r="G804" s="59"/>
      <c r="H804" s="541"/>
      <c r="I804" s="617">
        <f t="shared" si="12"/>
        <v>0</v>
      </c>
      <c r="J804" s="59"/>
      <c r="K804" s="59"/>
      <c r="L804" s="59"/>
      <c r="M804" s="59"/>
      <c r="N804" s="59"/>
      <c r="O804" s="59"/>
      <c r="P804" s="59"/>
      <c r="Q804" s="59"/>
    </row>
    <row r="805" spans="2:17" outlineLevel="1" x14ac:dyDescent="0.2">
      <c r="B805" s="59"/>
      <c r="C805" s="59"/>
      <c r="D805" s="59"/>
      <c r="E805" s="59"/>
      <c r="F805" s="59"/>
      <c r="G805" s="59"/>
      <c r="H805" s="541"/>
      <c r="I805" s="617">
        <f t="shared" si="12"/>
        <v>0</v>
      </c>
      <c r="J805" s="59"/>
      <c r="K805" s="59"/>
      <c r="L805" s="59"/>
      <c r="M805" s="59"/>
      <c r="N805" s="59"/>
      <c r="O805" s="59"/>
      <c r="P805" s="59"/>
      <c r="Q805" s="59"/>
    </row>
    <row r="806" spans="2:17" outlineLevel="1" x14ac:dyDescent="0.2">
      <c r="B806" s="59"/>
      <c r="C806" s="59"/>
      <c r="D806" s="59"/>
      <c r="E806" s="59"/>
      <c r="F806" s="59"/>
      <c r="G806" s="59"/>
      <c r="H806" s="541"/>
      <c r="I806" s="617">
        <f t="shared" si="12"/>
        <v>0</v>
      </c>
      <c r="J806" s="59"/>
      <c r="K806" s="59"/>
      <c r="L806" s="59"/>
      <c r="M806" s="59"/>
      <c r="N806" s="59"/>
      <c r="O806" s="59"/>
      <c r="P806" s="59"/>
      <c r="Q806" s="59"/>
    </row>
    <row r="807" spans="2:17" outlineLevel="1" x14ac:dyDescent="0.2">
      <c r="B807" s="59"/>
      <c r="C807" s="59"/>
      <c r="D807" s="59"/>
      <c r="E807" s="59"/>
      <c r="F807" s="59"/>
      <c r="G807" s="59"/>
      <c r="H807" s="541"/>
      <c r="I807" s="617">
        <f t="shared" si="12"/>
        <v>0</v>
      </c>
      <c r="J807" s="59"/>
      <c r="K807" s="59"/>
      <c r="L807" s="59"/>
      <c r="M807" s="59"/>
      <c r="N807" s="59"/>
      <c r="O807" s="59"/>
      <c r="P807" s="59"/>
      <c r="Q807" s="59"/>
    </row>
    <row r="808" spans="2:17" outlineLevel="1" x14ac:dyDescent="0.2">
      <c r="B808" s="59"/>
      <c r="C808" s="59"/>
      <c r="D808" s="59"/>
      <c r="E808" s="59"/>
      <c r="F808" s="59"/>
      <c r="G808" s="59"/>
      <c r="H808" s="541"/>
      <c r="I808" s="617">
        <f t="shared" si="12"/>
        <v>0</v>
      </c>
      <c r="J808" s="59"/>
      <c r="K808" s="59"/>
      <c r="L808" s="59"/>
      <c r="M808" s="59"/>
      <c r="N808" s="59"/>
      <c r="O808" s="59"/>
      <c r="P808" s="59"/>
      <c r="Q808" s="59"/>
    </row>
    <row r="809" spans="2:17" outlineLevel="1" x14ac:dyDescent="0.2">
      <c r="B809" s="59"/>
      <c r="C809" s="59"/>
      <c r="D809" s="59"/>
      <c r="E809" s="59"/>
      <c r="F809" s="59"/>
      <c r="G809" s="59"/>
      <c r="H809" s="541"/>
      <c r="I809" s="617">
        <f t="shared" si="12"/>
        <v>0</v>
      </c>
      <c r="J809" s="59"/>
      <c r="K809" s="59"/>
      <c r="L809" s="59"/>
      <c r="M809" s="59"/>
      <c r="N809" s="59"/>
      <c r="O809" s="59"/>
      <c r="P809" s="59"/>
      <c r="Q809" s="59"/>
    </row>
    <row r="810" spans="2:17" outlineLevel="1" x14ac:dyDescent="0.2">
      <c r="B810" s="59"/>
      <c r="C810" s="59"/>
      <c r="D810" s="59"/>
      <c r="E810" s="59"/>
      <c r="F810" s="59"/>
      <c r="G810" s="59"/>
      <c r="H810" s="541"/>
      <c r="I810" s="617">
        <f t="shared" si="12"/>
        <v>0</v>
      </c>
      <c r="J810" s="59"/>
      <c r="K810" s="59"/>
      <c r="L810" s="59"/>
      <c r="M810" s="59"/>
      <c r="N810" s="59"/>
      <c r="O810" s="59"/>
      <c r="P810" s="59"/>
      <c r="Q810" s="59"/>
    </row>
    <row r="811" spans="2:17" outlineLevel="1" x14ac:dyDescent="0.2">
      <c r="B811" s="59"/>
      <c r="C811" s="59"/>
      <c r="D811" s="59"/>
      <c r="E811" s="59"/>
      <c r="F811" s="59"/>
      <c r="G811" s="59"/>
      <c r="H811" s="541"/>
      <c r="I811" s="617">
        <f t="shared" si="12"/>
        <v>0</v>
      </c>
      <c r="J811" s="59"/>
      <c r="K811" s="59"/>
      <c r="L811" s="59"/>
      <c r="M811" s="59"/>
      <c r="N811" s="59"/>
      <c r="O811" s="59"/>
      <c r="P811" s="59"/>
      <c r="Q811" s="59"/>
    </row>
    <row r="812" spans="2:17" outlineLevel="1" x14ac:dyDescent="0.2">
      <c r="B812" s="59"/>
      <c r="C812" s="59"/>
      <c r="D812" s="59"/>
      <c r="E812" s="59"/>
      <c r="F812" s="59"/>
      <c r="G812" s="59"/>
      <c r="H812" s="541"/>
      <c r="I812" s="617">
        <f t="shared" si="12"/>
        <v>0</v>
      </c>
      <c r="J812" s="59"/>
      <c r="K812" s="59"/>
      <c r="L812" s="59"/>
      <c r="M812" s="59"/>
      <c r="N812" s="59"/>
      <c r="O812" s="59"/>
      <c r="P812" s="59"/>
      <c r="Q812" s="59"/>
    </row>
    <row r="813" spans="2:17" outlineLevel="1" x14ac:dyDescent="0.2">
      <c r="B813" s="59"/>
      <c r="C813" s="59"/>
      <c r="D813" s="59"/>
      <c r="E813" s="59"/>
      <c r="F813" s="59"/>
      <c r="G813" s="59"/>
      <c r="H813" s="541"/>
      <c r="I813" s="617">
        <f t="shared" si="12"/>
        <v>0</v>
      </c>
      <c r="J813" s="59"/>
      <c r="K813" s="59"/>
      <c r="L813" s="59"/>
      <c r="M813" s="59"/>
      <c r="N813" s="59"/>
      <c r="O813" s="59"/>
      <c r="P813" s="59"/>
      <c r="Q813" s="59"/>
    </row>
    <row r="814" spans="2:17" outlineLevel="1" x14ac:dyDescent="0.2">
      <c r="B814" s="59"/>
      <c r="C814" s="59"/>
      <c r="D814" s="59"/>
      <c r="E814" s="59"/>
      <c r="F814" s="59"/>
      <c r="G814" s="59"/>
      <c r="H814" s="541"/>
      <c r="I814" s="617">
        <f t="shared" si="12"/>
        <v>0</v>
      </c>
      <c r="J814" s="59"/>
      <c r="K814" s="59"/>
      <c r="L814" s="59"/>
      <c r="M814" s="59"/>
      <c r="N814" s="59"/>
      <c r="O814" s="59"/>
      <c r="P814" s="59"/>
      <c r="Q814" s="59"/>
    </row>
    <row r="815" spans="2:17" outlineLevel="1" x14ac:dyDescent="0.2">
      <c r="B815" s="59"/>
      <c r="C815" s="59"/>
      <c r="D815" s="59"/>
      <c r="E815" s="59"/>
      <c r="F815" s="59"/>
      <c r="G815" s="59"/>
      <c r="H815" s="541"/>
      <c r="I815" s="617">
        <f t="shared" si="12"/>
        <v>0</v>
      </c>
      <c r="J815" s="59"/>
      <c r="K815" s="59"/>
      <c r="L815" s="59"/>
      <c r="M815" s="59"/>
      <c r="N815" s="59"/>
      <c r="O815" s="59"/>
      <c r="P815" s="59"/>
      <c r="Q815" s="59"/>
    </row>
    <row r="816" spans="2:17" outlineLevel="1" x14ac:dyDescent="0.2">
      <c r="B816" s="59"/>
      <c r="C816" s="59"/>
      <c r="D816" s="59"/>
      <c r="E816" s="59"/>
      <c r="F816" s="59"/>
      <c r="G816" s="59"/>
      <c r="H816" s="541"/>
      <c r="I816" s="617">
        <f t="shared" si="12"/>
        <v>0</v>
      </c>
      <c r="J816" s="59"/>
      <c r="K816" s="59"/>
      <c r="L816" s="59"/>
      <c r="M816" s="59"/>
      <c r="N816" s="59"/>
      <c r="O816" s="59"/>
      <c r="P816" s="59"/>
      <c r="Q816" s="59"/>
    </row>
    <row r="817" spans="2:17" outlineLevel="1" x14ac:dyDescent="0.2">
      <c r="B817" s="59"/>
      <c r="C817" s="59"/>
      <c r="D817" s="59"/>
      <c r="E817" s="59"/>
      <c r="F817" s="59"/>
      <c r="G817" s="59"/>
      <c r="H817" s="541"/>
      <c r="I817" s="617">
        <f t="shared" si="12"/>
        <v>0</v>
      </c>
      <c r="J817" s="59"/>
      <c r="K817" s="59"/>
      <c r="L817" s="59"/>
      <c r="M817" s="59"/>
      <c r="N817" s="59"/>
      <c r="O817" s="59"/>
      <c r="P817" s="59"/>
      <c r="Q817" s="59"/>
    </row>
    <row r="818" spans="2:17" outlineLevel="1" x14ac:dyDescent="0.2">
      <c r="B818" s="59"/>
      <c r="C818" s="59"/>
      <c r="D818" s="59"/>
      <c r="E818" s="59"/>
      <c r="F818" s="59"/>
      <c r="G818" s="59"/>
      <c r="H818" s="541"/>
      <c r="I818" s="617">
        <f t="shared" si="12"/>
        <v>0</v>
      </c>
      <c r="J818" s="59"/>
      <c r="K818" s="59"/>
      <c r="L818" s="59"/>
      <c r="M818" s="59"/>
      <c r="N818" s="59"/>
      <c r="O818" s="59"/>
      <c r="P818" s="59"/>
      <c r="Q818" s="59"/>
    </row>
    <row r="819" spans="2:17" outlineLevel="1" x14ac:dyDescent="0.2">
      <c r="B819" s="59"/>
      <c r="C819" s="59"/>
      <c r="D819" s="59"/>
      <c r="E819" s="59"/>
      <c r="F819" s="59"/>
      <c r="G819" s="59"/>
      <c r="H819" s="541"/>
      <c r="I819" s="617">
        <f t="shared" si="12"/>
        <v>0</v>
      </c>
      <c r="J819" s="59"/>
      <c r="K819" s="59"/>
      <c r="L819" s="59"/>
      <c r="M819" s="59"/>
      <c r="N819" s="59"/>
      <c r="O819" s="59"/>
      <c r="P819" s="59"/>
      <c r="Q819" s="59"/>
    </row>
    <row r="820" spans="2:17" outlineLevel="1" x14ac:dyDescent="0.2">
      <c r="B820" s="59"/>
      <c r="C820" s="59"/>
      <c r="D820" s="59"/>
      <c r="E820" s="59"/>
      <c r="F820" s="59"/>
      <c r="G820" s="59"/>
      <c r="H820" s="541"/>
      <c r="I820" s="617">
        <f t="shared" si="12"/>
        <v>0</v>
      </c>
      <c r="J820" s="59"/>
      <c r="K820" s="59"/>
      <c r="L820" s="59"/>
      <c r="M820" s="59"/>
      <c r="N820" s="59"/>
      <c r="O820" s="59"/>
      <c r="P820" s="59"/>
      <c r="Q820" s="59"/>
    </row>
    <row r="821" spans="2:17" outlineLevel="1" x14ac:dyDescent="0.2">
      <c r="B821" s="59"/>
      <c r="C821" s="59"/>
      <c r="D821" s="59"/>
      <c r="E821" s="59"/>
      <c r="F821" s="59"/>
      <c r="G821" s="59"/>
      <c r="H821" s="541"/>
      <c r="I821" s="617">
        <f t="shared" si="12"/>
        <v>0</v>
      </c>
      <c r="J821" s="59"/>
      <c r="K821" s="59"/>
      <c r="L821" s="59"/>
      <c r="M821" s="59"/>
      <c r="N821" s="59"/>
      <c r="O821" s="59"/>
      <c r="P821" s="59"/>
      <c r="Q821" s="59"/>
    </row>
    <row r="822" spans="2:17" outlineLevel="1" x14ac:dyDescent="0.2">
      <c r="B822" s="59"/>
      <c r="C822" s="59"/>
      <c r="D822" s="59"/>
      <c r="E822" s="59"/>
      <c r="F822" s="59"/>
      <c r="G822" s="59"/>
      <c r="H822" s="541"/>
      <c r="I822" s="617">
        <f t="shared" si="12"/>
        <v>0</v>
      </c>
      <c r="J822" s="59"/>
      <c r="K822" s="59"/>
      <c r="L822" s="59"/>
      <c r="M822" s="59"/>
      <c r="N822" s="59"/>
      <c r="O822" s="59"/>
      <c r="P822" s="59"/>
      <c r="Q822" s="59"/>
    </row>
    <row r="823" spans="2:17" outlineLevel="1" x14ac:dyDescent="0.2">
      <c r="B823" s="59"/>
      <c r="C823" s="59"/>
      <c r="D823" s="59"/>
      <c r="E823" s="59"/>
      <c r="F823" s="59"/>
      <c r="G823" s="59"/>
      <c r="H823" s="541"/>
      <c r="I823" s="617">
        <f t="shared" si="12"/>
        <v>0</v>
      </c>
      <c r="J823" s="59"/>
      <c r="K823" s="59"/>
      <c r="L823" s="59"/>
      <c r="M823" s="59"/>
      <c r="N823" s="59"/>
      <c r="O823" s="59"/>
      <c r="P823" s="59"/>
      <c r="Q823" s="59"/>
    </row>
    <row r="824" spans="2:17" outlineLevel="1" x14ac:dyDescent="0.2">
      <c r="B824" s="59"/>
      <c r="C824" s="59"/>
      <c r="D824" s="59"/>
      <c r="E824" s="59"/>
      <c r="F824" s="59"/>
      <c r="G824" s="59"/>
      <c r="H824" s="541"/>
      <c r="I824" s="617">
        <f t="shared" si="12"/>
        <v>0</v>
      </c>
      <c r="J824" s="59"/>
      <c r="K824" s="59"/>
      <c r="L824" s="59"/>
      <c r="M824" s="59"/>
      <c r="N824" s="59"/>
      <c r="O824" s="59"/>
      <c r="P824" s="59"/>
      <c r="Q824" s="59"/>
    </row>
    <row r="825" spans="2:17" outlineLevel="1" x14ac:dyDescent="0.2">
      <c r="B825" s="59"/>
      <c r="C825" s="59"/>
      <c r="D825" s="59"/>
      <c r="E825" s="59"/>
      <c r="F825" s="59"/>
      <c r="G825" s="59"/>
      <c r="H825" s="541"/>
      <c r="I825" s="617">
        <f t="shared" si="12"/>
        <v>0</v>
      </c>
      <c r="J825" s="59"/>
      <c r="K825" s="59"/>
      <c r="L825" s="59"/>
      <c r="M825" s="59"/>
      <c r="N825" s="59"/>
      <c r="O825" s="59"/>
      <c r="P825" s="59"/>
      <c r="Q825" s="59"/>
    </row>
    <row r="826" spans="2:17" outlineLevel="1" x14ac:dyDescent="0.2">
      <c r="B826" s="59"/>
      <c r="C826" s="59"/>
      <c r="D826" s="59"/>
      <c r="E826" s="59"/>
      <c r="F826" s="59"/>
      <c r="G826" s="59"/>
      <c r="H826" s="541"/>
      <c r="I826" s="617">
        <f t="shared" si="12"/>
        <v>0</v>
      </c>
      <c r="J826" s="59"/>
      <c r="K826" s="59"/>
      <c r="L826" s="59"/>
      <c r="M826" s="59"/>
      <c r="N826" s="59"/>
      <c r="O826" s="59"/>
      <c r="P826" s="59"/>
      <c r="Q826" s="59"/>
    </row>
    <row r="827" spans="2:17" outlineLevel="1" x14ac:dyDescent="0.2">
      <c r="B827" s="59"/>
      <c r="C827" s="59"/>
      <c r="D827" s="59"/>
      <c r="E827" s="59"/>
      <c r="F827" s="59"/>
      <c r="G827" s="59"/>
      <c r="H827" s="541"/>
      <c r="I827" s="617">
        <f t="shared" si="12"/>
        <v>0</v>
      </c>
      <c r="J827" s="59"/>
      <c r="K827" s="59"/>
      <c r="L827" s="59"/>
      <c r="M827" s="59"/>
      <c r="N827" s="59"/>
      <c r="O827" s="59"/>
      <c r="P827" s="59"/>
      <c r="Q827" s="59"/>
    </row>
    <row r="828" spans="2:17" outlineLevel="1" x14ac:dyDescent="0.2">
      <c r="B828" s="59"/>
      <c r="C828" s="59"/>
      <c r="D828" s="59"/>
      <c r="E828" s="59"/>
      <c r="F828" s="59"/>
      <c r="G828" s="59"/>
      <c r="H828" s="541"/>
      <c r="I828" s="617">
        <f t="shared" si="12"/>
        <v>0</v>
      </c>
      <c r="J828" s="59"/>
      <c r="K828" s="59"/>
      <c r="L828" s="59"/>
      <c r="M828" s="59"/>
      <c r="N828" s="59"/>
      <c r="O828" s="59"/>
      <c r="P828" s="59"/>
      <c r="Q828" s="59"/>
    </row>
    <row r="829" spans="2:17" outlineLevel="1" x14ac:dyDescent="0.2">
      <c r="B829" s="59"/>
      <c r="C829" s="59"/>
      <c r="D829" s="59"/>
      <c r="E829" s="59"/>
      <c r="F829" s="59"/>
      <c r="G829" s="59"/>
      <c r="H829" s="541"/>
      <c r="I829" s="617">
        <f t="shared" si="12"/>
        <v>0</v>
      </c>
      <c r="J829" s="59"/>
      <c r="K829" s="59"/>
      <c r="L829" s="59"/>
      <c r="M829" s="59"/>
      <c r="N829" s="59"/>
      <c r="O829" s="59"/>
      <c r="P829" s="59"/>
      <c r="Q829" s="59"/>
    </row>
    <row r="830" spans="2:17" outlineLevel="1" x14ac:dyDescent="0.2">
      <c r="B830" s="59"/>
      <c r="C830" s="59"/>
      <c r="D830" s="59"/>
      <c r="E830" s="59"/>
      <c r="F830" s="59"/>
      <c r="G830" s="59"/>
      <c r="H830" s="541"/>
      <c r="I830" s="617">
        <f t="shared" si="12"/>
        <v>0</v>
      </c>
      <c r="J830" s="59"/>
      <c r="K830" s="59"/>
      <c r="L830" s="59"/>
      <c r="M830" s="59"/>
      <c r="N830" s="59"/>
      <c r="O830" s="59"/>
      <c r="P830" s="59"/>
      <c r="Q830" s="59"/>
    </row>
    <row r="831" spans="2:17" outlineLevel="1" x14ac:dyDescent="0.2">
      <c r="B831" s="59"/>
      <c r="C831" s="59"/>
      <c r="D831" s="59"/>
      <c r="E831" s="59"/>
      <c r="F831" s="59"/>
      <c r="G831" s="59"/>
      <c r="H831" s="541"/>
      <c r="I831" s="617">
        <f t="shared" si="12"/>
        <v>0</v>
      </c>
      <c r="J831" s="59"/>
      <c r="K831" s="59"/>
      <c r="L831" s="59"/>
      <c r="M831" s="59"/>
      <c r="N831" s="59"/>
      <c r="O831" s="59"/>
      <c r="P831" s="59"/>
      <c r="Q831" s="59"/>
    </row>
    <row r="832" spans="2:17" outlineLevel="1" x14ac:dyDescent="0.2">
      <c r="B832" s="59"/>
      <c r="C832" s="59"/>
      <c r="D832" s="59"/>
      <c r="E832" s="59"/>
      <c r="F832" s="59"/>
      <c r="G832" s="59"/>
      <c r="H832" s="541"/>
      <c r="I832" s="617">
        <f t="shared" si="12"/>
        <v>0</v>
      </c>
      <c r="J832" s="59"/>
      <c r="K832" s="59"/>
      <c r="L832" s="59"/>
      <c r="M832" s="59"/>
      <c r="N832" s="59"/>
      <c r="O832" s="59"/>
      <c r="P832" s="59"/>
      <c r="Q832" s="59"/>
    </row>
    <row r="833" spans="2:17" outlineLevel="1" x14ac:dyDescent="0.2">
      <c r="B833" s="59"/>
      <c r="C833" s="59"/>
      <c r="D833" s="59"/>
      <c r="E833" s="59"/>
      <c r="F833" s="59"/>
      <c r="G833" s="59"/>
      <c r="H833" s="541"/>
      <c r="I833" s="617">
        <f t="shared" si="12"/>
        <v>0</v>
      </c>
      <c r="J833" s="59"/>
      <c r="K833" s="59"/>
      <c r="L833" s="59"/>
      <c r="M833" s="59"/>
      <c r="N833" s="59"/>
      <c r="O833" s="59"/>
      <c r="P833" s="59"/>
      <c r="Q833" s="59"/>
    </row>
    <row r="834" spans="2:17" outlineLevel="1" x14ac:dyDescent="0.2">
      <c r="B834" s="59"/>
      <c r="C834" s="59"/>
      <c r="D834" s="59"/>
      <c r="E834" s="59"/>
      <c r="F834" s="59"/>
      <c r="G834" s="59"/>
      <c r="H834" s="541"/>
      <c r="I834" s="617">
        <f t="shared" si="12"/>
        <v>0</v>
      </c>
      <c r="J834" s="59"/>
      <c r="K834" s="59"/>
      <c r="L834" s="59"/>
      <c r="M834" s="59"/>
      <c r="N834" s="59"/>
      <c r="O834" s="59"/>
      <c r="P834" s="59"/>
      <c r="Q834" s="59"/>
    </row>
    <row r="835" spans="2:17" outlineLevel="1" x14ac:dyDescent="0.2">
      <c r="B835" s="59"/>
      <c r="C835" s="59"/>
      <c r="D835" s="59"/>
      <c r="E835" s="59"/>
      <c r="F835" s="59"/>
      <c r="G835" s="59"/>
      <c r="H835" s="541"/>
      <c r="I835" s="617">
        <f t="shared" si="12"/>
        <v>0</v>
      </c>
      <c r="J835" s="59"/>
      <c r="K835" s="59"/>
      <c r="L835" s="59"/>
      <c r="M835" s="59"/>
      <c r="N835" s="59"/>
      <c r="O835" s="59"/>
      <c r="P835" s="59"/>
      <c r="Q835" s="59"/>
    </row>
    <row r="836" spans="2:17" outlineLevel="1" x14ac:dyDescent="0.2">
      <c r="B836" s="59"/>
      <c r="C836" s="59"/>
      <c r="D836" s="59"/>
      <c r="E836" s="59"/>
      <c r="F836" s="59"/>
      <c r="G836" s="59"/>
      <c r="H836" s="541"/>
      <c r="I836" s="617">
        <f t="shared" si="12"/>
        <v>0</v>
      </c>
      <c r="J836" s="59"/>
      <c r="K836" s="59"/>
      <c r="L836" s="59"/>
      <c r="M836" s="59"/>
      <c r="N836" s="59"/>
      <c r="O836" s="59"/>
      <c r="P836" s="59"/>
      <c r="Q836" s="59"/>
    </row>
    <row r="837" spans="2:17" outlineLevel="1" x14ac:dyDescent="0.2">
      <c r="B837" s="59"/>
      <c r="C837" s="59"/>
      <c r="D837" s="59"/>
      <c r="E837" s="59"/>
      <c r="F837" s="59"/>
      <c r="G837" s="59"/>
      <c r="H837" s="541"/>
      <c r="I837" s="617">
        <f t="shared" ref="I837:I900" si="13">G837*H837</f>
        <v>0</v>
      </c>
      <c r="J837" s="59"/>
      <c r="K837" s="59"/>
      <c r="L837" s="59"/>
      <c r="M837" s="59"/>
      <c r="N837" s="59"/>
      <c r="O837" s="59"/>
      <c r="P837" s="59"/>
      <c r="Q837" s="59"/>
    </row>
    <row r="838" spans="2:17" outlineLevel="1" x14ac:dyDescent="0.2">
      <c r="B838" s="59"/>
      <c r="C838" s="59"/>
      <c r="D838" s="59"/>
      <c r="E838" s="59"/>
      <c r="F838" s="59"/>
      <c r="G838" s="59"/>
      <c r="H838" s="541"/>
      <c r="I838" s="617">
        <f t="shared" si="13"/>
        <v>0</v>
      </c>
      <c r="J838" s="59"/>
      <c r="K838" s="59"/>
      <c r="L838" s="59"/>
      <c r="M838" s="59"/>
      <c r="N838" s="59"/>
      <c r="O838" s="59"/>
      <c r="P838" s="59"/>
      <c r="Q838" s="59"/>
    </row>
    <row r="839" spans="2:17" outlineLevel="1" x14ac:dyDescent="0.2">
      <c r="B839" s="59"/>
      <c r="C839" s="59"/>
      <c r="D839" s="59"/>
      <c r="E839" s="59"/>
      <c r="F839" s="59"/>
      <c r="G839" s="59"/>
      <c r="H839" s="541"/>
      <c r="I839" s="617">
        <f t="shared" si="13"/>
        <v>0</v>
      </c>
      <c r="J839" s="59"/>
      <c r="K839" s="59"/>
      <c r="L839" s="59"/>
      <c r="M839" s="59"/>
      <c r="N839" s="59"/>
      <c r="O839" s="59"/>
      <c r="P839" s="59"/>
      <c r="Q839" s="59"/>
    </row>
    <row r="840" spans="2:17" outlineLevel="1" x14ac:dyDescent="0.2">
      <c r="B840" s="59"/>
      <c r="C840" s="59"/>
      <c r="D840" s="59"/>
      <c r="E840" s="59"/>
      <c r="F840" s="59"/>
      <c r="G840" s="59"/>
      <c r="H840" s="541"/>
      <c r="I840" s="617">
        <f t="shared" si="13"/>
        <v>0</v>
      </c>
      <c r="J840" s="59"/>
      <c r="K840" s="59"/>
      <c r="L840" s="59"/>
      <c r="M840" s="59"/>
      <c r="N840" s="59"/>
      <c r="O840" s="59"/>
      <c r="P840" s="59"/>
      <c r="Q840" s="59"/>
    </row>
    <row r="841" spans="2:17" outlineLevel="1" x14ac:dyDescent="0.2">
      <c r="B841" s="59"/>
      <c r="C841" s="59"/>
      <c r="D841" s="59"/>
      <c r="E841" s="59"/>
      <c r="F841" s="59"/>
      <c r="G841" s="59"/>
      <c r="H841" s="541"/>
      <c r="I841" s="617">
        <f t="shared" si="13"/>
        <v>0</v>
      </c>
      <c r="J841" s="59"/>
      <c r="K841" s="59"/>
      <c r="L841" s="59"/>
      <c r="M841" s="59"/>
      <c r="N841" s="59"/>
      <c r="O841" s="59"/>
      <c r="P841" s="59"/>
      <c r="Q841" s="59"/>
    </row>
    <row r="842" spans="2:17" outlineLevel="1" x14ac:dyDescent="0.2">
      <c r="B842" s="59"/>
      <c r="C842" s="59"/>
      <c r="D842" s="59"/>
      <c r="E842" s="59"/>
      <c r="F842" s="59"/>
      <c r="G842" s="59"/>
      <c r="H842" s="541"/>
      <c r="I842" s="617">
        <f t="shared" si="13"/>
        <v>0</v>
      </c>
      <c r="J842" s="59"/>
      <c r="K842" s="59"/>
      <c r="L842" s="59"/>
      <c r="M842" s="59"/>
      <c r="N842" s="59"/>
      <c r="O842" s="59"/>
      <c r="P842" s="59"/>
      <c r="Q842" s="59"/>
    </row>
    <row r="843" spans="2:17" outlineLevel="1" x14ac:dyDescent="0.2">
      <c r="B843" s="59"/>
      <c r="C843" s="59"/>
      <c r="D843" s="59"/>
      <c r="E843" s="59"/>
      <c r="F843" s="59"/>
      <c r="G843" s="59"/>
      <c r="H843" s="541"/>
      <c r="I843" s="617">
        <f t="shared" si="13"/>
        <v>0</v>
      </c>
      <c r="J843" s="59"/>
      <c r="K843" s="59"/>
      <c r="L843" s="59"/>
      <c r="M843" s="59"/>
      <c r="N843" s="59"/>
      <c r="O843" s="59"/>
      <c r="P843" s="59"/>
      <c r="Q843" s="59"/>
    </row>
    <row r="844" spans="2:17" outlineLevel="1" x14ac:dyDescent="0.2">
      <c r="B844" s="59"/>
      <c r="C844" s="59"/>
      <c r="D844" s="59"/>
      <c r="E844" s="59"/>
      <c r="F844" s="59"/>
      <c r="G844" s="59"/>
      <c r="H844" s="541"/>
      <c r="I844" s="617">
        <f t="shared" si="13"/>
        <v>0</v>
      </c>
      <c r="J844" s="59"/>
      <c r="K844" s="59"/>
      <c r="L844" s="59"/>
      <c r="M844" s="59"/>
      <c r="N844" s="59"/>
      <c r="O844" s="59"/>
      <c r="P844" s="59"/>
      <c r="Q844" s="59"/>
    </row>
    <row r="845" spans="2:17" outlineLevel="1" x14ac:dyDescent="0.2">
      <c r="B845" s="59"/>
      <c r="C845" s="59"/>
      <c r="D845" s="59"/>
      <c r="E845" s="59"/>
      <c r="F845" s="59"/>
      <c r="G845" s="59"/>
      <c r="H845" s="541"/>
      <c r="I845" s="617">
        <f t="shared" si="13"/>
        <v>0</v>
      </c>
      <c r="J845" s="59"/>
      <c r="K845" s="59"/>
      <c r="L845" s="59"/>
      <c r="M845" s="59"/>
      <c r="N845" s="59"/>
      <c r="O845" s="59"/>
      <c r="P845" s="59"/>
      <c r="Q845" s="59"/>
    </row>
    <row r="846" spans="2:17" outlineLevel="1" x14ac:dyDescent="0.2">
      <c r="B846" s="59"/>
      <c r="C846" s="59"/>
      <c r="D846" s="59"/>
      <c r="E846" s="59"/>
      <c r="F846" s="59"/>
      <c r="G846" s="59"/>
      <c r="H846" s="541"/>
      <c r="I846" s="617">
        <f t="shared" si="13"/>
        <v>0</v>
      </c>
      <c r="J846" s="59"/>
      <c r="K846" s="59"/>
      <c r="L846" s="59"/>
      <c r="M846" s="59"/>
      <c r="N846" s="59"/>
      <c r="O846" s="59"/>
      <c r="P846" s="59"/>
      <c r="Q846" s="59"/>
    </row>
    <row r="847" spans="2:17" outlineLevel="1" x14ac:dyDescent="0.2">
      <c r="B847" s="59"/>
      <c r="C847" s="59"/>
      <c r="D847" s="59"/>
      <c r="E847" s="59"/>
      <c r="F847" s="59"/>
      <c r="G847" s="59"/>
      <c r="H847" s="541"/>
      <c r="I847" s="617">
        <f t="shared" si="13"/>
        <v>0</v>
      </c>
      <c r="J847" s="59"/>
      <c r="K847" s="59"/>
      <c r="L847" s="59"/>
      <c r="M847" s="59"/>
      <c r="N847" s="59"/>
      <c r="O847" s="59"/>
      <c r="P847" s="59"/>
      <c r="Q847" s="59"/>
    </row>
    <row r="848" spans="2:17" outlineLevel="1" x14ac:dyDescent="0.2">
      <c r="B848" s="59"/>
      <c r="C848" s="59"/>
      <c r="D848" s="59"/>
      <c r="E848" s="59"/>
      <c r="F848" s="59"/>
      <c r="G848" s="59"/>
      <c r="H848" s="541"/>
      <c r="I848" s="617">
        <f t="shared" si="13"/>
        <v>0</v>
      </c>
      <c r="J848" s="59"/>
      <c r="K848" s="59"/>
      <c r="L848" s="59"/>
      <c r="M848" s="59"/>
      <c r="N848" s="59"/>
      <c r="O848" s="59"/>
      <c r="P848" s="59"/>
      <c r="Q848" s="59"/>
    </row>
    <row r="849" spans="2:17" outlineLevel="1" x14ac:dyDescent="0.2">
      <c r="B849" s="59"/>
      <c r="C849" s="59"/>
      <c r="D849" s="59"/>
      <c r="E849" s="59"/>
      <c r="F849" s="59"/>
      <c r="G849" s="59"/>
      <c r="H849" s="541"/>
      <c r="I849" s="617">
        <f t="shared" si="13"/>
        <v>0</v>
      </c>
      <c r="J849" s="59"/>
      <c r="K849" s="59"/>
      <c r="L849" s="59"/>
      <c r="M849" s="59"/>
      <c r="N849" s="59"/>
      <c r="O849" s="59"/>
      <c r="P849" s="59"/>
      <c r="Q849" s="59"/>
    </row>
    <row r="850" spans="2:17" outlineLevel="1" x14ac:dyDescent="0.2">
      <c r="B850" s="59"/>
      <c r="C850" s="59"/>
      <c r="D850" s="59"/>
      <c r="E850" s="59"/>
      <c r="F850" s="59"/>
      <c r="G850" s="59"/>
      <c r="H850" s="541"/>
      <c r="I850" s="617">
        <f t="shared" si="13"/>
        <v>0</v>
      </c>
      <c r="J850" s="59"/>
      <c r="K850" s="59"/>
      <c r="L850" s="59"/>
      <c r="M850" s="59"/>
      <c r="N850" s="59"/>
      <c r="O850" s="59"/>
      <c r="P850" s="59"/>
      <c r="Q850" s="59"/>
    </row>
    <row r="851" spans="2:17" outlineLevel="1" x14ac:dyDescent="0.2">
      <c r="B851" s="59"/>
      <c r="C851" s="59"/>
      <c r="D851" s="59"/>
      <c r="E851" s="59"/>
      <c r="F851" s="59"/>
      <c r="G851" s="59"/>
      <c r="H851" s="541"/>
      <c r="I851" s="617">
        <f t="shared" si="13"/>
        <v>0</v>
      </c>
      <c r="J851" s="59"/>
      <c r="K851" s="59"/>
      <c r="L851" s="59"/>
      <c r="M851" s="59"/>
      <c r="N851" s="59"/>
      <c r="O851" s="59"/>
      <c r="P851" s="59"/>
      <c r="Q851" s="59"/>
    </row>
    <row r="852" spans="2:17" outlineLevel="1" x14ac:dyDescent="0.2">
      <c r="B852" s="59"/>
      <c r="C852" s="59"/>
      <c r="D852" s="59"/>
      <c r="E852" s="59"/>
      <c r="F852" s="59"/>
      <c r="G852" s="59"/>
      <c r="H852" s="541"/>
      <c r="I852" s="617">
        <f t="shared" si="13"/>
        <v>0</v>
      </c>
      <c r="J852" s="59"/>
      <c r="K852" s="59"/>
      <c r="L852" s="59"/>
      <c r="M852" s="59"/>
      <c r="N852" s="59"/>
      <c r="O852" s="59"/>
      <c r="P852" s="59"/>
      <c r="Q852" s="59"/>
    </row>
    <row r="853" spans="2:17" outlineLevel="1" x14ac:dyDescent="0.2">
      <c r="B853" s="59"/>
      <c r="C853" s="59"/>
      <c r="D853" s="59"/>
      <c r="E853" s="59"/>
      <c r="F853" s="59"/>
      <c r="G853" s="59"/>
      <c r="H853" s="541"/>
      <c r="I853" s="617">
        <f t="shared" si="13"/>
        <v>0</v>
      </c>
      <c r="J853" s="59"/>
      <c r="K853" s="59"/>
      <c r="L853" s="59"/>
      <c r="M853" s="59"/>
      <c r="N853" s="59"/>
      <c r="O853" s="59"/>
      <c r="P853" s="59"/>
      <c r="Q853" s="59"/>
    </row>
    <row r="854" spans="2:17" outlineLevel="1" x14ac:dyDescent="0.2">
      <c r="B854" s="59"/>
      <c r="C854" s="59"/>
      <c r="D854" s="59"/>
      <c r="E854" s="59"/>
      <c r="F854" s="59"/>
      <c r="G854" s="59"/>
      <c r="H854" s="541"/>
      <c r="I854" s="617">
        <f t="shared" si="13"/>
        <v>0</v>
      </c>
      <c r="J854" s="59"/>
      <c r="K854" s="59"/>
      <c r="L854" s="59"/>
      <c r="M854" s="59"/>
      <c r="N854" s="59"/>
      <c r="O854" s="59"/>
      <c r="P854" s="59"/>
      <c r="Q854" s="59"/>
    </row>
    <row r="855" spans="2:17" outlineLevel="1" x14ac:dyDescent="0.2">
      <c r="B855" s="59"/>
      <c r="C855" s="59"/>
      <c r="D855" s="59"/>
      <c r="E855" s="59"/>
      <c r="F855" s="59"/>
      <c r="G855" s="59"/>
      <c r="H855" s="541"/>
      <c r="I855" s="617">
        <f t="shared" si="13"/>
        <v>0</v>
      </c>
      <c r="J855" s="59"/>
      <c r="K855" s="59"/>
      <c r="L855" s="59"/>
      <c r="M855" s="59"/>
      <c r="N855" s="59"/>
      <c r="O855" s="59"/>
      <c r="P855" s="59"/>
      <c r="Q855" s="59"/>
    </row>
    <row r="856" spans="2:17" outlineLevel="1" x14ac:dyDescent="0.2">
      <c r="B856" s="59"/>
      <c r="C856" s="59"/>
      <c r="D856" s="59"/>
      <c r="E856" s="59"/>
      <c r="F856" s="59"/>
      <c r="G856" s="59"/>
      <c r="H856" s="541"/>
      <c r="I856" s="617">
        <f t="shared" si="13"/>
        <v>0</v>
      </c>
      <c r="J856" s="59"/>
      <c r="K856" s="59"/>
      <c r="L856" s="59"/>
      <c r="M856" s="59"/>
      <c r="N856" s="59"/>
      <c r="O856" s="59"/>
      <c r="P856" s="59"/>
      <c r="Q856" s="59"/>
    </row>
    <row r="857" spans="2:17" outlineLevel="1" x14ac:dyDescent="0.2">
      <c r="B857" s="59"/>
      <c r="C857" s="59"/>
      <c r="D857" s="59"/>
      <c r="E857" s="59"/>
      <c r="F857" s="59"/>
      <c r="G857" s="59"/>
      <c r="H857" s="541"/>
      <c r="I857" s="617">
        <f t="shared" si="13"/>
        <v>0</v>
      </c>
      <c r="J857" s="59"/>
      <c r="K857" s="59"/>
      <c r="L857" s="59"/>
      <c r="M857" s="59"/>
      <c r="N857" s="59"/>
      <c r="O857" s="59"/>
      <c r="P857" s="59"/>
      <c r="Q857" s="59"/>
    </row>
    <row r="858" spans="2:17" outlineLevel="1" x14ac:dyDescent="0.2">
      <c r="B858" s="59"/>
      <c r="C858" s="59"/>
      <c r="D858" s="59"/>
      <c r="E858" s="59"/>
      <c r="F858" s="59"/>
      <c r="G858" s="59"/>
      <c r="H858" s="541"/>
      <c r="I858" s="617">
        <f t="shared" si="13"/>
        <v>0</v>
      </c>
      <c r="J858" s="59"/>
      <c r="K858" s="59"/>
      <c r="L858" s="59"/>
      <c r="M858" s="59"/>
      <c r="N858" s="59"/>
      <c r="O858" s="59"/>
      <c r="P858" s="59"/>
      <c r="Q858" s="59"/>
    </row>
    <row r="859" spans="2:17" outlineLevel="1" x14ac:dyDescent="0.2">
      <c r="B859" s="59"/>
      <c r="C859" s="59"/>
      <c r="D859" s="59"/>
      <c r="E859" s="59"/>
      <c r="F859" s="59"/>
      <c r="G859" s="59"/>
      <c r="H859" s="541"/>
      <c r="I859" s="617">
        <f t="shared" si="13"/>
        <v>0</v>
      </c>
      <c r="J859" s="59"/>
      <c r="K859" s="59"/>
      <c r="L859" s="59"/>
      <c r="M859" s="59"/>
      <c r="N859" s="59"/>
      <c r="O859" s="59"/>
      <c r="P859" s="59"/>
      <c r="Q859" s="59"/>
    </row>
    <row r="860" spans="2:17" outlineLevel="1" x14ac:dyDescent="0.2">
      <c r="B860" s="59"/>
      <c r="C860" s="59"/>
      <c r="D860" s="59"/>
      <c r="E860" s="59"/>
      <c r="F860" s="59"/>
      <c r="G860" s="59"/>
      <c r="H860" s="541"/>
      <c r="I860" s="617">
        <f t="shared" si="13"/>
        <v>0</v>
      </c>
      <c r="J860" s="59"/>
      <c r="K860" s="59"/>
      <c r="L860" s="59"/>
      <c r="M860" s="59"/>
      <c r="N860" s="59"/>
      <c r="O860" s="59"/>
      <c r="P860" s="59"/>
      <c r="Q860" s="59"/>
    </row>
    <row r="861" spans="2:17" outlineLevel="1" x14ac:dyDescent="0.2">
      <c r="B861" s="59"/>
      <c r="C861" s="59"/>
      <c r="D861" s="59"/>
      <c r="E861" s="59"/>
      <c r="F861" s="59"/>
      <c r="G861" s="59"/>
      <c r="H861" s="541"/>
      <c r="I861" s="617">
        <f t="shared" si="13"/>
        <v>0</v>
      </c>
      <c r="J861" s="59"/>
      <c r="K861" s="59"/>
      <c r="L861" s="59"/>
      <c r="M861" s="59"/>
      <c r="N861" s="59"/>
      <c r="O861" s="59"/>
      <c r="P861" s="59"/>
      <c r="Q861" s="59"/>
    </row>
    <row r="862" spans="2:17" outlineLevel="1" x14ac:dyDescent="0.2">
      <c r="B862" s="59"/>
      <c r="C862" s="59"/>
      <c r="D862" s="59"/>
      <c r="E862" s="59"/>
      <c r="F862" s="59"/>
      <c r="G862" s="59"/>
      <c r="H862" s="541"/>
      <c r="I862" s="617">
        <f t="shared" si="13"/>
        <v>0</v>
      </c>
      <c r="J862" s="59"/>
      <c r="K862" s="59"/>
      <c r="L862" s="59"/>
      <c r="M862" s="59"/>
      <c r="N862" s="59"/>
      <c r="O862" s="59"/>
      <c r="P862" s="59"/>
      <c r="Q862" s="59"/>
    </row>
    <row r="863" spans="2:17" outlineLevel="1" x14ac:dyDescent="0.2">
      <c r="B863" s="59"/>
      <c r="C863" s="59"/>
      <c r="D863" s="59"/>
      <c r="E863" s="59"/>
      <c r="F863" s="59"/>
      <c r="G863" s="59"/>
      <c r="H863" s="541"/>
      <c r="I863" s="617">
        <f t="shared" si="13"/>
        <v>0</v>
      </c>
      <c r="J863" s="59"/>
      <c r="K863" s="59"/>
      <c r="L863" s="59"/>
      <c r="M863" s="59"/>
      <c r="N863" s="59"/>
      <c r="O863" s="59"/>
      <c r="P863" s="59"/>
      <c r="Q863" s="59"/>
    </row>
    <row r="864" spans="2:17" outlineLevel="1" x14ac:dyDescent="0.2">
      <c r="B864" s="59"/>
      <c r="C864" s="59"/>
      <c r="D864" s="59"/>
      <c r="E864" s="59"/>
      <c r="F864" s="59"/>
      <c r="G864" s="59"/>
      <c r="H864" s="541"/>
      <c r="I864" s="617">
        <f t="shared" si="13"/>
        <v>0</v>
      </c>
      <c r="J864" s="59"/>
      <c r="K864" s="59"/>
      <c r="L864" s="59"/>
      <c r="M864" s="59"/>
      <c r="N864" s="59"/>
      <c r="O864" s="59"/>
      <c r="P864" s="59"/>
      <c r="Q864" s="59"/>
    </row>
    <row r="865" spans="2:17" outlineLevel="1" x14ac:dyDescent="0.2">
      <c r="B865" s="59"/>
      <c r="C865" s="59"/>
      <c r="D865" s="59"/>
      <c r="E865" s="59"/>
      <c r="F865" s="59"/>
      <c r="G865" s="59"/>
      <c r="H865" s="541"/>
      <c r="I865" s="617">
        <f t="shared" si="13"/>
        <v>0</v>
      </c>
      <c r="J865" s="59"/>
      <c r="K865" s="59"/>
      <c r="L865" s="59"/>
      <c r="M865" s="59"/>
      <c r="N865" s="59"/>
      <c r="O865" s="59"/>
      <c r="P865" s="59"/>
      <c r="Q865" s="59"/>
    </row>
    <row r="866" spans="2:17" outlineLevel="1" x14ac:dyDescent="0.2">
      <c r="B866" s="59"/>
      <c r="C866" s="59"/>
      <c r="D866" s="59"/>
      <c r="E866" s="59"/>
      <c r="F866" s="59"/>
      <c r="G866" s="59"/>
      <c r="H866" s="541"/>
      <c r="I866" s="617">
        <f t="shared" si="13"/>
        <v>0</v>
      </c>
      <c r="J866" s="59"/>
      <c r="K866" s="59"/>
      <c r="L866" s="59"/>
      <c r="M866" s="59"/>
      <c r="N866" s="59"/>
      <c r="O866" s="59"/>
      <c r="P866" s="59"/>
      <c r="Q866" s="59"/>
    </row>
    <row r="867" spans="2:17" outlineLevel="1" x14ac:dyDescent="0.2">
      <c r="B867" s="59"/>
      <c r="C867" s="59"/>
      <c r="D867" s="59"/>
      <c r="E867" s="59"/>
      <c r="F867" s="59"/>
      <c r="G867" s="59"/>
      <c r="H867" s="541"/>
      <c r="I867" s="617">
        <f t="shared" si="13"/>
        <v>0</v>
      </c>
      <c r="J867" s="59"/>
      <c r="K867" s="59"/>
      <c r="L867" s="59"/>
      <c r="M867" s="59"/>
      <c r="N867" s="59"/>
      <c r="O867" s="59"/>
      <c r="P867" s="59"/>
      <c r="Q867" s="59"/>
    </row>
    <row r="868" spans="2:17" outlineLevel="1" x14ac:dyDescent="0.2">
      <c r="B868" s="59"/>
      <c r="C868" s="59"/>
      <c r="D868" s="59"/>
      <c r="E868" s="59"/>
      <c r="F868" s="59"/>
      <c r="G868" s="59"/>
      <c r="H868" s="541"/>
      <c r="I868" s="617">
        <f t="shared" si="13"/>
        <v>0</v>
      </c>
      <c r="J868" s="59"/>
      <c r="K868" s="59"/>
      <c r="L868" s="59"/>
      <c r="M868" s="59"/>
      <c r="N868" s="59"/>
      <c r="O868" s="59"/>
      <c r="P868" s="59"/>
      <c r="Q868" s="59"/>
    </row>
    <row r="869" spans="2:17" outlineLevel="1" x14ac:dyDescent="0.2">
      <c r="B869" s="59"/>
      <c r="C869" s="59"/>
      <c r="D869" s="59"/>
      <c r="E869" s="59"/>
      <c r="F869" s="59"/>
      <c r="G869" s="59"/>
      <c r="H869" s="541"/>
      <c r="I869" s="617">
        <f t="shared" si="13"/>
        <v>0</v>
      </c>
      <c r="J869" s="59"/>
      <c r="K869" s="59"/>
      <c r="L869" s="59"/>
      <c r="M869" s="59"/>
      <c r="N869" s="59"/>
      <c r="O869" s="59"/>
      <c r="P869" s="59"/>
      <c r="Q869" s="59"/>
    </row>
    <row r="870" spans="2:17" outlineLevel="1" x14ac:dyDescent="0.2">
      <c r="B870" s="59"/>
      <c r="C870" s="59"/>
      <c r="D870" s="59"/>
      <c r="E870" s="59"/>
      <c r="F870" s="59"/>
      <c r="G870" s="59"/>
      <c r="H870" s="541"/>
      <c r="I870" s="617">
        <f t="shared" si="13"/>
        <v>0</v>
      </c>
      <c r="J870" s="59"/>
      <c r="K870" s="59"/>
      <c r="L870" s="59"/>
      <c r="M870" s="59"/>
      <c r="N870" s="59"/>
      <c r="O870" s="59"/>
      <c r="P870" s="59"/>
      <c r="Q870" s="59"/>
    </row>
    <row r="871" spans="2:17" outlineLevel="1" x14ac:dyDescent="0.2">
      <c r="B871" s="59"/>
      <c r="C871" s="59"/>
      <c r="D871" s="59"/>
      <c r="E871" s="59"/>
      <c r="F871" s="59"/>
      <c r="G871" s="59"/>
      <c r="H871" s="541"/>
      <c r="I871" s="617">
        <f t="shared" si="13"/>
        <v>0</v>
      </c>
      <c r="J871" s="59"/>
      <c r="K871" s="59"/>
      <c r="L871" s="59"/>
      <c r="M871" s="59"/>
      <c r="N871" s="59"/>
      <c r="O871" s="59"/>
      <c r="P871" s="59"/>
      <c r="Q871" s="59"/>
    </row>
    <row r="872" spans="2:17" outlineLevel="1" x14ac:dyDescent="0.2">
      <c r="B872" s="59"/>
      <c r="C872" s="59"/>
      <c r="D872" s="59"/>
      <c r="E872" s="59"/>
      <c r="F872" s="59"/>
      <c r="G872" s="59"/>
      <c r="H872" s="541"/>
      <c r="I872" s="617">
        <f t="shared" si="13"/>
        <v>0</v>
      </c>
      <c r="J872" s="59"/>
      <c r="K872" s="59"/>
      <c r="L872" s="59"/>
      <c r="M872" s="59"/>
      <c r="N872" s="59"/>
      <c r="O872" s="59"/>
      <c r="P872" s="59"/>
      <c r="Q872" s="59"/>
    </row>
    <row r="873" spans="2:17" outlineLevel="1" x14ac:dyDescent="0.2">
      <c r="B873" s="59"/>
      <c r="C873" s="59"/>
      <c r="D873" s="59"/>
      <c r="E873" s="59"/>
      <c r="F873" s="59"/>
      <c r="G873" s="59"/>
      <c r="H873" s="541"/>
      <c r="I873" s="617">
        <f t="shared" si="13"/>
        <v>0</v>
      </c>
      <c r="J873" s="59"/>
      <c r="K873" s="59"/>
      <c r="L873" s="59"/>
      <c r="M873" s="59"/>
      <c r="N873" s="59"/>
      <c r="O873" s="59"/>
      <c r="P873" s="59"/>
      <c r="Q873" s="59"/>
    </row>
    <row r="874" spans="2:17" outlineLevel="1" x14ac:dyDescent="0.2">
      <c r="B874" s="59"/>
      <c r="C874" s="59"/>
      <c r="D874" s="59"/>
      <c r="E874" s="59"/>
      <c r="F874" s="59"/>
      <c r="G874" s="59"/>
      <c r="H874" s="541"/>
      <c r="I874" s="617">
        <f t="shared" si="13"/>
        <v>0</v>
      </c>
      <c r="J874" s="59"/>
      <c r="K874" s="59"/>
      <c r="L874" s="59"/>
      <c r="M874" s="59"/>
      <c r="N874" s="59"/>
      <c r="O874" s="59"/>
      <c r="P874" s="59"/>
      <c r="Q874" s="59"/>
    </row>
    <row r="875" spans="2:17" outlineLevel="1" x14ac:dyDescent="0.2">
      <c r="B875" s="59"/>
      <c r="C875" s="59"/>
      <c r="D875" s="59"/>
      <c r="E875" s="59"/>
      <c r="F875" s="59"/>
      <c r="G875" s="59"/>
      <c r="H875" s="541"/>
      <c r="I875" s="617">
        <f t="shared" si="13"/>
        <v>0</v>
      </c>
      <c r="J875" s="59"/>
      <c r="K875" s="59"/>
      <c r="L875" s="59"/>
      <c r="M875" s="59"/>
      <c r="N875" s="59"/>
      <c r="O875" s="59"/>
      <c r="P875" s="59"/>
      <c r="Q875" s="59"/>
    </row>
    <row r="876" spans="2:17" outlineLevel="1" x14ac:dyDescent="0.2">
      <c r="B876" s="59"/>
      <c r="C876" s="59"/>
      <c r="D876" s="59"/>
      <c r="E876" s="59"/>
      <c r="F876" s="59"/>
      <c r="G876" s="59"/>
      <c r="H876" s="541"/>
      <c r="I876" s="617">
        <f t="shared" si="13"/>
        <v>0</v>
      </c>
      <c r="J876" s="59"/>
      <c r="K876" s="59"/>
      <c r="L876" s="59"/>
      <c r="M876" s="59"/>
      <c r="N876" s="59"/>
      <c r="O876" s="59"/>
      <c r="P876" s="59"/>
      <c r="Q876" s="59"/>
    </row>
    <row r="877" spans="2:17" outlineLevel="1" x14ac:dyDescent="0.2">
      <c r="B877" s="59"/>
      <c r="C877" s="59"/>
      <c r="D877" s="59"/>
      <c r="E877" s="59"/>
      <c r="F877" s="59"/>
      <c r="G877" s="59"/>
      <c r="H877" s="541"/>
      <c r="I877" s="617">
        <f t="shared" si="13"/>
        <v>0</v>
      </c>
      <c r="J877" s="59"/>
      <c r="K877" s="59"/>
      <c r="L877" s="59"/>
      <c r="M877" s="59"/>
      <c r="N877" s="59"/>
      <c r="O877" s="59"/>
      <c r="P877" s="59"/>
      <c r="Q877" s="59"/>
    </row>
    <row r="878" spans="2:17" outlineLevel="1" x14ac:dyDescent="0.2">
      <c r="B878" s="59"/>
      <c r="C878" s="59"/>
      <c r="D878" s="59"/>
      <c r="E878" s="59"/>
      <c r="F878" s="59"/>
      <c r="G878" s="59"/>
      <c r="H878" s="541"/>
      <c r="I878" s="617">
        <f t="shared" si="13"/>
        <v>0</v>
      </c>
      <c r="J878" s="59"/>
      <c r="K878" s="59"/>
      <c r="L878" s="59"/>
      <c r="M878" s="59"/>
      <c r="N878" s="59"/>
      <c r="O878" s="59"/>
      <c r="P878" s="59"/>
      <c r="Q878" s="59"/>
    </row>
    <row r="879" spans="2:17" outlineLevel="1" x14ac:dyDescent="0.2">
      <c r="B879" s="59"/>
      <c r="C879" s="59"/>
      <c r="D879" s="59"/>
      <c r="E879" s="59"/>
      <c r="F879" s="59"/>
      <c r="G879" s="59"/>
      <c r="H879" s="541"/>
      <c r="I879" s="617">
        <f t="shared" si="13"/>
        <v>0</v>
      </c>
      <c r="J879" s="59"/>
      <c r="K879" s="59"/>
      <c r="L879" s="59"/>
      <c r="M879" s="59"/>
      <c r="N879" s="59"/>
      <c r="O879" s="59"/>
      <c r="P879" s="59"/>
      <c r="Q879" s="59"/>
    </row>
    <row r="880" spans="2:17" outlineLevel="1" x14ac:dyDescent="0.2">
      <c r="B880" s="59"/>
      <c r="C880" s="59"/>
      <c r="D880" s="59"/>
      <c r="E880" s="59"/>
      <c r="F880" s="59"/>
      <c r="G880" s="59"/>
      <c r="H880" s="541"/>
      <c r="I880" s="617">
        <f t="shared" si="13"/>
        <v>0</v>
      </c>
      <c r="J880" s="59"/>
      <c r="K880" s="59"/>
      <c r="L880" s="59"/>
      <c r="M880" s="59"/>
      <c r="N880" s="59"/>
      <c r="O880" s="59"/>
      <c r="P880" s="59"/>
      <c r="Q880" s="59"/>
    </row>
    <row r="881" spans="2:17" outlineLevel="1" x14ac:dyDescent="0.2">
      <c r="B881" s="59"/>
      <c r="C881" s="59"/>
      <c r="D881" s="59"/>
      <c r="E881" s="59"/>
      <c r="F881" s="59"/>
      <c r="G881" s="59"/>
      <c r="H881" s="541"/>
      <c r="I881" s="617">
        <f t="shared" si="13"/>
        <v>0</v>
      </c>
      <c r="J881" s="59"/>
      <c r="K881" s="59"/>
      <c r="L881" s="59"/>
      <c r="M881" s="59"/>
      <c r="N881" s="59"/>
      <c r="O881" s="59"/>
      <c r="P881" s="59"/>
      <c r="Q881" s="59"/>
    </row>
    <row r="882" spans="2:17" outlineLevel="1" x14ac:dyDescent="0.2">
      <c r="B882" s="59"/>
      <c r="C882" s="59"/>
      <c r="D882" s="59"/>
      <c r="E882" s="59"/>
      <c r="F882" s="59"/>
      <c r="G882" s="59"/>
      <c r="H882" s="541"/>
      <c r="I882" s="617">
        <f t="shared" si="13"/>
        <v>0</v>
      </c>
      <c r="J882" s="59"/>
      <c r="K882" s="59"/>
      <c r="L882" s="59"/>
      <c r="M882" s="59"/>
      <c r="N882" s="59"/>
      <c r="O882" s="59"/>
      <c r="P882" s="59"/>
      <c r="Q882" s="59"/>
    </row>
    <row r="883" spans="2:17" outlineLevel="1" x14ac:dyDescent="0.2">
      <c r="B883" s="59"/>
      <c r="C883" s="59"/>
      <c r="D883" s="59"/>
      <c r="E883" s="59"/>
      <c r="F883" s="59"/>
      <c r="G883" s="59"/>
      <c r="H883" s="541"/>
      <c r="I883" s="617">
        <f t="shared" si="13"/>
        <v>0</v>
      </c>
      <c r="J883" s="59"/>
      <c r="K883" s="59"/>
      <c r="L883" s="59"/>
      <c r="M883" s="59"/>
      <c r="N883" s="59"/>
      <c r="O883" s="59"/>
      <c r="P883" s="59"/>
      <c r="Q883" s="59"/>
    </row>
    <row r="884" spans="2:17" outlineLevel="1" x14ac:dyDescent="0.2">
      <c r="B884" s="59"/>
      <c r="C884" s="59"/>
      <c r="D884" s="59"/>
      <c r="E884" s="59"/>
      <c r="F884" s="59"/>
      <c r="G884" s="59"/>
      <c r="H884" s="541"/>
      <c r="I884" s="617">
        <f t="shared" si="13"/>
        <v>0</v>
      </c>
      <c r="J884" s="59"/>
      <c r="K884" s="59"/>
      <c r="L884" s="59"/>
      <c r="M884" s="59"/>
      <c r="N884" s="59"/>
      <c r="O884" s="59"/>
      <c r="P884" s="59"/>
      <c r="Q884" s="59"/>
    </row>
    <row r="885" spans="2:17" outlineLevel="1" x14ac:dyDescent="0.2">
      <c r="B885" s="59"/>
      <c r="C885" s="59"/>
      <c r="D885" s="59"/>
      <c r="E885" s="59"/>
      <c r="F885" s="59"/>
      <c r="G885" s="59"/>
      <c r="H885" s="541"/>
      <c r="I885" s="617">
        <f t="shared" si="13"/>
        <v>0</v>
      </c>
      <c r="J885" s="59"/>
      <c r="K885" s="59"/>
      <c r="L885" s="59"/>
      <c r="M885" s="59"/>
      <c r="N885" s="59"/>
      <c r="O885" s="59"/>
      <c r="P885" s="59"/>
      <c r="Q885" s="59"/>
    </row>
    <row r="886" spans="2:17" outlineLevel="1" x14ac:dyDescent="0.2">
      <c r="B886" s="59"/>
      <c r="C886" s="59"/>
      <c r="D886" s="59"/>
      <c r="E886" s="59"/>
      <c r="F886" s="59"/>
      <c r="G886" s="59"/>
      <c r="H886" s="541"/>
      <c r="I886" s="617">
        <f t="shared" si="13"/>
        <v>0</v>
      </c>
      <c r="J886" s="59"/>
      <c r="K886" s="59"/>
      <c r="L886" s="59"/>
      <c r="M886" s="59"/>
      <c r="N886" s="59"/>
      <c r="O886" s="59"/>
      <c r="P886" s="59"/>
      <c r="Q886" s="59"/>
    </row>
    <row r="887" spans="2:17" outlineLevel="1" x14ac:dyDescent="0.2">
      <c r="B887" s="59"/>
      <c r="C887" s="59"/>
      <c r="D887" s="59"/>
      <c r="E887" s="59"/>
      <c r="F887" s="59"/>
      <c r="G887" s="59"/>
      <c r="H887" s="541"/>
      <c r="I887" s="617">
        <f t="shared" si="13"/>
        <v>0</v>
      </c>
      <c r="J887" s="59"/>
      <c r="K887" s="59"/>
      <c r="L887" s="59"/>
      <c r="M887" s="59"/>
      <c r="N887" s="59"/>
      <c r="O887" s="59"/>
      <c r="P887" s="59"/>
      <c r="Q887" s="59"/>
    </row>
    <row r="888" spans="2:17" outlineLevel="1" x14ac:dyDescent="0.2">
      <c r="B888" s="59"/>
      <c r="C888" s="59"/>
      <c r="D888" s="59"/>
      <c r="E888" s="59"/>
      <c r="F888" s="59"/>
      <c r="G888" s="59"/>
      <c r="H888" s="541"/>
      <c r="I888" s="617">
        <f t="shared" si="13"/>
        <v>0</v>
      </c>
      <c r="J888" s="59"/>
      <c r="K888" s="59"/>
      <c r="L888" s="59"/>
      <c r="M888" s="59"/>
      <c r="N888" s="59"/>
      <c r="O888" s="59"/>
      <c r="P888" s="59"/>
      <c r="Q888" s="59"/>
    </row>
    <row r="889" spans="2:17" outlineLevel="1" x14ac:dyDescent="0.2">
      <c r="B889" s="59"/>
      <c r="C889" s="59"/>
      <c r="D889" s="59"/>
      <c r="E889" s="59"/>
      <c r="F889" s="59"/>
      <c r="G889" s="59"/>
      <c r="H889" s="541"/>
      <c r="I889" s="617">
        <f t="shared" si="13"/>
        <v>0</v>
      </c>
      <c r="J889" s="59"/>
      <c r="K889" s="59"/>
      <c r="L889" s="59"/>
      <c r="M889" s="59"/>
      <c r="N889" s="59"/>
      <c r="O889" s="59"/>
      <c r="P889" s="59"/>
      <c r="Q889" s="59"/>
    </row>
    <row r="890" spans="2:17" outlineLevel="1" x14ac:dyDescent="0.2">
      <c r="B890" s="59"/>
      <c r="C890" s="59"/>
      <c r="D890" s="59"/>
      <c r="E890" s="59"/>
      <c r="F890" s="59"/>
      <c r="G890" s="59"/>
      <c r="H890" s="541"/>
      <c r="I890" s="617">
        <f t="shared" si="13"/>
        <v>0</v>
      </c>
      <c r="J890" s="59"/>
      <c r="K890" s="59"/>
      <c r="L890" s="59"/>
      <c r="M890" s="59"/>
      <c r="N890" s="59"/>
      <c r="O890" s="59"/>
      <c r="P890" s="59"/>
      <c r="Q890" s="59"/>
    </row>
    <row r="891" spans="2:17" outlineLevel="1" x14ac:dyDescent="0.2">
      <c r="B891" s="59"/>
      <c r="C891" s="59"/>
      <c r="D891" s="59"/>
      <c r="E891" s="59"/>
      <c r="F891" s="59"/>
      <c r="G891" s="59"/>
      <c r="H891" s="541"/>
      <c r="I891" s="617">
        <f t="shared" si="13"/>
        <v>0</v>
      </c>
      <c r="J891" s="59"/>
      <c r="K891" s="59"/>
      <c r="L891" s="59"/>
      <c r="M891" s="59"/>
      <c r="N891" s="59"/>
      <c r="O891" s="59"/>
      <c r="P891" s="59"/>
      <c r="Q891" s="59"/>
    </row>
    <row r="892" spans="2:17" outlineLevel="1" x14ac:dyDescent="0.2">
      <c r="B892" s="59"/>
      <c r="C892" s="59"/>
      <c r="D892" s="59"/>
      <c r="E892" s="59"/>
      <c r="F892" s="59"/>
      <c r="G892" s="59"/>
      <c r="H892" s="541"/>
      <c r="I892" s="617">
        <f t="shared" si="13"/>
        <v>0</v>
      </c>
      <c r="J892" s="59"/>
      <c r="K892" s="59"/>
      <c r="L892" s="59"/>
      <c r="M892" s="59"/>
      <c r="N892" s="59"/>
      <c r="O892" s="59"/>
      <c r="P892" s="59"/>
      <c r="Q892" s="59"/>
    </row>
    <row r="893" spans="2:17" outlineLevel="1" x14ac:dyDescent="0.2">
      <c r="B893" s="59"/>
      <c r="C893" s="59"/>
      <c r="D893" s="59"/>
      <c r="E893" s="59"/>
      <c r="F893" s="59"/>
      <c r="G893" s="59"/>
      <c r="H893" s="541"/>
      <c r="I893" s="617">
        <f t="shared" si="13"/>
        <v>0</v>
      </c>
      <c r="J893" s="59"/>
      <c r="K893" s="59"/>
      <c r="L893" s="59"/>
      <c r="M893" s="59"/>
      <c r="N893" s="59"/>
      <c r="O893" s="59"/>
      <c r="P893" s="59"/>
      <c r="Q893" s="59"/>
    </row>
    <row r="894" spans="2:17" outlineLevel="1" x14ac:dyDescent="0.2">
      <c r="B894" s="59"/>
      <c r="C894" s="59"/>
      <c r="D894" s="59"/>
      <c r="E894" s="59"/>
      <c r="F894" s="59"/>
      <c r="G894" s="59"/>
      <c r="H894" s="541"/>
      <c r="I894" s="617">
        <f t="shared" si="13"/>
        <v>0</v>
      </c>
      <c r="J894" s="59"/>
      <c r="K894" s="59"/>
      <c r="L894" s="59"/>
      <c r="M894" s="59"/>
      <c r="N894" s="59"/>
      <c r="O894" s="59"/>
      <c r="P894" s="59"/>
      <c r="Q894" s="59"/>
    </row>
    <row r="895" spans="2:17" outlineLevel="1" x14ac:dyDescent="0.2">
      <c r="B895" s="59"/>
      <c r="C895" s="59"/>
      <c r="D895" s="59"/>
      <c r="E895" s="59"/>
      <c r="F895" s="59"/>
      <c r="G895" s="59"/>
      <c r="H895" s="541"/>
      <c r="I895" s="617">
        <f t="shared" si="13"/>
        <v>0</v>
      </c>
      <c r="J895" s="59"/>
      <c r="K895" s="59"/>
      <c r="L895" s="59"/>
      <c r="M895" s="59"/>
      <c r="N895" s="59"/>
      <c r="O895" s="59"/>
      <c r="P895" s="59"/>
      <c r="Q895" s="59"/>
    </row>
    <row r="896" spans="2:17" outlineLevel="1" x14ac:dyDescent="0.2">
      <c r="B896" s="59"/>
      <c r="C896" s="59"/>
      <c r="D896" s="59"/>
      <c r="E896" s="59"/>
      <c r="F896" s="59"/>
      <c r="G896" s="59"/>
      <c r="H896" s="541"/>
      <c r="I896" s="617">
        <f t="shared" si="13"/>
        <v>0</v>
      </c>
      <c r="J896" s="59"/>
      <c r="K896" s="59"/>
      <c r="L896" s="59"/>
      <c r="M896" s="59"/>
      <c r="N896" s="59"/>
      <c r="O896" s="59"/>
      <c r="P896" s="59"/>
      <c r="Q896" s="59"/>
    </row>
    <row r="897" spans="2:17" outlineLevel="1" x14ac:dyDescent="0.2">
      <c r="B897" s="59"/>
      <c r="C897" s="59"/>
      <c r="D897" s="59"/>
      <c r="E897" s="59"/>
      <c r="F897" s="59"/>
      <c r="G897" s="59"/>
      <c r="H897" s="541"/>
      <c r="I897" s="617">
        <f t="shared" si="13"/>
        <v>0</v>
      </c>
      <c r="J897" s="59"/>
      <c r="K897" s="59"/>
      <c r="L897" s="59"/>
      <c r="M897" s="59"/>
      <c r="N897" s="59"/>
      <c r="O897" s="59"/>
      <c r="P897" s="59"/>
      <c r="Q897" s="59"/>
    </row>
    <row r="898" spans="2:17" outlineLevel="1" x14ac:dyDescent="0.2">
      <c r="B898" s="59"/>
      <c r="C898" s="59"/>
      <c r="D898" s="59"/>
      <c r="E898" s="59"/>
      <c r="F898" s="59"/>
      <c r="G898" s="59"/>
      <c r="H898" s="541"/>
      <c r="I898" s="617">
        <f t="shared" si="13"/>
        <v>0</v>
      </c>
      <c r="J898" s="59"/>
      <c r="K898" s="59"/>
      <c r="L898" s="59"/>
      <c r="M898" s="59"/>
      <c r="N898" s="59"/>
      <c r="O898" s="59"/>
      <c r="P898" s="59"/>
      <c r="Q898" s="59"/>
    </row>
    <row r="899" spans="2:17" outlineLevel="1" x14ac:dyDescent="0.2">
      <c r="B899" s="59"/>
      <c r="C899" s="59"/>
      <c r="D899" s="59"/>
      <c r="E899" s="59"/>
      <c r="F899" s="59"/>
      <c r="G899" s="59"/>
      <c r="H899" s="541"/>
      <c r="I899" s="617">
        <f t="shared" si="13"/>
        <v>0</v>
      </c>
      <c r="J899" s="59"/>
      <c r="K899" s="59"/>
      <c r="L899" s="59"/>
      <c r="M899" s="59"/>
      <c r="N899" s="59"/>
      <c r="O899" s="59"/>
      <c r="P899" s="59"/>
      <c r="Q899" s="59"/>
    </row>
    <row r="900" spans="2:17" outlineLevel="1" x14ac:dyDescent="0.2">
      <c r="B900" s="59"/>
      <c r="C900" s="59"/>
      <c r="D900" s="59"/>
      <c r="E900" s="59"/>
      <c r="F900" s="59"/>
      <c r="G900" s="59"/>
      <c r="H900" s="541"/>
      <c r="I900" s="617">
        <f t="shared" si="13"/>
        <v>0</v>
      </c>
      <c r="J900" s="59"/>
      <c r="K900" s="59"/>
      <c r="L900" s="59"/>
      <c r="M900" s="59"/>
      <c r="N900" s="59"/>
      <c r="O900" s="59"/>
      <c r="P900" s="59"/>
      <c r="Q900" s="59"/>
    </row>
    <row r="901" spans="2:17" outlineLevel="1" x14ac:dyDescent="0.2">
      <c r="B901" s="59"/>
      <c r="C901" s="59"/>
      <c r="D901" s="59"/>
      <c r="E901" s="59"/>
      <c r="F901" s="59"/>
      <c r="G901" s="59"/>
      <c r="H901" s="541"/>
      <c r="I901" s="617">
        <f t="shared" ref="I901:I964" si="14">G901*H901</f>
        <v>0</v>
      </c>
      <c r="J901" s="59"/>
      <c r="K901" s="59"/>
      <c r="L901" s="59"/>
      <c r="M901" s="59"/>
      <c r="N901" s="59"/>
      <c r="O901" s="59"/>
      <c r="P901" s="59"/>
      <c r="Q901" s="59"/>
    </row>
    <row r="902" spans="2:17" outlineLevel="1" x14ac:dyDescent="0.2">
      <c r="B902" s="59"/>
      <c r="C902" s="59"/>
      <c r="D902" s="59"/>
      <c r="E902" s="59"/>
      <c r="F902" s="59"/>
      <c r="G902" s="59"/>
      <c r="H902" s="541"/>
      <c r="I902" s="617">
        <f t="shared" si="14"/>
        <v>0</v>
      </c>
      <c r="J902" s="59"/>
      <c r="K902" s="59"/>
      <c r="L902" s="59"/>
      <c r="M902" s="59"/>
      <c r="N902" s="59"/>
      <c r="O902" s="59"/>
      <c r="P902" s="59"/>
      <c r="Q902" s="59"/>
    </row>
    <row r="903" spans="2:17" outlineLevel="1" x14ac:dyDescent="0.2">
      <c r="B903" s="59"/>
      <c r="C903" s="59"/>
      <c r="D903" s="59"/>
      <c r="E903" s="59"/>
      <c r="F903" s="59"/>
      <c r="G903" s="59"/>
      <c r="H903" s="541"/>
      <c r="I903" s="617">
        <f t="shared" si="14"/>
        <v>0</v>
      </c>
      <c r="J903" s="59"/>
      <c r="K903" s="59"/>
      <c r="L903" s="59"/>
      <c r="M903" s="59"/>
      <c r="N903" s="59"/>
      <c r="O903" s="59"/>
      <c r="P903" s="59"/>
      <c r="Q903" s="59"/>
    </row>
    <row r="904" spans="2:17" outlineLevel="1" x14ac:dyDescent="0.2">
      <c r="B904" s="59"/>
      <c r="C904" s="59"/>
      <c r="D904" s="59"/>
      <c r="E904" s="59"/>
      <c r="F904" s="59"/>
      <c r="G904" s="59"/>
      <c r="H904" s="541"/>
      <c r="I904" s="617">
        <f t="shared" si="14"/>
        <v>0</v>
      </c>
      <c r="J904" s="59"/>
      <c r="K904" s="59"/>
      <c r="L904" s="59"/>
      <c r="M904" s="59"/>
      <c r="N904" s="59"/>
      <c r="O904" s="59"/>
      <c r="P904" s="59"/>
      <c r="Q904" s="59"/>
    </row>
    <row r="905" spans="2:17" outlineLevel="1" x14ac:dyDescent="0.2">
      <c r="B905" s="59"/>
      <c r="C905" s="59"/>
      <c r="D905" s="59"/>
      <c r="E905" s="59"/>
      <c r="F905" s="59"/>
      <c r="G905" s="59"/>
      <c r="H905" s="541"/>
      <c r="I905" s="617">
        <f t="shared" si="14"/>
        <v>0</v>
      </c>
      <c r="J905" s="59"/>
      <c r="K905" s="59"/>
      <c r="L905" s="59"/>
      <c r="M905" s="59"/>
      <c r="N905" s="59"/>
      <c r="O905" s="59"/>
      <c r="P905" s="59"/>
      <c r="Q905" s="59"/>
    </row>
    <row r="906" spans="2:17" outlineLevel="1" x14ac:dyDescent="0.2">
      <c r="B906" s="59"/>
      <c r="C906" s="59"/>
      <c r="D906" s="59"/>
      <c r="E906" s="59"/>
      <c r="F906" s="59"/>
      <c r="G906" s="59"/>
      <c r="H906" s="541"/>
      <c r="I906" s="617">
        <f t="shared" si="14"/>
        <v>0</v>
      </c>
      <c r="J906" s="59"/>
      <c r="K906" s="59"/>
      <c r="L906" s="59"/>
      <c r="M906" s="59"/>
      <c r="N906" s="59"/>
      <c r="O906" s="59"/>
      <c r="P906" s="59"/>
      <c r="Q906" s="59"/>
    </row>
    <row r="907" spans="2:17" outlineLevel="1" x14ac:dyDescent="0.2">
      <c r="B907" s="59"/>
      <c r="C907" s="59"/>
      <c r="D907" s="59"/>
      <c r="E907" s="59"/>
      <c r="F907" s="59"/>
      <c r="G907" s="59"/>
      <c r="H907" s="541"/>
      <c r="I907" s="617">
        <f t="shared" si="14"/>
        <v>0</v>
      </c>
      <c r="J907" s="59"/>
      <c r="K907" s="59"/>
      <c r="L907" s="59"/>
      <c r="M907" s="59"/>
      <c r="N907" s="59"/>
      <c r="O907" s="59"/>
      <c r="P907" s="59"/>
      <c r="Q907" s="59"/>
    </row>
    <row r="908" spans="2:17" outlineLevel="1" x14ac:dyDescent="0.2">
      <c r="B908" s="59"/>
      <c r="C908" s="59"/>
      <c r="D908" s="59"/>
      <c r="E908" s="59"/>
      <c r="F908" s="59"/>
      <c r="G908" s="59"/>
      <c r="H908" s="541"/>
      <c r="I908" s="617">
        <f t="shared" si="14"/>
        <v>0</v>
      </c>
      <c r="J908" s="59"/>
      <c r="K908" s="59"/>
      <c r="L908" s="59"/>
      <c r="M908" s="59"/>
      <c r="N908" s="59"/>
      <c r="O908" s="59"/>
      <c r="P908" s="59"/>
      <c r="Q908" s="59"/>
    </row>
    <row r="909" spans="2:17" outlineLevel="1" x14ac:dyDescent="0.2">
      <c r="B909" s="59"/>
      <c r="C909" s="59"/>
      <c r="D909" s="59"/>
      <c r="E909" s="59"/>
      <c r="F909" s="59"/>
      <c r="G909" s="59"/>
      <c r="H909" s="541"/>
      <c r="I909" s="617">
        <f t="shared" si="14"/>
        <v>0</v>
      </c>
      <c r="J909" s="59"/>
      <c r="K909" s="59"/>
      <c r="L909" s="59"/>
      <c r="M909" s="59"/>
      <c r="N909" s="59"/>
      <c r="O909" s="59"/>
      <c r="P909" s="59"/>
      <c r="Q909" s="59"/>
    </row>
    <row r="910" spans="2:17" outlineLevel="1" x14ac:dyDescent="0.2">
      <c r="B910" s="59"/>
      <c r="C910" s="59"/>
      <c r="D910" s="59"/>
      <c r="E910" s="59"/>
      <c r="F910" s="59"/>
      <c r="G910" s="59"/>
      <c r="H910" s="541"/>
      <c r="I910" s="617">
        <f t="shared" si="14"/>
        <v>0</v>
      </c>
      <c r="J910" s="59"/>
      <c r="K910" s="59"/>
      <c r="L910" s="59"/>
      <c r="M910" s="59"/>
      <c r="N910" s="59"/>
      <c r="O910" s="59"/>
      <c r="P910" s="59"/>
      <c r="Q910" s="59"/>
    </row>
    <row r="911" spans="2:17" outlineLevel="1" x14ac:dyDescent="0.2">
      <c r="B911" s="59"/>
      <c r="C911" s="59"/>
      <c r="D911" s="59"/>
      <c r="E911" s="59"/>
      <c r="F911" s="59"/>
      <c r="G911" s="59"/>
      <c r="H911" s="541"/>
      <c r="I911" s="617">
        <f t="shared" si="14"/>
        <v>0</v>
      </c>
      <c r="J911" s="59"/>
      <c r="K911" s="59"/>
      <c r="L911" s="59"/>
      <c r="M911" s="59"/>
      <c r="N911" s="59"/>
      <c r="O911" s="59"/>
      <c r="P911" s="59"/>
      <c r="Q911" s="59"/>
    </row>
    <row r="912" spans="2:17" outlineLevel="1" x14ac:dyDescent="0.2">
      <c r="B912" s="59"/>
      <c r="C912" s="59"/>
      <c r="D912" s="59"/>
      <c r="E912" s="59"/>
      <c r="F912" s="59"/>
      <c r="G912" s="59"/>
      <c r="H912" s="541"/>
      <c r="I912" s="617">
        <f t="shared" si="14"/>
        <v>0</v>
      </c>
      <c r="J912" s="59"/>
      <c r="K912" s="59"/>
      <c r="L912" s="59"/>
      <c r="M912" s="59"/>
      <c r="N912" s="59"/>
      <c r="O912" s="59"/>
      <c r="P912" s="59"/>
      <c r="Q912" s="59"/>
    </row>
    <row r="913" spans="2:17" outlineLevel="1" x14ac:dyDescent="0.2">
      <c r="B913" s="59"/>
      <c r="C913" s="59"/>
      <c r="D913" s="59"/>
      <c r="E913" s="59"/>
      <c r="F913" s="59"/>
      <c r="G913" s="59"/>
      <c r="H913" s="541"/>
      <c r="I913" s="617">
        <f t="shared" si="14"/>
        <v>0</v>
      </c>
      <c r="J913" s="59"/>
      <c r="K913" s="59"/>
      <c r="L913" s="59"/>
      <c r="M913" s="59"/>
      <c r="N913" s="59"/>
      <c r="O913" s="59"/>
      <c r="P913" s="59"/>
      <c r="Q913" s="59"/>
    </row>
    <row r="914" spans="2:17" outlineLevel="1" x14ac:dyDescent="0.2">
      <c r="B914" s="59"/>
      <c r="C914" s="59"/>
      <c r="D914" s="59"/>
      <c r="E914" s="59"/>
      <c r="F914" s="59"/>
      <c r="G914" s="59"/>
      <c r="H914" s="541"/>
      <c r="I914" s="617">
        <f t="shared" si="14"/>
        <v>0</v>
      </c>
      <c r="J914" s="59"/>
      <c r="K914" s="59"/>
      <c r="L914" s="59"/>
      <c r="M914" s="59"/>
      <c r="N914" s="59"/>
      <c r="O914" s="59"/>
      <c r="P914" s="59"/>
      <c r="Q914" s="59"/>
    </row>
    <row r="915" spans="2:17" outlineLevel="1" x14ac:dyDescent="0.2">
      <c r="B915" s="59"/>
      <c r="C915" s="59"/>
      <c r="D915" s="59"/>
      <c r="E915" s="59"/>
      <c r="F915" s="59"/>
      <c r="G915" s="59"/>
      <c r="H915" s="541"/>
      <c r="I915" s="617">
        <f t="shared" si="14"/>
        <v>0</v>
      </c>
      <c r="J915" s="59"/>
      <c r="K915" s="59"/>
      <c r="L915" s="59"/>
      <c r="M915" s="59"/>
      <c r="N915" s="59"/>
      <c r="O915" s="59"/>
      <c r="P915" s="59"/>
      <c r="Q915" s="59"/>
    </row>
    <row r="916" spans="2:17" outlineLevel="1" x14ac:dyDescent="0.2">
      <c r="B916" s="59"/>
      <c r="C916" s="59"/>
      <c r="D916" s="59"/>
      <c r="E916" s="59"/>
      <c r="F916" s="59"/>
      <c r="G916" s="59"/>
      <c r="H916" s="541"/>
      <c r="I916" s="617">
        <f t="shared" si="14"/>
        <v>0</v>
      </c>
      <c r="J916" s="59"/>
      <c r="K916" s="59"/>
      <c r="L916" s="59"/>
      <c r="M916" s="59"/>
      <c r="N916" s="59"/>
      <c r="O916" s="59"/>
      <c r="P916" s="59"/>
      <c r="Q916" s="59"/>
    </row>
    <row r="917" spans="2:17" outlineLevel="1" x14ac:dyDescent="0.2">
      <c r="B917" s="59"/>
      <c r="C917" s="59"/>
      <c r="D917" s="59"/>
      <c r="E917" s="59"/>
      <c r="F917" s="59"/>
      <c r="G917" s="59"/>
      <c r="H917" s="541"/>
      <c r="I917" s="617">
        <f t="shared" si="14"/>
        <v>0</v>
      </c>
      <c r="J917" s="59"/>
      <c r="K917" s="59"/>
      <c r="L917" s="59"/>
      <c r="M917" s="59"/>
      <c r="N917" s="59"/>
      <c r="O917" s="59"/>
      <c r="P917" s="59"/>
      <c r="Q917" s="59"/>
    </row>
    <row r="918" spans="2:17" outlineLevel="1" x14ac:dyDescent="0.2">
      <c r="B918" s="59"/>
      <c r="C918" s="59"/>
      <c r="D918" s="59"/>
      <c r="E918" s="59"/>
      <c r="F918" s="59"/>
      <c r="G918" s="59"/>
      <c r="H918" s="541"/>
      <c r="I918" s="617">
        <f t="shared" si="14"/>
        <v>0</v>
      </c>
      <c r="J918" s="59"/>
      <c r="K918" s="59"/>
      <c r="L918" s="59"/>
      <c r="M918" s="59"/>
      <c r="N918" s="59"/>
      <c r="O918" s="59"/>
      <c r="P918" s="59"/>
      <c r="Q918" s="59"/>
    </row>
    <row r="919" spans="2:17" outlineLevel="1" x14ac:dyDescent="0.2">
      <c r="B919" s="59"/>
      <c r="C919" s="59"/>
      <c r="D919" s="59"/>
      <c r="E919" s="59"/>
      <c r="F919" s="59"/>
      <c r="G919" s="59"/>
      <c r="H919" s="541"/>
      <c r="I919" s="617">
        <f t="shared" si="14"/>
        <v>0</v>
      </c>
      <c r="J919" s="59"/>
      <c r="K919" s="59"/>
      <c r="L919" s="59"/>
      <c r="M919" s="59"/>
      <c r="N919" s="59"/>
      <c r="O919" s="59"/>
      <c r="P919" s="59"/>
      <c r="Q919" s="59"/>
    </row>
    <row r="920" spans="2:17" outlineLevel="1" x14ac:dyDescent="0.2">
      <c r="B920" s="59"/>
      <c r="C920" s="59"/>
      <c r="D920" s="59"/>
      <c r="E920" s="59"/>
      <c r="F920" s="59"/>
      <c r="G920" s="59"/>
      <c r="H920" s="541"/>
      <c r="I920" s="617">
        <f t="shared" si="14"/>
        <v>0</v>
      </c>
      <c r="J920" s="59"/>
      <c r="K920" s="59"/>
      <c r="L920" s="59"/>
      <c r="M920" s="59"/>
      <c r="N920" s="59"/>
      <c r="O920" s="59"/>
      <c r="P920" s="59"/>
      <c r="Q920" s="59"/>
    </row>
    <row r="921" spans="2:17" outlineLevel="1" x14ac:dyDescent="0.2">
      <c r="B921" s="59"/>
      <c r="C921" s="59"/>
      <c r="D921" s="59"/>
      <c r="E921" s="59"/>
      <c r="F921" s="59"/>
      <c r="G921" s="59"/>
      <c r="H921" s="541"/>
      <c r="I921" s="617">
        <f t="shared" si="14"/>
        <v>0</v>
      </c>
      <c r="J921" s="59"/>
      <c r="K921" s="59"/>
      <c r="L921" s="59"/>
      <c r="M921" s="59"/>
      <c r="N921" s="59"/>
      <c r="O921" s="59"/>
      <c r="P921" s="59"/>
      <c r="Q921" s="59"/>
    </row>
    <row r="922" spans="2:17" outlineLevel="1" x14ac:dyDescent="0.2">
      <c r="B922" s="59"/>
      <c r="C922" s="59"/>
      <c r="D922" s="59"/>
      <c r="E922" s="59"/>
      <c r="F922" s="59"/>
      <c r="G922" s="59"/>
      <c r="H922" s="541"/>
      <c r="I922" s="617">
        <f t="shared" si="14"/>
        <v>0</v>
      </c>
      <c r="J922" s="59"/>
      <c r="K922" s="59"/>
      <c r="L922" s="59"/>
      <c r="M922" s="59"/>
      <c r="N922" s="59"/>
      <c r="O922" s="59"/>
      <c r="P922" s="59"/>
      <c r="Q922" s="59"/>
    </row>
    <row r="923" spans="2:17" outlineLevel="1" x14ac:dyDescent="0.2">
      <c r="B923" s="59"/>
      <c r="C923" s="59"/>
      <c r="D923" s="59"/>
      <c r="E923" s="59"/>
      <c r="F923" s="59"/>
      <c r="G923" s="59"/>
      <c r="H923" s="541"/>
      <c r="I923" s="617">
        <f t="shared" si="14"/>
        <v>0</v>
      </c>
      <c r="J923" s="59"/>
      <c r="K923" s="59"/>
      <c r="L923" s="59"/>
      <c r="M923" s="59"/>
      <c r="N923" s="59"/>
      <c r="O923" s="59"/>
      <c r="P923" s="59"/>
      <c r="Q923" s="59"/>
    </row>
    <row r="924" spans="2:17" outlineLevel="1" x14ac:dyDescent="0.2">
      <c r="B924" s="59"/>
      <c r="C924" s="59"/>
      <c r="D924" s="59"/>
      <c r="E924" s="59"/>
      <c r="F924" s="59"/>
      <c r="G924" s="59"/>
      <c r="H924" s="541"/>
      <c r="I924" s="617">
        <f t="shared" si="14"/>
        <v>0</v>
      </c>
      <c r="J924" s="59"/>
      <c r="K924" s="59"/>
      <c r="L924" s="59"/>
      <c r="M924" s="59"/>
      <c r="N924" s="59"/>
      <c r="O924" s="59"/>
      <c r="P924" s="59"/>
      <c r="Q924" s="59"/>
    </row>
    <row r="925" spans="2:17" outlineLevel="1" x14ac:dyDescent="0.2">
      <c r="B925" s="59"/>
      <c r="C925" s="59"/>
      <c r="D925" s="59"/>
      <c r="E925" s="59"/>
      <c r="F925" s="59"/>
      <c r="G925" s="59"/>
      <c r="H925" s="541"/>
      <c r="I925" s="617">
        <f t="shared" si="14"/>
        <v>0</v>
      </c>
      <c r="J925" s="59"/>
      <c r="K925" s="59"/>
      <c r="L925" s="59"/>
      <c r="M925" s="59"/>
      <c r="N925" s="59"/>
      <c r="O925" s="59"/>
      <c r="P925" s="59"/>
      <c r="Q925" s="59"/>
    </row>
    <row r="926" spans="2:17" outlineLevel="1" x14ac:dyDescent="0.2">
      <c r="B926" s="59"/>
      <c r="C926" s="59"/>
      <c r="D926" s="59"/>
      <c r="E926" s="59"/>
      <c r="F926" s="59"/>
      <c r="G926" s="59"/>
      <c r="H926" s="541"/>
      <c r="I926" s="617">
        <f t="shared" si="14"/>
        <v>0</v>
      </c>
      <c r="J926" s="59"/>
      <c r="K926" s="59"/>
      <c r="L926" s="59"/>
      <c r="M926" s="59"/>
      <c r="N926" s="59"/>
      <c r="O926" s="59"/>
      <c r="P926" s="59"/>
      <c r="Q926" s="59"/>
    </row>
    <row r="927" spans="2:17" outlineLevel="1" x14ac:dyDescent="0.2">
      <c r="B927" s="59"/>
      <c r="C927" s="59"/>
      <c r="D927" s="59"/>
      <c r="E927" s="59"/>
      <c r="F927" s="59"/>
      <c r="G927" s="59"/>
      <c r="H927" s="541"/>
      <c r="I927" s="617">
        <f t="shared" si="14"/>
        <v>0</v>
      </c>
      <c r="J927" s="59"/>
      <c r="K927" s="59"/>
      <c r="L927" s="59"/>
      <c r="M927" s="59"/>
      <c r="N927" s="59"/>
      <c r="O927" s="59"/>
      <c r="P927" s="59"/>
      <c r="Q927" s="59"/>
    </row>
    <row r="928" spans="2:17" outlineLevel="1" x14ac:dyDescent="0.2">
      <c r="B928" s="59"/>
      <c r="C928" s="59"/>
      <c r="D928" s="59"/>
      <c r="E928" s="59"/>
      <c r="F928" s="59"/>
      <c r="G928" s="59"/>
      <c r="H928" s="541"/>
      <c r="I928" s="617">
        <f t="shared" si="14"/>
        <v>0</v>
      </c>
      <c r="J928" s="59"/>
      <c r="K928" s="59"/>
      <c r="L928" s="59"/>
      <c r="M928" s="59"/>
      <c r="N928" s="59"/>
      <c r="O928" s="59"/>
      <c r="P928" s="59"/>
      <c r="Q928" s="59"/>
    </row>
    <row r="929" spans="2:17" outlineLevel="1" x14ac:dyDescent="0.2">
      <c r="B929" s="59"/>
      <c r="C929" s="59"/>
      <c r="D929" s="59"/>
      <c r="E929" s="59"/>
      <c r="F929" s="59"/>
      <c r="G929" s="59"/>
      <c r="H929" s="541"/>
      <c r="I929" s="617">
        <f t="shared" si="14"/>
        <v>0</v>
      </c>
      <c r="J929" s="59"/>
      <c r="K929" s="59"/>
      <c r="L929" s="59"/>
      <c r="M929" s="59"/>
      <c r="N929" s="59"/>
      <c r="O929" s="59"/>
      <c r="P929" s="59"/>
      <c r="Q929" s="59"/>
    </row>
    <row r="930" spans="2:17" outlineLevel="1" x14ac:dyDescent="0.2">
      <c r="B930" s="59"/>
      <c r="C930" s="59"/>
      <c r="D930" s="59"/>
      <c r="E930" s="59"/>
      <c r="F930" s="59"/>
      <c r="G930" s="59"/>
      <c r="H930" s="541"/>
      <c r="I930" s="617">
        <f t="shared" si="14"/>
        <v>0</v>
      </c>
      <c r="J930" s="59"/>
      <c r="K930" s="59"/>
      <c r="L930" s="59"/>
      <c r="M930" s="59"/>
      <c r="N930" s="59"/>
      <c r="O930" s="59"/>
      <c r="P930" s="59"/>
      <c r="Q930" s="59"/>
    </row>
    <row r="931" spans="2:17" outlineLevel="1" x14ac:dyDescent="0.2">
      <c r="B931" s="59"/>
      <c r="C931" s="59"/>
      <c r="D931" s="59"/>
      <c r="E931" s="59"/>
      <c r="F931" s="59"/>
      <c r="G931" s="59"/>
      <c r="H931" s="541"/>
      <c r="I931" s="617">
        <f t="shared" si="14"/>
        <v>0</v>
      </c>
      <c r="J931" s="59"/>
      <c r="K931" s="59"/>
      <c r="L931" s="59"/>
      <c r="M931" s="59"/>
      <c r="N931" s="59"/>
      <c r="O931" s="59"/>
      <c r="P931" s="59"/>
      <c r="Q931" s="59"/>
    </row>
    <row r="932" spans="2:17" outlineLevel="1" x14ac:dyDescent="0.2">
      <c r="B932" s="59"/>
      <c r="C932" s="59"/>
      <c r="D932" s="59"/>
      <c r="E932" s="59"/>
      <c r="F932" s="59"/>
      <c r="G932" s="59"/>
      <c r="H932" s="541"/>
      <c r="I932" s="617">
        <f t="shared" si="14"/>
        <v>0</v>
      </c>
      <c r="J932" s="59"/>
      <c r="K932" s="59"/>
      <c r="L932" s="59"/>
      <c r="M932" s="59"/>
      <c r="N932" s="59"/>
      <c r="O932" s="59"/>
      <c r="P932" s="59"/>
      <c r="Q932" s="59"/>
    </row>
    <row r="933" spans="2:17" outlineLevel="1" x14ac:dyDescent="0.2">
      <c r="B933" s="59"/>
      <c r="C933" s="59"/>
      <c r="D933" s="59"/>
      <c r="E933" s="59"/>
      <c r="F933" s="59"/>
      <c r="G933" s="59"/>
      <c r="H933" s="541"/>
      <c r="I933" s="617">
        <f t="shared" si="14"/>
        <v>0</v>
      </c>
      <c r="J933" s="59"/>
      <c r="K933" s="59"/>
      <c r="L933" s="59"/>
      <c r="M933" s="59"/>
      <c r="N933" s="59"/>
      <c r="O933" s="59"/>
      <c r="P933" s="59"/>
      <c r="Q933" s="59"/>
    </row>
    <row r="934" spans="2:17" outlineLevel="1" x14ac:dyDescent="0.2">
      <c r="B934" s="59"/>
      <c r="C934" s="59"/>
      <c r="D934" s="59"/>
      <c r="E934" s="59"/>
      <c r="F934" s="59"/>
      <c r="G934" s="59"/>
      <c r="H934" s="541"/>
      <c r="I934" s="617">
        <f t="shared" si="14"/>
        <v>0</v>
      </c>
      <c r="J934" s="59"/>
      <c r="K934" s="59"/>
      <c r="L934" s="59"/>
      <c r="M934" s="59"/>
      <c r="N934" s="59"/>
      <c r="O934" s="59"/>
      <c r="P934" s="59"/>
      <c r="Q934" s="59"/>
    </row>
    <row r="935" spans="2:17" outlineLevel="1" x14ac:dyDescent="0.2">
      <c r="B935" s="59"/>
      <c r="C935" s="59"/>
      <c r="D935" s="59"/>
      <c r="E935" s="59"/>
      <c r="F935" s="59"/>
      <c r="G935" s="59"/>
      <c r="H935" s="541"/>
      <c r="I935" s="617">
        <f t="shared" si="14"/>
        <v>0</v>
      </c>
      <c r="J935" s="59"/>
      <c r="K935" s="59"/>
      <c r="L935" s="59"/>
      <c r="M935" s="59"/>
      <c r="N935" s="59"/>
      <c r="O935" s="59"/>
      <c r="P935" s="59"/>
      <c r="Q935" s="59"/>
    </row>
    <row r="936" spans="2:17" outlineLevel="1" x14ac:dyDescent="0.2">
      <c r="B936" s="59"/>
      <c r="C936" s="59"/>
      <c r="D936" s="59"/>
      <c r="E936" s="59"/>
      <c r="F936" s="59"/>
      <c r="G936" s="59"/>
      <c r="H936" s="541"/>
      <c r="I936" s="617">
        <f t="shared" si="14"/>
        <v>0</v>
      </c>
      <c r="J936" s="59"/>
      <c r="K936" s="59"/>
      <c r="L936" s="59"/>
      <c r="M936" s="59"/>
      <c r="N936" s="59"/>
      <c r="O936" s="59"/>
      <c r="P936" s="59"/>
      <c r="Q936" s="59"/>
    </row>
    <row r="937" spans="2:17" outlineLevel="1" x14ac:dyDescent="0.2">
      <c r="B937" s="59"/>
      <c r="C937" s="59"/>
      <c r="D937" s="59"/>
      <c r="E937" s="59"/>
      <c r="F937" s="59"/>
      <c r="G937" s="59"/>
      <c r="H937" s="541"/>
      <c r="I937" s="617">
        <f t="shared" si="14"/>
        <v>0</v>
      </c>
      <c r="J937" s="59"/>
      <c r="K937" s="59"/>
      <c r="L937" s="59"/>
      <c r="M937" s="59"/>
      <c r="N937" s="59"/>
      <c r="O937" s="59"/>
      <c r="P937" s="59"/>
      <c r="Q937" s="59"/>
    </row>
    <row r="938" spans="2:17" outlineLevel="1" x14ac:dyDescent="0.2">
      <c r="B938" s="59"/>
      <c r="C938" s="59"/>
      <c r="D938" s="59"/>
      <c r="E938" s="59"/>
      <c r="F938" s="59"/>
      <c r="G938" s="59"/>
      <c r="H938" s="541"/>
      <c r="I938" s="617">
        <f t="shared" si="14"/>
        <v>0</v>
      </c>
      <c r="J938" s="59"/>
      <c r="K938" s="59"/>
      <c r="L938" s="59"/>
      <c r="M938" s="59"/>
      <c r="N938" s="59"/>
      <c r="O938" s="59"/>
      <c r="P938" s="59"/>
      <c r="Q938" s="59"/>
    </row>
    <row r="939" spans="2:17" outlineLevel="1" x14ac:dyDescent="0.2">
      <c r="B939" s="59"/>
      <c r="C939" s="59"/>
      <c r="D939" s="59"/>
      <c r="E939" s="59"/>
      <c r="F939" s="59"/>
      <c r="G939" s="59"/>
      <c r="H939" s="541"/>
      <c r="I939" s="617">
        <f t="shared" si="14"/>
        <v>0</v>
      </c>
      <c r="J939" s="59"/>
      <c r="K939" s="59"/>
      <c r="L939" s="59"/>
      <c r="M939" s="59"/>
      <c r="N939" s="59"/>
      <c r="O939" s="59"/>
      <c r="P939" s="59"/>
      <c r="Q939" s="59"/>
    </row>
    <row r="940" spans="2:17" outlineLevel="1" x14ac:dyDescent="0.2">
      <c r="B940" s="59"/>
      <c r="C940" s="59"/>
      <c r="D940" s="59"/>
      <c r="E940" s="59"/>
      <c r="F940" s="59"/>
      <c r="G940" s="59"/>
      <c r="H940" s="541"/>
      <c r="I940" s="617">
        <f t="shared" si="14"/>
        <v>0</v>
      </c>
      <c r="J940" s="59"/>
      <c r="K940" s="59"/>
      <c r="L940" s="59"/>
      <c r="M940" s="59"/>
      <c r="N940" s="59"/>
      <c r="O940" s="59"/>
      <c r="P940" s="59"/>
      <c r="Q940" s="59"/>
    </row>
    <row r="941" spans="2:17" outlineLevel="1" x14ac:dyDescent="0.2">
      <c r="B941" s="59"/>
      <c r="C941" s="59"/>
      <c r="D941" s="59"/>
      <c r="E941" s="59"/>
      <c r="F941" s="59"/>
      <c r="G941" s="59"/>
      <c r="H941" s="541"/>
      <c r="I941" s="617">
        <f t="shared" si="14"/>
        <v>0</v>
      </c>
      <c r="J941" s="59"/>
      <c r="K941" s="59"/>
      <c r="L941" s="59"/>
      <c r="M941" s="59"/>
      <c r="N941" s="59"/>
      <c r="O941" s="59"/>
      <c r="P941" s="59"/>
      <c r="Q941" s="59"/>
    </row>
    <row r="942" spans="2:17" outlineLevel="1" x14ac:dyDescent="0.2">
      <c r="B942" s="59"/>
      <c r="C942" s="59"/>
      <c r="D942" s="59"/>
      <c r="E942" s="59"/>
      <c r="F942" s="59"/>
      <c r="G942" s="59"/>
      <c r="H942" s="541"/>
      <c r="I942" s="617">
        <f t="shared" si="14"/>
        <v>0</v>
      </c>
      <c r="J942" s="59"/>
      <c r="K942" s="59"/>
      <c r="L942" s="59"/>
      <c r="M942" s="59"/>
      <c r="N942" s="59"/>
      <c r="O942" s="59"/>
      <c r="P942" s="59"/>
      <c r="Q942" s="59"/>
    </row>
    <row r="943" spans="2:17" outlineLevel="1" x14ac:dyDescent="0.2">
      <c r="B943" s="59"/>
      <c r="C943" s="59"/>
      <c r="D943" s="59"/>
      <c r="E943" s="59"/>
      <c r="F943" s="59"/>
      <c r="G943" s="59"/>
      <c r="H943" s="541"/>
      <c r="I943" s="617">
        <f t="shared" si="14"/>
        <v>0</v>
      </c>
      <c r="J943" s="59"/>
      <c r="K943" s="59"/>
      <c r="L943" s="59"/>
      <c r="M943" s="59"/>
      <c r="N943" s="59"/>
      <c r="O943" s="59"/>
      <c r="P943" s="59"/>
      <c r="Q943" s="59"/>
    </row>
    <row r="944" spans="2:17" outlineLevel="1" x14ac:dyDescent="0.2">
      <c r="B944" s="59"/>
      <c r="C944" s="59"/>
      <c r="D944" s="59"/>
      <c r="E944" s="59"/>
      <c r="F944" s="59"/>
      <c r="G944" s="59"/>
      <c r="H944" s="541"/>
      <c r="I944" s="617">
        <f t="shared" si="14"/>
        <v>0</v>
      </c>
      <c r="J944" s="59"/>
      <c r="K944" s="59"/>
      <c r="L944" s="59"/>
      <c r="M944" s="59"/>
      <c r="N944" s="59"/>
      <c r="O944" s="59"/>
      <c r="P944" s="59"/>
      <c r="Q944" s="59"/>
    </row>
    <row r="945" spans="2:17" outlineLevel="1" x14ac:dyDescent="0.2">
      <c r="B945" s="59"/>
      <c r="C945" s="59"/>
      <c r="D945" s="59"/>
      <c r="E945" s="59"/>
      <c r="F945" s="59"/>
      <c r="G945" s="59"/>
      <c r="H945" s="541"/>
      <c r="I945" s="617">
        <f t="shared" si="14"/>
        <v>0</v>
      </c>
      <c r="J945" s="59"/>
      <c r="K945" s="59"/>
      <c r="L945" s="59"/>
      <c r="M945" s="59"/>
      <c r="N945" s="59"/>
      <c r="O945" s="59"/>
      <c r="P945" s="59"/>
      <c r="Q945" s="59"/>
    </row>
    <row r="946" spans="2:17" outlineLevel="1" x14ac:dyDescent="0.2">
      <c r="B946" s="59"/>
      <c r="C946" s="59"/>
      <c r="D946" s="59"/>
      <c r="E946" s="59"/>
      <c r="F946" s="59"/>
      <c r="G946" s="59"/>
      <c r="H946" s="541"/>
      <c r="I946" s="617">
        <f t="shared" si="14"/>
        <v>0</v>
      </c>
      <c r="J946" s="59"/>
      <c r="K946" s="59"/>
      <c r="L946" s="59"/>
      <c r="M946" s="59"/>
      <c r="N946" s="59"/>
      <c r="O946" s="59"/>
      <c r="P946" s="59"/>
      <c r="Q946" s="59"/>
    </row>
    <row r="947" spans="2:17" outlineLevel="1" x14ac:dyDescent="0.2">
      <c r="B947" s="59"/>
      <c r="C947" s="59"/>
      <c r="D947" s="59"/>
      <c r="E947" s="59"/>
      <c r="F947" s="59"/>
      <c r="G947" s="59"/>
      <c r="H947" s="541"/>
      <c r="I947" s="617">
        <f t="shared" si="14"/>
        <v>0</v>
      </c>
      <c r="J947" s="59"/>
      <c r="K947" s="59"/>
      <c r="L947" s="59"/>
      <c r="M947" s="59"/>
      <c r="N947" s="59"/>
      <c r="O947" s="59"/>
      <c r="P947" s="59"/>
      <c r="Q947" s="59"/>
    </row>
    <row r="948" spans="2:17" outlineLevel="1" x14ac:dyDescent="0.2">
      <c r="B948" s="59"/>
      <c r="C948" s="59"/>
      <c r="D948" s="59"/>
      <c r="E948" s="59"/>
      <c r="F948" s="59"/>
      <c r="G948" s="59"/>
      <c r="H948" s="541"/>
      <c r="I948" s="617">
        <f t="shared" si="14"/>
        <v>0</v>
      </c>
      <c r="J948" s="59"/>
      <c r="K948" s="59"/>
      <c r="L948" s="59"/>
      <c r="M948" s="59"/>
      <c r="N948" s="59"/>
      <c r="O948" s="59"/>
      <c r="P948" s="59"/>
      <c r="Q948" s="59"/>
    </row>
    <row r="949" spans="2:17" outlineLevel="1" x14ac:dyDescent="0.2">
      <c r="B949" s="59"/>
      <c r="C949" s="59"/>
      <c r="D949" s="59"/>
      <c r="E949" s="59"/>
      <c r="F949" s="59"/>
      <c r="G949" s="59"/>
      <c r="H949" s="541"/>
      <c r="I949" s="617">
        <f t="shared" si="14"/>
        <v>0</v>
      </c>
      <c r="J949" s="59"/>
      <c r="K949" s="59"/>
      <c r="L949" s="59"/>
      <c r="M949" s="59"/>
      <c r="N949" s="59"/>
      <c r="O949" s="59"/>
      <c r="P949" s="59"/>
      <c r="Q949" s="59"/>
    </row>
    <row r="950" spans="2:17" outlineLevel="1" x14ac:dyDescent="0.2">
      <c r="B950" s="59"/>
      <c r="C950" s="59"/>
      <c r="D950" s="59"/>
      <c r="E950" s="59"/>
      <c r="F950" s="59"/>
      <c r="G950" s="59"/>
      <c r="H950" s="541"/>
      <c r="I950" s="617">
        <f t="shared" si="14"/>
        <v>0</v>
      </c>
      <c r="J950" s="59"/>
      <c r="K950" s="59"/>
      <c r="L950" s="59"/>
      <c r="M950" s="59"/>
      <c r="N950" s="59"/>
      <c r="O950" s="59"/>
      <c r="P950" s="59"/>
      <c r="Q950" s="59"/>
    </row>
    <row r="951" spans="2:17" outlineLevel="1" x14ac:dyDescent="0.2">
      <c r="B951" s="59"/>
      <c r="C951" s="59"/>
      <c r="D951" s="59"/>
      <c r="E951" s="59"/>
      <c r="F951" s="59"/>
      <c r="G951" s="59"/>
      <c r="H951" s="541"/>
      <c r="I951" s="617">
        <f t="shared" si="14"/>
        <v>0</v>
      </c>
      <c r="J951" s="59"/>
      <c r="K951" s="59"/>
      <c r="L951" s="59"/>
      <c r="M951" s="59"/>
      <c r="N951" s="59"/>
      <c r="O951" s="59"/>
      <c r="P951" s="59"/>
      <c r="Q951" s="59"/>
    </row>
    <row r="952" spans="2:17" outlineLevel="1" x14ac:dyDescent="0.2">
      <c r="B952" s="59"/>
      <c r="C952" s="59"/>
      <c r="D952" s="59"/>
      <c r="E952" s="59"/>
      <c r="F952" s="59"/>
      <c r="G952" s="59"/>
      <c r="H952" s="541"/>
      <c r="I952" s="617">
        <f t="shared" si="14"/>
        <v>0</v>
      </c>
      <c r="J952" s="59"/>
      <c r="K952" s="59"/>
      <c r="L952" s="59"/>
      <c r="M952" s="59"/>
      <c r="N952" s="59"/>
      <c r="O952" s="59"/>
      <c r="P952" s="59"/>
      <c r="Q952" s="59"/>
    </row>
    <row r="953" spans="2:17" outlineLevel="1" x14ac:dyDescent="0.2">
      <c r="B953" s="59"/>
      <c r="C953" s="59"/>
      <c r="D953" s="59"/>
      <c r="E953" s="59"/>
      <c r="F953" s="59"/>
      <c r="G953" s="59"/>
      <c r="H953" s="541"/>
      <c r="I953" s="617">
        <f t="shared" si="14"/>
        <v>0</v>
      </c>
      <c r="J953" s="59"/>
      <c r="K953" s="59"/>
      <c r="L953" s="59"/>
      <c r="M953" s="59"/>
      <c r="N953" s="59"/>
      <c r="O953" s="59"/>
      <c r="P953" s="59"/>
      <c r="Q953" s="59"/>
    </row>
    <row r="954" spans="2:17" outlineLevel="1" x14ac:dyDescent="0.2">
      <c r="B954" s="59"/>
      <c r="C954" s="59"/>
      <c r="D954" s="59"/>
      <c r="E954" s="59"/>
      <c r="F954" s="59"/>
      <c r="G954" s="59"/>
      <c r="H954" s="541"/>
      <c r="I954" s="617">
        <f t="shared" si="14"/>
        <v>0</v>
      </c>
      <c r="J954" s="59"/>
      <c r="K954" s="59"/>
      <c r="L954" s="59"/>
      <c r="M954" s="59"/>
      <c r="N954" s="59"/>
      <c r="O954" s="59"/>
      <c r="P954" s="59"/>
      <c r="Q954" s="59"/>
    </row>
    <row r="955" spans="2:17" outlineLevel="1" x14ac:dyDescent="0.2">
      <c r="B955" s="59"/>
      <c r="C955" s="59"/>
      <c r="D955" s="59"/>
      <c r="E955" s="59"/>
      <c r="F955" s="59"/>
      <c r="G955" s="59"/>
      <c r="H955" s="541"/>
      <c r="I955" s="617">
        <f t="shared" si="14"/>
        <v>0</v>
      </c>
      <c r="J955" s="59"/>
      <c r="K955" s="59"/>
      <c r="L955" s="59"/>
      <c r="M955" s="59"/>
      <c r="N955" s="59"/>
      <c r="O955" s="59"/>
      <c r="P955" s="59"/>
      <c r="Q955" s="59"/>
    </row>
    <row r="956" spans="2:17" outlineLevel="1" x14ac:dyDescent="0.2">
      <c r="B956" s="59"/>
      <c r="C956" s="59"/>
      <c r="D956" s="59"/>
      <c r="E956" s="59"/>
      <c r="F956" s="59"/>
      <c r="G956" s="59"/>
      <c r="H956" s="541"/>
      <c r="I956" s="617">
        <f t="shared" si="14"/>
        <v>0</v>
      </c>
      <c r="J956" s="59"/>
      <c r="K956" s="59"/>
      <c r="L956" s="59"/>
      <c r="M956" s="59"/>
      <c r="N956" s="59"/>
      <c r="O956" s="59"/>
      <c r="P956" s="59"/>
      <c r="Q956" s="59"/>
    </row>
    <row r="957" spans="2:17" outlineLevel="1" x14ac:dyDescent="0.2">
      <c r="B957" s="59"/>
      <c r="C957" s="59"/>
      <c r="D957" s="59"/>
      <c r="E957" s="59"/>
      <c r="F957" s="59"/>
      <c r="G957" s="59"/>
      <c r="H957" s="541"/>
      <c r="I957" s="617">
        <f t="shared" si="14"/>
        <v>0</v>
      </c>
      <c r="J957" s="59"/>
      <c r="K957" s="59"/>
      <c r="L957" s="59"/>
      <c r="M957" s="59"/>
      <c r="N957" s="59"/>
      <c r="O957" s="59"/>
      <c r="P957" s="59"/>
      <c r="Q957" s="59"/>
    </row>
    <row r="958" spans="2:17" outlineLevel="1" x14ac:dyDescent="0.2">
      <c r="B958" s="59"/>
      <c r="C958" s="59"/>
      <c r="D958" s="59"/>
      <c r="E958" s="59"/>
      <c r="F958" s="59"/>
      <c r="G958" s="59"/>
      <c r="H958" s="541"/>
      <c r="I958" s="617">
        <f t="shared" si="14"/>
        <v>0</v>
      </c>
      <c r="J958" s="59"/>
      <c r="K958" s="59"/>
      <c r="L958" s="59"/>
      <c r="M958" s="59"/>
      <c r="N958" s="59"/>
      <c r="O958" s="59"/>
      <c r="P958" s="59"/>
      <c r="Q958" s="59"/>
    </row>
    <row r="959" spans="2:17" outlineLevel="1" x14ac:dyDescent="0.2">
      <c r="B959" s="59"/>
      <c r="C959" s="59"/>
      <c r="D959" s="59"/>
      <c r="E959" s="59"/>
      <c r="F959" s="59"/>
      <c r="G959" s="59"/>
      <c r="H959" s="541"/>
      <c r="I959" s="617">
        <f t="shared" si="14"/>
        <v>0</v>
      </c>
      <c r="J959" s="59"/>
      <c r="K959" s="59"/>
      <c r="L959" s="59"/>
      <c r="M959" s="59"/>
      <c r="N959" s="59"/>
      <c r="O959" s="59"/>
      <c r="P959" s="59"/>
      <c r="Q959" s="59"/>
    </row>
    <row r="960" spans="2:17" outlineLevel="1" x14ac:dyDescent="0.2">
      <c r="B960" s="59"/>
      <c r="C960" s="59"/>
      <c r="D960" s="59"/>
      <c r="E960" s="59"/>
      <c r="F960" s="59"/>
      <c r="G960" s="59"/>
      <c r="H960" s="541"/>
      <c r="I960" s="617">
        <f t="shared" si="14"/>
        <v>0</v>
      </c>
      <c r="J960" s="59"/>
      <c r="K960" s="59"/>
      <c r="L960" s="59"/>
      <c r="M960" s="59"/>
      <c r="N960" s="59"/>
      <c r="O960" s="59"/>
      <c r="P960" s="59"/>
      <c r="Q960" s="59"/>
    </row>
    <row r="961" spans="2:17" outlineLevel="1" x14ac:dyDescent="0.2">
      <c r="B961" s="59"/>
      <c r="C961" s="59"/>
      <c r="D961" s="59"/>
      <c r="E961" s="59"/>
      <c r="F961" s="59"/>
      <c r="G961" s="59"/>
      <c r="H961" s="541"/>
      <c r="I961" s="617">
        <f t="shared" si="14"/>
        <v>0</v>
      </c>
      <c r="J961" s="59"/>
      <c r="K961" s="59"/>
      <c r="L961" s="59"/>
      <c r="M961" s="59"/>
      <c r="N961" s="59"/>
      <c r="O961" s="59"/>
      <c r="P961" s="59"/>
      <c r="Q961" s="59"/>
    </row>
    <row r="962" spans="2:17" outlineLevel="1" x14ac:dyDescent="0.2">
      <c r="B962" s="59"/>
      <c r="C962" s="59"/>
      <c r="D962" s="59"/>
      <c r="E962" s="59"/>
      <c r="F962" s="59"/>
      <c r="G962" s="59"/>
      <c r="H962" s="541"/>
      <c r="I962" s="617">
        <f t="shared" si="14"/>
        <v>0</v>
      </c>
      <c r="J962" s="59"/>
      <c r="K962" s="59"/>
      <c r="L962" s="59"/>
      <c r="M962" s="59"/>
      <c r="N962" s="59"/>
      <c r="O962" s="59"/>
      <c r="P962" s="59"/>
      <c r="Q962" s="59"/>
    </row>
    <row r="963" spans="2:17" outlineLevel="1" x14ac:dyDescent="0.2">
      <c r="B963" s="59"/>
      <c r="C963" s="59"/>
      <c r="D963" s="59"/>
      <c r="E963" s="59"/>
      <c r="F963" s="59"/>
      <c r="G963" s="59"/>
      <c r="H963" s="541"/>
      <c r="I963" s="617">
        <f t="shared" si="14"/>
        <v>0</v>
      </c>
      <c r="J963" s="59"/>
      <c r="K963" s="59"/>
      <c r="L963" s="59"/>
      <c r="M963" s="59"/>
      <c r="N963" s="59"/>
      <c r="O963" s="59"/>
      <c r="P963" s="59"/>
      <c r="Q963" s="59"/>
    </row>
    <row r="964" spans="2:17" outlineLevel="1" x14ac:dyDescent="0.2">
      <c r="B964" s="59"/>
      <c r="C964" s="59"/>
      <c r="D964" s="59"/>
      <c r="E964" s="59"/>
      <c r="F964" s="59"/>
      <c r="G964" s="59"/>
      <c r="H964" s="541"/>
      <c r="I964" s="617">
        <f t="shared" si="14"/>
        <v>0</v>
      </c>
      <c r="J964" s="59"/>
      <c r="K964" s="59"/>
      <c r="L964" s="59"/>
      <c r="M964" s="59"/>
      <c r="N964" s="59"/>
      <c r="O964" s="59"/>
      <c r="P964" s="59"/>
      <c r="Q964" s="59"/>
    </row>
    <row r="965" spans="2:17" outlineLevel="1" x14ac:dyDescent="0.2">
      <c r="B965" s="59"/>
      <c r="C965" s="59"/>
      <c r="D965" s="59"/>
      <c r="E965" s="59"/>
      <c r="F965" s="59"/>
      <c r="G965" s="59"/>
      <c r="H965" s="541"/>
      <c r="I965" s="617">
        <f t="shared" ref="I965:I1000" si="15">G965*H965</f>
        <v>0</v>
      </c>
      <c r="J965" s="59"/>
      <c r="K965" s="59"/>
      <c r="L965" s="59"/>
      <c r="M965" s="59"/>
      <c r="N965" s="59"/>
      <c r="O965" s="59"/>
      <c r="P965" s="59"/>
      <c r="Q965" s="59"/>
    </row>
    <row r="966" spans="2:17" outlineLevel="1" x14ac:dyDescent="0.2">
      <c r="B966" s="59"/>
      <c r="C966" s="59"/>
      <c r="D966" s="59"/>
      <c r="E966" s="59"/>
      <c r="F966" s="59"/>
      <c r="G966" s="59"/>
      <c r="H966" s="541"/>
      <c r="I966" s="617">
        <f t="shared" si="15"/>
        <v>0</v>
      </c>
      <c r="J966" s="59"/>
      <c r="K966" s="59"/>
      <c r="L966" s="59"/>
      <c r="M966" s="59"/>
      <c r="N966" s="59"/>
      <c r="O966" s="59"/>
      <c r="P966" s="59"/>
      <c r="Q966" s="59"/>
    </row>
    <row r="967" spans="2:17" outlineLevel="1" x14ac:dyDescent="0.2">
      <c r="B967" s="59"/>
      <c r="C967" s="59"/>
      <c r="D967" s="59"/>
      <c r="E967" s="59"/>
      <c r="F967" s="59"/>
      <c r="G967" s="59"/>
      <c r="H967" s="541"/>
      <c r="I967" s="617">
        <f t="shared" si="15"/>
        <v>0</v>
      </c>
      <c r="J967" s="59"/>
      <c r="K967" s="59"/>
      <c r="L967" s="59"/>
      <c r="M967" s="59"/>
      <c r="N967" s="59"/>
      <c r="O967" s="59"/>
      <c r="P967" s="59"/>
      <c r="Q967" s="59"/>
    </row>
    <row r="968" spans="2:17" outlineLevel="1" x14ac:dyDescent="0.2">
      <c r="B968" s="59"/>
      <c r="C968" s="59"/>
      <c r="D968" s="59"/>
      <c r="E968" s="59"/>
      <c r="F968" s="59"/>
      <c r="G968" s="59"/>
      <c r="H968" s="541"/>
      <c r="I968" s="617">
        <f t="shared" si="15"/>
        <v>0</v>
      </c>
      <c r="J968" s="59"/>
      <c r="K968" s="59"/>
      <c r="L968" s="59"/>
      <c r="M968" s="59"/>
      <c r="N968" s="59"/>
      <c r="O968" s="59"/>
      <c r="P968" s="59"/>
      <c r="Q968" s="59"/>
    </row>
    <row r="969" spans="2:17" outlineLevel="1" x14ac:dyDescent="0.2">
      <c r="B969" s="59"/>
      <c r="C969" s="59"/>
      <c r="D969" s="59"/>
      <c r="E969" s="59"/>
      <c r="F969" s="59"/>
      <c r="G969" s="59"/>
      <c r="H969" s="541"/>
      <c r="I969" s="617">
        <f t="shared" si="15"/>
        <v>0</v>
      </c>
      <c r="J969" s="59"/>
      <c r="K969" s="59"/>
      <c r="L969" s="59"/>
      <c r="M969" s="59"/>
      <c r="N969" s="59"/>
      <c r="O969" s="59"/>
      <c r="P969" s="59"/>
      <c r="Q969" s="59"/>
    </row>
    <row r="970" spans="2:17" outlineLevel="1" x14ac:dyDescent="0.2">
      <c r="B970" s="59"/>
      <c r="C970" s="59"/>
      <c r="D970" s="59"/>
      <c r="E970" s="59"/>
      <c r="F970" s="59"/>
      <c r="G970" s="59"/>
      <c r="H970" s="541"/>
      <c r="I970" s="617">
        <f t="shared" si="15"/>
        <v>0</v>
      </c>
      <c r="J970" s="59"/>
      <c r="K970" s="59"/>
      <c r="L970" s="59"/>
      <c r="M970" s="59"/>
      <c r="N970" s="59"/>
      <c r="O970" s="59"/>
      <c r="P970" s="59"/>
      <c r="Q970" s="59"/>
    </row>
    <row r="971" spans="2:17" outlineLevel="1" x14ac:dyDescent="0.2">
      <c r="B971" s="59"/>
      <c r="C971" s="59"/>
      <c r="D971" s="59"/>
      <c r="E971" s="59"/>
      <c r="F971" s="59"/>
      <c r="G971" s="59"/>
      <c r="H971" s="541"/>
      <c r="I971" s="617">
        <f t="shared" si="15"/>
        <v>0</v>
      </c>
      <c r="J971" s="59"/>
      <c r="K971" s="59"/>
      <c r="L971" s="59"/>
      <c r="M971" s="59"/>
      <c r="N971" s="59"/>
      <c r="O971" s="59"/>
      <c r="P971" s="59"/>
      <c r="Q971" s="59"/>
    </row>
    <row r="972" spans="2:17" outlineLevel="1" x14ac:dyDescent="0.2">
      <c r="B972" s="59"/>
      <c r="C972" s="59"/>
      <c r="D972" s="59"/>
      <c r="E972" s="59"/>
      <c r="F972" s="59"/>
      <c r="G972" s="59"/>
      <c r="H972" s="541"/>
      <c r="I972" s="617">
        <f t="shared" si="15"/>
        <v>0</v>
      </c>
      <c r="J972" s="59"/>
      <c r="K972" s="59"/>
      <c r="L972" s="59"/>
      <c r="M972" s="59"/>
      <c r="N972" s="59"/>
      <c r="O972" s="59"/>
      <c r="P972" s="59"/>
      <c r="Q972" s="59"/>
    </row>
    <row r="973" spans="2:17" outlineLevel="1" x14ac:dyDescent="0.2">
      <c r="B973" s="59"/>
      <c r="C973" s="59"/>
      <c r="D973" s="59"/>
      <c r="E973" s="59"/>
      <c r="F973" s="59"/>
      <c r="G973" s="59"/>
      <c r="H973" s="541"/>
      <c r="I973" s="617">
        <f t="shared" si="15"/>
        <v>0</v>
      </c>
      <c r="J973" s="59"/>
      <c r="K973" s="59"/>
      <c r="L973" s="59"/>
      <c r="M973" s="59"/>
      <c r="N973" s="59"/>
      <c r="O973" s="59"/>
      <c r="P973" s="59"/>
      <c r="Q973" s="59"/>
    </row>
    <row r="974" spans="2:17" outlineLevel="1" x14ac:dyDescent="0.2">
      <c r="B974" s="59"/>
      <c r="C974" s="59"/>
      <c r="D974" s="59"/>
      <c r="E974" s="59"/>
      <c r="F974" s="59"/>
      <c r="G974" s="59"/>
      <c r="H974" s="541"/>
      <c r="I974" s="617">
        <f t="shared" si="15"/>
        <v>0</v>
      </c>
      <c r="J974" s="59"/>
      <c r="K974" s="59"/>
      <c r="L974" s="59"/>
      <c r="M974" s="59"/>
      <c r="N974" s="59"/>
      <c r="O974" s="59"/>
      <c r="P974" s="59"/>
      <c r="Q974" s="59"/>
    </row>
    <row r="975" spans="2:17" outlineLevel="1" x14ac:dyDescent="0.2">
      <c r="B975" s="59"/>
      <c r="C975" s="59"/>
      <c r="D975" s="59"/>
      <c r="E975" s="59"/>
      <c r="F975" s="59"/>
      <c r="G975" s="59"/>
      <c r="H975" s="541"/>
      <c r="I975" s="617">
        <f t="shared" si="15"/>
        <v>0</v>
      </c>
      <c r="J975" s="59"/>
      <c r="K975" s="59"/>
      <c r="L975" s="59"/>
      <c r="M975" s="59"/>
      <c r="N975" s="59"/>
      <c r="O975" s="59"/>
      <c r="P975" s="59"/>
      <c r="Q975" s="59"/>
    </row>
    <row r="976" spans="2:17" outlineLevel="1" x14ac:dyDescent="0.2">
      <c r="B976" s="59"/>
      <c r="C976" s="59"/>
      <c r="D976" s="59"/>
      <c r="E976" s="59"/>
      <c r="F976" s="59"/>
      <c r="G976" s="59"/>
      <c r="H976" s="541"/>
      <c r="I976" s="617">
        <f t="shared" si="15"/>
        <v>0</v>
      </c>
      <c r="J976" s="59"/>
      <c r="K976" s="59"/>
      <c r="L976" s="59"/>
      <c r="M976" s="59"/>
      <c r="N976" s="59"/>
      <c r="O976" s="59"/>
      <c r="P976" s="59"/>
      <c r="Q976" s="59"/>
    </row>
    <row r="977" spans="2:17" outlineLevel="1" x14ac:dyDescent="0.2">
      <c r="B977" s="59"/>
      <c r="C977" s="59"/>
      <c r="D977" s="59"/>
      <c r="E977" s="59"/>
      <c r="F977" s="59"/>
      <c r="G977" s="59"/>
      <c r="H977" s="541"/>
      <c r="I977" s="617">
        <f t="shared" si="15"/>
        <v>0</v>
      </c>
      <c r="J977" s="59"/>
      <c r="K977" s="59"/>
      <c r="L977" s="59"/>
      <c r="M977" s="59"/>
      <c r="N977" s="59"/>
      <c r="O977" s="59"/>
      <c r="P977" s="59"/>
      <c r="Q977" s="59"/>
    </row>
    <row r="978" spans="2:17" outlineLevel="1" x14ac:dyDescent="0.2">
      <c r="B978" s="59"/>
      <c r="C978" s="59"/>
      <c r="D978" s="59"/>
      <c r="E978" s="59"/>
      <c r="F978" s="59"/>
      <c r="G978" s="59"/>
      <c r="H978" s="541"/>
      <c r="I978" s="617">
        <f t="shared" si="15"/>
        <v>0</v>
      </c>
      <c r="J978" s="59"/>
      <c r="K978" s="59"/>
      <c r="L978" s="59"/>
      <c r="M978" s="59"/>
      <c r="N978" s="59"/>
      <c r="O978" s="59"/>
      <c r="P978" s="59"/>
      <c r="Q978" s="59"/>
    </row>
    <row r="979" spans="2:17" outlineLevel="1" x14ac:dyDescent="0.2">
      <c r="B979" s="59"/>
      <c r="C979" s="59"/>
      <c r="D979" s="59"/>
      <c r="E979" s="59"/>
      <c r="F979" s="59"/>
      <c r="G979" s="59"/>
      <c r="H979" s="541"/>
      <c r="I979" s="617">
        <f t="shared" si="15"/>
        <v>0</v>
      </c>
      <c r="J979" s="59"/>
      <c r="K979" s="59"/>
      <c r="L979" s="59"/>
      <c r="M979" s="59"/>
      <c r="N979" s="59"/>
      <c r="O979" s="59"/>
      <c r="P979" s="59"/>
      <c r="Q979" s="59"/>
    </row>
    <row r="980" spans="2:17" outlineLevel="1" x14ac:dyDescent="0.2">
      <c r="B980" s="59"/>
      <c r="C980" s="59"/>
      <c r="D980" s="59"/>
      <c r="E980" s="59"/>
      <c r="F980" s="59"/>
      <c r="G980" s="59"/>
      <c r="H980" s="541"/>
      <c r="I980" s="617">
        <f t="shared" si="15"/>
        <v>0</v>
      </c>
      <c r="J980" s="59"/>
      <c r="K980" s="59"/>
      <c r="L980" s="59"/>
      <c r="M980" s="59"/>
      <c r="N980" s="59"/>
      <c r="O980" s="59"/>
      <c r="P980" s="59"/>
      <c r="Q980" s="59"/>
    </row>
    <row r="981" spans="2:17" outlineLevel="1" x14ac:dyDescent="0.2">
      <c r="B981" s="59"/>
      <c r="C981" s="59"/>
      <c r="D981" s="59"/>
      <c r="E981" s="59"/>
      <c r="F981" s="59"/>
      <c r="G981" s="59"/>
      <c r="H981" s="541"/>
      <c r="I981" s="617">
        <f t="shared" si="15"/>
        <v>0</v>
      </c>
      <c r="J981" s="59"/>
      <c r="K981" s="59"/>
      <c r="L981" s="59"/>
      <c r="M981" s="59"/>
      <c r="N981" s="59"/>
      <c r="O981" s="59"/>
      <c r="P981" s="59"/>
      <c r="Q981" s="59"/>
    </row>
    <row r="982" spans="2:17" outlineLevel="1" x14ac:dyDescent="0.2">
      <c r="B982" s="59"/>
      <c r="C982" s="59"/>
      <c r="D982" s="59"/>
      <c r="E982" s="59"/>
      <c r="F982" s="59"/>
      <c r="G982" s="59"/>
      <c r="H982" s="541"/>
      <c r="I982" s="617">
        <f t="shared" si="15"/>
        <v>0</v>
      </c>
      <c r="J982" s="59"/>
      <c r="K982" s="59"/>
      <c r="L982" s="59"/>
      <c r="M982" s="59"/>
      <c r="N982" s="59"/>
      <c r="O982" s="59"/>
      <c r="P982" s="59"/>
      <c r="Q982" s="59"/>
    </row>
    <row r="983" spans="2:17" outlineLevel="1" x14ac:dyDescent="0.2">
      <c r="B983" s="59"/>
      <c r="C983" s="59"/>
      <c r="D983" s="59"/>
      <c r="E983" s="59"/>
      <c r="F983" s="59"/>
      <c r="G983" s="59"/>
      <c r="H983" s="541"/>
      <c r="I983" s="617">
        <f t="shared" si="15"/>
        <v>0</v>
      </c>
      <c r="J983" s="59"/>
      <c r="K983" s="59"/>
      <c r="L983" s="59"/>
      <c r="M983" s="59"/>
      <c r="N983" s="59"/>
      <c r="O983" s="59"/>
      <c r="P983" s="59"/>
      <c r="Q983" s="59"/>
    </row>
    <row r="984" spans="2:17" outlineLevel="1" x14ac:dyDescent="0.2">
      <c r="B984" s="59"/>
      <c r="C984" s="59"/>
      <c r="D984" s="59"/>
      <c r="E984" s="59"/>
      <c r="F984" s="59"/>
      <c r="G984" s="59"/>
      <c r="H984" s="541"/>
      <c r="I984" s="617">
        <f t="shared" si="15"/>
        <v>0</v>
      </c>
      <c r="J984" s="59"/>
      <c r="K984" s="59"/>
      <c r="L984" s="59"/>
      <c r="M984" s="59"/>
      <c r="N984" s="59"/>
      <c r="O984" s="59"/>
      <c r="P984" s="59"/>
      <c r="Q984" s="59"/>
    </row>
    <row r="985" spans="2:17" outlineLevel="1" x14ac:dyDescent="0.2">
      <c r="B985" s="59"/>
      <c r="C985" s="59"/>
      <c r="D985" s="59"/>
      <c r="E985" s="59"/>
      <c r="F985" s="59"/>
      <c r="G985" s="59"/>
      <c r="H985" s="541"/>
      <c r="I985" s="617">
        <f t="shared" si="15"/>
        <v>0</v>
      </c>
      <c r="J985" s="59"/>
      <c r="K985" s="59"/>
      <c r="L985" s="59"/>
      <c r="M985" s="59"/>
      <c r="N985" s="59"/>
      <c r="O985" s="59"/>
      <c r="P985" s="59"/>
      <c r="Q985" s="59"/>
    </row>
    <row r="986" spans="2:17" outlineLevel="1" x14ac:dyDescent="0.2">
      <c r="B986" s="59"/>
      <c r="C986" s="59"/>
      <c r="D986" s="59"/>
      <c r="E986" s="59"/>
      <c r="F986" s="59"/>
      <c r="G986" s="59"/>
      <c r="H986" s="541"/>
      <c r="I986" s="617">
        <f t="shared" si="15"/>
        <v>0</v>
      </c>
      <c r="J986" s="59"/>
      <c r="K986" s="59"/>
      <c r="L986" s="59"/>
      <c r="M986" s="59"/>
      <c r="N986" s="59"/>
      <c r="O986" s="59"/>
      <c r="P986" s="59"/>
      <c r="Q986" s="59"/>
    </row>
    <row r="987" spans="2:17" outlineLevel="1" x14ac:dyDescent="0.2">
      <c r="B987" s="59"/>
      <c r="C987" s="59"/>
      <c r="D987" s="59"/>
      <c r="E987" s="59"/>
      <c r="F987" s="59"/>
      <c r="G987" s="59"/>
      <c r="H987" s="541"/>
      <c r="I987" s="617">
        <f t="shared" si="15"/>
        <v>0</v>
      </c>
      <c r="J987" s="59"/>
      <c r="K987" s="59"/>
      <c r="L987" s="59"/>
      <c r="M987" s="59"/>
      <c r="N987" s="59"/>
      <c r="O987" s="59"/>
      <c r="P987" s="59"/>
      <c r="Q987" s="59"/>
    </row>
    <row r="988" spans="2:17" outlineLevel="1" x14ac:dyDescent="0.2">
      <c r="B988" s="59"/>
      <c r="C988" s="59"/>
      <c r="D988" s="59"/>
      <c r="E988" s="59"/>
      <c r="F988" s="59"/>
      <c r="G988" s="59"/>
      <c r="H988" s="541"/>
      <c r="I988" s="617">
        <f t="shared" si="15"/>
        <v>0</v>
      </c>
      <c r="J988" s="59"/>
      <c r="K988" s="59"/>
      <c r="L988" s="59"/>
      <c r="M988" s="59"/>
      <c r="N988" s="59"/>
      <c r="O988" s="59"/>
      <c r="P988" s="59"/>
      <c r="Q988" s="59"/>
    </row>
    <row r="989" spans="2:17" outlineLevel="1" x14ac:dyDescent="0.2">
      <c r="B989" s="59"/>
      <c r="C989" s="59"/>
      <c r="D989" s="59"/>
      <c r="E989" s="59"/>
      <c r="F989" s="59"/>
      <c r="G989" s="59"/>
      <c r="H989" s="541"/>
      <c r="I989" s="617">
        <f t="shared" si="15"/>
        <v>0</v>
      </c>
      <c r="J989" s="59"/>
      <c r="K989" s="59"/>
      <c r="L989" s="59"/>
      <c r="M989" s="59"/>
      <c r="N989" s="59"/>
      <c r="O989" s="59"/>
      <c r="P989" s="59"/>
      <c r="Q989" s="59"/>
    </row>
    <row r="990" spans="2:17" outlineLevel="1" x14ac:dyDescent="0.2">
      <c r="B990" s="59"/>
      <c r="C990" s="59"/>
      <c r="D990" s="59"/>
      <c r="E990" s="59"/>
      <c r="F990" s="59"/>
      <c r="G990" s="59"/>
      <c r="H990" s="541"/>
      <c r="I990" s="617">
        <f t="shared" si="15"/>
        <v>0</v>
      </c>
      <c r="J990" s="59"/>
      <c r="K990" s="59"/>
      <c r="L990" s="59"/>
      <c r="M990" s="59"/>
      <c r="N990" s="59"/>
      <c r="O990" s="59"/>
      <c r="P990" s="59"/>
      <c r="Q990" s="59"/>
    </row>
    <row r="991" spans="2:17" outlineLevel="1" x14ac:dyDescent="0.2">
      <c r="B991" s="59"/>
      <c r="C991" s="59"/>
      <c r="D991" s="59"/>
      <c r="E991" s="59"/>
      <c r="F991" s="59"/>
      <c r="G991" s="59"/>
      <c r="H991" s="541"/>
      <c r="I991" s="617">
        <f t="shared" si="15"/>
        <v>0</v>
      </c>
      <c r="J991" s="59"/>
      <c r="K991" s="59"/>
      <c r="L991" s="59"/>
      <c r="M991" s="59"/>
      <c r="N991" s="59"/>
      <c r="O991" s="59"/>
      <c r="P991" s="59"/>
      <c r="Q991" s="59"/>
    </row>
    <row r="992" spans="2:17" outlineLevel="1" x14ac:dyDescent="0.2">
      <c r="B992" s="59"/>
      <c r="C992" s="59"/>
      <c r="D992" s="59"/>
      <c r="E992" s="59"/>
      <c r="F992" s="59"/>
      <c r="G992" s="59"/>
      <c r="H992" s="541"/>
      <c r="I992" s="617">
        <f t="shared" si="15"/>
        <v>0</v>
      </c>
      <c r="J992" s="59"/>
      <c r="K992" s="59"/>
      <c r="L992" s="59"/>
      <c r="M992" s="59"/>
      <c r="N992" s="59"/>
      <c r="O992" s="59"/>
      <c r="P992" s="59"/>
      <c r="Q992" s="59"/>
    </row>
    <row r="993" spans="2:17" outlineLevel="1" x14ac:dyDescent="0.2">
      <c r="B993" s="59"/>
      <c r="C993" s="59"/>
      <c r="D993" s="59"/>
      <c r="E993" s="59"/>
      <c r="F993" s="59"/>
      <c r="G993" s="59"/>
      <c r="H993" s="541"/>
      <c r="I993" s="617">
        <f t="shared" si="15"/>
        <v>0</v>
      </c>
      <c r="J993" s="59"/>
      <c r="K993" s="59"/>
      <c r="L993" s="59"/>
      <c r="M993" s="59"/>
      <c r="N993" s="59"/>
      <c r="O993" s="59"/>
      <c r="P993" s="59"/>
      <c r="Q993" s="59"/>
    </row>
    <row r="994" spans="2:17" outlineLevel="1" x14ac:dyDescent="0.2">
      <c r="B994" s="59"/>
      <c r="C994" s="59"/>
      <c r="D994" s="59"/>
      <c r="E994" s="59"/>
      <c r="F994" s="59"/>
      <c r="G994" s="59"/>
      <c r="H994" s="541"/>
      <c r="I994" s="617">
        <f t="shared" si="15"/>
        <v>0</v>
      </c>
      <c r="J994" s="59"/>
      <c r="K994" s="59"/>
      <c r="L994" s="59"/>
      <c r="M994" s="59"/>
      <c r="N994" s="59"/>
      <c r="O994" s="59"/>
      <c r="P994" s="59"/>
      <c r="Q994" s="59"/>
    </row>
    <row r="995" spans="2:17" outlineLevel="1" x14ac:dyDescent="0.2">
      <c r="B995" s="59"/>
      <c r="C995" s="59"/>
      <c r="D995" s="59"/>
      <c r="E995" s="59"/>
      <c r="F995" s="59"/>
      <c r="G995" s="59"/>
      <c r="H995" s="541"/>
      <c r="I995" s="617">
        <f t="shared" si="15"/>
        <v>0</v>
      </c>
      <c r="J995" s="59"/>
      <c r="K995" s="59"/>
      <c r="L995" s="59"/>
      <c r="M995" s="59"/>
      <c r="N995" s="59"/>
      <c r="O995" s="59"/>
      <c r="P995" s="59"/>
      <c r="Q995" s="59"/>
    </row>
    <row r="996" spans="2:17" outlineLevel="1" x14ac:dyDescent="0.2">
      <c r="B996" s="59"/>
      <c r="C996" s="59"/>
      <c r="D996" s="59"/>
      <c r="E996" s="59"/>
      <c r="F996" s="59"/>
      <c r="G996" s="59"/>
      <c r="H996" s="541"/>
      <c r="I996" s="617">
        <f t="shared" si="15"/>
        <v>0</v>
      </c>
      <c r="J996" s="59"/>
      <c r="K996" s="59"/>
      <c r="L996" s="59"/>
      <c r="M996" s="59"/>
      <c r="N996" s="59"/>
      <c r="O996" s="59"/>
      <c r="P996" s="59"/>
      <c r="Q996" s="59"/>
    </row>
    <row r="997" spans="2:17" outlineLevel="1" x14ac:dyDescent="0.2">
      <c r="B997" s="59"/>
      <c r="C997" s="59"/>
      <c r="D997" s="59"/>
      <c r="E997" s="59"/>
      <c r="F997" s="59"/>
      <c r="G997" s="59"/>
      <c r="H997" s="541"/>
      <c r="I997" s="617">
        <f t="shared" si="15"/>
        <v>0</v>
      </c>
      <c r="J997" s="59"/>
      <c r="K997" s="59"/>
      <c r="L997" s="59"/>
      <c r="M997" s="59"/>
      <c r="N997" s="59"/>
      <c r="O997" s="59"/>
      <c r="P997" s="59"/>
      <c r="Q997" s="59"/>
    </row>
    <row r="998" spans="2:17" outlineLevel="1" x14ac:dyDescent="0.2">
      <c r="B998" s="59"/>
      <c r="C998" s="59"/>
      <c r="D998" s="59"/>
      <c r="E998" s="59"/>
      <c r="F998" s="59"/>
      <c r="G998" s="59"/>
      <c r="H998" s="541"/>
      <c r="I998" s="617">
        <f t="shared" si="15"/>
        <v>0</v>
      </c>
      <c r="J998" s="59"/>
      <c r="K998" s="59"/>
      <c r="L998" s="59"/>
      <c r="M998" s="59"/>
      <c r="N998" s="59"/>
      <c r="O998" s="59"/>
      <c r="P998" s="59"/>
      <c r="Q998" s="59"/>
    </row>
    <row r="999" spans="2:17" outlineLevel="1" x14ac:dyDescent="0.2">
      <c r="B999" s="59"/>
      <c r="C999" s="59"/>
      <c r="D999" s="59"/>
      <c r="E999" s="59"/>
      <c r="F999" s="59"/>
      <c r="G999" s="59"/>
      <c r="H999" s="541"/>
      <c r="I999" s="617">
        <f t="shared" si="15"/>
        <v>0</v>
      </c>
      <c r="J999" s="59"/>
      <c r="K999" s="59"/>
      <c r="L999" s="59"/>
      <c r="M999" s="59"/>
      <c r="N999" s="59"/>
      <c r="O999" s="59"/>
      <c r="P999" s="59"/>
      <c r="Q999" s="59"/>
    </row>
    <row r="1000" spans="2:17" outlineLevel="1" x14ac:dyDescent="0.2">
      <c r="B1000" s="59"/>
      <c r="C1000" s="59"/>
      <c r="D1000" s="59"/>
      <c r="E1000" s="59"/>
      <c r="F1000" s="59"/>
      <c r="G1000" s="59"/>
      <c r="H1000" s="541"/>
      <c r="I1000" s="617">
        <f t="shared" si="15"/>
        <v>0</v>
      </c>
      <c r="J1000" s="59"/>
      <c r="K1000" s="59"/>
      <c r="L1000" s="59"/>
      <c r="M1000" s="59"/>
      <c r="N1000" s="59"/>
      <c r="O1000" s="59"/>
      <c r="P1000" s="59"/>
      <c r="Q1000" s="59"/>
    </row>
    <row r="1001" spans="2:17" x14ac:dyDescent="0.2">
      <c r="H1001" s="534"/>
      <c r="I1001" s="534"/>
    </row>
    <row r="1002" spans="2:17" x14ac:dyDescent="0.2">
      <c r="E1002" s="57" t="s">
        <v>628</v>
      </c>
      <c r="H1002" s="534"/>
      <c r="I1002" s="463">
        <f>SUM(I4:I1000)</f>
        <v>4725402.1520000016</v>
      </c>
    </row>
    <row r="1003" spans="2:17" x14ac:dyDescent="0.2">
      <c r="E1003" s="84" t="s">
        <v>632</v>
      </c>
      <c r="H1003" s="534"/>
      <c r="I1003" s="538">
        <f>I1002-I1008-I1014</f>
        <v>0</v>
      </c>
    </row>
    <row r="1004" spans="2:17" outlineLevel="1" x14ac:dyDescent="0.2">
      <c r="B1004" s="137" t="str">
        <f>IN_Anagrafica!$B$1</f>
        <v>AGESP</v>
      </c>
      <c r="D1004" s="378">
        <v>2024</v>
      </c>
      <c r="E1004" s="378" t="s">
        <v>633</v>
      </c>
      <c r="I1004" s="537">
        <f>SUMIFS($I$4:$I$1000,$E$4:$E$1000,E1004,$D$4:$D$1000,D1004)</f>
        <v>2347568.4260000009</v>
      </c>
    </row>
    <row r="1005" spans="2:17" outlineLevel="1" x14ac:dyDescent="0.2">
      <c r="B1005" s="137" t="str">
        <f>IN_Anagrafica!$B$1</f>
        <v>AGESP</v>
      </c>
      <c r="D1005" s="378">
        <v>2024</v>
      </c>
      <c r="E1005" s="378" t="s">
        <v>629</v>
      </c>
      <c r="I1005" s="537">
        <f t="shared" ref="I1005:I1007" si="16">SUMIFS($I$4:$I$1000,$E$4:$E$1000,E1005,$D$4:$D$1000,D1005)</f>
        <v>0</v>
      </c>
    </row>
    <row r="1006" spans="2:17" outlineLevel="1" x14ac:dyDescent="0.2">
      <c r="B1006" s="137" t="str">
        <f>IN_Anagrafica!$B$1</f>
        <v>AGESP</v>
      </c>
      <c r="D1006" s="378">
        <v>2024</v>
      </c>
      <c r="E1006" s="378" t="s">
        <v>630</v>
      </c>
      <c r="I1006" s="537">
        <f t="shared" si="16"/>
        <v>0</v>
      </c>
    </row>
    <row r="1007" spans="2:17" outlineLevel="1" x14ac:dyDescent="0.2">
      <c r="B1007" s="137" t="str">
        <f>IN_Anagrafica!$B$1</f>
        <v>AGESP</v>
      </c>
      <c r="D1007" s="378">
        <v>2024</v>
      </c>
      <c r="E1007" s="378" t="s">
        <v>631</v>
      </c>
      <c r="I1007" s="537">
        <f t="shared" si="16"/>
        <v>0</v>
      </c>
    </row>
    <row r="1008" spans="2:17" outlineLevel="1" x14ac:dyDescent="0.2">
      <c r="E1008" s="536" t="s">
        <v>1613</v>
      </c>
      <c r="I1008" s="535">
        <f>SUM(I1004:I1007)</f>
        <v>2347568.4260000009</v>
      </c>
    </row>
    <row r="1009" spans="2:9" outlineLevel="1" x14ac:dyDescent="0.2"/>
    <row r="1010" spans="2:9" outlineLevel="1" x14ac:dyDescent="0.2">
      <c r="B1010" s="137" t="str">
        <f>IN_Anagrafica!$B$1</f>
        <v>AGESP</v>
      </c>
      <c r="D1010" s="378">
        <v>2025</v>
      </c>
      <c r="E1010" s="378" t="s">
        <v>633</v>
      </c>
      <c r="I1010" s="537">
        <f>SUMIFS($I$4:$I$1000,$E$4:$E$1000,E1010,$D$4:$D$1000,D1010)</f>
        <v>2377767.426</v>
      </c>
    </row>
    <row r="1011" spans="2:9" outlineLevel="1" x14ac:dyDescent="0.2">
      <c r="B1011" s="137" t="str">
        <f>IN_Anagrafica!$B$1</f>
        <v>AGESP</v>
      </c>
      <c r="D1011" s="378">
        <v>2025</v>
      </c>
      <c r="E1011" s="378" t="s">
        <v>629</v>
      </c>
      <c r="I1011" s="537">
        <f t="shared" ref="I1011:I1013" si="17">SUMIFS($I$4:$I$1000,$E$4:$E$1000,E1011,$D$4:$D$1000,D1011)</f>
        <v>0</v>
      </c>
    </row>
    <row r="1012" spans="2:9" outlineLevel="1" x14ac:dyDescent="0.2">
      <c r="B1012" s="137" t="str">
        <f>IN_Anagrafica!$B$1</f>
        <v>AGESP</v>
      </c>
      <c r="D1012" s="378">
        <v>2025</v>
      </c>
      <c r="E1012" s="378" t="s">
        <v>630</v>
      </c>
      <c r="I1012" s="537">
        <f t="shared" si="17"/>
        <v>66.3</v>
      </c>
    </row>
    <row r="1013" spans="2:9" outlineLevel="1" x14ac:dyDescent="0.2">
      <c r="B1013" s="137" t="str">
        <f>IN_Anagrafica!$B$1</f>
        <v>AGESP</v>
      </c>
      <c r="D1013" s="378">
        <v>2025</v>
      </c>
      <c r="E1013" s="378" t="s">
        <v>631</v>
      </c>
      <c r="I1013" s="537">
        <f t="shared" si="17"/>
        <v>0</v>
      </c>
    </row>
    <row r="1014" spans="2:9" outlineLevel="1" x14ac:dyDescent="0.2">
      <c r="E1014" s="536" t="s">
        <v>1614</v>
      </c>
      <c r="I1014" s="535">
        <f>SUM(I1010:I1013)</f>
        <v>2377833.7259999998</v>
      </c>
    </row>
    <row r="1015" spans="2:9" outlineLevel="1" x14ac:dyDescent="0.2"/>
    <row r="1016" spans="2:9" outlineLevel="1" x14ac:dyDescent="0.2"/>
  </sheetData>
  <autoFilter ref="B3:Q1000" xr:uid="{B0A4668F-447F-46C7-926F-698E7FF4AA69}"/>
  <mergeCells count="2">
    <mergeCell ref="B1:H1"/>
    <mergeCell ref="B2:H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36E0C6F-7B0C-4620-8772-9C60D8C56137}">
          <x14:formula1>
            <xm:f>'Parametri MTR-3'!$C$60:$C$66</xm:f>
          </x14:formula1>
          <xm:sqref>J4:J1000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7C755C-6692-4685-BBC0-27209E637FC2}">
  <sheetPr codeName="Foglio13">
    <tabColor rgb="FFFFFFCC"/>
  </sheetPr>
  <dimension ref="A1:E117"/>
  <sheetViews>
    <sheetView showGridLines="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D58" sqref="D58"/>
    </sheetView>
  </sheetViews>
  <sheetFormatPr defaultColWidth="9.109375" defaultRowHeight="10.199999999999999" outlineLevelRow="1" x14ac:dyDescent="0.2"/>
  <cols>
    <col min="1" max="1" width="19.6640625" style="51" customWidth="1"/>
    <col min="2" max="2" width="56.88671875" style="51" customWidth="1"/>
    <col min="3" max="3" width="11.5546875" style="51" bestFit="1" customWidth="1"/>
    <col min="4" max="4" width="12.5546875" style="51" bestFit="1" customWidth="1"/>
    <col min="5" max="5" width="8.5546875" style="51" bestFit="1" customWidth="1"/>
    <col min="6" max="16384" width="9.109375" style="51"/>
  </cols>
  <sheetData>
    <row r="1" spans="1:5" x14ac:dyDescent="0.2">
      <c r="B1" s="454" t="s">
        <v>744</v>
      </c>
      <c r="C1" s="61"/>
      <c r="D1" s="61"/>
      <c r="E1" s="61"/>
    </row>
    <row r="3" spans="1:5" ht="20.399999999999999" x14ac:dyDescent="0.2">
      <c r="B3" s="461"/>
      <c r="C3" s="344" t="str">
        <f>Ambiti!B4</f>
        <v>BUSTO ARSIZIO</v>
      </c>
      <c r="D3" s="344" t="str">
        <f>Ambiti!C4</f>
        <v>FAGNANO OLONA</v>
      </c>
      <c r="E3" s="344" t="str">
        <f>Ambiti!D4</f>
        <v>VENEGONO SUPERIORE</v>
      </c>
    </row>
    <row r="5" spans="1:5" ht="11.4" x14ac:dyDescent="0.25">
      <c r="B5" s="454" t="s">
        <v>1702</v>
      </c>
    </row>
    <row r="6" spans="1:5" hidden="1" outlineLevel="1" x14ac:dyDescent="0.2">
      <c r="B6" s="79">
        <v>2026</v>
      </c>
    </row>
    <row r="7" spans="1:5" ht="11.4" hidden="1" outlineLevel="1" x14ac:dyDescent="0.25">
      <c r="A7" s="85" t="s">
        <v>1615</v>
      </c>
      <c r="B7" s="335" t="s">
        <v>1631</v>
      </c>
      <c r="C7" s="530">
        <f>SUMIFS(DB_IN_CTS_CTR_RC!$I$4:$I$1000,DB_IN_CTS_CTR_RC!$B$4:$B$1000,IN_Anagrafica!$B$1,DB_IN_CTS_CTR_RC!$E$4:$E$1000,"CTRmin",DB_IN_CTS_CTR_RC!$D$4:$D$1000,"2024",DB_IN_CTS_CTR_RC!$C$4:$C$1000,C$3)</f>
        <v>0</v>
      </c>
      <c r="D7" s="530">
        <f>SUMIFS(DB_IN_CTS_CTR_RC!$I$4:$I$1000,DB_IN_CTS_CTR_RC!$B$4:$B$1000,IN_Anagrafica!$B$1,DB_IN_CTS_CTR_RC!$E$4:$E$1000,"CTRmin",DB_IN_CTS_CTR_RC!$D$4:$D$1000,"2024",DB_IN_CTS_CTR_RC!$C$4:$C$1000,D$3)</f>
        <v>0</v>
      </c>
      <c r="E7" s="530">
        <f>SUMIFS(DB_IN_CTS_CTR_RC!$I$4:$I$1000,DB_IN_CTS_CTR_RC!$B$4:$B$1000,IN_Anagrafica!$B$1,DB_IN_CTS_CTR_RC!$E$4:$E$1000,"CTRmin",DB_IN_CTS_CTR_RC!$D$4:$D$1000,"2024",DB_IN_CTS_CTR_RC!$C$4:$C$1000,E$3)</f>
        <v>0</v>
      </c>
    </row>
    <row r="8" spans="1:5" ht="11.4" hidden="1" outlineLevel="1" x14ac:dyDescent="0.25">
      <c r="A8" s="85" t="s">
        <v>1616</v>
      </c>
      <c r="B8" s="55" t="s">
        <v>1632</v>
      </c>
      <c r="C8" s="619">
        <v>0</v>
      </c>
      <c r="D8" s="619">
        <v>0</v>
      </c>
      <c r="E8" s="619">
        <v>0</v>
      </c>
    </row>
    <row r="9" spans="1:5" ht="11.4" hidden="1" outlineLevel="1" x14ac:dyDescent="0.25">
      <c r="A9" s="85" t="s">
        <v>1615</v>
      </c>
      <c r="B9" s="335" t="s">
        <v>1633</v>
      </c>
      <c r="C9" s="531">
        <f>IFERROR((C7-C8)/C8,0)</f>
        <v>0</v>
      </c>
      <c r="D9" s="531">
        <f>IFERROR((D7-D8)/D8,0)</f>
        <v>0</v>
      </c>
      <c r="E9" s="531">
        <f>IFERROR((E7-E8)/E8,0)</f>
        <v>0</v>
      </c>
    </row>
    <row r="10" spans="1:5" ht="11.4" hidden="1" outlineLevel="1" x14ac:dyDescent="0.25">
      <c r="A10" s="85" t="s">
        <v>1643</v>
      </c>
      <c r="B10" s="335" t="s">
        <v>1673</v>
      </c>
      <c r="C10" s="530">
        <f>IF(ABS(C9)&gt;0.03,C7-C8,0)</f>
        <v>0</v>
      </c>
      <c r="D10" s="530">
        <f>IF(ABS(D9)&gt;0.03,D7-D8,0)</f>
        <v>0</v>
      </c>
      <c r="E10" s="530">
        <f>IF(ABS(E9)&gt;0.03,E7-E8,0)</f>
        <v>0</v>
      </c>
    </row>
    <row r="11" spans="1:5" hidden="1" outlineLevel="1" x14ac:dyDescent="0.2"/>
    <row r="12" spans="1:5" ht="11.4" hidden="1" outlineLevel="1" x14ac:dyDescent="0.25">
      <c r="A12" s="85" t="s">
        <v>1617</v>
      </c>
      <c r="B12" s="335" t="s">
        <v>1634</v>
      </c>
      <c r="C12" s="530">
        <f>SUMIFS(DB_IN_CTS_CTR_RC!$I$4:$I$1000,DB_IN_CTS_CTR_RC!$B$4:$B$1000,"COMUNE",DB_IN_CTS_CTR_RC!$E$4:$E$1000,"CTRmin",DB_IN_CTS_CTR_RC!$D$4:$D$1000,"2024",DB_IN_CTS_CTR_RC!$C$4:$C$1000,C$3)</f>
        <v>0</v>
      </c>
      <c r="D12" s="530">
        <f>SUMIFS(DB_IN_CTS_CTR_RC!$I$4:$I$1000,DB_IN_CTS_CTR_RC!$B$4:$B$1000,"COMUNE",DB_IN_CTS_CTR_RC!$E$4:$E$1000,"CTRmin",DB_IN_CTS_CTR_RC!$D$4:$D$1000,"2024",DB_IN_CTS_CTR_RC!$C$4:$C$1000,D$3)</f>
        <v>0</v>
      </c>
      <c r="E12" s="530">
        <f>SUMIFS(DB_IN_CTS_CTR_RC!$I$4:$I$1000,DB_IN_CTS_CTR_RC!$B$4:$B$1000,"COMUNE",DB_IN_CTS_CTR_RC!$E$4:$E$1000,"CTRmin",DB_IN_CTS_CTR_RC!$D$4:$D$1000,"2024",DB_IN_CTS_CTR_RC!$C$4:$C$1000,E$3)</f>
        <v>0</v>
      </c>
    </row>
    <row r="13" spans="1:5" ht="11.4" hidden="1" outlineLevel="1" x14ac:dyDescent="0.25">
      <c r="A13" s="85" t="s">
        <v>1618</v>
      </c>
      <c r="B13" s="55" t="s">
        <v>1635</v>
      </c>
      <c r="C13" s="619">
        <v>0</v>
      </c>
      <c r="D13" s="619">
        <v>0</v>
      </c>
      <c r="E13" s="619">
        <v>0</v>
      </c>
    </row>
    <row r="14" spans="1:5" ht="11.4" hidden="1" outlineLevel="1" x14ac:dyDescent="0.25">
      <c r="A14" s="85" t="s">
        <v>1617</v>
      </c>
      <c r="B14" s="335" t="s">
        <v>1636</v>
      </c>
      <c r="C14" s="531">
        <f>IFERROR((C12-C13)/C13,0)</f>
        <v>0</v>
      </c>
      <c r="D14" s="531">
        <f>IFERROR((D12-D13)/D13,0)</f>
        <v>0</v>
      </c>
      <c r="E14" s="531">
        <f>IFERROR((E12-E13)/E13,0)</f>
        <v>0</v>
      </c>
    </row>
    <row r="15" spans="1:5" ht="11.4" hidden="1" outlineLevel="1" x14ac:dyDescent="0.25">
      <c r="A15" s="85" t="s">
        <v>1644</v>
      </c>
      <c r="B15" s="335" t="s">
        <v>1674</v>
      </c>
      <c r="C15" s="530">
        <f>IF(ABS(C14)&gt;0.03,C12-C13,0)</f>
        <v>0</v>
      </c>
      <c r="D15" s="530">
        <f>IF(ABS(D14)&gt;0.03,D12-D13,0)</f>
        <v>0</v>
      </c>
      <c r="E15" s="530">
        <f>IF(ABS(E14)&gt;0.03,E12-E13,0)</f>
        <v>0</v>
      </c>
    </row>
    <row r="16" spans="1:5" hidden="1" outlineLevel="1" x14ac:dyDescent="0.2"/>
    <row r="17" spans="1:5" ht="11.4" hidden="1" outlineLevel="1" x14ac:dyDescent="0.25">
      <c r="A17" s="85" t="s">
        <v>1619</v>
      </c>
      <c r="B17" s="335" t="s">
        <v>1637</v>
      </c>
      <c r="C17" s="530">
        <f>SUMIFS(DB_IN_CTS_CTR_RC!$I$4:$I$1000,DB_IN_CTS_CTR_RC!$B$4:$B$1000,IN_Anagrafica!$B$1,DB_IN_CTS_CTR_RC!$E$4:$E$1000,"CTSmin",DB_IN_CTS_CTR_RC!$D$4:$D$1000,"2024",DB_IN_CTS_CTR_RC!$C$4:$C$1000,C$3)</f>
        <v>0</v>
      </c>
      <c r="D17" s="530">
        <f>SUMIFS(DB_IN_CTS_CTR_RC!$I$4:$I$1000,DB_IN_CTS_CTR_RC!$B$4:$B$1000,IN_Anagrafica!$B$1,DB_IN_CTS_CTR_RC!$E$4:$E$1000,"CTSmin",DB_IN_CTS_CTR_RC!$D$4:$D$1000,"2024",DB_IN_CTS_CTR_RC!$C$4:$C$1000,D$3)</f>
        <v>0</v>
      </c>
      <c r="E17" s="530">
        <f>SUMIFS(DB_IN_CTS_CTR_RC!$I$4:$I$1000,DB_IN_CTS_CTR_RC!$B$4:$B$1000,IN_Anagrafica!$B$1,DB_IN_CTS_CTR_RC!$E$4:$E$1000,"CTSmin",DB_IN_CTS_CTR_RC!$D$4:$D$1000,"2024",DB_IN_CTS_CTR_RC!$C$4:$C$1000,E$3)</f>
        <v>0</v>
      </c>
    </row>
    <row r="18" spans="1:5" ht="11.4" hidden="1" outlineLevel="1" x14ac:dyDescent="0.25">
      <c r="A18" s="85" t="s">
        <v>1620</v>
      </c>
      <c r="B18" s="55" t="s">
        <v>1638</v>
      </c>
      <c r="C18" s="619">
        <v>0</v>
      </c>
      <c r="D18" s="619">
        <v>0</v>
      </c>
      <c r="E18" s="619">
        <v>0</v>
      </c>
    </row>
    <row r="19" spans="1:5" ht="11.4" hidden="1" outlineLevel="1" x14ac:dyDescent="0.25">
      <c r="A19" s="85" t="s">
        <v>1619</v>
      </c>
      <c r="B19" s="335" t="s">
        <v>1639</v>
      </c>
      <c r="C19" s="531">
        <f>IFERROR((C17-C18)/C18,0)</f>
        <v>0</v>
      </c>
      <c r="D19" s="531">
        <f>IFERROR((D17-D18)/D18,0)</f>
        <v>0</v>
      </c>
      <c r="E19" s="531">
        <f>IFERROR((E17-E18)/E18,0)</f>
        <v>0</v>
      </c>
    </row>
    <row r="20" spans="1:5" ht="11.4" hidden="1" outlineLevel="1" x14ac:dyDescent="0.25">
      <c r="A20" s="85" t="s">
        <v>1645</v>
      </c>
      <c r="B20" s="335" t="s">
        <v>1675</v>
      </c>
      <c r="C20" s="530">
        <f>IF(ABS(C19)&gt;0.03,C17-C18,0)</f>
        <v>0</v>
      </c>
      <c r="D20" s="530">
        <f>IF(ABS(D19)&gt;0.03,D17-D18,0)</f>
        <v>0</v>
      </c>
      <c r="E20" s="530">
        <f>IF(ABS(E19)&gt;0.03,E17-E18,0)</f>
        <v>0</v>
      </c>
    </row>
    <row r="21" spans="1:5" hidden="1" outlineLevel="1" x14ac:dyDescent="0.2"/>
    <row r="22" spans="1:5" ht="11.4" hidden="1" outlineLevel="1" x14ac:dyDescent="0.25">
      <c r="A22" s="85" t="s">
        <v>1621</v>
      </c>
      <c r="B22" s="335" t="s">
        <v>1640</v>
      </c>
      <c r="C22" s="530">
        <f>SUMIFS(DB_IN_CTS_CTR_RC!$I$4:$I$1000,DB_IN_CTS_CTR_RC!$B$4:$B$1000,"COMUNE",DB_IN_CTS_CTR_RC!$E$4:$E$1000,"CTSmin",DB_IN_CTS_CTR_RC!$D$4:$D$1000,"2024",DB_IN_CTS_CTR_RC!$C$4:$C$1000,C$3)</f>
        <v>0</v>
      </c>
      <c r="D22" s="530">
        <f>SUMIFS(DB_IN_CTS_CTR_RC!$I$4:$I$1000,DB_IN_CTS_CTR_RC!$B$4:$B$1000,"COMUNE",DB_IN_CTS_CTR_RC!$E$4:$E$1000,"CTSmin",DB_IN_CTS_CTR_RC!$D$4:$D$1000,"2024",DB_IN_CTS_CTR_RC!$C$4:$C$1000,D$3)</f>
        <v>0</v>
      </c>
      <c r="E22" s="530">
        <f>SUMIFS(DB_IN_CTS_CTR_RC!$I$4:$I$1000,DB_IN_CTS_CTR_RC!$B$4:$B$1000,"COMUNE",DB_IN_CTS_CTR_RC!$E$4:$E$1000,"CTSmin",DB_IN_CTS_CTR_RC!$D$4:$D$1000,"2024",DB_IN_CTS_CTR_RC!$C$4:$C$1000,E$3)</f>
        <v>0</v>
      </c>
    </row>
    <row r="23" spans="1:5" ht="11.4" hidden="1" outlineLevel="1" x14ac:dyDescent="0.25">
      <c r="A23" s="85" t="s">
        <v>1622</v>
      </c>
      <c r="B23" s="55" t="s">
        <v>617</v>
      </c>
      <c r="C23" s="619">
        <v>0</v>
      </c>
      <c r="D23" s="619">
        <v>0</v>
      </c>
      <c r="E23" s="619">
        <v>0</v>
      </c>
    </row>
    <row r="24" spans="1:5" ht="11.4" hidden="1" outlineLevel="1" x14ac:dyDescent="0.25">
      <c r="A24" s="85" t="s">
        <v>1621</v>
      </c>
      <c r="B24" s="335" t="s">
        <v>1641</v>
      </c>
      <c r="C24" s="531">
        <f>IFERROR((C22-C23)/C23,0)</f>
        <v>0</v>
      </c>
      <c r="D24" s="531">
        <f>IFERROR((D22-D23)/D23,0)</f>
        <v>0</v>
      </c>
      <c r="E24" s="531">
        <f>IFERROR((E22-E23)/E23,0)</f>
        <v>0</v>
      </c>
    </row>
    <row r="25" spans="1:5" ht="11.4" hidden="1" outlineLevel="1" x14ac:dyDescent="0.25">
      <c r="A25" s="85" t="s">
        <v>1646</v>
      </c>
      <c r="B25" s="335" t="s">
        <v>1676</v>
      </c>
      <c r="C25" s="530">
        <f>IF(ABS(C24)&gt;0.03,C22-C23,0)</f>
        <v>0</v>
      </c>
      <c r="D25" s="530">
        <f>IF(ABS(D24)&gt;0.03,D22-D23,0)</f>
        <v>0</v>
      </c>
      <c r="E25" s="530">
        <f>IF(ABS(E24)&gt;0.03,E22-E23,0)</f>
        <v>0</v>
      </c>
    </row>
    <row r="26" spans="1:5" hidden="1" outlineLevel="1" x14ac:dyDescent="0.2"/>
    <row r="27" spans="1:5" ht="11.4" hidden="1" outlineLevel="1" x14ac:dyDescent="0.25">
      <c r="A27" s="85" t="s">
        <v>1647</v>
      </c>
      <c r="B27" s="335" t="s">
        <v>1675</v>
      </c>
      <c r="C27" s="532">
        <f>C10+C20</f>
        <v>0</v>
      </c>
      <c r="D27" s="532">
        <f>D10+D20</f>
        <v>0</v>
      </c>
      <c r="E27" s="532">
        <f>E10+E20</f>
        <v>0</v>
      </c>
    </row>
    <row r="28" spans="1:5" ht="11.4" hidden="1" outlineLevel="1" x14ac:dyDescent="0.25">
      <c r="A28" s="85" t="s">
        <v>1648</v>
      </c>
      <c r="B28" s="335" t="s">
        <v>1676</v>
      </c>
      <c r="C28" s="532">
        <f>C15+C25</f>
        <v>0</v>
      </c>
      <c r="D28" s="532">
        <f>D15+D25</f>
        <v>0</v>
      </c>
      <c r="E28" s="532">
        <f>E15+E25</f>
        <v>0</v>
      </c>
    </row>
    <row r="29" spans="1:5" hidden="1" outlineLevel="1" x14ac:dyDescent="0.2">
      <c r="A29" s="85"/>
      <c r="B29" s="82"/>
      <c r="C29" s="539"/>
      <c r="D29" s="539"/>
      <c r="E29" s="539"/>
    </row>
    <row r="30" spans="1:5" hidden="1" outlineLevel="1" x14ac:dyDescent="0.2">
      <c r="B30" s="79">
        <v>2027</v>
      </c>
    </row>
    <row r="31" spans="1:5" ht="11.4" hidden="1" outlineLevel="1" x14ac:dyDescent="0.25">
      <c r="A31" s="85" t="s">
        <v>1623</v>
      </c>
      <c r="B31" s="335" t="s">
        <v>1656</v>
      </c>
      <c r="C31" s="530">
        <f>SUMIFS(DB_IN_CTS_CTR_RC!$I$4:$I$1000,DB_IN_CTS_CTR_RC!$B$4:$B$1000,IN_Anagrafica!$B$1,DB_IN_CTS_CTR_RC!$E$4:$E$1000,"CTRmin",DB_IN_CTS_CTR_RC!$D$4:$D$1000,"2025",DB_IN_CTS_CTR_RC!$C$4:$C$1000,C$3)</f>
        <v>0</v>
      </c>
      <c r="D31" s="530">
        <f>SUMIFS(DB_IN_CTS_CTR_RC!$I$4:$I$1000,DB_IN_CTS_CTR_RC!$B$4:$B$1000,IN_Anagrafica!$B$1,DB_IN_CTS_CTR_RC!$E$4:$E$1000,"CTRmin",DB_IN_CTS_CTR_RC!$D$4:$D$1000,"2025",DB_IN_CTS_CTR_RC!$C$4:$C$1000,D$3)</f>
        <v>0</v>
      </c>
      <c r="E31" s="530">
        <f>SUMIFS(DB_IN_CTS_CTR_RC!$I$4:$I$1000,DB_IN_CTS_CTR_RC!$B$4:$B$1000,IN_Anagrafica!$B$1,DB_IN_CTS_CTR_RC!$E$4:$E$1000,"CTRmin",DB_IN_CTS_CTR_RC!$D$4:$D$1000,"2025",DB_IN_CTS_CTR_RC!$C$4:$C$1000,E$3)</f>
        <v>0</v>
      </c>
    </row>
    <row r="32" spans="1:5" ht="11.4" hidden="1" outlineLevel="1" x14ac:dyDescent="0.25">
      <c r="A32" s="85" t="s">
        <v>1624</v>
      </c>
      <c r="B32" s="55" t="s">
        <v>1657</v>
      </c>
      <c r="C32" s="619">
        <v>0</v>
      </c>
      <c r="D32" s="619">
        <v>0</v>
      </c>
      <c r="E32" s="619">
        <v>0</v>
      </c>
    </row>
    <row r="33" spans="1:5" ht="11.4" hidden="1" outlineLevel="1" x14ac:dyDescent="0.25">
      <c r="A33" s="85" t="s">
        <v>1623</v>
      </c>
      <c r="B33" s="335" t="s">
        <v>1658</v>
      </c>
      <c r="C33" s="531">
        <f>IFERROR((C31-C32)/C32,0)</f>
        <v>0</v>
      </c>
      <c r="D33" s="531">
        <f>IFERROR((D31-D32)/D32,0)</f>
        <v>0</v>
      </c>
      <c r="E33" s="531">
        <f>IFERROR((E31-E32)/E32,0)</f>
        <v>0</v>
      </c>
    </row>
    <row r="34" spans="1:5" ht="11.4" hidden="1" outlineLevel="1" x14ac:dyDescent="0.25">
      <c r="A34" s="85" t="s">
        <v>1650</v>
      </c>
      <c r="B34" s="335" t="s">
        <v>1669</v>
      </c>
      <c r="C34" s="530">
        <f>IF(ABS(C33)&gt;0.03,C31-C32,0)</f>
        <v>0</v>
      </c>
      <c r="D34" s="530">
        <f>IF(ABS(D33)&gt;0.03,D31-D32,0)</f>
        <v>0</v>
      </c>
      <c r="E34" s="530">
        <f>IF(ABS(E33)&gt;0.03,E31-E32,0)</f>
        <v>0</v>
      </c>
    </row>
    <row r="35" spans="1:5" hidden="1" outlineLevel="1" x14ac:dyDescent="0.2"/>
    <row r="36" spans="1:5" ht="11.4" hidden="1" outlineLevel="1" x14ac:dyDescent="0.25">
      <c r="A36" s="85" t="s">
        <v>1625</v>
      </c>
      <c r="B36" s="335" t="s">
        <v>1659</v>
      </c>
      <c r="C36" s="530">
        <f>SUMIFS(DB_IN_CTS_CTR_RC!$I$4:$I$1000,DB_IN_CTS_CTR_RC!$B$4:$B$1000,"COMUNE",DB_IN_CTS_CTR_RC!$E$4:$E$1000,"CTRmin",DB_IN_CTS_CTR_RC!$D$4:$D$1000,"2025",DB_IN_CTS_CTR_RC!$C$4:$C$1000,C$3)</f>
        <v>0</v>
      </c>
      <c r="D36" s="530">
        <f>SUMIFS(DB_IN_CTS_CTR_RC!$I$4:$I$1000,DB_IN_CTS_CTR_RC!$B$4:$B$1000,"COMUNE",DB_IN_CTS_CTR_RC!$E$4:$E$1000,"CTRmin",DB_IN_CTS_CTR_RC!$D$4:$D$1000,"2025",DB_IN_CTS_CTR_RC!$C$4:$C$1000,D$3)</f>
        <v>0</v>
      </c>
      <c r="E36" s="530">
        <f>SUMIFS(DB_IN_CTS_CTR_RC!$I$4:$I$1000,DB_IN_CTS_CTR_RC!$B$4:$B$1000,"COMUNE",DB_IN_CTS_CTR_RC!$E$4:$E$1000,"CTRmin",DB_IN_CTS_CTR_RC!$D$4:$D$1000,"2025",DB_IN_CTS_CTR_RC!$C$4:$C$1000,E$3)</f>
        <v>0</v>
      </c>
    </row>
    <row r="37" spans="1:5" ht="11.4" hidden="1" outlineLevel="1" x14ac:dyDescent="0.25">
      <c r="A37" s="85" t="s">
        <v>1626</v>
      </c>
      <c r="B37" s="55" t="s">
        <v>1660</v>
      </c>
      <c r="C37" s="619">
        <v>0</v>
      </c>
      <c r="D37" s="619">
        <v>0</v>
      </c>
      <c r="E37" s="619">
        <v>0</v>
      </c>
    </row>
    <row r="38" spans="1:5" ht="11.4" hidden="1" outlineLevel="1" x14ac:dyDescent="0.25">
      <c r="A38" s="85" t="s">
        <v>1625</v>
      </c>
      <c r="B38" s="335" t="s">
        <v>1661</v>
      </c>
      <c r="C38" s="531">
        <f>IFERROR((C36-C37)/C37,0)</f>
        <v>0</v>
      </c>
      <c r="D38" s="531">
        <f>IFERROR((D36-D37)/D37,0)</f>
        <v>0</v>
      </c>
      <c r="E38" s="531">
        <f>IFERROR((E36-E37)/E37,0)</f>
        <v>0</v>
      </c>
    </row>
    <row r="39" spans="1:5" ht="11.4" hidden="1" outlineLevel="1" x14ac:dyDescent="0.25">
      <c r="A39" s="85" t="s">
        <v>1651</v>
      </c>
      <c r="B39" s="335" t="s">
        <v>1670</v>
      </c>
      <c r="C39" s="530">
        <f>IF(ABS(C38)&gt;0.03,C36-C37,0)</f>
        <v>0</v>
      </c>
      <c r="D39" s="530">
        <f>IF(ABS(D38)&gt;0.03,D36-D37,0)</f>
        <v>0</v>
      </c>
      <c r="E39" s="530">
        <f>IF(ABS(E38)&gt;0.03,E36-E37,0)</f>
        <v>0</v>
      </c>
    </row>
    <row r="40" spans="1:5" hidden="1" outlineLevel="1" x14ac:dyDescent="0.2"/>
    <row r="41" spans="1:5" ht="11.4" hidden="1" outlineLevel="1" x14ac:dyDescent="0.25">
      <c r="A41" s="85" t="s">
        <v>1627</v>
      </c>
      <c r="B41" s="335" t="s">
        <v>1662</v>
      </c>
      <c r="C41" s="530">
        <f>SUMIFS(DB_IN_CTS_CTR_RC!$I$4:$I$1000,DB_IN_CTS_CTR_RC!$B$4:$B$1000,IN_Anagrafica!$B$1,DB_IN_CTS_CTR_RC!$E$4:$E$1000,"CTSmin",DB_IN_CTS_CTR_RC!$D$4:$D$1000,"2025",DB_IN_CTS_CTR_RC!$C$4:$C$1000,C$3)</f>
        <v>0</v>
      </c>
      <c r="D41" s="530">
        <f>SUMIFS(DB_IN_CTS_CTR_RC!$I$4:$I$1000,DB_IN_CTS_CTR_RC!$B$4:$B$1000,IN_Anagrafica!$B$1,DB_IN_CTS_CTR_RC!$E$4:$E$1000,"CTSmin",DB_IN_CTS_CTR_RC!$D$4:$D$1000,"2025",DB_IN_CTS_CTR_RC!$C$4:$C$1000,D$3)</f>
        <v>0</v>
      </c>
      <c r="E41" s="530">
        <f>SUMIFS(DB_IN_CTS_CTR_RC!$I$4:$I$1000,DB_IN_CTS_CTR_RC!$B$4:$B$1000,IN_Anagrafica!$B$1,DB_IN_CTS_CTR_RC!$E$4:$E$1000,"CTSmin",DB_IN_CTS_CTR_RC!$D$4:$D$1000,"2025",DB_IN_CTS_CTR_RC!$C$4:$C$1000,E$3)</f>
        <v>0</v>
      </c>
    </row>
    <row r="42" spans="1:5" ht="11.4" hidden="1" outlineLevel="1" x14ac:dyDescent="0.25">
      <c r="A42" s="85" t="s">
        <v>1628</v>
      </c>
      <c r="B42" s="55" t="s">
        <v>1663</v>
      </c>
      <c r="C42" s="619">
        <v>0</v>
      </c>
      <c r="D42" s="619">
        <v>0</v>
      </c>
      <c r="E42" s="619">
        <v>0</v>
      </c>
    </row>
    <row r="43" spans="1:5" ht="11.4" hidden="1" outlineLevel="1" x14ac:dyDescent="0.25">
      <c r="A43" s="85" t="s">
        <v>1627</v>
      </c>
      <c r="B43" s="335" t="s">
        <v>1664</v>
      </c>
      <c r="C43" s="531">
        <f>IFERROR((C41-C42)/C42,0)</f>
        <v>0</v>
      </c>
      <c r="D43" s="531">
        <f>IFERROR((D41-D42)/D42,0)</f>
        <v>0</v>
      </c>
      <c r="E43" s="531">
        <f>IFERROR((E41-E42)/E42,0)</f>
        <v>0</v>
      </c>
    </row>
    <row r="44" spans="1:5" ht="11.4" hidden="1" outlineLevel="1" x14ac:dyDescent="0.25">
      <c r="A44" s="85" t="s">
        <v>1652</v>
      </c>
      <c r="B44" s="335" t="s">
        <v>1671</v>
      </c>
      <c r="C44" s="530">
        <f>IF(ABS(C43)&gt;0.03,C41-C42,0)</f>
        <v>0</v>
      </c>
      <c r="D44" s="530">
        <f>IF(ABS(D43)&gt;0.03,D41-D42,0)</f>
        <v>0</v>
      </c>
      <c r="E44" s="530">
        <f>IF(ABS(E43)&gt;0.03,E41-E42,0)</f>
        <v>0</v>
      </c>
    </row>
    <row r="45" spans="1:5" hidden="1" outlineLevel="1" x14ac:dyDescent="0.2"/>
    <row r="46" spans="1:5" ht="11.4" hidden="1" outlineLevel="1" x14ac:dyDescent="0.25">
      <c r="A46" s="85" t="s">
        <v>1629</v>
      </c>
      <c r="B46" s="335" t="s">
        <v>1665</v>
      </c>
      <c r="C46" s="530">
        <f>SUMIFS(DB_IN_CTS_CTR_RC!$I$4:$I$1000,DB_IN_CTS_CTR_RC!$B$4:$B$1000,"COMUNE",DB_IN_CTS_CTR_RC!$E$4:$E$1000,"CTSmin",DB_IN_CTS_CTR_RC!$D$4:$D$1000,"2025",DB_IN_CTS_CTR_RC!$C$4:$C$1000,C$3)</f>
        <v>0</v>
      </c>
      <c r="D46" s="530">
        <f>SUMIFS(DB_IN_CTS_CTR_RC!$I$4:$I$1000,DB_IN_CTS_CTR_RC!$B$4:$B$1000,"COMUNE",DB_IN_CTS_CTR_RC!$E$4:$E$1000,"CTSmin",DB_IN_CTS_CTR_RC!$D$4:$D$1000,"2025",DB_IN_CTS_CTR_RC!$C$4:$C$1000,D$3)</f>
        <v>0</v>
      </c>
      <c r="E46" s="530">
        <f>SUMIFS(DB_IN_CTS_CTR_RC!$I$4:$I$1000,DB_IN_CTS_CTR_RC!$B$4:$B$1000,"COMUNE",DB_IN_CTS_CTR_RC!$E$4:$E$1000,"CTSmin",DB_IN_CTS_CTR_RC!$D$4:$D$1000,"2025",DB_IN_CTS_CTR_RC!$C$4:$C$1000,E$3)</f>
        <v>0</v>
      </c>
    </row>
    <row r="47" spans="1:5" ht="11.4" hidden="1" outlineLevel="1" x14ac:dyDescent="0.25">
      <c r="A47" s="85" t="s">
        <v>1630</v>
      </c>
      <c r="B47" s="55" t="s">
        <v>1666</v>
      </c>
      <c r="C47" s="619">
        <v>0</v>
      </c>
      <c r="D47" s="619">
        <v>0</v>
      </c>
      <c r="E47" s="619">
        <v>0</v>
      </c>
    </row>
    <row r="48" spans="1:5" ht="11.4" hidden="1" outlineLevel="1" x14ac:dyDescent="0.25">
      <c r="A48" s="85" t="s">
        <v>1629</v>
      </c>
      <c r="B48" s="335" t="s">
        <v>1667</v>
      </c>
      <c r="C48" s="531">
        <f>IFERROR((C46-C47)/C47,0)</f>
        <v>0</v>
      </c>
      <c r="D48" s="531">
        <f>IFERROR((D46-D47)/D47,0)</f>
        <v>0</v>
      </c>
      <c r="E48" s="531">
        <f>IFERROR((E46-E47)/E47,0)</f>
        <v>0</v>
      </c>
    </row>
    <row r="49" spans="1:5" ht="11.4" hidden="1" outlineLevel="1" x14ac:dyDescent="0.25">
      <c r="A49" s="85" t="s">
        <v>1653</v>
      </c>
      <c r="B49" s="335" t="s">
        <v>1672</v>
      </c>
      <c r="C49" s="530">
        <f>IF(ABS(C48)&gt;0.03,C46-C47,0)</f>
        <v>0</v>
      </c>
      <c r="D49" s="530">
        <f>IF(ABS(D48)&gt;0.03,D46-D47,0)</f>
        <v>0</v>
      </c>
      <c r="E49" s="530">
        <f>IF(ABS(E48)&gt;0.03,E46-E47,0)</f>
        <v>0</v>
      </c>
    </row>
    <row r="50" spans="1:5" hidden="1" outlineLevel="1" x14ac:dyDescent="0.2"/>
    <row r="51" spans="1:5" ht="11.4" hidden="1" outlineLevel="1" x14ac:dyDescent="0.25">
      <c r="A51" s="85" t="s">
        <v>1654</v>
      </c>
      <c r="B51" s="335" t="s">
        <v>1671</v>
      </c>
      <c r="C51" s="532">
        <f>C34+C44</f>
        <v>0</v>
      </c>
      <c r="D51" s="532">
        <f>D34+D44</f>
        <v>0</v>
      </c>
      <c r="E51" s="532">
        <f>E34+E44</f>
        <v>0</v>
      </c>
    </row>
    <row r="52" spans="1:5" ht="11.4" hidden="1" outlineLevel="1" x14ac:dyDescent="0.25">
      <c r="A52" s="85" t="s">
        <v>1655</v>
      </c>
      <c r="B52" s="335" t="s">
        <v>1672</v>
      </c>
      <c r="C52" s="532">
        <f>C39+C49</f>
        <v>0</v>
      </c>
      <c r="D52" s="532">
        <f>D39+D49</f>
        <v>0</v>
      </c>
      <c r="E52" s="532">
        <f>E39+E49</f>
        <v>0</v>
      </c>
    </row>
    <row r="53" spans="1:5" collapsed="1" x14ac:dyDescent="0.2">
      <c r="A53" s="85"/>
      <c r="B53" s="82"/>
      <c r="C53" s="539"/>
      <c r="D53" s="539"/>
      <c r="E53" s="539"/>
    </row>
    <row r="54" spans="1:5" x14ac:dyDescent="0.2">
      <c r="B54" s="454" t="s">
        <v>1703</v>
      </c>
    </row>
    <row r="55" spans="1:5" outlineLevel="1" x14ac:dyDescent="0.2">
      <c r="B55" s="79">
        <v>2026</v>
      </c>
    </row>
    <row r="56" spans="1:5" ht="11.4" outlineLevel="1" x14ac:dyDescent="0.25">
      <c r="A56" s="85" t="s">
        <v>1616</v>
      </c>
      <c r="B56" s="209" t="s">
        <v>1680</v>
      </c>
      <c r="C56" s="1000">
        <f>C7</f>
        <v>0</v>
      </c>
      <c r="D56" s="1000">
        <f>D7</f>
        <v>0</v>
      </c>
      <c r="E56" s="1000">
        <f>E7</f>
        <v>0</v>
      </c>
    </row>
    <row r="57" spans="1:5" ht="11.4" outlineLevel="1" x14ac:dyDescent="0.25">
      <c r="A57" s="85" t="s">
        <v>1681</v>
      </c>
      <c r="B57" s="211" t="s">
        <v>1642</v>
      </c>
      <c r="C57" s="1001">
        <f>(SUMIFS(DB_IN_CTS_CTR_RC!$I$4:$I$1000,DB_IN_CTS_CTR_RC!$B$4:$B$1000,IN_Anagrafica!$B$1,DB_IN_CTS_CTR_RC!$E$4:$E$1000,"CTRaltro",DB_IN_CTS_CTR_RC!$D$4:$D$1000,"2024",DB_IN_CTS_CTR_RC!$C$4:$C$1000,C$3))</f>
        <v>1985469.6840000004</v>
      </c>
      <c r="D57" s="1001">
        <f>(SUMIFS(DB_IN_CTS_CTR_RC!$I$4:$I$1000,DB_IN_CTS_CTR_RC!$B$4:$B$1000,IN_Anagrafica!$B$1,DB_IN_CTS_CTR_RC!$E$4:$E$1000,"CTRaltro",DB_IN_CTS_CTR_RC!$D$4:$D$1000,"2024",DB_IN_CTS_CTR_RC!$C$4:$C$1000,D$3))</f>
        <v>362098.74199999997</v>
      </c>
      <c r="E57" s="1001">
        <f>(SUMIFS(DB_IN_CTS_CTR_RC!$I$4:$I$1000,DB_IN_CTS_CTR_RC!$B$4:$B$1000,IN_Anagrafica!$B$1,DB_IN_CTS_CTR_RC!$E$4:$E$1000,"CTRaltro",DB_IN_CTS_CTR_RC!$D$4:$D$1000,"2024",DB_IN_CTS_CTR_RC!$C$4:$C$1000,E$3))</f>
        <v>0</v>
      </c>
    </row>
    <row r="58" spans="1:5" ht="11.4" outlineLevel="1" x14ac:dyDescent="0.25">
      <c r="A58" s="35" t="s">
        <v>6972</v>
      </c>
      <c r="B58" s="88" t="s">
        <v>6997</v>
      </c>
      <c r="C58" s="629">
        <f>[2]Export_CO!B$21</f>
        <v>3115908.44</v>
      </c>
      <c r="D58" s="629">
        <f>[2]Export_CO!C$21</f>
        <v>546969.90999999992</v>
      </c>
      <c r="E58" s="629">
        <f>[2]Export_CO!D$21</f>
        <v>0</v>
      </c>
    </row>
    <row r="59" spans="1:5" ht="11.4" outlineLevel="1" x14ac:dyDescent="0.25">
      <c r="A59" s="85"/>
      <c r="B59" s="86" t="s">
        <v>6996</v>
      </c>
      <c r="C59" s="537">
        <f>C58-SUM(C56:C57)</f>
        <v>1130438.7559999996</v>
      </c>
      <c r="D59" s="537">
        <f>D58-SUM(D56:D57)</f>
        <v>184871.16799999995</v>
      </c>
      <c r="E59" s="537">
        <f>E58-SUM(E56:E57)</f>
        <v>0</v>
      </c>
    </row>
    <row r="60" spans="1:5" ht="12" customHeight="1" outlineLevel="1" x14ac:dyDescent="0.25">
      <c r="A60" s="85" t="s">
        <v>6984</v>
      </c>
      <c r="B60" s="620" t="s">
        <v>6976</v>
      </c>
      <c r="C60" s="541">
        <f>C59</f>
        <v>1130438.7559999996</v>
      </c>
      <c r="D60" s="541">
        <f t="shared" ref="D60:E60" si="0">D59</f>
        <v>184871.16799999995</v>
      </c>
      <c r="E60" s="541">
        <f t="shared" si="0"/>
        <v>0</v>
      </c>
    </row>
    <row r="61" spans="1:5" ht="11.4" outlineLevel="1" x14ac:dyDescent="0.25">
      <c r="A61" s="7" t="s">
        <v>469</v>
      </c>
      <c r="B61" s="56" t="s">
        <v>1682</v>
      </c>
      <c r="C61" s="463">
        <f>C56+C57+C60</f>
        <v>3115908.44</v>
      </c>
      <c r="D61" s="463">
        <f>D56+D57+D60</f>
        <v>546969.90999999992</v>
      </c>
      <c r="E61" s="463">
        <f>E56+E57+E60</f>
        <v>0</v>
      </c>
    </row>
    <row r="62" spans="1:5" outlineLevel="1" x14ac:dyDescent="0.2">
      <c r="A62" s="85"/>
      <c r="B62" s="82"/>
      <c r="C62" s="540" t="str">
        <f>IF(C60&gt;C59,"error","ok")</f>
        <v>ok</v>
      </c>
      <c r="D62" s="540" t="str">
        <f>IF(D60&gt;D59,"error","ok")</f>
        <v>ok</v>
      </c>
      <c r="E62" s="540" t="str">
        <f>IF(E60&gt;E59,"error","ok")</f>
        <v>ok</v>
      </c>
    </row>
    <row r="63" spans="1:5" outlineLevel="1" x14ac:dyDescent="0.2">
      <c r="A63" s="85"/>
      <c r="B63" s="82"/>
      <c r="C63" s="539"/>
      <c r="D63" s="539"/>
      <c r="E63" s="539"/>
    </row>
    <row r="64" spans="1:5" ht="11.4" outlineLevel="1" x14ac:dyDescent="0.25">
      <c r="A64" s="85" t="s">
        <v>1618</v>
      </c>
      <c r="B64" s="209" t="s">
        <v>1684</v>
      </c>
      <c r="C64" s="1000">
        <f>C12</f>
        <v>0</v>
      </c>
      <c r="D64" s="1000">
        <f>D12</f>
        <v>0</v>
      </c>
      <c r="E64" s="1000">
        <f>E12</f>
        <v>0</v>
      </c>
    </row>
    <row r="65" spans="1:5" ht="11.4" outlineLevel="1" x14ac:dyDescent="0.25">
      <c r="A65" s="85" t="s">
        <v>1683</v>
      </c>
      <c r="B65" s="211" t="s">
        <v>1649</v>
      </c>
      <c r="C65" s="1001">
        <f>(SUMIFS(DB_IN_CTS_CTR_RC!$I$4:$I$1000,DB_IN_CTS_CTR_RC!$B$4:$B$1000,"COMUNE",DB_IN_CTS_CTR_RC!$E$4:$E$1000,"CTRaltro",DB_IN_CTS_CTR_RC!$D$4:$D$1000,"2024",DB_IN_CTS_CTR_RC!$C$4:$C$1000,C$3))</f>
        <v>0</v>
      </c>
      <c r="D65" s="1001">
        <f>(SUMIFS(DB_IN_CTS_CTR_RC!$I$4:$I$1000,DB_IN_CTS_CTR_RC!$B$4:$B$1000,"COMUNE",DB_IN_CTS_CTR_RC!$E$4:$E$1000,"CTRaltro",DB_IN_CTS_CTR_RC!$D$4:$D$1000,"2024",DB_IN_CTS_CTR_RC!$C$4:$C$1000,D$3))</f>
        <v>0</v>
      </c>
      <c r="E65" s="1001">
        <f>(SUMIFS(DB_IN_CTS_CTR_RC!$I$4:$I$1000,DB_IN_CTS_CTR_RC!$B$4:$B$1000,"COMUNE",DB_IN_CTS_CTR_RC!$E$4:$E$1000,"CTRaltro",DB_IN_CTS_CTR_RC!$D$4:$D$1000,"2024",DB_IN_CTS_CTR_RC!$C$4:$C$1000,E$3))</f>
        <v>0</v>
      </c>
    </row>
    <row r="66" spans="1:5" ht="11.4" outlineLevel="1" x14ac:dyDescent="0.25">
      <c r="A66" s="35" t="s">
        <v>6973</v>
      </c>
      <c r="B66" s="997" t="s">
        <v>6998</v>
      </c>
      <c r="C66" s="1002">
        <v>0</v>
      </c>
      <c r="D66" s="1002">
        <v>0</v>
      </c>
      <c r="E66" s="1002">
        <v>0</v>
      </c>
    </row>
    <row r="67" spans="1:5" ht="11.4" outlineLevel="1" x14ac:dyDescent="0.25">
      <c r="A67" s="85"/>
      <c r="B67" s="996" t="s">
        <v>7005</v>
      </c>
      <c r="C67" s="1003">
        <v>0</v>
      </c>
      <c r="D67" s="1003">
        <v>0</v>
      </c>
      <c r="E67" s="1003">
        <v>0</v>
      </c>
    </row>
    <row r="68" spans="1:5" ht="12" customHeight="1" outlineLevel="1" x14ac:dyDescent="0.25">
      <c r="A68" s="85" t="s">
        <v>6985</v>
      </c>
      <c r="B68" s="620" t="s">
        <v>6977</v>
      </c>
      <c r="C68" s="1004">
        <v>0</v>
      </c>
      <c r="D68" s="1004">
        <v>0</v>
      </c>
      <c r="E68" s="1004">
        <v>0</v>
      </c>
    </row>
    <row r="69" spans="1:5" ht="11.4" outlineLevel="1" x14ac:dyDescent="0.25">
      <c r="A69" s="7" t="s">
        <v>497</v>
      </c>
      <c r="B69" s="56" t="s">
        <v>1685</v>
      </c>
      <c r="C69" s="463">
        <f>C64+C65+C68</f>
        <v>0</v>
      </c>
      <c r="D69" s="463">
        <f>D64+D65+D68</f>
        <v>0</v>
      </c>
      <c r="E69" s="463">
        <f>E64+E65+E68</f>
        <v>0</v>
      </c>
    </row>
    <row r="70" spans="1:5" outlineLevel="1" x14ac:dyDescent="0.2">
      <c r="A70" s="85"/>
      <c r="B70" s="82"/>
      <c r="C70" s="540"/>
      <c r="D70" s="540"/>
      <c r="E70" s="540"/>
    </row>
    <row r="71" spans="1:5" outlineLevel="1" x14ac:dyDescent="0.2">
      <c r="A71" s="85"/>
      <c r="B71" s="82"/>
      <c r="C71" s="539"/>
      <c r="D71" s="539"/>
      <c r="E71" s="539"/>
    </row>
    <row r="72" spans="1:5" ht="11.4" outlineLevel="1" x14ac:dyDescent="0.25">
      <c r="A72" s="85" t="s">
        <v>1620</v>
      </c>
      <c r="B72" s="209" t="s">
        <v>1689</v>
      </c>
      <c r="C72" s="1000">
        <f>C17</f>
        <v>0</v>
      </c>
      <c r="D72" s="1000">
        <f>D17</f>
        <v>0</v>
      </c>
      <c r="E72" s="1000">
        <f>E17</f>
        <v>0</v>
      </c>
    </row>
    <row r="73" spans="1:5" ht="11.4" outlineLevel="1" x14ac:dyDescent="0.25">
      <c r="A73" s="85" t="s">
        <v>1688</v>
      </c>
      <c r="B73" s="211" t="s">
        <v>1690</v>
      </c>
      <c r="C73" s="1001">
        <f>(SUMIFS(DB_IN_CTS_CTR_RC!$I$4:$I$1000,DB_IN_CTS_CTR_RC!$B$4:$B$1000,IN_Anagrafica!$B$1,DB_IN_CTS_CTR_RC!$E$4:$E$1000,"CTSaltro",DB_IN_CTS_CTR_RC!$D$4:$D$1000,"2024",DB_IN_CTS_CTR_RC!$C$4:$C$1000,C$3))</f>
        <v>0</v>
      </c>
      <c r="D73" s="1001">
        <f>(SUMIFS(DB_IN_CTS_CTR_RC!$I$4:$I$1000,DB_IN_CTS_CTR_RC!$B$4:$B$1000,IN_Anagrafica!$B$1,DB_IN_CTS_CTR_RC!$E$4:$E$1000,"CTSaltro",DB_IN_CTS_CTR_RC!$D$4:$D$1000,"2024",DB_IN_CTS_CTR_RC!$C$4:$C$1000,D$3))</f>
        <v>0</v>
      </c>
      <c r="E73" s="1001">
        <f>(SUMIFS(DB_IN_CTS_CTR_RC!$I$4:$I$1000,DB_IN_CTS_CTR_RC!$B$4:$B$1000,IN_Anagrafica!$B$1,DB_IN_CTS_CTR_RC!$E$4:$E$1000,"CTSaltro",DB_IN_CTS_CTR_RC!$D$4:$D$1000,"2024",DB_IN_CTS_CTR_RC!$C$4:$C$1000,E$3))</f>
        <v>0</v>
      </c>
    </row>
    <row r="74" spans="1:5" ht="11.4" outlineLevel="1" x14ac:dyDescent="0.25">
      <c r="A74" s="35" t="s">
        <v>6974</v>
      </c>
      <c r="B74" s="88" t="s">
        <v>6999</v>
      </c>
      <c r="C74" s="629">
        <f>[2]Export_CO!B$14</f>
        <v>0</v>
      </c>
      <c r="D74" s="629">
        <f>[2]Export_CO!C$14</f>
        <v>183.31</v>
      </c>
      <c r="E74" s="629">
        <f>[2]Export_CO!D$14</f>
        <v>0</v>
      </c>
    </row>
    <row r="75" spans="1:5" ht="11.4" outlineLevel="1" x14ac:dyDescent="0.25">
      <c r="A75" s="85"/>
      <c r="B75" s="86" t="s">
        <v>7009</v>
      </c>
      <c r="C75" s="537">
        <f>C74-SUM(C72:C73)</f>
        <v>0</v>
      </c>
      <c r="D75" s="537">
        <f>D74-SUM(D72:D73)</f>
        <v>183.31</v>
      </c>
      <c r="E75" s="537">
        <f>E74-SUM(E72:E73)</f>
        <v>0</v>
      </c>
    </row>
    <row r="76" spans="1:5" ht="12" customHeight="1" outlineLevel="1" x14ac:dyDescent="0.25">
      <c r="A76" s="85" t="s">
        <v>6986</v>
      </c>
      <c r="B76" s="620" t="s">
        <v>6978</v>
      </c>
      <c r="C76" s="1004">
        <f>C75</f>
        <v>0</v>
      </c>
      <c r="D76" s="1004">
        <f t="shared" ref="D76:E76" si="1">D75</f>
        <v>183.31</v>
      </c>
      <c r="E76" s="1004">
        <f t="shared" si="1"/>
        <v>0</v>
      </c>
    </row>
    <row r="77" spans="1:5" ht="11.4" outlineLevel="1" x14ac:dyDescent="0.25">
      <c r="A77" s="7" t="s">
        <v>468</v>
      </c>
      <c r="B77" s="56" t="s">
        <v>1686</v>
      </c>
      <c r="C77" s="463">
        <f>C72+C73+C76</f>
        <v>0</v>
      </c>
      <c r="D77" s="463">
        <f>D72+D73+D76</f>
        <v>183.31</v>
      </c>
      <c r="E77" s="463">
        <f>E72+E73+E76</f>
        <v>0</v>
      </c>
    </row>
    <row r="78" spans="1:5" outlineLevel="1" x14ac:dyDescent="0.2">
      <c r="A78" s="85"/>
      <c r="B78" s="82"/>
      <c r="C78" s="540" t="str">
        <f>IF(C76&gt;C75,"error","ok")</f>
        <v>ok</v>
      </c>
      <c r="D78" s="540" t="str">
        <f>IF(D76&gt;D75,"error","ok")</f>
        <v>ok</v>
      </c>
      <c r="E78" s="540" t="str">
        <f>IF(E76&gt;E75,"error","ok")</f>
        <v>ok</v>
      </c>
    </row>
    <row r="79" spans="1:5" outlineLevel="1" x14ac:dyDescent="0.2">
      <c r="A79" s="85"/>
      <c r="B79" s="82"/>
      <c r="C79" s="539"/>
      <c r="D79" s="539"/>
      <c r="E79" s="539"/>
    </row>
    <row r="80" spans="1:5" ht="11.4" outlineLevel="1" x14ac:dyDescent="0.25">
      <c r="A80" s="85" t="s">
        <v>1622</v>
      </c>
      <c r="B80" s="209" t="s">
        <v>1692</v>
      </c>
      <c r="C80" s="1000">
        <f>C22</f>
        <v>0</v>
      </c>
      <c r="D80" s="1000">
        <f>D22</f>
        <v>0</v>
      </c>
      <c r="E80" s="1000">
        <f>E22</f>
        <v>0</v>
      </c>
    </row>
    <row r="81" spans="1:5" ht="11.4" outlineLevel="1" x14ac:dyDescent="0.25">
      <c r="A81" s="85" t="s">
        <v>1691</v>
      </c>
      <c r="B81" s="211" t="s">
        <v>1693</v>
      </c>
      <c r="C81" s="1001">
        <f>(SUMIFS(DB_IN_CTS_CTR_RC!$I$4:$I$1000,DB_IN_CTS_CTR_RC!$B$4:$B$1000,"COMUNE",DB_IN_CTS_CTR_RC!$E$4:$E$1000,"CTSaltro",DB_IN_CTS_CTR_RC!$D$4:$D$1000,"2024",DB_IN_CTS_CTR_RC!$C$4:$C$1000,C$3))</f>
        <v>0</v>
      </c>
      <c r="D81" s="1001">
        <f>(SUMIFS(DB_IN_CTS_CTR_RC!$I$4:$I$1000,DB_IN_CTS_CTR_RC!$B$4:$B$1000,"COMUNE",DB_IN_CTS_CTR_RC!$E$4:$E$1000,"CTSaltro",DB_IN_CTS_CTR_RC!$D$4:$D$1000,"2024",DB_IN_CTS_CTR_RC!$C$4:$C$1000,D$3))</f>
        <v>0</v>
      </c>
      <c r="E81" s="1001">
        <f>(SUMIFS(DB_IN_CTS_CTR_RC!$I$4:$I$1000,DB_IN_CTS_CTR_RC!$B$4:$B$1000,"COMUNE",DB_IN_CTS_CTR_RC!$E$4:$E$1000,"CTSaltro",DB_IN_CTS_CTR_RC!$D$4:$D$1000,"2024",DB_IN_CTS_CTR_RC!$C$4:$C$1000,E$3))</f>
        <v>0</v>
      </c>
    </row>
    <row r="82" spans="1:5" ht="11.4" outlineLevel="1" x14ac:dyDescent="0.25">
      <c r="A82" s="35" t="s">
        <v>6975</v>
      </c>
      <c r="B82" s="997" t="s">
        <v>7000</v>
      </c>
      <c r="C82" s="1002">
        <v>0</v>
      </c>
      <c r="D82" s="1002">
        <v>0</v>
      </c>
      <c r="E82" s="1002">
        <v>0</v>
      </c>
    </row>
    <row r="83" spans="1:5" ht="11.4" outlineLevel="1" x14ac:dyDescent="0.25">
      <c r="A83" s="85"/>
      <c r="B83" s="996" t="s">
        <v>7006</v>
      </c>
      <c r="C83" s="1003">
        <v>0</v>
      </c>
      <c r="D83" s="1003">
        <v>0</v>
      </c>
      <c r="E83" s="1003">
        <v>0</v>
      </c>
    </row>
    <row r="84" spans="1:5" ht="12" customHeight="1" outlineLevel="1" x14ac:dyDescent="0.25">
      <c r="A84" s="85" t="s">
        <v>6987</v>
      </c>
      <c r="B84" s="620" t="s">
        <v>6979</v>
      </c>
      <c r="C84" s="1004">
        <v>0</v>
      </c>
      <c r="D84" s="1004">
        <v>0</v>
      </c>
      <c r="E84" s="1004">
        <v>0</v>
      </c>
    </row>
    <row r="85" spans="1:5" ht="11.4" outlineLevel="1" x14ac:dyDescent="0.25">
      <c r="A85" s="7" t="s">
        <v>496</v>
      </c>
      <c r="B85" s="56" t="s">
        <v>1687</v>
      </c>
      <c r="C85" s="463">
        <f>C80+C81+C84</f>
        <v>0</v>
      </c>
      <c r="D85" s="463">
        <f>D80+D81+D84</f>
        <v>0</v>
      </c>
      <c r="E85" s="463">
        <f>E80+E81+E84</f>
        <v>0</v>
      </c>
    </row>
    <row r="86" spans="1:5" outlineLevel="1" x14ac:dyDescent="0.2">
      <c r="A86" s="85"/>
      <c r="B86" s="82"/>
      <c r="C86" s="540"/>
      <c r="D86" s="540"/>
      <c r="E86" s="540"/>
    </row>
    <row r="87" spans="1:5" outlineLevel="1" x14ac:dyDescent="0.2">
      <c r="B87" s="79">
        <v>2027</v>
      </c>
    </row>
    <row r="88" spans="1:5" ht="11.4" outlineLevel="1" x14ac:dyDescent="0.25">
      <c r="A88" s="85" t="s">
        <v>1624</v>
      </c>
      <c r="B88" s="209" t="s">
        <v>1694</v>
      </c>
      <c r="C88" s="1000">
        <f t="shared" ref="C88" si="2">C31</f>
        <v>0</v>
      </c>
      <c r="D88" s="1000">
        <f t="shared" ref="D88:E88" si="3">D31</f>
        <v>0</v>
      </c>
      <c r="E88" s="1000">
        <f t="shared" si="3"/>
        <v>0</v>
      </c>
    </row>
    <row r="89" spans="1:5" ht="11.4" outlineLevel="1" x14ac:dyDescent="0.25">
      <c r="A89" s="85" t="s">
        <v>1695</v>
      </c>
      <c r="B89" s="211" t="s">
        <v>1668</v>
      </c>
      <c r="C89" s="1001">
        <f>(SUMIFS(DB_IN_CTS_CTR_RC!$I$4:$I$1000,DB_IN_CTS_CTR_RC!$B$4:$B$1000,IN_Anagrafica!$B$1,DB_IN_CTS_CTR_RC!$E$4:$E$1000,"CTRaltro",DB_IN_CTS_CTR_RC!$D$4:$D$1000,"2025",DB_IN_CTS_CTR_RC!$C$4:$C$1000,C$3))</f>
        <v>1819507.5139999997</v>
      </c>
      <c r="D89" s="1001">
        <f>(SUMIFS(DB_IN_CTS_CTR_RC!$I$4:$I$1000,DB_IN_CTS_CTR_RC!$B$4:$B$1000,IN_Anagrafica!$B$1,DB_IN_CTS_CTR_RC!$E$4:$E$1000,"CTRaltro",DB_IN_CTS_CTR_RC!$D$4:$D$1000,"2025",DB_IN_CTS_CTR_RC!$C$4:$C$1000,D$3))</f>
        <v>344464.201</v>
      </c>
      <c r="E89" s="1001">
        <f>(SUMIFS(DB_IN_CTS_CTR_RC!$I$4:$I$1000,DB_IN_CTS_CTR_RC!$B$4:$B$1000,IN_Anagrafica!$B$1,DB_IN_CTS_CTR_RC!$E$4:$E$1000,"CTRaltro",DB_IN_CTS_CTR_RC!$D$4:$D$1000,"2025",DB_IN_CTS_CTR_RC!$C$4:$C$1000,E$3))</f>
        <v>213795.71099999998</v>
      </c>
    </row>
    <row r="90" spans="1:5" ht="11.4" outlineLevel="1" x14ac:dyDescent="0.25">
      <c r="A90" s="35" t="s">
        <v>6992</v>
      </c>
      <c r="B90" s="88" t="s">
        <v>7001</v>
      </c>
      <c r="C90" s="629">
        <f>IF(IN_Anagrafica!$B$12="SI",
[3]Export_CO!B$21*(1+'Parametri MTR-3'!$I$6),
[3]Export_CO!B$21)</f>
        <v>2652068.9500000002</v>
      </c>
      <c r="D90" s="629">
        <f>+D58*(1+2%)</f>
        <v>557909.30819999997</v>
      </c>
      <c r="E90" s="629">
        <f>IF(IN_Anagrafica!$B$12="SI",
[3]Export_CO!D$21*(1+'Parametri MTR-3'!$I$6),
[3]Export_CO!D$21)</f>
        <v>0</v>
      </c>
    </row>
    <row r="91" spans="1:5" ht="11.4" outlineLevel="1" x14ac:dyDescent="0.25">
      <c r="A91" s="85"/>
      <c r="B91" s="86" t="s">
        <v>7010</v>
      </c>
      <c r="C91" s="537">
        <f>C90-SUM(C88:C89)</f>
        <v>832561.43600000045</v>
      </c>
      <c r="D91" s="537">
        <f>D90-SUM(D88:D89)</f>
        <v>213445.10719999997</v>
      </c>
      <c r="E91" s="537">
        <f>E90-SUM(E88:E89)</f>
        <v>-213795.71099999998</v>
      </c>
    </row>
    <row r="92" spans="1:5" ht="12" customHeight="1" outlineLevel="1" x14ac:dyDescent="0.25">
      <c r="A92" s="85" t="s">
        <v>6988</v>
      </c>
      <c r="B92" s="620" t="s">
        <v>6980</v>
      </c>
      <c r="C92" s="1004">
        <f>C91</f>
        <v>832561.43600000045</v>
      </c>
      <c r="D92" s="1004">
        <f t="shared" ref="D92:E92" si="4">D91</f>
        <v>213445.10719999997</v>
      </c>
      <c r="E92" s="1004">
        <f t="shared" si="4"/>
        <v>-213795.71099999998</v>
      </c>
    </row>
    <row r="93" spans="1:5" ht="11.4" outlineLevel="1" x14ac:dyDescent="0.25">
      <c r="A93" s="7" t="s">
        <v>483</v>
      </c>
      <c r="B93" s="56" t="s">
        <v>8750</v>
      </c>
      <c r="C93" s="463">
        <f>C88+C89+C92</f>
        <v>2652068.9500000002</v>
      </c>
      <c r="D93" s="463">
        <f>D88+D89+D92</f>
        <v>557909.30819999997</v>
      </c>
      <c r="E93" s="463">
        <f>E88+E89+E92</f>
        <v>0</v>
      </c>
    </row>
    <row r="94" spans="1:5" outlineLevel="1" x14ac:dyDescent="0.2">
      <c r="A94" s="85"/>
      <c r="B94" s="82"/>
      <c r="C94" s="540" t="str">
        <f>IF(C92&gt;C91,"error","ok")</f>
        <v>ok</v>
      </c>
      <c r="D94" s="540" t="str">
        <f>IF(D92&gt;D91,"error","ok")</f>
        <v>ok</v>
      </c>
      <c r="E94" s="540" t="str">
        <f>IF(E92&gt;E91,"error","ok")</f>
        <v>ok</v>
      </c>
    </row>
    <row r="95" spans="1:5" outlineLevel="1" x14ac:dyDescent="0.2">
      <c r="A95" s="85"/>
      <c r="B95" s="82"/>
      <c r="C95" s="539"/>
      <c r="D95" s="539"/>
      <c r="E95" s="539"/>
    </row>
    <row r="96" spans="1:5" ht="11.4" outlineLevel="1" x14ac:dyDescent="0.25">
      <c r="A96" s="85" t="s">
        <v>1626</v>
      </c>
      <c r="B96" s="209" t="s">
        <v>1696</v>
      </c>
      <c r="C96" s="1000">
        <f t="shared" ref="C96" si="5">C36</f>
        <v>0</v>
      </c>
      <c r="D96" s="1000">
        <f t="shared" ref="D96:E96" si="6">D36</f>
        <v>0</v>
      </c>
      <c r="E96" s="1000">
        <f t="shared" si="6"/>
        <v>0</v>
      </c>
    </row>
    <row r="97" spans="1:5" ht="11.4" outlineLevel="1" x14ac:dyDescent="0.25">
      <c r="A97" s="85" t="s">
        <v>1697</v>
      </c>
      <c r="B97" s="211" t="s">
        <v>1677</v>
      </c>
      <c r="C97" s="1001">
        <f>(SUMIFS(DB_IN_CTS_CTR_RC!$I$4:$I$1000,DB_IN_CTS_CTR_RC!$B$4:$B$1000,"COMUNE",DB_IN_CTS_CTR_RC!$E$4:$E$1000,"CTRaltro",DB_IN_CTS_CTR_RC!$D$4:$D$1000,"2025",DB_IN_CTS_CTR_RC!$C$4:$C$1000,C$3))</f>
        <v>0</v>
      </c>
      <c r="D97" s="1001">
        <f>(SUMIFS(DB_IN_CTS_CTR_RC!$I$4:$I$1000,DB_IN_CTS_CTR_RC!$B$4:$B$1000,"COMUNE",DB_IN_CTS_CTR_RC!$E$4:$E$1000,"CTRaltro",DB_IN_CTS_CTR_RC!$D$4:$D$1000,"2025",DB_IN_CTS_CTR_RC!$C$4:$C$1000,D$3))</f>
        <v>0</v>
      </c>
      <c r="E97" s="1001">
        <f>(SUMIFS(DB_IN_CTS_CTR_RC!$I$4:$I$1000,DB_IN_CTS_CTR_RC!$B$4:$B$1000,"COMUNE",DB_IN_CTS_CTR_RC!$E$4:$E$1000,"CTRaltro",DB_IN_CTS_CTR_RC!$D$4:$D$1000,"2025",DB_IN_CTS_CTR_RC!$C$4:$C$1000,E$3))</f>
        <v>0</v>
      </c>
    </row>
    <row r="98" spans="1:5" ht="11.4" outlineLevel="1" x14ac:dyDescent="0.25">
      <c r="A98" s="35" t="s">
        <v>6994</v>
      </c>
      <c r="B98" s="997" t="s">
        <v>7002</v>
      </c>
      <c r="C98" s="1002">
        <v>0</v>
      </c>
      <c r="D98" s="1002">
        <v>0</v>
      </c>
      <c r="E98" s="1002">
        <v>0</v>
      </c>
    </row>
    <row r="99" spans="1:5" ht="11.4" outlineLevel="1" x14ac:dyDescent="0.25">
      <c r="A99" s="85"/>
      <c r="B99" s="996" t="s">
        <v>7007</v>
      </c>
      <c r="C99" s="1003">
        <v>0</v>
      </c>
      <c r="D99" s="1003">
        <v>0</v>
      </c>
      <c r="E99" s="1003">
        <v>0</v>
      </c>
    </row>
    <row r="100" spans="1:5" ht="12" customHeight="1" outlineLevel="1" x14ac:dyDescent="0.25">
      <c r="A100" s="85" t="s">
        <v>6990</v>
      </c>
      <c r="B100" s="620" t="s">
        <v>6981</v>
      </c>
      <c r="C100" s="1004">
        <v>0</v>
      </c>
      <c r="D100" s="1004">
        <v>0</v>
      </c>
      <c r="E100" s="1004">
        <v>0</v>
      </c>
    </row>
    <row r="101" spans="1:5" ht="11.4" outlineLevel="1" x14ac:dyDescent="0.25">
      <c r="A101" s="7" t="s">
        <v>499</v>
      </c>
      <c r="B101" s="56" t="s">
        <v>8751</v>
      </c>
      <c r="C101" s="463">
        <f>C96+C97+C100</f>
        <v>0</v>
      </c>
      <c r="D101" s="463">
        <f>D96+D97+D100</f>
        <v>0</v>
      </c>
      <c r="E101" s="463">
        <f>E96+E97+E100</f>
        <v>0</v>
      </c>
    </row>
    <row r="102" spans="1:5" outlineLevel="1" x14ac:dyDescent="0.2">
      <c r="A102" s="85"/>
      <c r="B102" s="82"/>
      <c r="C102" s="540"/>
      <c r="D102" s="540"/>
      <c r="E102" s="540"/>
    </row>
    <row r="103" spans="1:5" outlineLevel="1" x14ac:dyDescent="0.2">
      <c r="A103" s="85"/>
      <c r="B103" s="82"/>
      <c r="C103" s="539"/>
      <c r="D103" s="539"/>
      <c r="E103" s="539"/>
    </row>
    <row r="104" spans="1:5" ht="11.4" outlineLevel="1" x14ac:dyDescent="0.25">
      <c r="A104" s="85" t="s">
        <v>1628</v>
      </c>
      <c r="B104" s="209" t="s">
        <v>1699</v>
      </c>
      <c r="C104" s="1000">
        <f t="shared" ref="C104" si="7">C41</f>
        <v>0</v>
      </c>
      <c r="D104" s="1000">
        <f t="shared" ref="D104:E104" si="8">D41</f>
        <v>0</v>
      </c>
      <c r="E104" s="1000">
        <f t="shared" si="8"/>
        <v>0</v>
      </c>
    </row>
    <row r="105" spans="1:5" ht="11.4" outlineLevel="1" x14ac:dyDescent="0.25">
      <c r="A105" s="85" t="s">
        <v>1698</v>
      </c>
      <c r="B105" s="211" t="s">
        <v>1678</v>
      </c>
      <c r="C105" s="1001">
        <f>(SUMIFS(DB_IN_CTS_CTR_RC!$I$4:$I$1000,DB_IN_CTS_CTR_RC!$B$4:$B$1000,IN_Anagrafica!$B$1,DB_IN_CTS_CTR_RC!$E$4:$E$1000,"CTSaltro",DB_IN_CTS_CTR_RC!$D$4:$D$1000,"2025",DB_IN_CTS_CTR_RC!$C$4:$C$1000,C$3))</f>
        <v>0</v>
      </c>
      <c r="D105" s="1001">
        <f>(SUMIFS(DB_IN_CTS_CTR_RC!$I$4:$I$1000,DB_IN_CTS_CTR_RC!$B$4:$B$1000,IN_Anagrafica!$B$1,DB_IN_CTS_CTR_RC!$E$4:$E$1000,"CTSaltro",DB_IN_CTS_CTR_RC!$D$4:$D$1000,"2025",DB_IN_CTS_CTR_RC!$C$4:$C$1000,D$3))</f>
        <v>0</v>
      </c>
      <c r="E105" s="1001">
        <f>(SUMIFS(DB_IN_CTS_CTR_RC!$I$4:$I$1000,DB_IN_CTS_CTR_RC!$B$4:$B$1000,IN_Anagrafica!$B$1,DB_IN_CTS_CTR_RC!$E$4:$E$1000,"CTSaltro",DB_IN_CTS_CTR_RC!$D$4:$D$1000,"2025",DB_IN_CTS_CTR_RC!$C$4:$C$1000,E$3))</f>
        <v>66.3</v>
      </c>
    </row>
    <row r="106" spans="1:5" ht="11.4" outlineLevel="1" x14ac:dyDescent="0.25">
      <c r="A106" s="35" t="s">
        <v>6993</v>
      </c>
      <c r="B106" s="88" t="s">
        <v>7003</v>
      </c>
      <c r="C106" s="629">
        <f>IF(IN_Anagrafica!$B$12="SI",
[3]Export_CO!B$14*(1+'Parametri MTR-3'!$I$6),
[3]Export_CO!B$14)</f>
        <v>0</v>
      </c>
      <c r="D106" s="629">
        <f>+D74*(1+2%)</f>
        <v>186.97620000000001</v>
      </c>
      <c r="E106" s="629">
        <f>IF(IN_Anagrafica!$B$12="SI",
[3]Export_CO!D$14*(1+'Parametri MTR-3'!$I$6),
[3]Export_CO!D$14)</f>
        <v>188532.03</v>
      </c>
    </row>
    <row r="107" spans="1:5" ht="11.4" outlineLevel="1" x14ac:dyDescent="0.25">
      <c r="A107" s="85"/>
      <c r="B107" s="86" t="s">
        <v>8749</v>
      </c>
      <c r="C107" s="537">
        <f>C106-SUM(C104:C105)</f>
        <v>0</v>
      </c>
      <c r="D107" s="537">
        <f>D106-SUM(D104:D105)</f>
        <v>186.97620000000001</v>
      </c>
      <c r="E107" s="537">
        <f>E106-SUM(E104:E105)</f>
        <v>188465.73</v>
      </c>
    </row>
    <row r="108" spans="1:5" ht="12" customHeight="1" outlineLevel="1" x14ac:dyDescent="0.25">
      <c r="A108" s="85" t="s">
        <v>6989</v>
      </c>
      <c r="B108" s="620" t="s">
        <v>6982</v>
      </c>
      <c r="C108" s="1004">
        <f>C107</f>
        <v>0</v>
      </c>
      <c r="D108" s="1004">
        <f t="shared" ref="D108:E108" si="9">D107</f>
        <v>186.97620000000001</v>
      </c>
      <c r="E108" s="1004">
        <f t="shared" si="9"/>
        <v>188465.73</v>
      </c>
    </row>
    <row r="109" spans="1:5" ht="11.4" outlineLevel="1" x14ac:dyDescent="0.25">
      <c r="A109" s="7" t="s">
        <v>482</v>
      </c>
      <c r="B109" s="56" t="s">
        <v>8752</v>
      </c>
      <c r="C109" s="463">
        <f>C104+C105+C108</f>
        <v>0</v>
      </c>
      <c r="D109" s="463">
        <f>D104+D105+D108</f>
        <v>186.97620000000001</v>
      </c>
      <c r="E109" s="463">
        <f>E104+E105+E108</f>
        <v>188532.03</v>
      </c>
    </row>
    <row r="110" spans="1:5" outlineLevel="1" x14ac:dyDescent="0.2">
      <c r="A110" s="85"/>
      <c r="B110" s="82"/>
      <c r="C110" s="540" t="str">
        <f>IF(C108&gt;C107,"error","ok")</f>
        <v>ok</v>
      </c>
      <c r="D110" s="540" t="str">
        <f>IF(D108&gt;D107,"error","ok")</f>
        <v>ok</v>
      </c>
      <c r="E110" s="540" t="str">
        <f>IF(E108&gt;E107,"error","ok")</f>
        <v>ok</v>
      </c>
    </row>
    <row r="111" spans="1:5" outlineLevel="1" x14ac:dyDescent="0.2">
      <c r="A111" s="85"/>
      <c r="B111" s="82"/>
      <c r="C111" s="539"/>
      <c r="D111" s="539"/>
      <c r="E111" s="539"/>
    </row>
    <row r="112" spans="1:5" ht="11.4" outlineLevel="1" x14ac:dyDescent="0.25">
      <c r="A112" s="85" t="s">
        <v>1630</v>
      </c>
      <c r="B112" s="209" t="s">
        <v>1701</v>
      </c>
      <c r="C112" s="1000">
        <f t="shared" ref="C112" si="10">C46</f>
        <v>0</v>
      </c>
      <c r="D112" s="1000">
        <f t="shared" ref="D112:E112" si="11">D46</f>
        <v>0</v>
      </c>
      <c r="E112" s="1000">
        <f t="shared" si="11"/>
        <v>0</v>
      </c>
    </row>
    <row r="113" spans="1:5" ht="11.4" outlineLevel="1" x14ac:dyDescent="0.25">
      <c r="A113" s="85" t="s">
        <v>1700</v>
      </c>
      <c r="B113" s="211" t="s">
        <v>1679</v>
      </c>
      <c r="C113" s="1001">
        <f>(SUMIFS(DB_IN_CTS_CTR_RC!$I$4:$I$1000,DB_IN_CTS_CTR_RC!$B$4:$B$1000,"COMUNE",DB_IN_CTS_CTR_RC!$E$4:$E$1000,"CTSaltro",DB_IN_CTS_CTR_RC!$D$4:$D$1000,"2025",DB_IN_CTS_CTR_RC!$C$4:$C$1000,C$3))</f>
        <v>0</v>
      </c>
      <c r="D113" s="1001">
        <f>(SUMIFS(DB_IN_CTS_CTR_RC!$I$4:$I$1000,DB_IN_CTS_CTR_RC!$B$4:$B$1000,"COMUNE",DB_IN_CTS_CTR_RC!$E$4:$E$1000,"CTSaltro",DB_IN_CTS_CTR_RC!$D$4:$D$1000,"2025",DB_IN_CTS_CTR_RC!$C$4:$C$1000,D$3))</f>
        <v>0</v>
      </c>
      <c r="E113" s="1001">
        <f>(SUMIFS(DB_IN_CTS_CTR_RC!$I$4:$I$1000,DB_IN_CTS_CTR_RC!$B$4:$B$1000,"COMUNE",DB_IN_CTS_CTR_RC!$E$4:$E$1000,"CTSaltro",DB_IN_CTS_CTR_RC!$D$4:$D$1000,"2025",DB_IN_CTS_CTR_RC!$C$4:$C$1000,E$3))</f>
        <v>0</v>
      </c>
    </row>
    <row r="114" spans="1:5" ht="11.4" outlineLevel="1" x14ac:dyDescent="0.25">
      <c r="A114" s="35" t="s">
        <v>6995</v>
      </c>
      <c r="B114" s="997" t="s">
        <v>7004</v>
      </c>
      <c r="C114" s="1002">
        <v>0</v>
      </c>
      <c r="D114" s="1002">
        <v>0</v>
      </c>
      <c r="E114" s="1002">
        <v>0</v>
      </c>
    </row>
    <row r="115" spans="1:5" ht="11.4" outlineLevel="1" x14ac:dyDescent="0.25">
      <c r="A115" s="85"/>
      <c r="B115" s="996" t="s">
        <v>7008</v>
      </c>
      <c r="C115" s="1003">
        <v>0</v>
      </c>
      <c r="D115" s="1003">
        <v>0</v>
      </c>
      <c r="E115" s="1003">
        <v>0</v>
      </c>
    </row>
    <row r="116" spans="1:5" ht="12" customHeight="1" outlineLevel="1" x14ac:dyDescent="0.25">
      <c r="A116" s="85" t="s">
        <v>6991</v>
      </c>
      <c r="B116" s="620" t="s">
        <v>6983</v>
      </c>
      <c r="C116" s="1004">
        <v>0</v>
      </c>
      <c r="D116" s="1004">
        <v>0</v>
      </c>
      <c r="E116" s="1004">
        <v>0</v>
      </c>
    </row>
    <row r="117" spans="1:5" ht="11.4" outlineLevel="1" x14ac:dyDescent="0.25">
      <c r="A117" s="7" t="s">
        <v>498</v>
      </c>
      <c r="B117" s="56" t="s">
        <v>8753</v>
      </c>
      <c r="C117" s="463">
        <f>C112+C113+C116</f>
        <v>0</v>
      </c>
      <c r="D117" s="463">
        <f>D112+D113+D116</f>
        <v>0</v>
      </c>
      <c r="E117" s="463">
        <f>E112+E113+E116</f>
        <v>0</v>
      </c>
    </row>
  </sheetData>
  <conditionalFormatting sqref="C60:E60">
    <cfRule type="cellIs" dxfId="86" priority="17" operator="lessThan">
      <formula>0</formula>
    </cfRule>
  </conditionalFormatting>
  <conditionalFormatting sqref="C62:E62">
    <cfRule type="cellIs" dxfId="85" priority="7" operator="equal">
      <formula>"error"</formula>
    </cfRule>
    <cfRule type="cellIs" dxfId="84" priority="8" operator="equal">
      <formula>"ok"</formula>
    </cfRule>
  </conditionalFormatting>
  <conditionalFormatting sqref="C68:E68">
    <cfRule type="cellIs" dxfId="83" priority="16" operator="lessThan">
      <formula>0</formula>
    </cfRule>
  </conditionalFormatting>
  <conditionalFormatting sqref="C76:E76">
    <cfRule type="cellIs" dxfId="82" priority="15" operator="lessThan">
      <formula>0</formula>
    </cfRule>
  </conditionalFormatting>
  <conditionalFormatting sqref="C78:E78">
    <cfRule type="cellIs" dxfId="81" priority="5" operator="equal">
      <formula>"error"</formula>
    </cfRule>
    <cfRule type="cellIs" dxfId="80" priority="6" operator="equal">
      <formula>"ok"</formula>
    </cfRule>
  </conditionalFormatting>
  <conditionalFormatting sqref="C84:E84">
    <cfRule type="cellIs" dxfId="79" priority="9" operator="lessThan">
      <formula>0</formula>
    </cfRule>
  </conditionalFormatting>
  <conditionalFormatting sqref="C92:E92">
    <cfRule type="cellIs" dxfId="78" priority="13" operator="lessThan">
      <formula>0</formula>
    </cfRule>
  </conditionalFormatting>
  <conditionalFormatting sqref="C94:E94">
    <cfRule type="cellIs" dxfId="77" priority="3" operator="equal">
      <formula>"error"</formula>
    </cfRule>
    <cfRule type="cellIs" dxfId="76" priority="4" operator="equal">
      <formula>"ok"</formula>
    </cfRule>
  </conditionalFormatting>
  <conditionalFormatting sqref="C100:E100">
    <cfRule type="cellIs" dxfId="75" priority="12" operator="lessThan">
      <formula>0</formula>
    </cfRule>
  </conditionalFormatting>
  <conditionalFormatting sqref="C108:E108">
    <cfRule type="cellIs" dxfId="74" priority="11" operator="lessThan">
      <formula>0</formula>
    </cfRule>
  </conditionalFormatting>
  <conditionalFormatting sqref="C110:E110">
    <cfRule type="cellIs" dxfId="73" priority="1" operator="equal">
      <formula>"error"</formula>
    </cfRule>
    <cfRule type="cellIs" dxfId="72" priority="2" operator="equal">
      <formula>"ok"</formula>
    </cfRule>
  </conditionalFormatting>
  <conditionalFormatting sqref="C116:E116">
    <cfRule type="cellIs" dxfId="71" priority="10" operator="lessThan">
      <formula>0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EDC84-A81B-465C-B749-624CB1FD495E}">
  <sheetPr codeName="Foglio14">
    <tabColor rgb="FFFFFFCC"/>
  </sheetPr>
  <dimension ref="A1:E159"/>
  <sheetViews>
    <sheetView showGridLines="0" workbookViewId="0">
      <pane xSplit="2" ySplit="3" topLeftCell="C17" activePane="bottomRight" state="frozen"/>
      <selection pane="topRight" activeCell="C1" sqref="C1"/>
      <selection pane="bottomLeft" activeCell="A4" sqref="A4"/>
      <selection pane="bottomRight" activeCell="C9" sqref="C9"/>
    </sheetView>
  </sheetViews>
  <sheetFormatPr defaultColWidth="9.109375" defaultRowHeight="10.199999999999999" outlineLevelRow="1" x14ac:dyDescent="0.2"/>
  <cols>
    <col min="1" max="1" width="19.5546875" style="51" customWidth="1"/>
    <col min="2" max="2" width="56.44140625" style="51" bestFit="1" customWidth="1"/>
    <col min="3" max="3" width="11.5546875" style="51" bestFit="1" customWidth="1"/>
    <col min="4" max="4" width="12.5546875" style="51" bestFit="1" customWidth="1"/>
    <col min="5" max="5" width="8.5546875" style="51" bestFit="1" customWidth="1"/>
    <col min="6" max="16384" width="9.109375" style="51"/>
  </cols>
  <sheetData>
    <row r="1" spans="1:5" x14ac:dyDescent="0.2">
      <c r="B1" s="454" t="s">
        <v>1705</v>
      </c>
      <c r="C1" s="61"/>
      <c r="D1" s="61"/>
      <c r="E1" s="61"/>
    </row>
    <row r="2" spans="1:5" x14ac:dyDescent="0.2">
      <c r="C2" s="61"/>
      <c r="D2" s="61"/>
      <c r="E2" s="61"/>
    </row>
    <row r="3" spans="1:5" s="351" customFormat="1" ht="20.399999999999999" x14ac:dyDescent="0.3">
      <c r="B3" s="344"/>
      <c r="C3" s="344" t="str">
        <f>Ambiti!B4</f>
        <v>BUSTO ARSIZIO</v>
      </c>
      <c r="D3" s="344" t="str">
        <f>Ambiti!C4</f>
        <v>FAGNANO OLONA</v>
      </c>
      <c r="E3" s="344" t="str">
        <f>Ambiti!D4</f>
        <v>VENEGONO SUPERIORE</v>
      </c>
    </row>
    <row r="5" spans="1:5" x14ac:dyDescent="0.2">
      <c r="B5" s="454" t="s">
        <v>1706</v>
      </c>
    </row>
    <row r="6" spans="1:5" x14ac:dyDescent="0.2">
      <c r="B6" s="73" t="s">
        <v>1707</v>
      </c>
    </row>
    <row r="7" spans="1:5" outlineLevel="1" x14ac:dyDescent="0.2">
      <c r="B7" s="79">
        <v>2026</v>
      </c>
    </row>
    <row r="8" spans="1:5" outlineLevel="1" x14ac:dyDescent="0.2">
      <c r="B8" s="73" t="s">
        <v>1756</v>
      </c>
    </row>
    <row r="9" spans="1:5" ht="12" outlineLevel="1" x14ac:dyDescent="0.25">
      <c r="A9" s="85" t="s">
        <v>133</v>
      </c>
      <c r="B9" s="198" t="s">
        <v>1713</v>
      </c>
      <c r="C9" s="200">
        <v>0</v>
      </c>
      <c r="D9" s="200">
        <v>0</v>
      </c>
      <c r="E9" s="200">
        <v>0</v>
      </c>
    </row>
    <row r="10" spans="1:5" ht="12" outlineLevel="1" x14ac:dyDescent="0.25">
      <c r="A10" s="85" t="s">
        <v>134</v>
      </c>
      <c r="B10" s="199" t="s">
        <v>1714</v>
      </c>
      <c r="C10" s="201">
        <v>0</v>
      </c>
      <c r="D10" s="201">
        <v>0</v>
      </c>
      <c r="E10" s="201">
        <v>0</v>
      </c>
    </row>
    <row r="11" spans="1:5" ht="12" outlineLevel="1" x14ac:dyDescent="0.25">
      <c r="A11" s="85" t="s">
        <v>1708</v>
      </c>
      <c r="B11" s="56" t="s">
        <v>1715</v>
      </c>
      <c r="C11" s="81">
        <f t="shared" ref="C11" si="0">C9+C10</f>
        <v>0</v>
      </c>
      <c r="D11" s="81">
        <f t="shared" ref="D11:E11" si="1">D9+D10</f>
        <v>0</v>
      </c>
      <c r="E11" s="81">
        <f t="shared" si="1"/>
        <v>0</v>
      </c>
    </row>
    <row r="12" spans="1:5" ht="12" outlineLevel="1" x14ac:dyDescent="0.25">
      <c r="A12" s="85" t="s">
        <v>135</v>
      </c>
      <c r="B12" s="198" t="s">
        <v>1716</v>
      </c>
      <c r="C12" s="200">
        <v>50000</v>
      </c>
      <c r="D12" s="200">
        <v>0</v>
      </c>
      <c r="E12" s="200">
        <v>0</v>
      </c>
    </row>
    <row r="13" spans="1:5" ht="12" outlineLevel="1" x14ac:dyDescent="0.25">
      <c r="A13" s="85" t="s">
        <v>136</v>
      </c>
      <c r="B13" s="199" t="s">
        <v>1717</v>
      </c>
      <c r="C13" s="201">
        <v>0</v>
      </c>
      <c r="D13" s="201">
        <v>0</v>
      </c>
      <c r="E13" s="201">
        <v>0</v>
      </c>
    </row>
    <row r="14" spans="1:5" ht="12" outlineLevel="1" x14ac:dyDescent="0.25">
      <c r="A14" s="85" t="s">
        <v>1709</v>
      </c>
      <c r="B14" s="56" t="s">
        <v>1718</v>
      </c>
      <c r="C14" s="81">
        <f t="shared" ref="C14" si="2">C12+C13</f>
        <v>50000</v>
      </c>
      <c r="D14" s="81">
        <f t="shared" ref="D14:E14" si="3">D12+D13</f>
        <v>0</v>
      </c>
      <c r="E14" s="81">
        <f t="shared" si="3"/>
        <v>0</v>
      </c>
    </row>
    <row r="15" spans="1:5" outlineLevel="1" x14ac:dyDescent="0.2"/>
    <row r="16" spans="1:5" ht="12" outlineLevel="1" x14ac:dyDescent="0.25">
      <c r="A16" s="85" t="s">
        <v>1710</v>
      </c>
      <c r="B16" s="202" t="s">
        <v>1719</v>
      </c>
      <c r="C16" s="203">
        <f t="shared" ref="C16" si="4">C9+C12</f>
        <v>50000</v>
      </c>
      <c r="D16" s="203">
        <f t="shared" ref="D16:E16" si="5">D9+D12</f>
        <v>0</v>
      </c>
      <c r="E16" s="203">
        <f t="shared" si="5"/>
        <v>0</v>
      </c>
    </row>
    <row r="17" spans="1:5" ht="12" outlineLevel="1" x14ac:dyDescent="0.25">
      <c r="A17" s="85" t="s">
        <v>1711</v>
      </c>
      <c r="B17" s="204" t="s">
        <v>1720</v>
      </c>
      <c r="C17" s="205">
        <f t="shared" ref="C17" si="6">C10+C13</f>
        <v>0</v>
      </c>
      <c r="D17" s="205">
        <f t="shared" ref="D17:E17" si="7">D10+D13</f>
        <v>0</v>
      </c>
      <c r="E17" s="205">
        <f t="shared" si="7"/>
        <v>0</v>
      </c>
    </row>
    <row r="18" spans="1:5" ht="12" outlineLevel="1" x14ac:dyDescent="0.25">
      <c r="A18" s="85" t="s">
        <v>1712</v>
      </c>
      <c r="B18" s="56" t="s">
        <v>1721</v>
      </c>
      <c r="C18" s="81">
        <f t="shared" ref="C18" si="8">C16+C17</f>
        <v>50000</v>
      </c>
      <c r="D18" s="81">
        <f t="shared" ref="D18:E18" si="9">D16+D17</f>
        <v>0</v>
      </c>
      <c r="E18" s="81">
        <f t="shared" si="9"/>
        <v>0</v>
      </c>
    </row>
    <row r="19" spans="1:5" outlineLevel="1" x14ac:dyDescent="0.2">
      <c r="A19" s="85"/>
    </row>
    <row r="20" spans="1:5" outlineLevel="1" x14ac:dyDescent="0.2">
      <c r="A20" s="85"/>
      <c r="B20" s="73" t="s">
        <v>1943</v>
      </c>
    </row>
    <row r="21" spans="1:5" ht="12" outlineLevel="1" x14ac:dyDescent="0.25">
      <c r="A21" s="85" t="s">
        <v>788</v>
      </c>
      <c r="B21" s="449" t="s">
        <v>1738</v>
      </c>
      <c r="C21" s="206">
        <f>INDEX('Import CO_24'!$A$4:$E$134,MATCH($A21,'Import CO_24'!$A$4:$A$134,0),MATCH(C$3,'Import CO_24'!$A$4:$E$4,0))</f>
        <v>0</v>
      </c>
      <c r="D21" s="206">
        <f>INDEX('Import CO_24'!$A$4:$E$134,MATCH($A21,'Import CO_24'!$A$4:$A$134,0),MATCH(D$3,'Import CO_24'!$A$4:$E$4,0))</f>
        <v>0</v>
      </c>
      <c r="E21" s="206">
        <f>INDEX('Import CO_24'!$A$4:$E$134,MATCH($A21,'Import CO_24'!$A$4:$A$134,0),MATCH(E$3,'Import CO_24'!$A$4:$E$4,0))</f>
        <v>0</v>
      </c>
    </row>
    <row r="22" spans="1:5" ht="12" outlineLevel="1" x14ac:dyDescent="0.25">
      <c r="A22" s="85" t="s">
        <v>1722</v>
      </c>
      <c r="B22" s="199" t="s">
        <v>1739</v>
      </c>
      <c r="C22" s="201">
        <v>0</v>
      </c>
      <c r="D22" s="201">
        <v>0</v>
      </c>
      <c r="E22" s="201">
        <v>0</v>
      </c>
    </row>
    <row r="23" spans="1:5" ht="12" outlineLevel="1" x14ac:dyDescent="0.25">
      <c r="A23" s="85" t="s">
        <v>1723</v>
      </c>
      <c r="B23" s="56" t="s">
        <v>1740</v>
      </c>
      <c r="C23" s="81">
        <f t="shared" ref="C23" si="10">C21+C22</f>
        <v>0</v>
      </c>
      <c r="D23" s="81">
        <f t="shared" ref="D23:E23" si="11">D21+D22</f>
        <v>0</v>
      </c>
      <c r="E23" s="81">
        <f t="shared" si="11"/>
        <v>0</v>
      </c>
    </row>
    <row r="24" spans="1:5" ht="12" outlineLevel="1" x14ac:dyDescent="0.25">
      <c r="A24" s="85" t="s">
        <v>789</v>
      </c>
      <c r="B24" s="449" t="s">
        <v>1741</v>
      </c>
      <c r="C24" s="206">
        <f>INDEX('Import CO_24'!$A$4:$E$134,MATCH($A24,'Import CO_24'!$A$4:$A$134,0),MATCH(C$3,'Import CO_24'!$A$4:$E$4,0))</f>
        <v>50000</v>
      </c>
      <c r="D24" s="206">
        <f>INDEX('Import CO_24'!$A$4:$E$134,MATCH($A24,'Import CO_24'!$A$4:$A$134,0),MATCH(D$3,'Import CO_24'!$A$4:$E$4,0))</f>
        <v>0</v>
      </c>
      <c r="E24" s="206">
        <f>INDEX('Import CO_24'!$A$4:$E$134,MATCH($A24,'Import CO_24'!$A$4:$A$134,0),MATCH(E$3,'Import CO_24'!$A$4:$E$4,0))</f>
        <v>0</v>
      </c>
    </row>
    <row r="25" spans="1:5" ht="12" outlineLevel="1" x14ac:dyDescent="0.25">
      <c r="A25" s="85" t="s">
        <v>1724</v>
      </c>
      <c r="B25" s="199" t="s">
        <v>1742</v>
      </c>
      <c r="C25" s="201">
        <v>0</v>
      </c>
      <c r="D25" s="201">
        <v>0</v>
      </c>
      <c r="E25" s="201">
        <v>0</v>
      </c>
    </row>
    <row r="26" spans="1:5" ht="12" outlineLevel="1" x14ac:dyDescent="0.25">
      <c r="A26" s="85" t="s">
        <v>1725</v>
      </c>
      <c r="B26" s="56" t="s">
        <v>1743</v>
      </c>
      <c r="C26" s="81">
        <f t="shared" ref="C26" si="12">C24+C25</f>
        <v>50000</v>
      </c>
      <c r="D26" s="81">
        <f t="shared" ref="D26:E26" si="13">D24+D25</f>
        <v>0</v>
      </c>
      <c r="E26" s="81">
        <f t="shared" si="13"/>
        <v>0</v>
      </c>
    </row>
    <row r="27" spans="1:5" outlineLevel="1" x14ac:dyDescent="0.2"/>
    <row r="28" spans="1:5" ht="12" outlineLevel="1" x14ac:dyDescent="0.25">
      <c r="A28" s="85" t="s">
        <v>1726</v>
      </c>
      <c r="B28" s="202" t="s">
        <v>1744</v>
      </c>
      <c r="C28" s="203">
        <f t="shared" ref="C28" si="14">C21+C24</f>
        <v>50000</v>
      </c>
      <c r="D28" s="203">
        <f t="shared" ref="D28:E28" si="15">D21+D24</f>
        <v>0</v>
      </c>
      <c r="E28" s="203">
        <f t="shared" si="15"/>
        <v>0</v>
      </c>
    </row>
    <row r="29" spans="1:5" ht="12" outlineLevel="1" x14ac:dyDescent="0.25">
      <c r="A29" s="85" t="s">
        <v>1727</v>
      </c>
      <c r="B29" s="204" t="s">
        <v>1745</v>
      </c>
      <c r="C29" s="205">
        <f t="shared" ref="C29" si="16">C22+C25</f>
        <v>0</v>
      </c>
      <c r="D29" s="205">
        <f t="shared" ref="D29:E29" si="17">D22+D25</f>
        <v>0</v>
      </c>
      <c r="E29" s="205">
        <f t="shared" si="17"/>
        <v>0</v>
      </c>
    </row>
    <row r="30" spans="1:5" ht="12" outlineLevel="1" x14ac:dyDescent="0.25">
      <c r="A30" s="85" t="s">
        <v>1728</v>
      </c>
      <c r="B30" s="56" t="s">
        <v>1746</v>
      </c>
      <c r="C30" s="81">
        <f t="shared" ref="C30" si="18">C28+C29</f>
        <v>50000</v>
      </c>
      <c r="D30" s="81">
        <f t="shared" ref="D30:E30" si="19">D28+D29</f>
        <v>0</v>
      </c>
      <c r="E30" s="81">
        <f t="shared" si="19"/>
        <v>0</v>
      </c>
    </row>
    <row r="31" spans="1:5" outlineLevel="1" x14ac:dyDescent="0.2">
      <c r="A31" s="85"/>
    </row>
    <row r="32" spans="1:5" ht="12" outlineLevel="1" x14ac:dyDescent="0.25">
      <c r="A32" s="85" t="s">
        <v>1729</v>
      </c>
      <c r="B32" s="449" t="s">
        <v>1747</v>
      </c>
      <c r="C32" s="206">
        <f t="shared" ref="C32" si="20">IF((C9-C21)&gt;0,(C9-C21)*(-1),0)</f>
        <v>0</v>
      </c>
      <c r="D32" s="206">
        <f t="shared" ref="D32:E32" si="21">IF((D9-D21)&gt;0,(D9-D21)*(-1),0)</f>
        <v>0</v>
      </c>
      <c r="E32" s="206">
        <f t="shared" si="21"/>
        <v>0</v>
      </c>
    </row>
    <row r="33" spans="1:5" ht="12" outlineLevel="1" x14ac:dyDescent="0.25">
      <c r="A33" s="85" t="s">
        <v>1730</v>
      </c>
      <c r="B33" s="445" t="s">
        <v>1748</v>
      </c>
      <c r="C33" s="208">
        <f t="shared" ref="C33" si="22">IF((C10-C22)&gt;0,(C10-C22)*(-1),0)</f>
        <v>0</v>
      </c>
      <c r="D33" s="208">
        <f t="shared" ref="D33:E33" si="23">IF((D10-D22)&gt;0,(D10-D22)*(-1),0)</f>
        <v>0</v>
      </c>
      <c r="E33" s="208">
        <f t="shared" si="23"/>
        <v>0</v>
      </c>
    </row>
    <row r="34" spans="1:5" ht="12" outlineLevel="1" x14ac:dyDescent="0.25">
      <c r="A34" s="85" t="s">
        <v>1731</v>
      </c>
      <c r="B34" s="56" t="s">
        <v>1749</v>
      </c>
      <c r="C34" s="81">
        <f t="shared" ref="C34" si="24">C32+C33</f>
        <v>0</v>
      </c>
      <c r="D34" s="81">
        <f t="shared" ref="D34:E34" si="25">D32+D33</f>
        <v>0</v>
      </c>
      <c r="E34" s="81">
        <f t="shared" si="25"/>
        <v>0</v>
      </c>
    </row>
    <row r="35" spans="1:5" ht="12" outlineLevel="1" x14ac:dyDescent="0.25">
      <c r="A35" s="85" t="s">
        <v>1732</v>
      </c>
      <c r="B35" s="449" t="s">
        <v>1750</v>
      </c>
      <c r="C35" s="206">
        <f t="shared" ref="C35" si="26">IF((C12-C24)&gt;0,(C12-C24)*(-1),0)</f>
        <v>0</v>
      </c>
      <c r="D35" s="206">
        <f t="shared" ref="D35:E35" si="27">IF((D12-D24)&gt;0,(D12-D24)*(-1),0)</f>
        <v>0</v>
      </c>
      <c r="E35" s="206">
        <f t="shared" si="27"/>
        <v>0</v>
      </c>
    </row>
    <row r="36" spans="1:5" ht="12" outlineLevel="1" x14ac:dyDescent="0.25">
      <c r="A36" s="85" t="s">
        <v>1733</v>
      </c>
      <c r="B36" s="445" t="s">
        <v>1751</v>
      </c>
      <c r="C36" s="208">
        <f t="shared" ref="C36" si="28">IF((C13-C25)&gt;0,(C13-C25)*(-1),0)</f>
        <v>0</v>
      </c>
      <c r="D36" s="208">
        <f t="shared" ref="D36:E36" si="29">IF((D13-D25)&gt;0,(D13-D25)*(-1),0)</f>
        <v>0</v>
      </c>
      <c r="E36" s="208">
        <f t="shared" si="29"/>
        <v>0</v>
      </c>
    </row>
    <row r="37" spans="1:5" ht="12" outlineLevel="1" x14ac:dyDescent="0.25">
      <c r="A37" s="85" t="s">
        <v>1734</v>
      </c>
      <c r="B37" s="56" t="s">
        <v>1752</v>
      </c>
      <c r="C37" s="81">
        <f t="shared" ref="C37" si="30">C35+C36</f>
        <v>0</v>
      </c>
      <c r="D37" s="81">
        <f t="shared" ref="D37:E37" si="31">D35+D36</f>
        <v>0</v>
      </c>
      <c r="E37" s="81">
        <f t="shared" si="31"/>
        <v>0</v>
      </c>
    </row>
    <row r="38" spans="1:5" outlineLevel="1" x14ac:dyDescent="0.2">
      <c r="A38" s="85"/>
    </row>
    <row r="39" spans="1:5" ht="12" outlineLevel="1" x14ac:dyDescent="0.25">
      <c r="A39" s="85" t="s">
        <v>1735</v>
      </c>
      <c r="B39" s="202" t="s">
        <v>1753</v>
      </c>
      <c r="C39" s="203">
        <f t="shared" ref="C39" si="32">C32+C35</f>
        <v>0</v>
      </c>
      <c r="D39" s="203">
        <f t="shared" ref="D39:E39" si="33">D32+D35</f>
        <v>0</v>
      </c>
      <c r="E39" s="203">
        <f t="shared" si="33"/>
        <v>0</v>
      </c>
    </row>
    <row r="40" spans="1:5" ht="12" outlineLevel="1" x14ac:dyDescent="0.25">
      <c r="A40" s="85" t="s">
        <v>1736</v>
      </c>
      <c r="B40" s="204" t="s">
        <v>1754</v>
      </c>
      <c r="C40" s="205">
        <f t="shared" ref="C40" si="34">C33+C36</f>
        <v>0</v>
      </c>
      <c r="D40" s="205">
        <f t="shared" ref="D40:E40" si="35">D33+D36</f>
        <v>0</v>
      </c>
      <c r="E40" s="205">
        <f t="shared" si="35"/>
        <v>0</v>
      </c>
    </row>
    <row r="41" spans="1:5" ht="12" outlineLevel="1" x14ac:dyDescent="0.25">
      <c r="A41" s="85" t="s">
        <v>1737</v>
      </c>
      <c r="B41" s="56" t="s">
        <v>1755</v>
      </c>
      <c r="C41" s="81">
        <f t="shared" ref="C41" si="36">C39+C40</f>
        <v>0</v>
      </c>
      <c r="D41" s="81">
        <f t="shared" ref="D41:E41" si="37">D39+D40</f>
        <v>0</v>
      </c>
      <c r="E41" s="81">
        <f t="shared" si="37"/>
        <v>0</v>
      </c>
    </row>
    <row r="42" spans="1:5" outlineLevel="1" x14ac:dyDescent="0.2">
      <c r="A42" s="85"/>
    </row>
    <row r="43" spans="1:5" outlineLevel="1" x14ac:dyDescent="0.2">
      <c r="A43" s="85"/>
      <c r="B43" s="79">
        <v>2027</v>
      </c>
    </row>
    <row r="44" spans="1:5" outlineLevel="1" x14ac:dyDescent="0.2">
      <c r="A44" s="85"/>
      <c r="B44" s="73" t="s">
        <v>1757</v>
      </c>
    </row>
    <row r="45" spans="1:5" ht="12" outlineLevel="1" x14ac:dyDescent="0.25">
      <c r="A45" s="85" t="s">
        <v>137</v>
      </c>
      <c r="B45" s="198" t="s">
        <v>1785</v>
      </c>
      <c r="C45" s="200">
        <v>0</v>
      </c>
      <c r="D45" s="200">
        <v>0</v>
      </c>
      <c r="E45" s="200">
        <v>0</v>
      </c>
    </row>
    <row r="46" spans="1:5" ht="12" outlineLevel="1" x14ac:dyDescent="0.25">
      <c r="A46" s="85" t="s">
        <v>138</v>
      </c>
      <c r="B46" s="199" t="s">
        <v>1786</v>
      </c>
      <c r="C46" s="201">
        <v>0</v>
      </c>
      <c r="D46" s="201">
        <v>0</v>
      </c>
      <c r="E46" s="201">
        <v>0</v>
      </c>
    </row>
    <row r="47" spans="1:5" ht="12" outlineLevel="1" x14ac:dyDescent="0.25">
      <c r="A47" s="85" t="s">
        <v>1764</v>
      </c>
      <c r="B47" s="56" t="s">
        <v>1787</v>
      </c>
      <c r="C47" s="81">
        <f t="shared" ref="C47" si="38">C45+C46</f>
        <v>0</v>
      </c>
      <c r="D47" s="81">
        <f t="shared" ref="D47:E47" si="39">D45+D46</f>
        <v>0</v>
      </c>
      <c r="E47" s="81">
        <f t="shared" si="39"/>
        <v>0</v>
      </c>
    </row>
    <row r="48" spans="1:5" ht="12" outlineLevel="1" x14ac:dyDescent="0.25">
      <c r="A48" s="85" t="s">
        <v>139</v>
      </c>
      <c r="B48" s="198" t="s">
        <v>1788</v>
      </c>
      <c r="C48" s="200">
        <v>50000</v>
      </c>
      <c r="D48" s="200">
        <v>0</v>
      </c>
      <c r="E48" s="200">
        <v>0</v>
      </c>
    </row>
    <row r="49" spans="1:5" ht="12" outlineLevel="1" x14ac:dyDescent="0.25">
      <c r="A49" s="85" t="s">
        <v>140</v>
      </c>
      <c r="B49" s="199" t="s">
        <v>1789</v>
      </c>
      <c r="C49" s="201">
        <v>0</v>
      </c>
      <c r="D49" s="201">
        <v>0</v>
      </c>
      <c r="E49" s="201">
        <v>0</v>
      </c>
    </row>
    <row r="50" spans="1:5" ht="12" outlineLevel="1" x14ac:dyDescent="0.25">
      <c r="A50" s="85" t="s">
        <v>1765</v>
      </c>
      <c r="B50" s="56" t="s">
        <v>1790</v>
      </c>
      <c r="C50" s="81">
        <f t="shared" ref="C50" si="40">C48+C49</f>
        <v>50000</v>
      </c>
      <c r="D50" s="81">
        <f t="shared" ref="D50:E50" si="41">D48+D49</f>
        <v>0</v>
      </c>
      <c r="E50" s="81">
        <f t="shared" si="41"/>
        <v>0</v>
      </c>
    </row>
    <row r="51" spans="1:5" outlineLevel="1" x14ac:dyDescent="0.2"/>
    <row r="52" spans="1:5" ht="12" outlineLevel="1" x14ac:dyDescent="0.25">
      <c r="A52" s="85" t="s">
        <v>1766</v>
      </c>
      <c r="B52" s="202" t="s">
        <v>1791</v>
      </c>
      <c r="C52" s="203">
        <f t="shared" ref="C52" si="42">C45+C48</f>
        <v>50000</v>
      </c>
      <c r="D52" s="203">
        <f t="shared" ref="D52:E52" si="43">D45+D48</f>
        <v>0</v>
      </c>
      <c r="E52" s="203">
        <f t="shared" si="43"/>
        <v>0</v>
      </c>
    </row>
    <row r="53" spans="1:5" ht="12" outlineLevel="1" x14ac:dyDescent="0.25">
      <c r="A53" s="85" t="s">
        <v>1767</v>
      </c>
      <c r="B53" s="204" t="s">
        <v>1792</v>
      </c>
      <c r="C53" s="205">
        <f t="shared" ref="C53" si="44">C46+C49</f>
        <v>0</v>
      </c>
      <c r="D53" s="205">
        <f t="shared" ref="D53:E53" si="45">D46+D49</f>
        <v>0</v>
      </c>
      <c r="E53" s="205">
        <f t="shared" si="45"/>
        <v>0</v>
      </c>
    </row>
    <row r="54" spans="1:5" ht="12" outlineLevel="1" x14ac:dyDescent="0.25">
      <c r="A54" s="85" t="s">
        <v>1768</v>
      </c>
      <c r="B54" s="56" t="s">
        <v>1793</v>
      </c>
      <c r="C54" s="81">
        <f t="shared" ref="C54" si="46">C52+C53</f>
        <v>50000</v>
      </c>
      <c r="D54" s="81">
        <f t="shared" ref="D54:E54" si="47">D52+D53</f>
        <v>0</v>
      </c>
      <c r="E54" s="81">
        <f t="shared" si="47"/>
        <v>0</v>
      </c>
    </row>
    <row r="55" spans="1:5" outlineLevel="1" x14ac:dyDescent="0.2">
      <c r="A55" s="85"/>
    </row>
    <row r="56" spans="1:5" outlineLevel="1" x14ac:dyDescent="0.2">
      <c r="A56" s="85"/>
      <c r="B56" s="73" t="s">
        <v>1942</v>
      </c>
    </row>
    <row r="57" spans="1:5" ht="12" outlineLevel="1" x14ac:dyDescent="0.25">
      <c r="A57" s="85" t="s">
        <v>1760</v>
      </c>
      <c r="B57" s="449" t="s">
        <v>1794</v>
      </c>
      <c r="C57" s="206">
        <f>INDEX('Import CO_25'!$A$4:$YE$134,MATCH($A57,'Import CO_25'!$A$4:$A$134,0),MATCH(C$3,'Import CO_25'!$A$4:$YE$4,0))</f>
        <v>0</v>
      </c>
      <c r="D57" s="206">
        <f>INDEX('Import CO_25'!$A$4:$YE$134,MATCH($A57,'Import CO_25'!$A$4:$A$134,0),MATCH(D$3,'Import CO_25'!$A$4:$YE$4,0))</f>
        <v>0</v>
      </c>
      <c r="E57" s="206">
        <f>INDEX('Import CO_25'!$A$4:$YE$134,MATCH($A57,'Import CO_25'!$A$4:$A$134,0),MATCH(E$3,'Import CO_25'!$A$4:$YE$4,0))</f>
        <v>0</v>
      </c>
    </row>
    <row r="58" spans="1:5" ht="12" outlineLevel="1" x14ac:dyDescent="0.25">
      <c r="A58" s="85" t="s">
        <v>1769</v>
      </c>
      <c r="B58" s="199" t="s">
        <v>1795</v>
      </c>
      <c r="C58" s="201">
        <v>0</v>
      </c>
      <c r="D58" s="201">
        <v>0</v>
      </c>
      <c r="E58" s="201">
        <v>0</v>
      </c>
    </row>
    <row r="59" spans="1:5" ht="12" outlineLevel="1" x14ac:dyDescent="0.25">
      <c r="A59" s="85" t="s">
        <v>1770</v>
      </c>
      <c r="B59" s="56" t="s">
        <v>1796</v>
      </c>
      <c r="C59" s="81">
        <f t="shared" ref="C59" si="48">C57+C58</f>
        <v>0</v>
      </c>
      <c r="D59" s="81">
        <f t="shared" ref="D59:E59" si="49">D57+D58</f>
        <v>0</v>
      </c>
      <c r="E59" s="81">
        <f t="shared" si="49"/>
        <v>0</v>
      </c>
    </row>
    <row r="60" spans="1:5" ht="12" outlineLevel="1" x14ac:dyDescent="0.25">
      <c r="A60" s="85" t="s">
        <v>1761</v>
      </c>
      <c r="B60" s="449" t="s">
        <v>1797</v>
      </c>
      <c r="C60" s="206">
        <f>INDEX('Import CO_25'!$A$4:$YE$134,MATCH($A60,'Import CO_25'!$A$4:$A$134,0),MATCH(C$3,'Import CO_25'!$A$4:$YE$4,0))</f>
        <v>0</v>
      </c>
      <c r="D60" s="206">
        <f>INDEX('Import CO_25'!$A$4:$YE$134,MATCH($A60,'Import CO_25'!$A$4:$A$134,0),MATCH(D$3,'Import CO_25'!$A$4:$YE$4,0))</f>
        <v>0</v>
      </c>
      <c r="E60" s="206">
        <f>INDEX('Import CO_25'!$A$4:$YE$134,MATCH($A60,'Import CO_25'!$A$4:$A$134,0),MATCH(E$3,'Import CO_25'!$A$4:$YE$4,0))</f>
        <v>0</v>
      </c>
    </row>
    <row r="61" spans="1:5" ht="12" outlineLevel="1" x14ac:dyDescent="0.25">
      <c r="A61" s="85" t="s">
        <v>1771</v>
      </c>
      <c r="B61" s="199" t="s">
        <v>1798</v>
      </c>
      <c r="C61" s="201">
        <v>0</v>
      </c>
      <c r="D61" s="201">
        <v>0</v>
      </c>
      <c r="E61" s="201">
        <v>0</v>
      </c>
    </row>
    <row r="62" spans="1:5" ht="12" outlineLevel="1" x14ac:dyDescent="0.25">
      <c r="A62" s="85" t="s">
        <v>1772</v>
      </c>
      <c r="B62" s="56" t="s">
        <v>1799</v>
      </c>
      <c r="C62" s="81">
        <f t="shared" ref="C62" si="50">C60+C61</f>
        <v>0</v>
      </c>
      <c r="D62" s="81">
        <f t="shared" ref="D62:E62" si="51">D60+D61</f>
        <v>0</v>
      </c>
      <c r="E62" s="81">
        <f t="shared" si="51"/>
        <v>0</v>
      </c>
    </row>
    <row r="63" spans="1:5" outlineLevel="1" x14ac:dyDescent="0.2"/>
    <row r="64" spans="1:5" ht="12" outlineLevel="1" x14ac:dyDescent="0.25">
      <c r="A64" s="85" t="s">
        <v>1773</v>
      </c>
      <c r="B64" s="202" t="s">
        <v>1800</v>
      </c>
      <c r="C64" s="203">
        <f t="shared" ref="C64" si="52">C57+C60</f>
        <v>0</v>
      </c>
      <c r="D64" s="203">
        <f t="shared" ref="D64:E64" si="53">D57+D60</f>
        <v>0</v>
      </c>
      <c r="E64" s="203">
        <f t="shared" si="53"/>
        <v>0</v>
      </c>
    </row>
    <row r="65" spans="1:5" ht="12" outlineLevel="1" x14ac:dyDescent="0.25">
      <c r="A65" s="85" t="s">
        <v>1774</v>
      </c>
      <c r="B65" s="204" t="s">
        <v>1801</v>
      </c>
      <c r="C65" s="205">
        <f t="shared" ref="C65" si="54">C58+C61</f>
        <v>0</v>
      </c>
      <c r="D65" s="205">
        <f t="shared" ref="D65:E65" si="55">D58+D61</f>
        <v>0</v>
      </c>
      <c r="E65" s="205">
        <f t="shared" si="55"/>
        <v>0</v>
      </c>
    </row>
    <row r="66" spans="1:5" ht="12" outlineLevel="1" x14ac:dyDescent="0.25">
      <c r="A66" s="85" t="s">
        <v>1775</v>
      </c>
      <c r="B66" s="56" t="s">
        <v>1802</v>
      </c>
      <c r="C66" s="81">
        <f t="shared" ref="C66" si="56">C64+C65</f>
        <v>0</v>
      </c>
      <c r="D66" s="81">
        <f t="shared" ref="D66:E66" si="57">D64+D65</f>
        <v>0</v>
      </c>
      <c r="E66" s="81">
        <f t="shared" si="57"/>
        <v>0</v>
      </c>
    </row>
    <row r="67" spans="1:5" outlineLevel="1" x14ac:dyDescent="0.2">
      <c r="A67" s="85"/>
    </row>
    <row r="68" spans="1:5" ht="12" outlineLevel="1" x14ac:dyDescent="0.25">
      <c r="A68" s="85" t="s">
        <v>1776</v>
      </c>
      <c r="B68" s="449" t="s">
        <v>1803</v>
      </c>
      <c r="C68" s="206">
        <f t="shared" ref="C68" si="58">IF((C45-C57)&gt;0,(C45-C57)*(-1),0)</f>
        <v>0</v>
      </c>
      <c r="D68" s="206">
        <f t="shared" ref="D68:E68" si="59">IF((D45-D57)&gt;0,(D45-D57)*(-1),0)</f>
        <v>0</v>
      </c>
      <c r="E68" s="206">
        <f t="shared" si="59"/>
        <v>0</v>
      </c>
    </row>
    <row r="69" spans="1:5" ht="12" outlineLevel="1" x14ac:dyDescent="0.25">
      <c r="A69" s="85" t="s">
        <v>1777</v>
      </c>
      <c r="B69" s="445" t="s">
        <v>1804</v>
      </c>
      <c r="C69" s="208">
        <f t="shared" ref="C69" si="60">IF((C46-C58)&gt;0,(C46-C58)*(-1),0)</f>
        <v>0</v>
      </c>
      <c r="D69" s="208">
        <f t="shared" ref="D69:E69" si="61">IF((D46-D58)&gt;0,(D46-D58)*(-1),0)</f>
        <v>0</v>
      </c>
      <c r="E69" s="208">
        <f t="shared" si="61"/>
        <v>0</v>
      </c>
    </row>
    <row r="70" spans="1:5" ht="12" outlineLevel="1" x14ac:dyDescent="0.25">
      <c r="A70" s="85" t="s">
        <v>1778</v>
      </c>
      <c r="B70" s="56" t="s">
        <v>1805</v>
      </c>
      <c r="C70" s="81">
        <f t="shared" ref="C70" si="62">C68+C69</f>
        <v>0</v>
      </c>
      <c r="D70" s="81">
        <f t="shared" ref="D70:E70" si="63">D68+D69</f>
        <v>0</v>
      </c>
      <c r="E70" s="81">
        <f t="shared" si="63"/>
        <v>0</v>
      </c>
    </row>
    <row r="71" spans="1:5" ht="12" outlineLevel="1" x14ac:dyDescent="0.25">
      <c r="A71" s="85" t="s">
        <v>1779</v>
      </c>
      <c r="B71" s="449" t="s">
        <v>1806</v>
      </c>
      <c r="C71" s="206">
        <f t="shared" ref="C71" si="64">IF((C48-C60)&gt;0,(C48-C60)*(-1),0)</f>
        <v>-50000</v>
      </c>
      <c r="D71" s="206">
        <f t="shared" ref="D71:E71" si="65">IF((D48-D60)&gt;0,(D48-D60)*(-1),0)</f>
        <v>0</v>
      </c>
      <c r="E71" s="206">
        <f t="shared" si="65"/>
        <v>0</v>
      </c>
    </row>
    <row r="72" spans="1:5" ht="12" outlineLevel="1" x14ac:dyDescent="0.25">
      <c r="A72" s="85" t="s">
        <v>1780</v>
      </c>
      <c r="B72" s="445" t="s">
        <v>1807</v>
      </c>
      <c r="C72" s="208">
        <f t="shared" ref="C72" si="66">IF((C49-C61)&gt;0,(C49-C61)*(-1),0)</f>
        <v>0</v>
      </c>
      <c r="D72" s="208">
        <f t="shared" ref="D72:E72" si="67">IF((D49-D61)&gt;0,(D49-D61)*(-1),0)</f>
        <v>0</v>
      </c>
      <c r="E72" s="208">
        <f t="shared" si="67"/>
        <v>0</v>
      </c>
    </row>
    <row r="73" spans="1:5" ht="12" outlineLevel="1" x14ac:dyDescent="0.25">
      <c r="A73" s="85" t="s">
        <v>1781</v>
      </c>
      <c r="B73" s="56" t="s">
        <v>1808</v>
      </c>
      <c r="C73" s="81">
        <f t="shared" ref="C73" si="68">C71+C72</f>
        <v>-50000</v>
      </c>
      <c r="D73" s="81">
        <f t="shared" ref="D73:E73" si="69">D71+D72</f>
        <v>0</v>
      </c>
      <c r="E73" s="81">
        <f t="shared" si="69"/>
        <v>0</v>
      </c>
    </row>
    <row r="74" spans="1:5" outlineLevel="1" x14ac:dyDescent="0.2">
      <c r="A74" s="85"/>
    </row>
    <row r="75" spans="1:5" ht="12" outlineLevel="1" x14ac:dyDescent="0.25">
      <c r="A75" s="85" t="s">
        <v>1782</v>
      </c>
      <c r="B75" s="202" t="s">
        <v>1809</v>
      </c>
      <c r="C75" s="203">
        <f t="shared" ref="C75" si="70">C68+C71</f>
        <v>-50000</v>
      </c>
      <c r="D75" s="203">
        <f t="shared" ref="D75:E75" si="71">D68+D71</f>
        <v>0</v>
      </c>
      <c r="E75" s="203">
        <f t="shared" si="71"/>
        <v>0</v>
      </c>
    </row>
    <row r="76" spans="1:5" ht="12" outlineLevel="1" x14ac:dyDescent="0.25">
      <c r="A76" s="85" t="s">
        <v>1783</v>
      </c>
      <c r="B76" s="204" t="s">
        <v>1810</v>
      </c>
      <c r="C76" s="205">
        <f t="shared" ref="C76" si="72">C69+C72</f>
        <v>0</v>
      </c>
      <c r="D76" s="205">
        <f t="shared" ref="D76:E76" si="73">D69+D72</f>
        <v>0</v>
      </c>
      <c r="E76" s="205">
        <f t="shared" si="73"/>
        <v>0</v>
      </c>
    </row>
    <row r="77" spans="1:5" ht="12" outlineLevel="1" x14ac:dyDescent="0.25">
      <c r="A77" s="85" t="s">
        <v>1784</v>
      </c>
      <c r="B77" s="56" t="s">
        <v>1811</v>
      </c>
      <c r="C77" s="81">
        <f t="shared" ref="C77" si="74">C75+C76</f>
        <v>-50000</v>
      </c>
      <c r="D77" s="81">
        <f t="shared" ref="D77:E77" si="75">D75+D76</f>
        <v>0</v>
      </c>
      <c r="E77" s="81">
        <f t="shared" si="75"/>
        <v>0</v>
      </c>
    </row>
    <row r="79" spans="1:5" ht="11.4" x14ac:dyDescent="0.25">
      <c r="B79" s="73" t="s">
        <v>1812</v>
      </c>
    </row>
    <row r="80" spans="1:5" outlineLevel="1" x14ac:dyDescent="0.2">
      <c r="B80" s="79">
        <v>2026</v>
      </c>
    </row>
    <row r="81" spans="1:5" ht="12" outlineLevel="1" x14ac:dyDescent="0.25">
      <c r="A81" s="85"/>
      <c r="B81" s="456" t="s">
        <v>1813</v>
      </c>
    </row>
    <row r="82" spans="1:5" ht="12" outlineLevel="1" x14ac:dyDescent="0.25">
      <c r="A82" s="85" t="s">
        <v>125</v>
      </c>
      <c r="B82" s="198" t="s">
        <v>1859</v>
      </c>
      <c r="C82" s="200">
        <v>0</v>
      </c>
      <c r="D82" s="200">
        <v>0</v>
      </c>
      <c r="E82" s="200">
        <v>0</v>
      </c>
    </row>
    <row r="83" spans="1:5" ht="12" outlineLevel="1" x14ac:dyDescent="0.25">
      <c r="A83" s="85" t="s">
        <v>126</v>
      </c>
      <c r="B83" s="199" t="s">
        <v>1860</v>
      </c>
      <c r="C83" s="201">
        <v>0</v>
      </c>
      <c r="D83" s="201">
        <v>0</v>
      </c>
      <c r="E83" s="201">
        <v>0</v>
      </c>
    </row>
    <row r="84" spans="1:5" ht="12" outlineLevel="1" x14ac:dyDescent="0.25">
      <c r="A84" s="85" t="s">
        <v>1817</v>
      </c>
      <c r="B84" s="56" t="s">
        <v>1861</v>
      </c>
      <c r="C84" s="81">
        <f t="shared" ref="C84" si="76">C82+C83</f>
        <v>0</v>
      </c>
      <c r="D84" s="81">
        <f t="shared" ref="D84:E84" si="77">D82+D83</f>
        <v>0</v>
      </c>
      <c r="E84" s="81">
        <f t="shared" si="77"/>
        <v>0</v>
      </c>
    </row>
    <row r="85" spans="1:5" ht="12" outlineLevel="1" x14ac:dyDescent="0.25">
      <c r="A85" s="85" t="s">
        <v>127</v>
      </c>
      <c r="B85" s="198" t="s">
        <v>1862</v>
      </c>
      <c r="C85" s="200">
        <v>0</v>
      </c>
      <c r="D85" s="200">
        <v>0</v>
      </c>
      <c r="E85" s="200">
        <v>0</v>
      </c>
    </row>
    <row r="86" spans="1:5" ht="12" outlineLevel="1" x14ac:dyDescent="0.25">
      <c r="A86" s="85" t="s">
        <v>128</v>
      </c>
      <c r="B86" s="199" t="s">
        <v>1863</v>
      </c>
      <c r="C86" s="201">
        <v>0</v>
      </c>
      <c r="D86" s="201">
        <v>0</v>
      </c>
      <c r="E86" s="201">
        <v>0</v>
      </c>
    </row>
    <row r="87" spans="1:5" ht="12" outlineLevel="1" x14ac:dyDescent="0.25">
      <c r="A87" s="85" t="s">
        <v>1818</v>
      </c>
      <c r="B87" s="56" t="s">
        <v>1864</v>
      </c>
      <c r="C87" s="81">
        <f t="shared" ref="C87" si="78">C85+C86</f>
        <v>0</v>
      </c>
      <c r="D87" s="81">
        <f t="shared" ref="D87:E87" si="79">D85+D86</f>
        <v>0</v>
      </c>
      <c r="E87" s="81">
        <f t="shared" si="79"/>
        <v>0</v>
      </c>
    </row>
    <row r="88" spans="1:5" outlineLevel="1" x14ac:dyDescent="0.2"/>
    <row r="89" spans="1:5" ht="12" outlineLevel="1" x14ac:dyDescent="0.25">
      <c r="A89" s="85" t="s">
        <v>1819</v>
      </c>
      <c r="B89" s="202" t="s">
        <v>1865</v>
      </c>
      <c r="C89" s="203">
        <f t="shared" ref="C89" si="80">C82+C85</f>
        <v>0</v>
      </c>
      <c r="D89" s="203">
        <f t="shared" ref="D89:E89" si="81">D82+D85</f>
        <v>0</v>
      </c>
      <c r="E89" s="203">
        <f t="shared" si="81"/>
        <v>0</v>
      </c>
    </row>
    <row r="90" spans="1:5" ht="12" outlineLevel="1" x14ac:dyDescent="0.25">
      <c r="A90" s="85" t="s">
        <v>1820</v>
      </c>
      <c r="B90" s="204" t="s">
        <v>1866</v>
      </c>
      <c r="C90" s="205">
        <f t="shared" ref="C90" si="82">C83+C86</f>
        <v>0</v>
      </c>
      <c r="D90" s="205">
        <f t="shared" ref="D90:E90" si="83">D83+D86</f>
        <v>0</v>
      </c>
      <c r="E90" s="205">
        <f t="shared" si="83"/>
        <v>0</v>
      </c>
    </row>
    <row r="91" spans="1:5" ht="12" outlineLevel="1" x14ac:dyDescent="0.25">
      <c r="A91" s="85" t="s">
        <v>1821</v>
      </c>
      <c r="B91" s="56" t="s">
        <v>1867</v>
      </c>
      <c r="C91" s="81">
        <f t="shared" ref="C91" si="84">C89+C90</f>
        <v>0</v>
      </c>
      <c r="D91" s="81">
        <f t="shared" ref="D91:E91" si="85">D89+D90</f>
        <v>0</v>
      </c>
      <c r="E91" s="81">
        <f t="shared" si="85"/>
        <v>0</v>
      </c>
    </row>
    <row r="92" spans="1:5" outlineLevel="1" x14ac:dyDescent="0.2">
      <c r="A92" s="85"/>
    </row>
    <row r="93" spans="1:5" ht="12" outlineLevel="1" x14ac:dyDescent="0.25">
      <c r="A93" s="85"/>
      <c r="B93" s="456" t="s">
        <v>1815</v>
      </c>
    </row>
    <row r="94" spans="1:5" ht="12" outlineLevel="1" x14ac:dyDescent="0.25">
      <c r="A94" s="85" t="s">
        <v>790</v>
      </c>
      <c r="B94" s="449" t="s">
        <v>1868</v>
      </c>
      <c r="C94" s="206">
        <f>INDEX('Import CO_24'!$A$4:$E$134,MATCH($A94,'Import CO_24'!$A$4:$A$134,0),MATCH(C$3,'Import CO_24'!$A$4:$E$4,0))</f>
        <v>0</v>
      </c>
      <c r="D94" s="206">
        <f>INDEX('Import CO_24'!$A$4:$E$134,MATCH($A94,'Import CO_24'!$A$4:$A$134,0),MATCH(D$3,'Import CO_24'!$A$4:$E$4,0))</f>
        <v>0</v>
      </c>
      <c r="E94" s="206">
        <f>INDEX('Import CO_24'!$A$4:$E$134,MATCH($A94,'Import CO_24'!$A$4:$A$134,0),MATCH(E$3,'Import CO_24'!$A$4:$E$4,0))</f>
        <v>0</v>
      </c>
    </row>
    <row r="95" spans="1:5" ht="12" outlineLevel="1" x14ac:dyDescent="0.25">
      <c r="A95" s="85" t="s">
        <v>1822</v>
      </c>
      <c r="B95" s="199" t="s">
        <v>1869</v>
      </c>
      <c r="C95" s="201">
        <v>0</v>
      </c>
      <c r="D95" s="201">
        <v>0</v>
      </c>
      <c r="E95" s="201">
        <v>0</v>
      </c>
    </row>
    <row r="96" spans="1:5" ht="12" outlineLevel="1" x14ac:dyDescent="0.25">
      <c r="A96" s="85" t="s">
        <v>1823</v>
      </c>
      <c r="B96" s="56" t="s">
        <v>1870</v>
      </c>
      <c r="C96" s="81">
        <f t="shared" ref="C96" si="86">C94+C95</f>
        <v>0</v>
      </c>
      <c r="D96" s="81">
        <f t="shared" ref="D96:E96" si="87">D94+D95</f>
        <v>0</v>
      </c>
      <c r="E96" s="81">
        <f t="shared" si="87"/>
        <v>0</v>
      </c>
    </row>
    <row r="97" spans="1:5" ht="12" outlineLevel="1" x14ac:dyDescent="0.25">
      <c r="A97" s="85" t="s">
        <v>791</v>
      </c>
      <c r="B97" s="449" t="s">
        <v>1871</v>
      </c>
      <c r="C97" s="206">
        <f>INDEX('Import CO_24'!$A$4:$E$134,MATCH($A97,'Import CO_24'!$A$4:$A$134,0),MATCH(C$3,'Import CO_24'!$A$4:$E$4,0))</f>
        <v>0</v>
      </c>
      <c r="D97" s="206">
        <f>INDEX('Import CO_24'!$A$4:$E$134,MATCH($A97,'Import CO_24'!$A$4:$A$134,0),MATCH(D$3,'Import CO_24'!$A$4:$E$4,0))</f>
        <v>0</v>
      </c>
      <c r="E97" s="206">
        <f>INDEX('Import CO_24'!$A$4:$E$134,MATCH($A97,'Import CO_24'!$A$4:$A$134,0),MATCH(E$3,'Import CO_24'!$A$4:$E$4,0))</f>
        <v>0</v>
      </c>
    </row>
    <row r="98" spans="1:5" ht="12" outlineLevel="1" x14ac:dyDescent="0.25">
      <c r="A98" s="85" t="s">
        <v>1824</v>
      </c>
      <c r="B98" s="199" t="s">
        <v>1872</v>
      </c>
      <c r="C98" s="201">
        <v>0</v>
      </c>
      <c r="D98" s="201">
        <v>0</v>
      </c>
      <c r="E98" s="201">
        <v>0</v>
      </c>
    </row>
    <row r="99" spans="1:5" ht="12" outlineLevel="1" x14ac:dyDescent="0.25">
      <c r="A99" s="85" t="s">
        <v>1825</v>
      </c>
      <c r="B99" s="56" t="s">
        <v>1873</v>
      </c>
      <c r="C99" s="81">
        <f t="shared" ref="C99" si="88">C97+C98</f>
        <v>0</v>
      </c>
      <c r="D99" s="81">
        <f t="shared" ref="D99:E99" si="89">D97+D98</f>
        <v>0</v>
      </c>
      <c r="E99" s="81">
        <f t="shared" si="89"/>
        <v>0</v>
      </c>
    </row>
    <row r="100" spans="1:5" outlineLevel="1" x14ac:dyDescent="0.2"/>
    <row r="101" spans="1:5" ht="12" outlineLevel="1" x14ac:dyDescent="0.25">
      <c r="A101" s="85" t="s">
        <v>1826</v>
      </c>
      <c r="B101" s="202" t="s">
        <v>1874</v>
      </c>
      <c r="C101" s="203">
        <f t="shared" ref="C101" si="90">C94+C97</f>
        <v>0</v>
      </c>
      <c r="D101" s="203">
        <f t="shared" ref="D101:E101" si="91">D94+D97</f>
        <v>0</v>
      </c>
      <c r="E101" s="203">
        <f t="shared" si="91"/>
        <v>0</v>
      </c>
    </row>
    <row r="102" spans="1:5" ht="12" outlineLevel="1" x14ac:dyDescent="0.25">
      <c r="A102" s="85" t="s">
        <v>1827</v>
      </c>
      <c r="B102" s="204" t="s">
        <v>1875</v>
      </c>
      <c r="C102" s="205">
        <f t="shared" ref="C102" si="92">C95+C98</f>
        <v>0</v>
      </c>
      <c r="D102" s="205">
        <f t="shared" ref="D102:E102" si="93">D95+D98</f>
        <v>0</v>
      </c>
      <c r="E102" s="205">
        <f t="shared" si="93"/>
        <v>0</v>
      </c>
    </row>
    <row r="103" spans="1:5" ht="12" outlineLevel="1" x14ac:dyDescent="0.25">
      <c r="A103" s="85" t="s">
        <v>1828</v>
      </c>
      <c r="B103" s="56" t="s">
        <v>1876</v>
      </c>
      <c r="C103" s="81">
        <f t="shared" ref="C103" si="94">C101+C102</f>
        <v>0</v>
      </c>
      <c r="D103" s="81">
        <f t="shared" ref="D103:E103" si="95">D101+D102</f>
        <v>0</v>
      </c>
      <c r="E103" s="81">
        <f t="shared" si="95"/>
        <v>0</v>
      </c>
    </row>
    <row r="104" spans="1:5" outlineLevel="1" x14ac:dyDescent="0.2">
      <c r="A104" s="85"/>
    </row>
    <row r="105" spans="1:5" ht="12" outlineLevel="1" x14ac:dyDescent="0.25">
      <c r="A105" s="85" t="s">
        <v>1829</v>
      </c>
      <c r="B105" s="449" t="s">
        <v>1877</v>
      </c>
      <c r="C105" s="206">
        <f t="shared" ref="C105" si="96">(C82-C94)*(-1)</f>
        <v>0</v>
      </c>
      <c r="D105" s="206">
        <f t="shared" ref="D105:E105" si="97">(D82-D94)*(-1)</f>
        <v>0</v>
      </c>
      <c r="E105" s="206">
        <f t="shared" si="97"/>
        <v>0</v>
      </c>
    </row>
    <row r="106" spans="1:5" ht="12" outlineLevel="1" x14ac:dyDescent="0.25">
      <c r="A106" s="85" t="s">
        <v>1830</v>
      </c>
      <c r="B106" s="445" t="s">
        <v>1878</v>
      </c>
      <c r="C106" s="208">
        <f t="shared" ref="C106" si="98">(C83-C95)*(-1)</f>
        <v>0</v>
      </c>
      <c r="D106" s="208">
        <f t="shared" ref="D106:E106" si="99">(D83-D95)*(-1)</f>
        <v>0</v>
      </c>
      <c r="E106" s="208">
        <f t="shared" si="99"/>
        <v>0</v>
      </c>
    </row>
    <row r="107" spans="1:5" ht="12" outlineLevel="1" x14ac:dyDescent="0.25">
      <c r="A107" s="85" t="s">
        <v>1831</v>
      </c>
      <c r="B107" s="56" t="s">
        <v>1879</v>
      </c>
      <c r="C107" s="81">
        <f t="shared" ref="C107" si="100">C105+C106</f>
        <v>0</v>
      </c>
      <c r="D107" s="81">
        <f t="shared" ref="D107:E107" si="101">D105+D106</f>
        <v>0</v>
      </c>
      <c r="E107" s="81">
        <f t="shared" si="101"/>
        <v>0</v>
      </c>
    </row>
    <row r="108" spans="1:5" ht="12" outlineLevel="1" x14ac:dyDescent="0.25">
      <c r="A108" s="85" t="s">
        <v>1832</v>
      </c>
      <c r="B108" s="449" t="s">
        <v>1880</v>
      </c>
      <c r="C108" s="206">
        <f t="shared" ref="C108" si="102">(C85-C97)*(-1)</f>
        <v>0</v>
      </c>
      <c r="D108" s="206">
        <f t="shared" ref="D108:E108" si="103">(D85-D97)*(-1)</f>
        <v>0</v>
      </c>
      <c r="E108" s="206">
        <f t="shared" si="103"/>
        <v>0</v>
      </c>
    </row>
    <row r="109" spans="1:5" ht="12" outlineLevel="1" x14ac:dyDescent="0.25">
      <c r="A109" s="85" t="s">
        <v>1833</v>
      </c>
      <c r="B109" s="445" t="s">
        <v>1881</v>
      </c>
      <c r="C109" s="208">
        <f t="shared" ref="C109" si="104">(C86-C98)*(-1)</f>
        <v>0</v>
      </c>
      <c r="D109" s="208">
        <f t="shared" ref="D109:E109" si="105">(D86-D98)*(-1)</f>
        <v>0</v>
      </c>
      <c r="E109" s="208">
        <f t="shared" si="105"/>
        <v>0</v>
      </c>
    </row>
    <row r="110" spans="1:5" ht="12" outlineLevel="1" x14ac:dyDescent="0.25">
      <c r="A110" s="85" t="s">
        <v>1834</v>
      </c>
      <c r="B110" s="56" t="s">
        <v>1882</v>
      </c>
      <c r="C110" s="81">
        <f t="shared" ref="C110" si="106">C108+C109</f>
        <v>0</v>
      </c>
      <c r="D110" s="81">
        <f t="shared" ref="D110:E110" si="107">D108+D109</f>
        <v>0</v>
      </c>
      <c r="E110" s="81">
        <f t="shared" si="107"/>
        <v>0</v>
      </c>
    </row>
    <row r="111" spans="1:5" outlineLevel="1" x14ac:dyDescent="0.2">
      <c r="A111" s="85"/>
    </row>
    <row r="112" spans="1:5" ht="12" outlineLevel="1" x14ac:dyDescent="0.25">
      <c r="A112" s="85" t="s">
        <v>1835</v>
      </c>
      <c r="B112" s="202" t="s">
        <v>1883</v>
      </c>
      <c r="C112" s="203">
        <f t="shared" ref="C112" si="108">C105+C108</f>
        <v>0</v>
      </c>
      <c r="D112" s="203">
        <f t="shared" ref="D112:E112" si="109">D105+D108</f>
        <v>0</v>
      </c>
      <c r="E112" s="203">
        <f t="shared" si="109"/>
        <v>0</v>
      </c>
    </row>
    <row r="113" spans="1:5" ht="12" outlineLevel="1" x14ac:dyDescent="0.25">
      <c r="A113" s="85" t="s">
        <v>1836</v>
      </c>
      <c r="B113" s="204" t="s">
        <v>1884</v>
      </c>
      <c r="C113" s="205">
        <f t="shared" ref="C113" si="110">C106+C109</f>
        <v>0</v>
      </c>
      <c r="D113" s="205">
        <f t="shared" ref="D113:E113" si="111">D106+D109</f>
        <v>0</v>
      </c>
      <c r="E113" s="205">
        <f t="shared" si="111"/>
        <v>0</v>
      </c>
    </row>
    <row r="114" spans="1:5" ht="12" outlineLevel="1" x14ac:dyDescent="0.25">
      <c r="A114" s="85" t="s">
        <v>1837</v>
      </c>
      <c r="B114" s="56" t="s">
        <v>1885</v>
      </c>
      <c r="C114" s="81">
        <f t="shared" ref="C114" si="112">C112+C113</f>
        <v>0</v>
      </c>
      <c r="D114" s="81">
        <f t="shared" ref="D114:E114" si="113">D112+D113</f>
        <v>0</v>
      </c>
      <c r="E114" s="81">
        <f t="shared" si="113"/>
        <v>0</v>
      </c>
    </row>
    <row r="115" spans="1:5" outlineLevel="1" x14ac:dyDescent="0.2">
      <c r="A115" s="85"/>
    </row>
    <row r="116" spans="1:5" outlineLevel="1" x14ac:dyDescent="0.2">
      <c r="A116" s="85"/>
      <c r="B116" s="79">
        <v>2027</v>
      </c>
    </row>
    <row r="117" spans="1:5" ht="12" outlineLevel="1" x14ac:dyDescent="0.25">
      <c r="A117" s="85"/>
      <c r="B117" s="456" t="s">
        <v>1814</v>
      </c>
    </row>
    <row r="118" spans="1:5" ht="12" outlineLevel="1" x14ac:dyDescent="0.25">
      <c r="A118" s="85" t="s">
        <v>129</v>
      </c>
      <c r="B118" s="198" t="s">
        <v>1886</v>
      </c>
      <c r="C118" s="200">
        <v>0</v>
      </c>
      <c r="D118" s="200">
        <v>0</v>
      </c>
      <c r="E118" s="200">
        <v>0</v>
      </c>
    </row>
    <row r="119" spans="1:5" ht="12" outlineLevel="1" x14ac:dyDescent="0.25">
      <c r="A119" s="85" t="s">
        <v>130</v>
      </c>
      <c r="B119" s="199" t="s">
        <v>1887</v>
      </c>
      <c r="C119" s="201">
        <v>0</v>
      </c>
      <c r="D119" s="201">
        <v>0</v>
      </c>
      <c r="E119" s="201">
        <v>0</v>
      </c>
    </row>
    <row r="120" spans="1:5" ht="12" outlineLevel="1" x14ac:dyDescent="0.25">
      <c r="A120" s="85" t="s">
        <v>1838</v>
      </c>
      <c r="B120" s="56" t="s">
        <v>1888</v>
      </c>
      <c r="C120" s="81">
        <f t="shared" ref="C120" si="114">C118+C119</f>
        <v>0</v>
      </c>
      <c r="D120" s="81">
        <f t="shared" ref="D120:E120" si="115">D118+D119</f>
        <v>0</v>
      </c>
      <c r="E120" s="81">
        <f t="shared" si="115"/>
        <v>0</v>
      </c>
    </row>
    <row r="121" spans="1:5" ht="12" outlineLevel="1" x14ac:dyDescent="0.25">
      <c r="A121" s="85" t="s">
        <v>131</v>
      </c>
      <c r="B121" s="198" t="s">
        <v>1889</v>
      </c>
      <c r="C121" s="200">
        <v>0</v>
      </c>
      <c r="D121" s="200">
        <v>0</v>
      </c>
      <c r="E121" s="200">
        <v>0</v>
      </c>
    </row>
    <row r="122" spans="1:5" ht="12" outlineLevel="1" x14ac:dyDescent="0.25">
      <c r="A122" s="85" t="s">
        <v>132</v>
      </c>
      <c r="B122" s="199" t="s">
        <v>1890</v>
      </c>
      <c r="C122" s="201">
        <v>0</v>
      </c>
      <c r="D122" s="201">
        <v>0</v>
      </c>
      <c r="E122" s="201">
        <v>0</v>
      </c>
    </row>
    <row r="123" spans="1:5" ht="12" outlineLevel="1" x14ac:dyDescent="0.25">
      <c r="A123" s="85" t="s">
        <v>1839</v>
      </c>
      <c r="B123" s="56" t="s">
        <v>1891</v>
      </c>
      <c r="C123" s="81">
        <f t="shared" ref="C123" si="116">C121+C122</f>
        <v>0</v>
      </c>
      <c r="D123" s="81">
        <f t="shared" ref="D123:E123" si="117">D121+D122</f>
        <v>0</v>
      </c>
      <c r="E123" s="81">
        <f t="shared" si="117"/>
        <v>0</v>
      </c>
    </row>
    <row r="124" spans="1:5" outlineLevel="1" x14ac:dyDescent="0.2"/>
    <row r="125" spans="1:5" ht="12" outlineLevel="1" x14ac:dyDescent="0.25">
      <c r="A125" s="85" t="s">
        <v>1840</v>
      </c>
      <c r="B125" s="202" t="s">
        <v>1892</v>
      </c>
      <c r="C125" s="203">
        <f t="shared" ref="C125" si="118">C118+C121</f>
        <v>0</v>
      </c>
      <c r="D125" s="203">
        <f t="shared" ref="D125:E125" si="119">D118+D121</f>
        <v>0</v>
      </c>
      <c r="E125" s="203">
        <f t="shared" si="119"/>
        <v>0</v>
      </c>
    </row>
    <row r="126" spans="1:5" ht="12" outlineLevel="1" x14ac:dyDescent="0.25">
      <c r="A126" s="85" t="s">
        <v>1841</v>
      </c>
      <c r="B126" s="204" t="s">
        <v>1893</v>
      </c>
      <c r="C126" s="205">
        <f t="shared" ref="C126" si="120">C119+C122</f>
        <v>0</v>
      </c>
      <c r="D126" s="205">
        <f t="shared" ref="D126:E126" si="121">D119+D122</f>
        <v>0</v>
      </c>
      <c r="E126" s="205">
        <f t="shared" si="121"/>
        <v>0</v>
      </c>
    </row>
    <row r="127" spans="1:5" ht="12" outlineLevel="1" x14ac:dyDescent="0.25">
      <c r="A127" s="85" t="s">
        <v>1842</v>
      </c>
      <c r="B127" s="56" t="s">
        <v>1894</v>
      </c>
      <c r="C127" s="81">
        <f t="shared" ref="C127" si="122">C125+C126</f>
        <v>0</v>
      </c>
      <c r="D127" s="81">
        <f t="shared" ref="D127:E127" si="123">D125+D126</f>
        <v>0</v>
      </c>
      <c r="E127" s="81">
        <f t="shared" si="123"/>
        <v>0</v>
      </c>
    </row>
    <row r="128" spans="1:5" outlineLevel="1" x14ac:dyDescent="0.2">
      <c r="A128" s="85"/>
    </row>
    <row r="129" spans="1:5" ht="12" outlineLevel="1" x14ac:dyDescent="0.25">
      <c r="A129" s="85"/>
      <c r="B129" s="456" t="s">
        <v>1816</v>
      </c>
    </row>
    <row r="130" spans="1:5" ht="12" outlineLevel="1" x14ac:dyDescent="0.25">
      <c r="A130" s="85" t="s">
        <v>1762</v>
      </c>
      <c r="B130" s="449" t="s">
        <v>1895</v>
      </c>
      <c r="C130" s="206">
        <f>INDEX('Import CO_25'!$A$4:$YE$134,MATCH($A130,'Import CO_25'!$A$4:$A$134,0),MATCH(C$3,'Import CO_25'!$A$4:$YE$4,0))</f>
        <v>0</v>
      </c>
      <c r="D130" s="206">
        <f>INDEX('Import CO_25'!$A$4:$YE$134,MATCH($A130,'Import CO_25'!$A$4:$A$134,0),MATCH(D$3,'Import CO_25'!$A$4:$YE$4,0))</f>
        <v>0</v>
      </c>
      <c r="E130" s="206">
        <f>INDEX('Import CO_25'!$A$4:$YE$134,MATCH($A130,'Import CO_25'!$A$4:$A$134,0),MATCH(E$3,'Import CO_25'!$A$4:$YE$4,0))</f>
        <v>0</v>
      </c>
    </row>
    <row r="131" spans="1:5" ht="12" outlineLevel="1" x14ac:dyDescent="0.25">
      <c r="A131" s="85" t="s">
        <v>1843</v>
      </c>
      <c r="B131" s="199" t="s">
        <v>1896</v>
      </c>
      <c r="C131" s="201"/>
      <c r="D131" s="201"/>
      <c r="E131" s="201"/>
    </row>
    <row r="132" spans="1:5" ht="11.4" outlineLevel="1" x14ac:dyDescent="0.25">
      <c r="A132" s="85" t="s">
        <v>1844</v>
      </c>
      <c r="B132" s="56" t="s">
        <v>1897</v>
      </c>
      <c r="C132" s="81">
        <f t="shared" ref="C132" si="124">C130+C131</f>
        <v>0</v>
      </c>
      <c r="D132" s="81">
        <f t="shared" ref="D132:E132" si="125">D130+D131</f>
        <v>0</v>
      </c>
      <c r="E132" s="81">
        <f t="shared" si="125"/>
        <v>0</v>
      </c>
    </row>
    <row r="133" spans="1:5" ht="12" outlineLevel="1" x14ac:dyDescent="0.25">
      <c r="A133" s="85" t="s">
        <v>1763</v>
      </c>
      <c r="B133" s="449" t="s">
        <v>1898</v>
      </c>
      <c r="C133" s="206">
        <f>INDEX('Import CO_25'!$A$4:$YE$134,MATCH($A133,'Import CO_25'!$A$4:$A$134,0),MATCH(C$3,'Import CO_25'!$A$4:$YE$4,0))</f>
        <v>0</v>
      </c>
      <c r="D133" s="206">
        <f>INDEX('Import CO_25'!$A$4:$YE$134,MATCH($A133,'Import CO_25'!$A$4:$A$134,0),MATCH(D$3,'Import CO_25'!$A$4:$YE$4,0))</f>
        <v>0</v>
      </c>
      <c r="E133" s="206">
        <f>INDEX('Import CO_25'!$A$4:$YE$134,MATCH($A133,'Import CO_25'!$A$4:$A$134,0),MATCH(E$3,'Import CO_25'!$A$4:$YE$4,0))</f>
        <v>0</v>
      </c>
    </row>
    <row r="134" spans="1:5" ht="12" outlineLevel="1" x14ac:dyDescent="0.25">
      <c r="A134" s="85" t="s">
        <v>1845</v>
      </c>
      <c r="B134" s="199" t="s">
        <v>1899</v>
      </c>
      <c r="C134" s="201"/>
      <c r="D134" s="201"/>
      <c r="E134" s="201"/>
    </row>
    <row r="135" spans="1:5" ht="12" outlineLevel="1" x14ac:dyDescent="0.25">
      <c r="A135" s="85" t="s">
        <v>1846</v>
      </c>
      <c r="B135" s="56" t="s">
        <v>1900</v>
      </c>
      <c r="C135" s="81">
        <f t="shared" ref="C135" si="126">C133+C134</f>
        <v>0</v>
      </c>
      <c r="D135" s="81">
        <f t="shared" ref="D135:E135" si="127">D133+D134</f>
        <v>0</v>
      </c>
      <c r="E135" s="81">
        <f t="shared" si="127"/>
        <v>0</v>
      </c>
    </row>
    <row r="136" spans="1:5" outlineLevel="1" x14ac:dyDescent="0.2"/>
    <row r="137" spans="1:5" ht="12" outlineLevel="1" x14ac:dyDescent="0.25">
      <c r="A137" s="85" t="s">
        <v>1847</v>
      </c>
      <c r="B137" s="202" t="s">
        <v>1901</v>
      </c>
      <c r="C137" s="203">
        <f t="shared" ref="C137" si="128">C130+C133</f>
        <v>0</v>
      </c>
      <c r="D137" s="203">
        <f t="shared" ref="D137:E137" si="129">D130+D133</f>
        <v>0</v>
      </c>
      <c r="E137" s="203">
        <f t="shared" si="129"/>
        <v>0</v>
      </c>
    </row>
    <row r="138" spans="1:5" ht="12" outlineLevel="1" x14ac:dyDescent="0.25">
      <c r="A138" s="85" t="s">
        <v>1848</v>
      </c>
      <c r="B138" s="204" t="s">
        <v>1902</v>
      </c>
      <c r="C138" s="205">
        <f t="shared" ref="C138" si="130">C131+C134</f>
        <v>0</v>
      </c>
      <c r="D138" s="205">
        <f t="shared" ref="D138:E138" si="131">D131+D134</f>
        <v>0</v>
      </c>
      <c r="E138" s="205">
        <f t="shared" si="131"/>
        <v>0</v>
      </c>
    </row>
    <row r="139" spans="1:5" ht="12" outlineLevel="1" x14ac:dyDescent="0.25">
      <c r="A139" s="85" t="s">
        <v>1849</v>
      </c>
      <c r="B139" s="56" t="s">
        <v>1903</v>
      </c>
      <c r="C139" s="81">
        <f t="shared" ref="C139" si="132">C137+C138</f>
        <v>0</v>
      </c>
      <c r="D139" s="81">
        <f t="shared" ref="D139:E139" si="133">D137+D138</f>
        <v>0</v>
      </c>
      <c r="E139" s="81">
        <f t="shared" si="133"/>
        <v>0</v>
      </c>
    </row>
    <row r="140" spans="1:5" outlineLevel="1" x14ac:dyDescent="0.2">
      <c r="A140" s="85"/>
    </row>
    <row r="141" spans="1:5" ht="12" outlineLevel="1" x14ac:dyDescent="0.25">
      <c r="A141" s="85" t="s">
        <v>1850</v>
      </c>
      <c r="B141" s="449" t="s">
        <v>1904</v>
      </c>
      <c r="C141" s="206">
        <f t="shared" ref="C141" si="134">(C118-C130)*(-1)</f>
        <v>0</v>
      </c>
      <c r="D141" s="206">
        <f t="shared" ref="D141:E141" si="135">(D118-D130)*(-1)</f>
        <v>0</v>
      </c>
      <c r="E141" s="206">
        <f t="shared" si="135"/>
        <v>0</v>
      </c>
    </row>
    <row r="142" spans="1:5" ht="12" outlineLevel="1" x14ac:dyDescent="0.25">
      <c r="A142" s="85" t="s">
        <v>1851</v>
      </c>
      <c r="B142" s="445" t="s">
        <v>1905</v>
      </c>
      <c r="C142" s="208">
        <f t="shared" ref="C142" si="136">(C119-C131)*(-1)</f>
        <v>0</v>
      </c>
      <c r="D142" s="208">
        <f t="shared" ref="D142:E142" si="137">(D119-D131)*(-1)</f>
        <v>0</v>
      </c>
      <c r="E142" s="208">
        <f t="shared" si="137"/>
        <v>0</v>
      </c>
    </row>
    <row r="143" spans="1:5" ht="12" outlineLevel="1" x14ac:dyDescent="0.25">
      <c r="A143" s="85" t="s">
        <v>1852</v>
      </c>
      <c r="B143" s="56" t="s">
        <v>1906</v>
      </c>
      <c r="C143" s="81">
        <f t="shared" ref="C143" si="138">C141+C142</f>
        <v>0</v>
      </c>
      <c r="D143" s="81">
        <f t="shared" ref="D143:E143" si="139">D141+D142</f>
        <v>0</v>
      </c>
      <c r="E143" s="81">
        <f t="shared" si="139"/>
        <v>0</v>
      </c>
    </row>
    <row r="144" spans="1:5" ht="12" outlineLevel="1" x14ac:dyDescent="0.25">
      <c r="A144" s="85" t="s">
        <v>1853</v>
      </c>
      <c r="B144" s="449" t="s">
        <v>1907</v>
      </c>
      <c r="C144" s="206">
        <f t="shared" ref="C144" si="140">(C121-C133)*(-1)</f>
        <v>0</v>
      </c>
      <c r="D144" s="206">
        <f t="shared" ref="D144:E144" si="141">(D121-D133)*(-1)</f>
        <v>0</v>
      </c>
      <c r="E144" s="206">
        <f t="shared" si="141"/>
        <v>0</v>
      </c>
    </row>
    <row r="145" spans="1:5" ht="12" outlineLevel="1" x14ac:dyDescent="0.25">
      <c r="A145" s="85" t="s">
        <v>1854</v>
      </c>
      <c r="B145" s="445" t="s">
        <v>1908</v>
      </c>
      <c r="C145" s="208">
        <f t="shared" ref="C145" si="142">(C122-C134)*(-1)</f>
        <v>0</v>
      </c>
      <c r="D145" s="208">
        <f t="shared" ref="D145:E145" si="143">(D122-D134)*(-1)</f>
        <v>0</v>
      </c>
      <c r="E145" s="208">
        <f t="shared" si="143"/>
        <v>0</v>
      </c>
    </row>
    <row r="146" spans="1:5" ht="12" outlineLevel="1" x14ac:dyDescent="0.25">
      <c r="A146" s="85" t="s">
        <v>1855</v>
      </c>
      <c r="B146" s="56" t="s">
        <v>1909</v>
      </c>
      <c r="C146" s="81">
        <f t="shared" ref="C146" si="144">C144+C145</f>
        <v>0</v>
      </c>
      <c r="D146" s="81">
        <f t="shared" ref="D146:E146" si="145">D144+D145</f>
        <v>0</v>
      </c>
      <c r="E146" s="81">
        <f t="shared" si="145"/>
        <v>0</v>
      </c>
    </row>
    <row r="147" spans="1:5" outlineLevel="1" x14ac:dyDescent="0.2">
      <c r="A147" s="85"/>
    </row>
    <row r="148" spans="1:5" ht="12" outlineLevel="1" x14ac:dyDescent="0.25">
      <c r="A148" s="85" t="s">
        <v>1856</v>
      </c>
      <c r="B148" s="202" t="s">
        <v>1910</v>
      </c>
      <c r="C148" s="203">
        <f t="shared" ref="C148" si="146">C141+C144</f>
        <v>0</v>
      </c>
      <c r="D148" s="203">
        <f t="shared" ref="D148:E148" si="147">D141+D144</f>
        <v>0</v>
      </c>
      <c r="E148" s="203">
        <f t="shared" si="147"/>
        <v>0</v>
      </c>
    </row>
    <row r="149" spans="1:5" ht="12" outlineLevel="1" x14ac:dyDescent="0.25">
      <c r="A149" s="85" t="s">
        <v>1857</v>
      </c>
      <c r="B149" s="204" t="s">
        <v>1911</v>
      </c>
      <c r="C149" s="205">
        <f t="shared" ref="C149" si="148">C142+C145</f>
        <v>0</v>
      </c>
      <c r="D149" s="205">
        <f t="shared" ref="D149:E149" si="149">D142+D145</f>
        <v>0</v>
      </c>
      <c r="E149" s="205">
        <f t="shared" si="149"/>
        <v>0</v>
      </c>
    </row>
    <row r="150" spans="1:5" ht="12" outlineLevel="1" x14ac:dyDescent="0.25">
      <c r="A150" s="85" t="s">
        <v>1858</v>
      </c>
      <c r="B150" s="56" t="s">
        <v>1912</v>
      </c>
      <c r="C150" s="81">
        <f t="shared" ref="C150" si="150">C148+C149</f>
        <v>0</v>
      </c>
      <c r="D150" s="81">
        <f t="shared" ref="D150:E150" si="151">D148+D149</f>
        <v>0</v>
      </c>
      <c r="E150" s="81">
        <f t="shared" si="151"/>
        <v>0</v>
      </c>
    </row>
    <row r="152" spans="1:5" x14ac:dyDescent="0.2">
      <c r="B152" s="454" t="s">
        <v>1913</v>
      </c>
    </row>
    <row r="153" spans="1:5" ht="11.4" outlineLevel="1" x14ac:dyDescent="0.25">
      <c r="B153" s="198" t="s">
        <v>1914</v>
      </c>
      <c r="C153" s="623">
        <v>0</v>
      </c>
      <c r="D153" s="623">
        <v>0</v>
      </c>
      <c r="E153" s="623">
        <v>0</v>
      </c>
    </row>
    <row r="154" spans="1:5" ht="11.4" outlineLevel="1" x14ac:dyDescent="0.25">
      <c r="B154" s="199" t="s">
        <v>1915</v>
      </c>
      <c r="C154" s="624">
        <v>0</v>
      </c>
      <c r="D154" s="624">
        <v>0</v>
      </c>
      <c r="E154" s="624">
        <v>0</v>
      </c>
    </row>
    <row r="155" spans="1:5" outlineLevel="1" x14ac:dyDescent="0.2"/>
    <row r="156" spans="1:5" ht="11.4" outlineLevel="1" x14ac:dyDescent="0.25">
      <c r="A156" s="138" t="s">
        <v>5224</v>
      </c>
      <c r="B156" s="449" t="s">
        <v>5897</v>
      </c>
      <c r="C156" s="625">
        <f>C28*C153</f>
        <v>0</v>
      </c>
      <c r="D156" s="625">
        <f>D28*D153</f>
        <v>0</v>
      </c>
      <c r="E156" s="625">
        <f>E28*E153</f>
        <v>0</v>
      </c>
    </row>
    <row r="157" spans="1:5" ht="11.4" outlineLevel="1" x14ac:dyDescent="0.25">
      <c r="A157" s="138" t="s">
        <v>5225</v>
      </c>
      <c r="B157" s="445" t="s">
        <v>5898</v>
      </c>
      <c r="C157" s="626">
        <f>C101*C154</f>
        <v>0</v>
      </c>
      <c r="D157" s="626">
        <f>D101*D154</f>
        <v>0</v>
      </c>
      <c r="E157" s="626">
        <f>E101*E154</f>
        <v>0</v>
      </c>
    </row>
    <row r="158" spans="1:5" ht="11.4" outlineLevel="1" x14ac:dyDescent="0.25">
      <c r="A158" s="138" t="s">
        <v>5236</v>
      </c>
      <c r="B158" s="449" t="s">
        <v>5899</v>
      </c>
      <c r="C158" s="625">
        <f>C30*C155</f>
        <v>0</v>
      </c>
      <c r="D158" s="625">
        <f>D30*D155</f>
        <v>0</v>
      </c>
      <c r="E158" s="625">
        <f>E30*E155</f>
        <v>0</v>
      </c>
    </row>
    <row r="159" spans="1:5" ht="11.4" outlineLevel="1" x14ac:dyDescent="0.25">
      <c r="A159" s="138" t="s">
        <v>5237</v>
      </c>
      <c r="B159" s="445" t="s">
        <v>5900</v>
      </c>
      <c r="C159" s="626">
        <f>C103*C156</f>
        <v>0</v>
      </c>
      <c r="D159" s="626">
        <f>D103*D156</f>
        <v>0</v>
      </c>
      <c r="E159" s="626">
        <f>E103*E156</f>
        <v>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08D7A-79EC-4C72-9737-840BE77BCF8E}">
  <sheetPr codeName="Foglio15">
    <tabColor theme="0" tint="-0.499984740745262"/>
  </sheetPr>
  <dimension ref="A1:AS1004"/>
  <sheetViews>
    <sheetView showGridLines="0" workbookViewId="0">
      <pane ySplit="4" topLeftCell="A5" activePane="bottomLeft" state="frozen"/>
      <selection pane="bottomLeft" activeCell="G4" sqref="G4"/>
    </sheetView>
  </sheetViews>
  <sheetFormatPr defaultColWidth="18.33203125" defaultRowHeight="10.199999999999999" outlineLevelRow="1" x14ac:dyDescent="0.2"/>
  <cols>
    <col min="1" max="1" width="6.6640625" style="51" customWidth="1"/>
    <col min="2" max="3" width="18.6640625" style="51" customWidth="1"/>
    <col min="4" max="4" width="12.5546875" style="51" customWidth="1"/>
    <col min="5" max="8" width="12.44140625" style="51" customWidth="1"/>
    <col min="9" max="10" width="12.33203125" style="51" customWidth="1"/>
    <col min="11" max="12" width="16.33203125" style="51" customWidth="1"/>
    <col min="13" max="15" width="12.44140625" style="51" customWidth="1"/>
    <col min="16" max="18" width="13.109375" style="51" customWidth="1"/>
    <col min="19" max="16384" width="18.33203125" style="51"/>
  </cols>
  <sheetData>
    <row r="1" spans="1:45" s="48" customFormat="1" x14ac:dyDescent="0.2">
      <c r="A1" s="123"/>
      <c r="B1" s="1122" t="s">
        <v>1919</v>
      </c>
      <c r="C1" s="1122"/>
      <c r="D1" s="1122"/>
      <c r="E1" s="1122"/>
      <c r="F1" s="1122"/>
      <c r="G1" s="352"/>
      <c r="H1" s="352"/>
      <c r="I1" s="352"/>
      <c r="J1" s="352"/>
      <c r="K1" s="352"/>
      <c r="L1" s="352"/>
      <c r="M1" s="352"/>
      <c r="N1" s="352"/>
      <c r="O1" s="352"/>
      <c r="P1" s="352"/>
      <c r="Q1" s="352"/>
      <c r="R1" s="352"/>
      <c r="S1" s="352"/>
      <c r="T1" s="352"/>
      <c r="U1" s="352"/>
      <c r="V1" s="352"/>
      <c r="W1" s="352"/>
      <c r="X1" s="352"/>
      <c r="Y1" s="352"/>
      <c r="Z1" s="352"/>
      <c r="AA1" s="352"/>
      <c r="AB1" s="352"/>
      <c r="AC1" s="352"/>
      <c r="AD1" s="352"/>
      <c r="AE1" s="352"/>
      <c r="AF1" s="352"/>
      <c r="AG1" s="352"/>
      <c r="AH1" s="352"/>
      <c r="AI1" s="352"/>
      <c r="AJ1" s="352"/>
      <c r="AK1" s="352"/>
      <c r="AL1" s="352"/>
      <c r="AM1" s="352"/>
      <c r="AN1" s="352"/>
      <c r="AO1" s="352"/>
      <c r="AP1" s="352"/>
      <c r="AQ1" s="352"/>
      <c r="AR1" s="352"/>
      <c r="AS1" s="352"/>
    </row>
    <row r="2" spans="1:45" x14ac:dyDescent="0.2">
      <c r="B2" s="1123" t="s">
        <v>8745</v>
      </c>
      <c r="C2" s="1123"/>
      <c r="D2" s="1123"/>
      <c r="E2" s="1123"/>
      <c r="F2" s="1123"/>
      <c r="G2" s="1123"/>
      <c r="H2" s="1123"/>
    </row>
    <row r="3" spans="1:45" s="390" customFormat="1" ht="44.25" customHeight="1" x14ac:dyDescent="0.3">
      <c r="E3" s="1126" t="s">
        <v>1920</v>
      </c>
      <c r="F3" s="1127"/>
      <c r="G3" s="1126" t="s">
        <v>1921</v>
      </c>
      <c r="H3" s="1127"/>
      <c r="I3" s="1126" t="s">
        <v>1926</v>
      </c>
      <c r="J3" s="1127"/>
      <c r="K3" s="1126" t="s">
        <v>1930</v>
      </c>
      <c r="L3" s="1127"/>
      <c r="M3" s="1124" t="s">
        <v>1933</v>
      </c>
      <c r="N3" s="1124"/>
      <c r="O3" s="1125"/>
      <c r="P3" s="1124" t="s">
        <v>1937</v>
      </c>
      <c r="Q3" s="1124"/>
      <c r="R3" s="1125"/>
    </row>
    <row r="4" spans="1:45" ht="42" x14ac:dyDescent="0.2">
      <c r="B4" s="533" t="s">
        <v>1918</v>
      </c>
      <c r="C4" s="533" t="s">
        <v>104</v>
      </c>
      <c r="D4" s="533" t="s">
        <v>1927</v>
      </c>
      <c r="E4" s="627" t="s">
        <v>1922</v>
      </c>
      <c r="F4" s="627" t="s">
        <v>1923</v>
      </c>
      <c r="G4" s="627" t="s">
        <v>1924</v>
      </c>
      <c r="H4" s="627" t="s">
        <v>1925</v>
      </c>
      <c r="I4" s="627" t="s">
        <v>1928</v>
      </c>
      <c r="J4" s="627" t="s">
        <v>1929</v>
      </c>
      <c r="K4" s="627" t="s">
        <v>1931</v>
      </c>
      <c r="L4" s="627" t="s">
        <v>1932</v>
      </c>
      <c r="M4" s="628" t="s">
        <v>1935</v>
      </c>
      <c r="N4" s="628" t="s">
        <v>1936</v>
      </c>
      <c r="O4" s="628" t="s">
        <v>1934</v>
      </c>
      <c r="P4" s="628" t="s">
        <v>1938</v>
      </c>
      <c r="Q4" s="628" t="s">
        <v>1939</v>
      </c>
      <c r="R4" s="628" t="s">
        <v>1940</v>
      </c>
    </row>
    <row r="5" spans="1:45" outlineLevel="1" x14ac:dyDescent="0.2">
      <c r="B5" s="59"/>
      <c r="C5" s="59"/>
      <c r="D5" s="59"/>
      <c r="E5" s="541"/>
      <c r="F5" s="541"/>
      <c r="G5" s="541"/>
      <c r="H5" s="541"/>
      <c r="I5" s="59"/>
      <c r="J5" s="59"/>
      <c r="K5" s="621"/>
      <c r="L5" s="621"/>
      <c r="M5" s="629">
        <f>G5*(-1)</f>
        <v>0</v>
      </c>
      <c r="N5" s="629">
        <f>H5*(-1)</f>
        <v>0</v>
      </c>
      <c r="O5" s="630">
        <f t="shared" ref="O5:O68" si="0">M5+N5</f>
        <v>0</v>
      </c>
      <c r="P5" s="629">
        <f>+IF(AND(I5="NO",E5&gt;G5),(E5-G5)*K5*(-1),0)</f>
        <v>0</v>
      </c>
      <c r="Q5" s="629">
        <f>+IF(AND(J5="NO",F5&gt;H5),(F5-H5)*L5*(-1),0)</f>
        <v>0</v>
      </c>
      <c r="R5" s="630">
        <f t="shared" ref="R5:R68" si="1">P5+Q5</f>
        <v>0</v>
      </c>
    </row>
    <row r="6" spans="1:45" outlineLevel="1" x14ac:dyDescent="0.2">
      <c r="B6" s="59"/>
      <c r="C6" s="59"/>
      <c r="D6" s="59"/>
      <c r="E6" s="541"/>
      <c r="F6" s="541"/>
      <c r="G6" s="541"/>
      <c r="H6" s="541"/>
      <c r="I6" s="59"/>
      <c r="J6" s="59"/>
      <c r="K6" s="621"/>
      <c r="L6" s="621"/>
      <c r="M6" s="629">
        <f t="shared" ref="M6:M69" si="2">G6*(-1)</f>
        <v>0</v>
      </c>
      <c r="N6" s="629">
        <f t="shared" ref="N6:N69" si="3">H6*(-1)</f>
        <v>0</v>
      </c>
      <c r="O6" s="630">
        <f t="shared" si="0"/>
        <v>0</v>
      </c>
      <c r="P6" s="629">
        <f t="shared" ref="P6:P69" si="4">+IF(AND(I6="NO",E6&gt;G6),(E6-G6)*K6*(-1),0)</f>
        <v>0</v>
      </c>
      <c r="Q6" s="629">
        <f t="shared" ref="Q6:Q69" si="5">+IF(AND(J6="NO",F6&gt;H6),(F6-H6)*L6*(-1),0)</f>
        <v>0</v>
      </c>
      <c r="R6" s="630">
        <f t="shared" si="1"/>
        <v>0</v>
      </c>
    </row>
    <row r="7" spans="1:45" outlineLevel="1" x14ac:dyDescent="0.2">
      <c r="B7" s="59"/>
      <c r="C7" s="59"/>
      <c r="D7" s="59"/>
      <c r="E7" s="541"/>
      <c r="F7" s="541"/>
      <c r="G7" s="541"/>
      <c r="H7" s="541"/>
      <c r="I7" s="59"/>
      <c r="J7" s="59"/>
      <c r="K7" s="621"/>
      <c r="L7" s="621"/>
      <c r="M7" s="629">
        <f t="shared" si="2"/>
        <v>0</v>
      </c>
      <c r="N7" s="629">
        <f t="shared" si="3"/>
        <v>0</v>
      </c>
      <c r="O7" s="630">
        <f t="shared" si="0"/>
        <v>0</v>
      </c>
      <c r="P7" s="629">
        <f t="shared" si="4"/>
        <v>0</v>
      </c>
      <c r="Q7" s="629">
        <f t="shared" si="5"/>
        <v>0</v>
      </c>
      <c r="R7" s="630">
        <f t="shared" si="1"/>
        <v>0</v>
      </c>
    </row>
    <row r="8" spans="1:45" outlineLevel="1" x14ac:dyDescent="0.2">
      <c r="B8" s="59"/>
      <c r="C8" s="59"/>
      <c r="D8" s="59"/>
      <c r="E8" s="541"/>
      <c r="F8" s="541"/>
      <c r="G8" s="541"/>
      <c r="H8" s="541"/>
      <c r="I8" s="59"/>
      <c r="J8" s="59"/>
      <c r="K8" s="621"/>
      <c r="L8" s="621"/>
      <c r="M8" s="629">
        <f t="shared" si="2"/>
        <v>0</v>
      </c>
      <c r="N8" s="629">
        <f t="shared" si="3"/>
        <v>0</v>
      </c>
      <c r="O8" s="630">
        <f t="shared" si="0"/>
        <v>0</v>
      </c>
      <c r="P8" s="629">
        <f t="shared" si="4"/>
        <v>0</v>
      </c>
      <c r="Q8" s="629">
        <f t="shared" si="5"/>
        <v>0</v>
      </c>
      <c r="R8" s="630">
        <f t="shared" si="1"/>
        <v>0</v>
      </c>
    </row>
    <row r="9" spans="1:45" outlineLevel="1" x14ac:dyDescent="0.2">
      <c r="B9" s="59"/>
      <c r="C9" s="59"/>
      <c r="D9" s="59"/>
      <c r="E9" s="541"/>
      <c r="F9" s="541"/>
      <c r="G9" s="541"/>
      <c r="H9" s="541"/>
      <c r="I9" s="59"/>
      <c r="J9" s="59"/>
      <c r="K9" s="621"/>
      <c r="L9" s="621"/>
      <c r="M9" s="629">
        <f t="shared" si="2"/>
        <v>0</v>
      </c>
      <c r="N9" s="629">
        <f t="shared" si="3"/>
        <v>0</v>
      </c>
      <c r="O9" s="630">
        <f t="shared" si="0"/>
        <v>0</v>
      </c>
      <c r="P9" s="629">
        <f t="shared" si="4"/>
        <v>0</v>
      </c>
      <c r="Q9" s="629">
        <f t="shared" si="5"/>
        <v>0</v>
      </c>
      <c r="R9" s="630">
        <f t="shared" si="1"/>
        <v>0</v>
      </c>
    </row>
    <row r="10" spans="1:45" outlineLevel="1" x14ac:dyDescent="0.2">
      <c r="B10" s="59"/>
      <c r="C10" s="59"/>
      <c r="D10" s="59"/>
      <c r="E10" s="541"/>
      <c r="F10" s="541"/>
      <c r="G10" s="541"/>
      <c r="H10" s="541"/>
      <c r="I10" s="59"/>
      <c r="J10" s="59"/>
      <c r="K10" s="621"/>
      <c r="L10" s="621"/>
      <c r="M10" s="629">
        <f t="shared" si="2"/>
        <v>0</v>
      </c>
      <c r="N10" s="629">
        <f t="shared" si="3"/>
        <v>0</v>
      </c>
      <c r="O10" s="630">
        <f t="shared" si="0"/>
        <v>0</v>
      </c>
      <c r="P10" s="629">
        <f t="shared" si="4"/>
        <v>0</v>
      </c>
      <c r="Q10" s="629">
        <f t="shared" si="5"/>
        <v>0</v>
      </c>
      <c r="R10" s="630">
        <f t="shared" si="1"/>
        <v>0</v>
      </c>
    </row>
    <row r="11" spans="1:45" outlineLevel="1" x14ac:dyDescent="0.2">
      <c r="B11" s="59"/>
      <c r="C11" s="59"/>
      <c r="D11" s="59"/>
      <c r="E11" s="541"/>
      <c r="F11" s="541"/>
      <c r="G11" s="541"/>
      <c r="H11" s="541"/>
      <c r="I11" s="59"/>
      <c r="J11" s="59"/>
      <c r="K11" s="621"/>
      <c r="L11" s="621"/>
      <c r="M11" s="629">
        <f t="shared" si="2"/>
        <v>0</v>
      </c>
      <c r="N11" s="629">
        <f t="shared" si="3"/>
        <v>0</v>
      </c>
      <c r="O11" s="630">
        <f t="shared" si="0"/>
        <v>0</v>
      </c>
      <c r="P11" s="629">
        <f t="shared" si="4"/>
        <v>0</v>
      </c>
      <c r="Q11" s="629">
        <f t="shared" si="5"/>
        <v>0</v>
      </c>
      <c r="R11" s="630">
        <f t="shared" si="1"/>
        <v>0</v>
      </c>
    </row>
    <row r="12" spans="1:45" outlineLevel="1" x14ac:dyDescent="0.2">
      <c r="B12" s="59"/>
      <c r="C12" s="59"/>
      <c r="D12" s="59"/>
      <c r="E12" s="541"/>
      <c r="F12" s="541"/>
      <c r="G12" s="541"/>
      <c r="H12" s="541"/>
      <c r="I12" s="59"/>
      <c r="J12" s="59"/>
      <c r="K12" s="621"/>
      <c r="L12" s="621"/>
      <c r="M12" s="629">
        <f t="shared" si="2"/>
        <v>0</v>
      </c>
      <c r="N12" s="629">
        <f t="shared" si="3"/>
        <v>0</v>
      </c>
      <c r="O12" s="630">
        <f t="shared" si="0"/>
        <v>0</v>
      </c>
      <c r="P12" s="629">
        <f t="shared" si="4"/>
        <v>0</v>
      </c>
      <c r="Q12" s="629">
        <f t="shared" si="5"/>
        <v>0</v>
      </c>
      <c r="R12" s="630">
        <f t="shared" si="1"/>
        <v>0</v>
      </c>
    </row>
    <row r="13" spans="1:45" outlineLevel="1" x14ac:dyDescent="0.2">
      <c r="B13" s="59"/>
      <c r="C13" s="59"/>
      <c r="D13" s="59"/>
      <c r="E13" s="541"/>
      <c r="F13" s="541"/>
      <c r="G13" s="541"/>
      <c r="H13" s="541"/>
      <c r="I13" s="59"/>
      <c r="J13" s="59"/>
      <c r="K13" s="621"/>
      <c r="L13" s="621"/>
      <c r="M13" s="629">
        <f t="shared" si="2"/>
        <v>0</v>
      </c>
      <c r="N13" s="629">
        <f t="shared" si="3"/>
        <v>0</v>
      </c>
      <c r="O13" s="630">
        <f t="shared" si="0"/>
        <v>0</v>
      </c>
      <c r="P13" s="629">
        <f t="shared" si="4"/>
        <v>0</v>
      </c>
      <c r="Q13" s="629">
        <f t="shared" si="5"/>
        <v>0</v>
      </c>
      <c r="R13" s="630">
        <f t="shared" si="1"/>
        <v>0</v>
      </c>
    </row>
    <row r="14" spans="1:45" outlineLevel="1" x14ac:dyDescent="0.2">
      <c r="B14" s="59"/>
      <c r="C14" s="59"/>
      <c r="D14" s="59"/>
      <c r="E14" s="541"/>
      <c r="F14" s="541"/>
      <c r="G14" s="541"/>
      <c r="H14" s="541"/>
      <c r="I14" s="59"/>
      <c r="J14" s="59"/>
      <c r="K14" s="621"/>
      <c r="L14" s="621"/>
      <c r="M14" s="629">
        <f t="shared" si="2"/>
        <v>0</v>
      </c>
      <c r="N14" s="629">
        <f t="shared" si="3"/>
        <v>0</v>
      </c>
      <c r="O14" s="630">
        <f t="shared" si="0"/>
        <v>0</v>
      </c>
      <c r="P14" s="629">
        <f t="shared" si="4"/>
        <v>0</v>
      </c>
      <c r="Q14" s="629">
        <f t="shared" si="5"/>
        <v>0</v>
      </c>
      <c r="R14" s="630">
        <f t="shared" si="1"/>
        <v>0</v>
      </c>
    </row>
    <row r="15" spans="1:45" outlineLevel="1" x14ac:dyDescent="0.2">
      <c r="B15" s="59"/>
      <c r="C15" s="59"/>
      <c r="D15" s="59"/>
      <c r="E15" s="541"/>
      <c r="F15" s="541"/>
      <c r="G15" s="541"/>
      <c r="H15" s="541"/>
      <c r="I15" s="59"/>
      <c r="J15" s="59"/>
      <c r="K15" s="621"/>
      <c r="L15" s="621"/>
      <c r="M15" s="629">
        <f t="shared" si="2"/>
        <v>0</v>
      </c>
      <c r="N15" s="629">
        <f t="shared" si="3"/>
        <v>0</v>
      </c>
      <c r="O15" s="630">
        <f t="shared" si="0"/>
        <v>0</v>
      </c>
      <c r="P15" s="629">
        <f t="shared" si="4"/>
        <v>0</v>
      </c>
      <c r="Q15" s="629">
        <f t="shared" si="5"/>
        <v>0</v>
      </c>
      <c r="R15" s="630">
        <f t="shared" si="1"/>
        <v>0</v>
      </c>
    </row>
    <row r="16" spans="1:45" outlineLevel="1" x14ac:dyDescent="0.2">
      <c r="B16" s="59"/>
      <c r="C16" s="59"/>
      <c r="D16" s="59"/>
      <c r="E16" s="541"/>
      <c r="F16" s="541"/>
      <c r="G16" s="541"/>
      <c r="H16" s="541"/>
      <c r="I16" s="59"/>
      <c r="J16" s="59"/>
      <c r="K16" s="621"/>
      <c r="L16" s="621"/>
      <c r="M16" s="629">
        <f t="shared" si="2"/>
        <v>0</v>
      </c>
      <c r="N16" s="629">
        <f t="shared" si="3"/>
        <v>0</v>
      </c>
      <c r="O16" s="630">
        <f t="shared" si="0"/>
        <v>0</v>
      </c>
      <c r="P16" s="629">
        <f t="shared" si="4"/>
        <v>0</v>
      </c>
      <c r="Q16" s="629">
        <f t="shared" si="5"/>
        <v>0</v>
      </c>
      <c r="R16" s="630">
        <f t="shared" si="1"/>
        <v>0</v>
      </c>
    </row>
    <row r="17" spans="2:18" outlineLevel="1" x14ac:dyDescent="0.2">
      <c r="B17" s="59"/>
      <c r="C17" s="59"/>
      <c r="D17" s="59"/>
      <c r="E17" s="541"/>
      <c r="F17" s="541"/>
      <c r="G17" s="541"/>
      <c r="H17" s="541"/>
      <c r="I17" s="59"/>
      <c r="J17" s="59"/>
      <c r="K17" s="621"/>
      <c r="L17" s="621"/>
      <c r="M17" s="629">
        <f t="shared" si="2"/>
        <v>0</v>
      </c>
      <c r="N17" s="629">
        <f t="shared" si="3"/>
        <v>0</v>
      </c>
      <c r="O17" s="630">
        <f t="shared" si="0"/>
        <v>0</v>
      </c>
      <c r="P17" s="629">
        <f t="shared" si="4"/>
        <v>0</v>
      </c>
      <c r="Q17" s="629">
        <f t="shared" si="5"/>
        <v>0</v>
      </c>
      <c r="R17" s="630">
        <f t="shared" si="1"/>
        <v>0</v>
      </c>
    </row>
    <row r="18" spans="2:18" outlineLevel="1" x14ac:dyDescent="0.2">
      <c r="B18" s="59"/>
      <c r="C18" s="59"/>
      <c r="D18" s="59"/>
      <c r="E18" s="541"/>
      <c r="F18" s="541"/>
      <c r="G18" s="541"/>
      <c r="H18" s="541"/>
      <c r="I18" s="59"/>
      <c r="J18" s="59"/>
      <c r="K18" s="621"/>
      <c r="L18" s="621"/>
      <c r="M18" s="629">
        <f t="shared" si="2"/>
        <v>0</v>
      </c>
      <c r="N18" s="629">
        <f t="shared" si="3"/>
        <v>0</v>
      </c>
      <c r="O18" s="630">
        <f t="shared" si="0"/>
        <v>0</v>
      </c>
      <c r="P18" s="629">
        <f t="shared" si="4"/>
        <v>0</v>
      </c>
      <c r="Q18" s="629">
        <f t="shared" si="5"/>
        <v>0</v>
      </c>
      <c r="R18" s="630">
        <f t="shared" si="1"/>
        <v>0</v>
      </c>
    </row>
    <row r="19" spans="2:18" outlineLevel="1" x14ac:dyDescent="0.2">
      <c r="B19" s="59"/>
      <c r="C19" s="59"/>
      <c r="D19" s="59"/>
      <c r="E19" s="541"/>
      <c r="F19" s="541"/>
      <c r="G19" s="541"/>
      <c r="H19" s="541"/>
      <c r="I19" s="59"/>
      <c r="J19" s="59"/>
      <c r="K19" s="621"/>
      <c r="L19" s="621"/>
      <c r="M19" s="629">
        <f t="shared" si="2"/>
        <v>0</v>
      </c>
      <c r="N19" s="629">
        <f t="shared" si="3"/>
        <v>0</v>
      </c>
      <c r="O19" s="630">
        <f t="shared" si="0"/>
        <v>0</v>
      </c>
      <c r="P19" s="629">
        <f t="shared" si="4"/>
        <v>0</v>
      </c>
      <c r="Q19" s="629">
        <f t="shared" si="5"/>
        <v>0</v>
      </c>
      <c r="R19" s="630">
        <f t="shared" si="1"/>
        <v>0</v>
      </c>
    </row>
    <row r="20" spans="2:18" outlineLevel="1" x14ac:dyDescent="0.2">
      <c r="B20" s="59"/>
      <c r="C20" s="59"/>
      <c r="D20" s="59"/>
      <c r="E20" s="541"/>
      <c r="F20" s="541"/>
      <c r="G20" s="541"/>
      <c r="H20" s="541"/>
      <c r="I20" s="59"/>
      <c r="J20" s="59"/>
      <c r="K20" s="621"/>
      <c r="L20" s="621"/>
      <c r="M20" s="629">
        <f t="shared" si="2"/>
        <v>0</v>
      </c>
      <c r="N20" s="629">
        <f t="shared" si="3"/>
        <v>0</v>
      </c>
      <c r="O20" s="630">
        <f t="shared" si="0"/>
        <v>0</v>
      </c>
      <c r="P20" s="629">
        <f t="shared" si="4"/>
        <v>0</v>
      </c>
      <c r="Q20" s="629">
        <f t="shared" si="5"/>
        <v>0</v>
      </c>
      <c r="R20" s="630">
        <f t="shared" si="1"/>
        <v>0</v>
      </c>
    </row>
    <row r="21" spans="2:18" outlineLevel="1" x14ac:dyDescent="0.2">
      <c r="B21" s="59"/>
      <c r="C21" s="59"/>
      <c r="D21" s="59"/>
      <c r="E21" s="541"/>
      <c r="F21" s="541"/>
      <c r="G21" s="541"/>
      <c r="H21" s="541"/>
      <c r="I21" s="59"/>
      <c r="J21" s="59"/>
      <c r="K21" s="621"/>
      <c r="L21" s="621"/>
      <c r="M21" s="629">
        <f t="shared" si="2"/>
        <v>0</v>
      </c>
      <c r="N21" s="629">
        <f t="shared" si="3"/>
        <v>0</v>
      </c>
      <c r="O21" s="630">
        <f t="shared" si="0"/>
        <v>0</v>
      </c>
      <c r="P21" s="629">
        <f t="shared" si="4"/>
        <v>0</v>
      </c>
      <c r="Q21" s="629">
        <f t="shared" si="5"/>
        <v>0</v>
      </c>
      <c r="R21" s="630">
        <f t="shared" si="1"/>
        <v>0</v>
      </c>
    </row>
    <row r="22" spans="2:18" outlineLevel="1" x14ac:dyDescent="0.2">
      <c r="B22" s="59"/>
      <c r="C22" s="59"/>
      <c r="D22" s="59"/>
      <c r="E22" s="541"/>
      <c r="F22" s="541"/>
      <c r="G22" s="541"/>
      <c r="H22" s="541"/>
      <c r="I22" s="59"/>
      <c r="J22" s="59"/>
      <c r="K22" s="621"/>
      <c r="L22" s="621"/>
      <c r="M22" s="629">
        <f t="shared" si="2"/>
        <v>0</v>
      </c>
      <c r="N22" s="629">
        <f t="shared" si="3"/>
        <v>0</v>
      </c>
      <c r="O22" s="630">
        <f t="shared" si="0"/>
        <v>0</v>
      </c>
      <c r="P22" s="629">
        <f t="shared" si="4"/>
        <v>0</v>
      </c>
      <c r="Q22" s="629">
        <f t="shared" si="5"/>
        <v>0</v>
      </c>
      <c r="R22" s="630">
        <f t="shared" si="1"/>
        <v>0</v>
      </c>
    </row>
    <row r="23" spans="2:18" outlineLevel="1" x14ac:dyDescent="0.2">
      <c r="B23" s="59"/>
      <c r="C23" s="59"/>
      <c r="D23" s="59"/>
      <c r="E23" s="541"/>
      <c r="F23" s="541"/>
      <c r="G23" s="541"/>
      <c r="H23" s="541"/>
      <c r="I23" s="59"/>
      <c r="J23" s="59"/>
      <c r="K23" s="621"/>
      <c r="L23" s="621"/>
      <c r="M23" s="629">
        <f t="shared" si="2"/>
        <v>0</v>
      </c>
      <c r="N23" s="629">
        <f t="shared" si="3"/>
        <v>0</v>
      </c>
      <c r="O23" s="630">
        <f t="shared" si="0"/>
        <v>0</v>
      </c>
      <c r="P23" s="629">
        <f t="shared" si="4"/>
        <v>0</v>
      </c>
      <c r="Q23" s="629">
        <f t="shared" si="5"/>
        <v>0</v>
      </c>
      <c r="R23" s="630">
        <f t="shared" si="1"/>
        <v>0</v>
      </c>
    </row>
    <row r="24" spans="2:18" outlineLevel="1" x14ac:dyDescent="0.2">
      <c r="B24" s="59"/>
      <c r="C24" s="59"/>
      <c r="D24" s="59"/>
      <c r="E24" s="541"/>
      <c r="F24" s="541"/>
      <c r="G24" s="541"/>
      <c r="H24" s="541"/>
      <c r="I24" s="59"/>
      <c r="J24" s="59"/>
      <c r="K24" s="621"/>
      <c r="L24" s="621"/>
      <c r="M24" s="629">
        <f t="shared" si="2"/>
        <v>0</v>
      </c>
      <c r="N24" s="629">
        <f t="shared" si="3"/>
        <v>0</v>
      </c>
      <c r="O24" s="630">
        <f t="shared" si="0"/>
        <v>0</v>
      </c>
      <c r="P24" s="629">
        <f t="shared" si="4"/>
        <v>0</v>
      </c>
      <c r="Q24" s="629">
        <f t="shared" si="5"/>
        <v>0</v>
      </c>
      <c r="R24" s="630">
        <f t="shared" si="1"/>
        <v>0</v>
      </c>
    </row>
    <row r="25" spans="2:18" outlineLevel="1" x14ac:dyDescent="0.2">
      <c r="B25" s="59"/>
      <c r="C25" s="59"/>
      <c r="D25" s="59"/>
      <c r="E25" s="541"/>
      <c r="F25" s="541"/>
      <c r="G25" s="541"/>
      <c r="H25" s="541"/>
      <c r="I25" s="59"/>
      <c r="J25" s="59"/>
      <c r="K25" s="621"/>
      <c r="L25" s="621"/>
      <c r="M25" s="629">
        <f t="shared" si="2"/>
        <v>0</v>
      </c>
      <c r="N25" s="629">
        <f t="shared" si="3"/>
        <v>0</v>
      </c>
      <c r="O25" s="630">
        <f t="shared" si="0"/>
        <v>0</v>
      </c>
      <c r="P25" s="629">
        <f t="shared" si="4"/>
        <v>0</v>
      </c>
      <c r="Q25" s="629">
        <f t="shared" si="5"/>
        <v>0</v>
      </c>
      <c r="R25" s="630">
        <f t="shared" si="1"/>
        <v>0</v>
      </c>
    </row>
    <row r="26" spans="2:18" outlineLevel="1" x14ac:dyDescent="0.2">
      <c r="B26" s="59"/>
      <c r="C26" s="59"/>
      <c r="D26" s="59"/>
      <c r="E26" s="541"/>
      <c r="F26" s="541"/>
      <c r="G26" s="541"/>
      <c r="H26" s="541"/>
      <c r="I26" s="59"/>
      <c r="J26" s="59"/>
      <c r="K26" s="621"/>
      <c r="L26" s="621"/>
      <c r="M26" s="629">
        <f t="shared" si="2"/>
        <v>0</v>
      </c>
      <c r="N26" s="629">
        <f t="shared" si="3"/>
        <v>0</v>
      </c>
      <c r="O26" s="630">
        <f t="shared" si="0"/>
        <v>0</v>
      </c>
      <c r="P26" s="629">
        <f t="shared" si="4"/>
        <v>0</v>
      </c>
      <c r="Q26" s="629">
        <f t="shared" si="5"/>
        <v>0</v>
      </c>
      <c r="R26" s="630">
        <f t="shared" si="1"/>
        <v>0</v>
      </c>
    </row>
    <row r="27" spans="2:18" outlineLevel="1" x14ac:dyDescent="0.2">
      <c r="B27" s="59"/>
      <c r="C27" s="59"/>
      <c r="D27" s="59"/>
      <c r="E27" s="541"/>
      <c r="F27" s="541"/>
      <c r="G27" s="541"/>
      <c r="H27" s="541"/>
      <c r="I27" s="59"/>
      <c r="J27" s="59"/>
      <c r="K27" s="621"/>
      <c r="L27" s="621"/>
      <c r="M27" s="629">
        <f t="shared" si="2"/>
        <v>0</v>
      </c>
      <c r="N27" s="629">
        <f t="shared" si="3"/>
        <v>0</v>
      </c>
      <c r="O27" s="630">
        <f t="shared" si="0"/>
        <v>0</v>
      </c>
      <c r="P27" s="629">
        <f t="shared" si="4"/>
        <v>0</v>
      </c>
      <c r="Q27" s="629">
        <f t="shared" si="5"/>
        <v>0</v>
      </c>
      <c r="R27" s="630">
        <f t="shared" si="1"/>
        <v>0</v>
      </c>
    </row>
    <row r="28" spans="2:18" outlineLevel="1" x14ac:dyDescent="0.2">
      <c r="B28" s="59"/>
      <c r="C28" s="59"/>
      <c r="D28" s="59"/>
      <c r="E28" s="541"/>
      <c r="F28" s="541"/>
      <c r="G28" s="541"/>
      <c r="H28" s="541"/>
      <c r="I28" s="59"/>
      <c r="J28" s="59"/>
      <c r="K28" s="621"/>
      <c r="L28" s="621"/>
      <c r="M28" s="629">
        <f t="shared" si="2"/>
        <v>0</v>
      </c>
      <c r="N28" s="629">
        <f t="shared" si="3"/>
        <v>0</v>
      </c>
      <c r="O28" s="630">
        <f t="shared" si="0"/>
        <v>0</v>
      </c>
      <c r="P28" s="629">
        <f t="shared" si="4"/>
        <v>0</v>
      </c>
      <c r="Q28" s="629">
        <f t="shared" si="5"/>
        <v>0</v>
      </c>
      <c r="R28" s="630">
        <f t="shared" si="1"/>
        <v>0</v>
      </c>
    </row>
    <row r="29" spans="2:18" outlineLevel="1" x14ac:dyDescent="0.2">
      <c r="B29" s="59"/>
      <c r="C29" s="59"/>
      <c r="D29" s="59"/>
      <c r="E29" s="541"/>
      <c r="F29" s="541"/>
      <c r="G29" s="541"/>
      <c r="H29" s="541"/>
      <c r="I29" s="59"/>
      <c r="J29" s="59"/>
      <c r="K29" s="621"/>
      <c r="L29" s="621"/>
      <c r="M29" s="629">
        <f t="shared" si="2"/>
        <v>0</v>
      </c>
      <c r="N29" s="629">
        <f t="shared" si="3"/>
        <v>0</v>
      </c>
      <c r="O29" s="630">
        <f t="shared" si="0"/>
        <v>0</v>
      </c>
      <c r="P29" s="629">
        <f t="shared" si="4"/>
        <v>0</v>
      </c>
      <c r="Q29" s="629">
        <f t="shared" si="5"/>
        <v>0</v>
      </c>
      <c r="R29" s="630">
        <f t="shared" si="1"/>
        <v>0</v>
      </c>
    </row>
    <row r="30" spans="2:18" outlineLevel="1" x14ac:dyDescent="0.2">
      <c r="B30" s="59"/>
      <c r="C30" s="59"/>
      <c r="D30" s="59"/>
      <c r="E30" s="541"/>
      <c r="F30" s="541"/>
      <c r="G30" s="541"/>
      <c r="H30" s="541"/>
      <c r="I30" s="59"/>
      <c r="J30" s="59"/>
      <c r="K30" s="621"/>
      <c r="L30" s="621"/>
      <c r="M30" s="629">
        <f t="shared" si="2"/>
        <v>0</v>
      </c>
      <c r="N30" s="629">
        <f t="shared" si="3"/>
        <v>0</v>
      </c>
      <c r="O30" s="630">
        <f t="shared" si="0"/>
        <v>0</v>
      </c>
      <c r="P30" s="629">
        <f t="shared" si="4"/>
        <v>0</v>
      </c>
      <c r="Q30" s="629">
        <f t="shared" si="5"/>
        <v>0</v>
      </c>
      <c r="R30" s="630">
        <f t="shared" si="1"/>
        <v>0</v>
      </c>
    </row>
    <row r="31" spans="2:18" outlineLevel="1" x14ac:dyDescent="0.2">
      <c r="B31" s="59"/>
      <c r="C31" s="59"/>
      <c r="D31" s="59"/>
      <c r="E31" s="541"/>
      <c r="F31" s="541"/>
      <c r="G31" s="541"/>
      <c r="H31" s="541"/>
      <c r="I31" s="59"/>
      <c r="J31" s="59"/>
      <c r="K31" s="621"/>
      <c r="L31" s="621"/>
      <c r="M31" s="629">
        <f t="shared" si="2"/>
        <v>0</v>
      </c>
      <c r="N31" s="629">
        <f t="shared" si="3"/>
        <v>0</v>
      </c>
      <c r="O31" s="630">
        <f t="shared" si="0"/>
        <v>0</v>
      </c>
      <c r="P31" s="629">
        <f t="shared" si="4"/>
        <v>0</v>
      </c>
      <c r="Q31" s="629">
        <f t="shared" si="5"/>
        <v>0</v>
      </c>
      <c r="R31" s="630">
        <f t="shared" si="1"/>
        <v>0</v>
      </c>
    </row>
    <row r="32" spans="2:18" outlineLevel="1" x14ac:dyDescent="0.2">
      <c r="B32" s="59"/>
      <c r="C32" s="59"/>
      <c r="D32" s="59"/>
      <c r="E32" s="541"/>
      <c r="F32" s="541"/>
      <c r="G32" s="541"/>
      <c r="H32" s="541"/>
      <c r="I32" s="59"/>
      <c r="J32" s="59"/>
      <c r="K32" s="621"/>
      <c r="L32" s="621"/>
      <c r="M32" s="629">
        <f t="shared" si="2"/>
        <v>0</v>
      </c>
      <c r="N32" s="629">
        <f t="shared" si="3"/>
        <v>0</v>
      </c>
      <c r="O32" s="630">
        <f t="shared" si="0"/>
        <v>0</v>
      </c>
      <c r="P32" s="629">
        <f t="shared" si="4"/>
        <v>0</v>
      </c>
      <c r="Q32" s="629">
        <f t="shared" si="5"/>
        <v>0</v>
      </c>
      <c r="R32" s="630">
        <f t="shared" si="1"/>
        <v>0</v>
      </c>
    </row>
    <row r="33" spans="2:18" outlineLevel="1" x14ac:dyDescent="0.2">
      <c r="B33" s="59"/>
      <c r="C33" s="59"/>
      <c r="D33" s="59"/>
      <c r="E33" s="541"/>
      <c r="F33" s="541"/>
      <c r="G33" s="541"/>
      <c r="H33" s="541"/>
      <c r="I33" s="59"/>
      <c r="J33" s="59"/>
      <c r="K33" s="621"/>
      <c r="L33" s="621"/>
      <c r="M33" s="629">
        <f t="shared" si="2"/>
        <v>0</v>
      </c>
      <c r="N33" s="629">
        <f t="shared" si="3"/>
        <v>0</v>
      </c>
      <c r="O33" s="630">
        <f t="shared" si="0"/>
        <v>0</v>
      </c>
      <c r="P33" s="629">
        <f t="shared" si="4"/>
        <v>0</v>
      </c>
      <c r="Q33" s="629">
        <f t="shared" si="5"/>
        <v>0</v>
      </c>
      <c r="R33" s="630">
        <f t="shared" si="1"/>
        <v>0</v>
      </c>
    </row>
    <row r="34" spans="2:18" outlineLevel="1" x14ac:dyDescent="0.2">
      <c r="B34" s="59"/>
      <c r="C34" s="59"/>
      <c r="D34" s="59"/>
      <c r="E34" s="541"/>
      <c r="F34" s="541"/>
      <c r="G34" s="541"/>
      <c r="H34" s="541"/>
      <c r="I34" s="59"/>
      <c r="J34" s="59"/>
      <c r="K34" s="621"/>
      <c r="L34" s="621"/>
      <c r="M34" s="629">
        <f t="shared" si="2"/>
        <v>0</v>
      </c>
      <c r="N34" s="629">
        <f t="shared" si="3"/>
        <v>0</v>
      </c>
      <c r="O34" s="630">
        <f t="shared" si="0"/>
        <v>0</v>
      </c>
      <c r="P34" s="629">
        <f t="shared" si="4"/>
        <v>0</v>
      </c>
      <c r="Q34" s="629">
        <f t="shared" si="5"/>
        <v>0</v>
      </c>
      <c r="R34" s="630">
        <f t="shared" si="1"/>
        <v>0</v>
      </c>
    </row>
    <row r="35" spans="2:18" outlineLevel="1" x14ac:dyDescent="0.2">
      <c r="B35" s="59"/>
      <c r="C35" s="59"/>
      <c r="D35" s="59"/>
      <c r="E35" s="541"/>
      <c r="F35" s="541"/>
      <c r="G35" s="541"/>
      <c r="H35" s="541"/>
      <c r="I35" s="59"/>
      <c r="J35" s="59"/>
      <c r="K35" s="621"/>
      <c r="L35" s="621"/>
      <c r="M35" s="629">
        <f t="shared" si="2"/>
        <v>0</v>
      </c>
      <c r="N35" s="629">
        <f t="shared" si="3"/>
        <v>0</v>
      </c>
      <c r="O35" s="630">
        <f t="shared" si="0"/>
        <v>0</v>
      </c>
      <c r="P35" s="629">
        <f t="shared" si="4"/>
        <v>0</v>
      </c>
      <c r="Q35" s="629">
        <f t="shared" si="5"/>
        <v>0</v>
      </c>
      <c r="R35" s="630">
        <f t="shared" si="1"/>
        <v>0</v>
      </c>
    </row>
    <row r="36" spans="2:18" outlineLevel="1" x14ac:dyDescent="0.2">
      <c r="B36" s="59"/>
      <c r="C36" s="59"/>
      <c r="D36" s="59"/>
      <c r="E36" s="541"/>
      <c r="F36" s="541"/>
      <c r="G36" s="541"/>
      <c r="H36" s="541"/>
      <c r="I36" s="59"/>
      <c r="J36" s="59"/>
      <c r="K36" s="621"/>
      <c r="L36" s="621"/>
      <c r="M36" s="629">
        <f t="shared" si="2"/>
        <v>0</v>
      </c>
      <c r="N36" s="629">
        <f t="shared" si="3"/>
        <v>0</v>
      </c>
      <c r="O36" s="630">
        <f t="shared" si="0"/>
        <v>0</v>
      </c>
      <c r="P36" s="629">
        <f t="shared" si="4"/>
        <v>0</v>
      </c>
      <c r="Q36" s="629">
        <f t="shared" si="5"/>
        <v>0</v>
      </c>
      <c r="R36" s="630">
        <f t="shared" si="1"/>
        <v>0</v>
      </c>
    </row>
    <row r="37" spans="2:18" outlineLevel="1" x14ac:dyDescent="0.2">
      <c r="B37" s="59"/>
      <c r="C37" s="59"/>
      <c r="D37" s="59"/>
      <c r="E37" s="541"/>
      <c r="F37" s="541"/>
      <c r="G37" s="541"/>
      <c r="H37" s="541"/>
      <c r="I37" s="59"/>
      <c r="J37" s="59"/>
      <c r="K37" s="621"/>
      <c r="L37" s="621"/>
      <c r="M37" s="629">
        <f t="shared" si="2"/>
        <v>0</v>
      </c>
      <c r="N37" s="629">
        <f t="shared" si="3"/>
        <v>0</v>
      </c>
      <c r="O37" s="630">
        <f t="shared" si="0"/>
        <v>0</v>
      </c>
      <c r="P37" s="629">
        <f t="shared" si="4"/>
        <v>0</v>
      </c>
      <c r="Q37" s="629">
        <f t="shared" si="5"/>
        <v>0</v>
      </c>
      <c r="R37" s="630">
        <f t="shared" si="1"/>
        <v>0</v>
      </c>
    </row>
    <row r="38" spans="2:18" outlineLevel="1" x14ac:dyDescent="0.2">
      <c r="B38" s="59"/>
      <c r="C38" s="59"/>
      <c r="D38" s="59"/>
      <c r="E38" s="541"/>
      <c r="F38" s="541"/>
      <c r="G38" s="541"/>
      <c r="H38" s="541"/>
      <c r="I38" s="59"/>
      <c r="J38" s="59"/>
      <c r="K38" s="621"/>
      <c r="L38" s="621"/>
      <c r="M38" s="629">
        <f t="shared" si="2"/>
        <v>0</v>
      </c>
      <c r="N38" s="629">
        <f t="shared" si="3"/>
        <v>0</v>
      </c>
      <c r="O38" s="630">
        <f t="shared" si="0"/>
        <v>0</v>
      </c>
      <c r="P38" s="629">
        <f t="shared" si="4"/>
        <v>0</v>
      </c>
      <c r="Q38" s="629">
        <f t="shared" si="5"/>
        <v>0</v>
      </c>
      <c r="R38" s="630">
        <f t="shared" si="1"/>
        <v>0</v>
      </c>
    </row>
    <row r="39" spans="2:18" outlineLevel="1" x14ac:dyDescent="0.2">
      <c r="B39" s="59"/>
      <c r="C39" s="59"/>
      <c r="D39" s="59"/>
      <c r="E39" s="541"/>
      <c r="F39" s="541"/>
      <c r="G39" s="541"/>
      <c r="H39" s="541"/>
      <c r="I39" s="59"/>
      <c r="J39" s="59"/>
      <c r="K39" s="621"/>
      <c r="L39" s="621"/>
      <c r="M39" s="629">
        <f t="shared" si="2"/>
        <v>0</v>
      </c>
      <c r="N39" s="629">
        <f t="shared" si="3"/>
        <v>0</v>
      </c>
      <c r="O39" s="630">
        <f t="shared" si="0"/>
        <v>0</v>
      </c>
      <c r="P39" s="629">
        <f t="shared" si="4"/>
        <v>0</v>
      </c>
      <c r="Q39" s="629">
        <f t="shared" si="5"/>
        <v>0</v>
      </c>
      <c r="R39" s="630">
        <f t="shared" si="1"/>
        <v>0</v>
      </c>
    </row>
    <row r="40" spans="2:18" outlineLevel="1" x14ac:dyDescent="0.2">
      <c r="B40" s="59"/>
      <c r="C40" s="59"/>
      <c r="D40" s="59"/>
      <c r="E40" s="541"/>
      <c r="F40" s="541"/>
      <c r="G40" s="541"/>
      <c r="H40" s="541"/>
      <c r="I40" s="59"/>
      <c r="J40" s="59"/>
      <c r="K40" s="621"/>
      <c r="L40" s="621"/>
      <c r="M40" s="629">
        <f t="shared" si="2"/>
        <v>0</v>
      </c>
      <c r="N40" s="629">
        <f t="shared" si="3"/>
        <v>0</v>
      </c>
      <c r="O40" s="630">
        <f t="shared" si="0"/>
        <v>0</v>
      </c>
      <c r="P40" s="629">
        <f t="shared" si="4"/>
        <v>0</v>
      </c>
      <c r="Q40" s="629">
        <f t="shared" si="5"/>
        <v>0</v>
      </c>
      <c r="R40" s="630">
        <f t="shared" si="1"/>
        <v>0</v>
      </c>
    </row>
    <row r="41" spans="2:18" outlineLevel="1" x14ac:dyDescent="0.2">
      <c r="B41" s="59"/>
      <c r="C41" s="59"/>
      <c r="D41" s="59"/>
      <c r="E41" s="541"/>
      <c r="F41" s="541"/>
      <c r="G41" s="541"/>
      <c r="H41" s="541"/>
      <c r="I41" s="59"/>
      <c r="J41" s="59"/>
      <c r="K41" s="621"/>
      <c r="L41" s="621"/>
      <c r="M41" s="629">
        <f t="shared" si="2"/>
        <v>0</v>
      </c>
      <c r="N41" s="629">
        <f t="shared" si="3"/>
        <v>0</v>
      </c>
      <c r="O41" s="630">
        <f t="shared" si="0"/>
        <v>0</v>
      </c>
      <c r="P41" s="629">
        <f t="shared" si="4"/>
        <v>0</v>
      </c>
      <c r="Q41" s="629">
        <f t="shared" si="5"/>
        <v>0</v>
      </c>
      <c r="R41" s="630">
        <f t="shared" si="1"/>
        <v>0</v>
      </c>
    </row>
    <row r="42" spans="2:18" outlineLevel="1" x14ac:dyDescent="0.2">
      <c r="B42" s="59"/>
      <c r="C42" s="59"/>
      <c r="D42" s="59"/>
      <c r="E42" s="541"/>
      <c r="F42" s="541"/>
      <c r="G42" s="541"/>
      <c r="H42" s="541"/>
      <c r="I42" s="59"/>
      <c r="J42" s="59"/>
      <c r="K42" s="621"/>
      <c r="L42" s="621"/>
      <c r="M42" s="629">
        <f t="shared" si="2"/>
        <v>0</v>
      </c>
      <c r="N42" s="629">
        <f t="shared" si="3"/>
        <v>0</v>
      </c>
      <c r="O42" s="630">
        <f t="shared" si="0"/>
        <v>0</v>
      </c>
      <c r="P42" s="629">
        <f t="shared" si="4"/>
        <v>0</v>
      </c>
      <c r="Q42" s="629">
        <f t="shared" si="5"/>
        <v>0</v>
      </c>
      <c r="R42" s="630">
        <f t="shared" si="1"/>
        <v>0</v>
      </c>
    </row>
    <row r="43" spans="2:18" outlineLevel="1" x14ac:dyDescent="0.2">
      <c r="B43" s="59"/>
      <c r="C43" s="59"/>
      <c r="D43" s="59"/>
      <c r="E43" s="541"/>
      <c r="F43" s="541"/>
      <c r="G43" s="541"/>
      <c r="H43" s="541"/>
      <c r="I43" s="59"/>
      <c r="J43" s="59"/>
      <c r="K43" s="621"/>
      <c r="L43" s="621"/>
      <c r="M43" s="629">
        <f t="shared" si="2"/>
        <v>0</v>
      </c>
      <c r="N43" s="629">
        <f t="shared" si="3"/>
        <v>0</v>
      </c>
      <c r="O43" s="630">
        <f t="shared" si="0"/>
        <v>0</v>
      </c>
      <c r="P43" s="629">
        <f t="shared" si="4"/>
        <v>0</v>
      </c>
      <c r="Q43" s="629">
        <f t="shared" si="5"/>
        <v>0</v>
      </c>
      <c r="R43" s="630">
        <f t="shared" si="1"/>
        <v>0</v>
      </c>
    </row>
    <row r="44" spans="2:18" outlineLevel="1" x14ac:dyDescent="0.2">
      <c r="B44" s="59"/>
      <c r="C44" s="59"/>
      <c r="D44" s="59"/>
      <c r="E44" s="541"/>
      <c r="F44" s="541"/>
      <c r="G44" s="541"/>
      <c r="H44" s="541"/>
      <c r="I44" s="59"/>
      <c r="J44" s="59"/>
      <c r="K44" s="621"/>
      <c r="L44" s="621"/>
      <c r="M44" s="629">
        <f t="shared" si="2"/>
        <v>0</v>
      </c>
      <c r="N44" s="629">
        <f t="shared" si="3"/>
        <v>0</v>
      </c>
      <c r="O44" s="630">
        <f t="shared" si="0"/>
        <v>0</v>
      </c>
      <c r="P44" s="629">
        <f t="shared" si="4"/>
        <v>0</v>
      </c>
      <c r="Q44" s="629">
        <f t="shared" si="5"/>
        <v>0</v>
      </c>
      <c r="R44" s="630">
        <f t="shared" si="1"/>
        <v>0</v>
      </c>
    </row>
    <row r="45" spans="2:18" outlineLevel="1" x14ac:dyDescent="0.2">
      <c r="B45" s="59"/>
      <c r="C45" s="59"/>
      <c r="D45" s="59"/>
      <c r="E45" s="541"/>
      <c r="F45" s="541"/>
      <c r="G45" s="541"/>
      <c r="H45" s="541"/>
      <c r="I45" s="59"/>
      <c r="J45" s="59"/>
      <c r="K45" s="621"/>
      <c r="L45" s="621"/>
      <c r="M45" s="629">
        <f t="shared" si="2"/>
        <v>0</v>
      </c>
      <c r="N45" s="629">
        <f t="shared" si="3"/>
        <v>0</v>
      </c>
      <c r="O45" s="630">
        <f t="shared" si="0"/>
        <v>0</v>
      </c>
      <c r="P45" s="629">
        <f t="shared" si="4"/>
        <v>0</v>
      </c>
      <c r="Q45" s="629">
        <f t="shared" si="5"/>
        <v>0</v>
      </c>
      <c r="R45" s="630">
        <f t="shared" si="1"/>
        <v>0</v>
      </c>
    </row>
    <row r="46" spans="2:18" outlineLevel="1" x14ac:dyDescent="0.2">
      <c r="B46" s="59"/>
      <c r="C46" s="59"/>
      <c r="D46" s="59"/>
      <c r="E46" s="541"/>
      <c r="F46" s="541"/>
      <c r="G46" s="541"/>
      <c r="H46" s="541"/>
      <c r="I46" s="59"/>
      <c r="J46" s="59"/>
      <c r="K46" s="621"/>
      <c r="L46" s="621"/>
      <c r="M46" s="629">
        <f t="shared" si="2"/>
        <v>0</v>
      </c>
      <c r="N46" s="629">
        <f t="shared" si="3"/>
        <v>0</v>
      </c>
      <c r="O46" s="630">
        <f t="shared" si="0"/>
        <v>0</v>
      </c>
      <c r="P46" s="629">
        <f t="shared" si="4"/>
        <v>0</v>
      </c>
      <c r="Q46" s="629">
        <f t="shared" si="5"/>
        <v>0</v>
      </c>
      <c r="R46" s="630">
        <f t="shared" si="1"/>
        <v>0</v>
      </c>
    </row>
    <row r="47" spans="2:18" outlineLevel="1" x14ac:dyDescent="0.2">
      <c r="B47" s="59"/>
      <c r="C47" s="59"/>
      <c r="D47" s="59"/>
      <c r="E47" s="541"/>
      <c r="F47" s="541"/>
      <c r="G47" s="541"/>
      <c r="H47" s="541"/>
      <c r="I47" s="59"/>
      <c r="J47" s="59"/>
      <c r="K47" s="621"/>
      <c r="L47" s="621"/>
      <c r="M47" s="629">
        <f t="shared" si="2"/>
        <v>0</v>
      </c>
      <c r="N47" s="629">
        <f t="shared" si="3"/>
        <v>0</v>
      </c>
      <c r="O47" s="630">
        <f t="shared" si="0"/>
        <v>0</v>
      </c>
      <c r="P47" s="629">
        <f t="shared" si="4"/>
        <v>0</v>
      </c>
      <c r="Q47" s="629">
        <f t="shared" si="5"/>
        <v>0</v>
      </c>
      <c r="R47" s="630">
        <f t="shared" si="1"/>
        <v>0</v>
      </c>
    </row>
    <row r="48" spans="2:18" outlineLevel="1" x14ac:dyDescent="0.2">
      <c r="B48" s="59"/>
      <c r="C48" s="59"/>
      <c r="D48" s="59"/>
      <c r="E48" s="541"/>
      <c r="F48" s="541"/>
      <c r="G48" s="541"/>
      <c r="H48" s="541"/>
      <c r="I48" s="59"/>
      <c r="J48" s="59"/>
      <c r="K48" s="621"/>
      <c r="L48" s="621"/>
      <c r="M48" s="629">
        <f t="shared" si="2"/>
        <v>0</v>
      </c>
      <c r="N48" s="629">
        <f t="shared" si="3"/>
        <v>0</v>
      </c>
      <c r="O48" s="630">
        <f t="shared" si="0"/>
        <v>0</v>
      </c>
      <c r="P48" s="629">
        <f t="shared" si="4"/>
        <v>0</v>
      </c>
      <c r="Q48" s="629">
        <f t="shared" si="5"/>
        <v>0</v>
      </c>
      <c r="R48" s="630">
        <f t="shared" si="1"/>
        <v>0</v>
      </c>
    </row>
    <row r="49" spans="2:18" outlineLevel="1" x14ac:dyDescent="0.2">
      <c r="B49" s="59"/>
      <c r="C49" s="59"/>
      <c r="D49" s="59"/>
      <c r="E49" s="541"/>
      <c r="F49" s="541"/>
      <c r="G49" s="541"/>
      <c r="H49" s="541"/>
      <c r="I49" s="59"/>
      <c r="J49" s="59"/>
      <c r="K49" s="621"/>
      <c r="L49" s="621"/>
      <c r="M49" s="629">
        <f t="shared" si="2"/>
        <v>0</v>
      </c>
      <c r="N49" s="629">
        <f t="shared" si="3"/>
        <v>0</v>
      </c>
      <c r="O49" s="630">
        <f t="shared" si="0"/>
        <v>0</v>
      </c>
      <c r="P49" s="629">
        <f t="shared" si="4"/>
        <v>0</v>
      </c>
      <c r="Q49" s="629">
        <f t="shared" si="5"/>
        <v>0</v>
      </c>
      <c r="R49" s="630">
        <f t="shared" si="1"/>
        <v>0</v>
      </c>
    </row>
    <row r="50" spans="2:18" outlineLevel="1" x14ac:dyDescent="0.2">
      <c r="B50" s="59"/>
      <c r="C50" s="59"/>
      <c r="D50" s="59"/>
      <c r="E50" s="541"/>
      <c r="F50" s="541"/>
      <c r="G50" s="541"/>
      <c r="H50" s="541"/>
      <c r="I50" s="59"/>
      <c r="J50" s="59"/>
      <c r="K50" s="621"/>
      <c r="L50" s="621"/>
      <c r="M50" s="629">
        <f t="shared" si="2"/>
        <v>0</v>
      </c>
      <c r="N50" s="629">
        <f t="shared" si="3"/>
        <v>0</v>
      </c>
      <c r="O50" s="630">
        <f t="shared" si="0"/>
        <v>0</v>
      </c>
      <c r="P50" s="629">
        <f t="shared" si="4"/>
        <v>0</v>
      </c>
      <c r="Q50" s="629">
        <f t="shared" si="5"/>
        <v>0</v>
      </c>
      <c r="R50" s="630">
        <f t="shared" si="1"/>
        <v>0</v>
      </c>
    </row>
    <row r="51" spans="2:18" outlineLevel="1" x14ac:dyDescent="0.2">
      <c r="B51" s="59"/>
      <c r="C51" s="59"/>
      <c r="D51" s="59"/>
      <c r="E51" s="541"/>
      <c r="F51" s="541"/>
      <c r="G51" s="541"/>
      <c r="H51" s="541"/>
      <c r="I51" s="59"/>
      <c r="J51" s="59"/>
      <c r="K51" s="621"/>
      <c r="L51" s="621"/>
      <c r="M51" s="629">
        <f t="shared" si="2"/>
        <v>0</v>
      </c>
      <c r="N51" s="629">
        <f t="shared" si="3"/>
        <v>0</v>
      </c>
      <c r="O51" s="630">
        <f t="shared" si="0"/>
        <v>0</v>
      </c>
      <c r="P51" s="629">
        <f t="shared" si="4"/>
        <v>0</v>
      </c>
      <c r="Q51" s="629">
        <f t="shared" si="5"/>
        <v>0</v>
      </c>
      <c r="R51" s="630">
        <f t="shared" si="1"/>
        <v>0</v>
      </c>
    </row>
    <row r="52" spans="2:18" outlineLevel="1" x14ac:dyDescent="0.2">
      <c r="B52" s="59"/>
      <c r="C52" s="59"/>
      <c r="D52" s="59"/>
      <c r="E52" s="541"/>
      <c r="F52" s="541"/>
      <c r="G52" s="541"/>
      <c r="H52" s="541"/>
      <c r="I52" s="59"/>
      <c r="J52" s="59"/>
      <c r="K52" s="621"/>
      <c r="L52" s="621"/>
      <c r="M52" s="629">
        <f t="shared" si="2"/>
        <v>0</v>
      </c>
      <c r="N52" s="629">
        <f t="shared" si="3"/>
        <v>0</v>
      </c>
      <c r="O52" s="630">
        <f t="shared" si="0"/>
        <v>0</v>
      </c>
      <c r="P52" s="629">
        <f t="shared" si="4"/>
        <v>0</v>
      </c>
      <c r="Q52" s="629">
        <f t="shared" si="5"/>
        <v>0</v>
      </c>
      <c r="R52" s="630">
        <f t="shared" si="1"/>
        <v>0</v>
      </c>
    </row>
    <row r="53" spans="2:18" outlineLevel="1" x14ac:dyDescent="0.2">
      <c r="B53" s="59"/>
      <c r="C53" s="59"/>
      <c r="D53" s="59"/>
      <c r="E53" s="541"/>
      <c r="F53" s="541"/>
      <c r="G53" s="541"/>
      <c r="H53" s="541"/>
      <c r="I53" s="59"/>
      <c r="J53" s="59"/>
      <c r="K53" s="621"/>
      <c r="L53" s="621"/>
      <c r="M53" s="629">
        <f t="shared" si="2"/>
        <v>0</v>
      </c>
      <c r="N53" s="629">
        <f t="shared" si="3"/>
        <v>0</v>
      </c>
      <c r="O53" s="630">
        <f t="shared" si="0"/>
        <v>0</v>
      </c>
      <c r="P53" s="629">
        <f t="shared" si="4"/>
        <v>0</v>
      </c>
      <c r="Q53" s="629">
        <f t="shared" si="5"/>
        <v>0</v>
      </c>
      <c r="R53" s="630">
        <f t="shared" si="1"/>
        <v>0</v>
      </c>
    </row>
    <row r="54" spans="2:18" outlineLevel="1" x14ac:dyDescent="0.2">
      <c r="B54" s="59"/>
      <c r="C54" s="59"/>
      <c r="D54" s="59"/>
      <c r="E54" s="541"/>
      <c r="F54" s="541"/>
      <c r="G54" s="541"/>
      <c r="H54" s="541"/>
      <c r="I54" s="59"/>
      <c r="J54" s="59"/>
      <c r="K54" s="621"/>
      <c r="L54" s="621"/>
      <c r="M54" s="629">
        <f t="shared" si="2"/>
        <v>0</v>
      </c>
      <c r="N54" s="629">
        <f t="shared" si="3"/>
        <v>0</v>
      </c>
      <c r="O54" s="630">
        <f t="shared" si="0"/>
        <v>0</v>
      </c>
      <c r="P54" s="629">
        <f t="shared" si="4"/>
        <v>0</v>
      </c>
      <c r="Q54" s="629">
        <f t="shared" si="5"/>
        <v>0</v>
      </c>
      <c r="R54" s="630">
        <f t="shared" si="1"/>
        <v>0</v>
      </c>
    </row>
    <row r="55" spans="2:18" outlineLevel="1" x14ac:dyDescent="0.2">
      <c r="B55" s="59"/>
      <c r="C55" s="59"/>
      <c r="D55" s="59"/>
      <c r="E55" s="541"/>
      <c r="F55" s="541"/>
      <c r="G55" s="541"/>
      <c r="H55" s="541"/>
      <c r="I55" s="59"/>
      <c r="J55" s="59"/>
      <c r="K55" s="621"/>
      <c r="L55" s="621"/>
      <c r="M55" s="629">
        <f t="shared" si="2"/>
        <v>0</v>
      </c>
      <c r="N55" s="629">
        <f t="shared" si="3"/>
        <v>0</v>
      </c>
      <c r="O55" s="630">
        <f t="shared" si="0"/>
        <v>0</v>
      </c>
      <c r="P55" s="629">
        <f t="shared" si="4"/>
        <v>0</v>
      </c>
      <c r="Q55" s="629">
        <f t="shared" si="5"/>
        <v>0</v>
      </c>
      <c r="R55" s="630">
        <f t="shared" si="1"/>
        <v>0</v>
      </c>
    </row>
    <row r="56" spans="2:18" outlineLevel="1" x14ac:dyDescent="0.2">
      <c r="B56" s="59"/>
      <c r="C56" s="59"/>
      <c r="D56" s="59"/>
      <c r="E56" s="541"/>
      <c r="F56" s="541"/>
      <c r="G56" s="541"/>
      <c r="H56" s="541"/>
      <c r="I56" s="59"/>
      <c r="J56" s="59"/>
      <c r="K56" s="621"/>
      <c r="L56" s="621"/>
      <c r="M56" s="629">
        <f t="shared" si="2"/>
        <v>0</v>
      </c>
      <c r="N56" s="629">
        <f t="shared" si="3"/>
        <v>0</v>
      </c>
      <c r="O56" s="630">
        <f t="shared" si="0"/>
        <v>0</v>
      </c>
      <c r="P56" s="629">
        <f t="shared" si="4"/>
        <v>0</v>
      </c>
      <c r="Q56" s="629">
        <f t="shared" si="5"/>
        <v>0</v>
      </c>
      <c r="R56" s="630">
        <f t="shared" si="1"/>
        <v>0</v>
      </c>
    </row>
    <row r="57" spans="2:18" outlineLevel="1" x14ac:dyDescent="0.2">
      <c r="B57" s="59"/>
      <c r="C57" s="59"/>
      <c r="D57" s="59"/>
      <c r="E57" s="541"/>
      <c r="F57" s="541"/>
      <c r="G57" s="541"/>
      <c r="H57" s="541"/>
      <c r="I57" s="59"/>
      <c r="J57" s="59"/>
      <c r="K57" s="621"/>
      <c r="L57" s="621"/>
      <c r="M57" s="629">
        <f t="shared" si="2"/>
        <v>0</v>
      </c>
      <c r="N57" s="629">
        <f t="shared" si="3"/>
        <v>0</v>
      </c>
      <c r="O57" s="630">
        <f t="shared" si="0"/>
        <v>0</v>
      </c>
      <c r="P57" s="629">
        <f t="shared" si="4"/>
        <v>0</v>
      </c>
      <c r="Q57" s="629">
        <f t="shared" si="5"/>
        <v>0</v>
      </c>
      <c r="R57" s="630">
        <f t="shared" si="1"/>
        <v>0</v>
      </c>
    </row>
    <row r="58" spans="2:18" outlineLevel="1" x14ac:dyDescent="0.2">
      <c r="B58" s="59"/>
      <c r="C58" s="59"/>
      <c r="D58" s="59"/>
      <c r="E58" s="541"/>
      <c r="F58" s="541"/>
      <c r="G58" s="541"/>
      <c r="H58" s="541"/>
      <c r="I58" s="59"/>
      <c r="J58" s="59"/>
      <c r="K58" s="621"/>
      <c r="L58" s="621"/>
      <c r="M58" s="629">
        <f t="shared" si="2"/>
        <v>0</v>
      </c>
      <c r="N58" s="629">
        <f t="shared" si="3"/>
        <v>0</v>
      </c>
      <c r="O58" s="630">
        <f t="shared" si="0"/>
        <v>0</v>
      </c>
      <c r="P58" s="629">
        <f t="shared" si="4"/>
        <v>0</v>
      </c>
      <c r="Q58" s="629">
        <f t="shared" si="5"/>
        <v>0</v>
      </c>
      <c r="R58" s="630">
        <f t="shared" si="1"/>
        <v>0</v>
      </c>
    </row>
    <row r="59" spans="2:18" outlineLevel="1" x14ac:dyDescent="0.2">
      <c r="B59" s="59"/>
      <c r="C59" s="59"/>
      <c r="D59" s="59"/>
      <c r="E59" s="541"/>
      <c r="F59" s="541"/>
      <c r="G59" s="541"/>
      <c r="H59" s="541"/>
      <c r="I59" s="59"/>
      <c r="J59" s="59"/>
      <c r="K59" s="621"/>
      <c r="L59" s="621"/>
      <c r="M59" s="629">
        <f t="shared" si="2"/>
        <v>0</v>
      </c>
      <c r="N59" s="629">
        <f t="shared" si="3"/>
        <v>0</v>
      </c>
      <c r="O59" s="630">
        <f t="shared" si="0"/>
        <v>0</v>
      </c>
      <c r="P59" s="629">
        <f t="shared" si="4"/>
        <v>0</v>
      </c>
      <c r="Q59" s="629">
        <f t="shared" si="5"/>
        <v>0</v>
      </c>
      <c r="R59" s="630">
        <f t="shared" si="1"/>
        <v>0</v>
      </c>
    </row>
    <row r="60" spans="2:18" outlineLevel="1" x14ac:dyDescent="0.2">
      <c r="B60" s="59"/>
      <c r="C60" s="59"/>
      <c r="D60" s="59"/>
      <c r="E60" s="541"/>
      <c r="F60" s="541"/>
      <c r="G60" s="541"/>
      <c r="H60" s="541"/>
      <c r="I60" s="59"/>
      <c r="J60" s="59"/>
      <c r="K60" s="621"/>
      <c r="L60" s="621"/>
      <c r="M60" s="629">
        <f t="shared" si="2"/>
        <v>0</v>
      </c>
      <c r="N60" s="629">
        <f t="shared" si="3"/>
        <v>0</v>
      </c>
      <c r="O60" s="630">
        <f t="shared" si="0"/>
        <v>0</v>
      </c>
      <c r="P60" s="629">
        <f t="shared" si="4"/>
        <v>0</v>
      </c>
      <c r="Q60" s="629">
        <f t="shared" si="5"/>
        <v>0</v>
      </c>
      <c r="R60" s="630">
        <f t="shared" si="1"/>
        <v>0</v>
      </c>
    </row>
    <row r="61" spans="2:18" outlineLevel="1" x14ac:dyDescent="0.2">
      <c r="B61" s="59"/>
      <c r="C61" s="59"/>
      <c r="D61" s="59"/>
      <c r="E61" s="541"/>
      <c r="F61" s="541"/>
      <c r="G61" s="541"/>
      <c r="H61" s="541"/>
      <c r="I61" s="59"/>
      <c r="J61" s="59"/>
      <c r="K61" s="621"/>
      <c r="L61" s="621"/>
      <c r="M61" s="629">
        <f t="shared" si="2"/>
        <v>0</v>
      </c>
      <c r="N61" s="629">
        <f t="shared" si="3"/>
        <v>0</v>
      </c>
      <c r="O61" s="630">
        <f t="shared" si="0"/>
        <v>0</v>
      </c>
      <c r="P61" s="629">
        <f t="shared" si="4"/>
        <v>0</v>
      </c>
      <c r="Q61" s="629">
        <f t="shared" si="5"/>
        <v>0</v>
      </c>
      <c r="R61" s="630">
        <f t="shared" si="1"/>
        <v>0</v>
      </c>
    </row>
    <row r="62" spans="2:18" outlineLevel="1" x14ac:dyDescent="0.2">
      <c r="B62" s="59"/>
      <c r="C62" s="59"/>
      <c r="D62" s="59"/>
      <c r="E62" s="541"/>
      <c r="F62" s="541"/>
      <c r="G62" s="541"/>
      <c r="H62" s="541"/>
      <c r="I62" s="59"/>
      <c r="J62" s="59"/>
      <c r="K62" s="621"/>
      <c r="L62" s="621"/>
      <c r="M62" s="629">
        <f t="shared" si="2"/>
        <v>0</v>
      </c>
      <c r="N62" s="629">
        <f t="shared" si="3"/>
        <v>0</v>
      </c>
      <c r="O62" s="630">
        <f t="shared" si="0"/>
        <v>0</v>
      </c>
      <c r="P62" s="629">
        <f t="shared" si="4"/>
        <v>0</v>
      </c>
      <c r="Q62" s="629">
        <f t="shared" si="5"/>
        <v>0</v>
      </c>
      <c r="R62" s="630">
        <f t="shared" si="1"/>
        <v>0</v>
      </c>
    </row>
    <row r="63" spans="2:18" outlineLevel="1" x14ac:dyDescent="0.2">
      <c r="B63" s="59"/>
      <c r="C63" s="59"/>
      <c r="D63" s="59"/>
      <c r="E63" s="541"/>
      <c r="F63" s="541"/>
      <c r="G63" s="541"/>
      <c r="H63" s="541"/>
      <c r="I63" s="59"/>
      <c r="J63" s="59"/>
      <c r="K63" s="621"/>
      <c r="L63" s="621"/>
      <c r="M63" s="629">
        <f t="shared" si="2"/>
        <v>0</v>
      </c>
      <c r="N63" s="629">
        <f t="shared" si="3"/>
        <v>0</v>
      </c>
      <c r="O63" s="630">
        <f t="shared" si="0"/>
        <v>0</v>
      </c>
      <c r="P63" s="629">
        <f t="shared" si="4"/>
        <v>0</v>
      </c>
      <c r="Q63" s="629">
        <f t="shared" si="5"/>
        <v>0</v>
      </c>
      <c r="R63" s="630">
        <f t="shared" si="1"/>
        <v>0</v>
      </c>
    </row>
    <row r="64" spans="2:18" outlineLevel="1" x14ac:dyDescent="0.2">
      <c r="B64" s="59"/>
      <c r="C64" s="59"/>
      <c r="D64" s="59"/>
      <c r="E64" s="541"/>
      <c r="F64" s="541"/>
      <c r="G64" s="541"/>
      <c r="H64" s="541"/>
      <c r="I64" s="59"/>
      <c r="J64" s="59"/>
      <c r="K64" s="621"/>
      <c r="L64" s="621"/>
      <c r="M64" s="629">
        <f t="shared" si="2"/>
        <v>0</v>
      </c>
      <c r="N64" s="629">
        <f t="shared" si="3"/>
        <v>0</v>
      </c>
      <c r="O64" s="630">
        <f t="shared" si="0"/>
        <v>0</v>
      </c>
      <c r="P64" s="629">
        <f t="shared" si="4"/>
        <v>0</v>
      </c>
      <c r="Q64" s="629">
        <f t="shared" si="5"/>
        <v>0</v>
      </c>
      <c r="R64" s="630">
        <f t="shared" si="1"/>
        <v>0</v>
      </c>
    </row>
    <row r="65" spans="2:18" outlineLevel="1" x14ac:dyDescent="0.2">
      <c r="B65" s="59"/>
      <c r="C65" s="59"/>
      <c r="D65" s="59"/>
      <c r="E65" s="541"/>
      <c r="F65" s="541"/>
      <c r="G65" s="541"/>
      <c r="H65" s="541"/>
      <c r="I65" s="59"/>
      <c r="J65" s="59"/>
      <c r="K65" s="621"/>
      <c r="L65" s="621"/>
      <c r="M65" s="629">
        <f t="shared" si="2"/>
        <v>0</v>
      </c>
      <c r="N65" s="629">
        <f t="shared" si="3"/>
        <v>0</v>
      </c>
      <c r="O65" s="630">
        <f t="shared" si="0"/>
        <v>0</v>
      </c>
      <c r="P65" s="629">
        <f t="shared" si="4"/>
        <v>0</v>
      </c>
      <c r="Q65" s="629">
        <f t="shared" si="5"/>
        <v>0</v>
      </c>
      <c r="R65" s="630">
        <f t="shared" si="1"/>
        <v>0</v>
      </c>
    </row>
    <row r="66" spans="2:18" outlineLevel="1" x14ac:dyDescent="0.2">
      <c r="B66" s="59"/>
      <c r="C66" s="59"/>
      <c r="D66" s="59"/>
      <c r="E66" s="541"/>
      <c r="F66" s="541"/>
      <c r="G66" s="541"/>
      <c r="H66" s="541"/>
      <c r="I66" s="59"/>
      <c r="J66" s="59"/>
      <c r="K66" s="621"/>
      <c r="L66" s="621"/>
      <c r="M66" s="629">
        <f t="shared" si="2"/>
        <v>0</v>
      </c>
      <c r="N66" s="629">
        <f t="shared" si="3"/>
        <v>0</v>
      </c>
      <c r="O66" s="630">
        <f t="shared" si="0"/>
        <v>0</v>
      </c>
      <c r="P66" s="629">
        <f t="shared" si="4"/>
        <v>0</v>
      </c>
      <c r="Q66" s="629">
        <f t="shared" si="5"/>
        <v>0</v>
      </c>
      <c r="R66" s="630">
        <f t="shared" si="1"/>
        <v>0</v>
      </c>
    </row>
    <row r="67" spans="2:18" outlineLevel="1" x14ac:dyDescent="0.2">
      <c r="B67" s="59"/>
      <c r="C67" s="59"/>
      <c r="D67" s="59"/>
      <c r="E67" s="541"/>
      <c r="F67" s="541"/>
      <c r="G67" s="541"/>
      <c r="H67" s="541"/>
      <c r="I67" s="59"/>
      <c r="J67" s="59"/>
      <c r="K67" s="621"/>
      <c r="L67" s="621"/>
      <c r="M67" s="629">
        <f t="shared" si="2"/>
        <v>0</v>
      </c>
      <c r="N67" s="629">
        <f t="shared" si="3"/>
        <v>0</v>
      </c>
      <c r="O67" s="630">
        <f t="shared" si="0"/>
        <v>0</v>
      </c>
      <c r="P67" s="629">
        <f t="shared" si="4"/>
        <v>0</v>
      </c>
      <c r="Q67" s="629">
        <f t="shared" si="5"/>
        <v>0</v>
      </c>
      <c r="R67" s="630">
        <f t="shared" si="1"/>
        <v>0</v>
      </c>
    </row>
    <row r="68" spans="2:18" outlineLevel="1" x14ac:dyDescent="0.2">
      <c r="B68" s="59"/>
      <c r="C68" s="59"/>
      <c r="D68" s="59"/>
      <c r="E68" s="541"/>
      <c r="F68" s="541"/>
      <c r="G68" s="541"/>
      <c r="H68" s="541"/>
      <c r="I68" s="59"/>
      <c r="J68" s="59"/>
      <c r="K68" s="621"/>
      <c r="L68" s="621"/>
      <c r="M68" s="629">
        <f t="shared" si="2"/>
        <v>0</v>
      </c>
      <c r="N68" s="629">
        <f t="shared" si="3"/>
        <v>0</v>
      </c>
      <c r="O68" s="630">
        <f t="shared" si="0"/>
        <v>0</v>
      </c>
      <c r="P68" s="629">
        <f t="shared" si="4"/>
        <v>0</v>
      </c>
      <c r="Q68" s="629">
        <f t="shared" si="5"/>
        <v>0</v>
      </c>
      <c r="R68" s="630">
        <f t="shared" si="1"/>
        <v>0</v>
      </c>
    </row>
    <row r="69" spans="2:18" outlineLevel="1" x14ac:dyDescent="0.2">
      <c r="B69" s="59"/>
      <c r="C69" s="59"/>
      <c r="D69" s="59"/>
      <c r="E69" s="541"/>
      <c r="F69" s="541"/>
      <c r="G69" s="541"/>
      <c r="H69" s="541"/>
      <c r="I69" s="59"/>
      <c r="J69" s="59"/>
      <c r="K69" s="621"/>
      <c r="L69" s="621"/>
      <c r="M69" s="629">
        <f t="shared" si="2"/>
        <v>0</v>
      </c>
      <c r="N69" s="629">
        <f t="shared" si="3"/>
        <v>0</v>
      </c>
      <c r="O69" s="630">
        <f t="shared" ref="O69:O132" si="6">M69+N69</f>
        <v>0</v>
      </c>
      <c r="P69" s="629">
        <f t="shared" si="4"/>
        <v>0</v>
      </c>
      <c r="Q69" s="629">
        <f t="shared" si="5"/>
        <v>0</v>
      </c>
      <c r="R69" s="630">
        <f t="shared" ref="R69:R132" si="7">P69+Q69</f>
        <v>0</v>
      </c>
    </row>
    <row r="70" spans="2:18" outlineLevel="1" x14ac:dyDescent="0.2">
      <c r="B70" s="59"/>
      <c r="C70" s="59"/>
      <c r="D70" s="59"/>
      <c r="E70" s="541"/>
      <c r="F70" s="541"/>
      <c r="G70" s="541"/>
      <c r="H70" s="541"/>
      <c r="I70" s="59"/>
      <c r="J70" s="59"/>
      <c r="K70" s="621"/>
      <c r="L70" s="621"/>
      <c r="M70" s="629">
        <f t="shared" ref="M70:M133" si="8">G70*(-1)</f>
        <v>0</v>
      </c>
      <c r="N70" s="629">
        <f t="shared" ref="N70:N133" si="9">H70*(-1)</f>
        <v>0</v>
      </c>
      <c r="O70" s="630">
        <f t="shared" si="6"/>
        <v>0</v>
      </c>
      <c r="P70" s="629">
        <f t="shared" ref="P70:P133" si="10">+IF(AND(I70="NO",E70&gt;G70),(E70-G70)*K70*(-1),0)</f>
        <v>0</v>
      </c>
      <c r="Q70" s="629">
        <f t="shared" ref="Q70:Q133" si="11">+IF(AND(J70="NO",F70&gt;H70),(F70-H70)*L70*(-1),0)</f>
        <v>0</v>
      </c>
      <c r="R70" s="630">
        <f t="shared" si="7"/>
        <v>0</v>
      </c>
    </row>
    <row r="71" spans="2:18" outlineLevel="1" x14ac:dyDescent="0.2">
      <c r="B71" s="59"/>
      <c r="C71" s="59"/>
      <c r="D71" s="59"/>
      <c r="E71" s="541"/>
      <c r="F71" s="541"/>
      <c r="G71" s="541"/>
      <c r="H71" s="541"/>
      <c r="I71" s="59"/>
      <c r="J71" s="59"/>
      <c r="K71" s="621"/>
      <c r="L71" s="621"/>
      <c r="M71" s="629">
        <f t="shared" si="8"/>
        <v>0</v>
      </c>
      <c r="N71" s="629">
        <f t="shared" si="9"/>
        <v>0</v>
      </c>
      <c r="O71" s="630">
        <f t="shared" si="6"/>
        <v>0</v>
      </c>
      <c r="P71" s="629">
        <f t="shared" si="10"/>
        <v>0</v>
      </c>
      <c r="Q71" s="629">
        <f t="shared" si="11"/>
        <v>0</v>
      </c>
      <c r="R71" s="630">
        <f t="shared" si="7"/>
        <v>0</v>
      </c>
    </row>
    <row r="72" spans="2:18" outlineLevel="1" x14ac:dyDescent="0.2">
      <c r="B72" s="59"/>
      <c r="C72" s="59"/>
      <c r="D72" s="59"/>
      <c r="E72" s="541"/>
      <c r="F72" s="541"/>
      <c r="G72" s="541"/>
      <c r="H72" s="541"/>
      <c r="I72" s="59"/>
      <c r="J72" s="59"/>
      <c r="K72" s="621"/>
      <c r="L72" s="621"/>
      <c r="M72" s="629">
        <f t="shared" si="8"/>
        <v>0</v>
      </c>
      <c r="N72" s="629">
        <f t="shared" si="9"/>
        <v>0</v>
      </c>
      <c r="O72" s="630">
        <f t="shared" si="6"/>
        <v>0</v>
      </c>
      <c r="P72" s="629">
        <f t="shared" si="10"/>
        <v>0</v>
      </c>
      <c r="Q72" s="629">
        <f t="shared" si="11"/>
        <v>0</v>
      </c>
      <c r="R72" s="630">
        <f t="shared" si="7"/>
        <v>0</v>
      </c>
    </row>
    <row r="73" spans="2:18" outlineLevel="1" x14ac:dyDescent="0.2">
      <c r="B73" s="59"/>
      <c r="C73" s="59"/>
      <c r="D73" s="59"/>
      <c r="E73" s="541"/>
      <c r="F73" s="541"/>
      <c r="G73" s="541"/>
      <c r="H73" s="541"/>
      <c r="I73" s="59"/>
      <c r="J73" s="59"/>
      <c r="K73" s="621"/>
      <c r="L73" s="621"/>
      <c r="M73" s="629">
        <f t="shared" si="8"/>
        <v>0</v>
      </c>
      <c r="N73" s="629">
        <f t="shared" si="9"/>
        <v>0</v>
      </c>
      <c r="O73" s="630">
        <f t="shared" si="6"/>
        <v>0</v>
      </c>
      <c r="P73" s="629">
        <f t="shared" si="10"/>
        <v>0</v>
      </c>
      <c r="Q73" s="629">
        <f t="shared" si="11"/>
        <v>0</v>
      </c>
      <c r="R73" s="630">
        <f t="shared" si="7"/>
        <v>0</v>
      </c>
    </row>
    <row r="74" spans="2:18" outlineLevel="1" x14ac:dyDescent="0.2">
      <c r="B74" s="59"/>
      <c r="C74" s="59"/>
      <c r="D74" s="59"/>
      <c r="E74" s="541"/>
      <c r="F74" s="541"/>
      <c r="G74" s="541"/>
      <c r="H74" s="541"/>
      <c r="I74" s="59"/>
      <c r="J74" s="59"/>
      <c r="K74" s="621"/>
      <c r="L74" s="621"/>
      <c r="M74" s="629">
        <f t="shared" si="8"/>
        <v>0</v>
      </c>
      <c r="N74" s="629">
        <f t="shared" si="9"/>
        <v>0</v>
      </c>
      <c r="O74" s="630">
        <f t="shared" si="6"/>
        <v>0</v>
      </c>
      <c r="P74" s="629">
        <f t="shared" si="10"/>
        <v>0</v>
      </c>
      <c r="Q74" s="629">
        <f t="shared" si="11"/>
        <v>0</v>
      </c>
      <c r="R74" s="630">
        <f t="shared" si="7"/>
        <v>0</v>
      </c>
    </row>
    <row r="75" spans="2:18" outlineLevel="1" x14ac:dyDescent="0.2">
      <c r="B75" s="59"/>
      <c r="C75" s="59"/>
      <c r="D75" s="59"/>
      <c r="E75" s="541"/>
      <c r="F75" s="541"/>
      <c r="G75" s="541"/>
      <c r="H75" s="541"/>
      <c r="I75" s="59"/>
      <c r="J75" s="59"/>
      <c r="K75" s="621"/>
      <c r="L75" s="621"/>
      <c r="M75" s="629">
        <f t="shared" si="8"/>
        <v>0</v>
      </c>
      <c r="N75" s="629">
        <f t="shared" si="9"/>
        <v>0</v>
      </c>
      <c r="O75" s="630">
        <f t="shared" si="6"/>
        <v>0</v>
      </c>
      <c r="P75" s="629">
        <f t="shared" si="10"/>
        <v>0</v>
      </c>
      <c r="Q75" s="629">
        <f t="shared" si="11"/>
        <v>0</v>
      </c>
      <c r="R75" s="630">
        <f t="shared" si="7"/>
        <v>0</v>
      </c>
    </row>
    <row r="76" spans="2:18" outlineLevel="1" x14ac:dyDescent="0.2">
      <c r="B76" s="59"/>
      <c r="C76" s="59"/>
      <c r="D76" s="59"/>
      <c r="E76" s="541"/>
      <c r="F76" s="541"/>
      <c r="G76" s="541"/>
      <c r="H76" s="541"/>
      <c r="I76" s="59"/>
      <c r="J76" s="59"/>
      <c r="K76" s="621"/>
      <c r="L76" s="621"/>
      <c r="M76" s="629">
        <f t="shared" si="8"/>
        <v>0</v>
      </c>
      <c r="N76" s="629">
        <f t="shared" si="9"/>
        <v>0</v>
      </c>
      <c r="O76" s="630">
        <f t="shared" si="6"/>
        <v>0</v>
      </c>
      <c r="P76" s="629">
        <f t="shared" si="10"/>
        <v>0</v>
      </c>
      <c r="Q76" s="629">
        <f t="shared" si="11"/>
        <v>0</v>
      </c>
      <c r="R76" s="630">
        <f t="shared" si="7"/>
        <v>0</v>
      </c>
    </row>
    <row r="77" spans="2:18" outlineLevel="1" x14ac:dyDescent="0.2">
      <c r="B77" s="59"/>
      <c r="C77" s="59"/>
      <c r="D77" s="59"/>
      <c r="E77" s="541"/>
      <c r="F77" s="541"/>
      <c r="G77" s="541"/>
      <c r="H77" s="541"/>
      <c r="I77" s="59"/>
      <c r="J77" s="59"/>
      <c r="K77" s="621"/>
      <c r="L77" s="621"/>
      <c r="M77" s="629">
        <f t="shared" si="8"/>
        <v>0</v>
      </c>
      <c r="N77" s="629">
        <f t="shared" si="9"/>
        <v>0</v>
      </c>
      <c r="O77" s="630">
        <f t="shared" si="6"/>
        <v>0</v>
      </c>
      <c r="P77" s="629">
        <f t="shared" si="10"/>
        <v>0</v>
      </c>
      <c r="Q77" s="629">
        <f t="shared" si="11"/>
        <v>0</v>
      </c>
      <c r="R77" s="630">
        <f t="shared" si="7"/>
        <v>0</v>
      </c>
    </row>
    <row r="78" spans="2:18" outlineLevel="1" x14ac:dyDescent="0.2">
      <c r="B78" s="59"/>
      <c r="C78" s="59"/>
      <c r="D78" s="59"/>
      <c r="E78" s="541"/>
      <c r="F78" s="541"/>
      <c r="G78" s="541"/>
      <c r="H78" s="541"/>
      <c r="I78" s="59"/>
      <c r="J78" s="59"/>
      <c r="K78" s="621"/>
      <c r="L78" s="621"/>
      <c r="M78" s="629">
        <f t="shared" si="8"/>
        <v>0</v>
      </c>
      <c r="N78" s="629">
        <f t="shared" si="9"/>
        <v>0</v>
      </c>
      <c r="O78" s="630">
        <f t="shared" si="6"/>
        <v>0</v>
      </c>
      <c r="P78" s="629">
        <f t="shared" si="10"/>
        <v>0</v>
      </c>
      <c r="Q78" s="629">
        <f t="shared" si="11"/>
        <v>0</v>
      </c>
      <c r="R78" s="630">
        <f t="shared" si="7"/>
        <v>0</v>
      </c>
    </row>
    <row r="79" spans="2:18" outlineLevel="1" x14ac:dyDescent="0.2">
      <c r="B79" s="59"/>
      <c r="C79" s="59"/>
      <c r="D79" s="59"/>
      <c r="E79" s="541"/>
      <c r="F79" s="541"/>
      <c r="G79" s="541"/>
      <c r="H79" s="541"/>
      <c r="I79" s="59"/>
      <c r="J79" s="59"/>
      <c r="K79" s="621"/>
      <c r="L79" s="621"/>
      <c r="M79" s="629">
        <f t="shared" si="8"/>
        <v>0</v>
      </c>
      <c r="N79" s="629">
        <f t="shared" si="9"/>
        <v>0</v>
      </c>
      <c r="O79" s="630">
        <f t="shared" si="6"/>
        <v>0</v>
      </c>
      <c r="P79" s="629">
        <f t="shared" si="10"/>
        <v>0</v>
      </c>
      <c r="Q79" s="629">
        <f t="shared" si="11"/>
        <v>0</v>
      </c>
      <c r="R79" s="630">
        <f t="shared" si="7"/>
        <v>0</v>
      </c>
    </row>
    <row r="80" spans="2:18" outlineLevel="1" x14ac:dyDescent="0.2">
      <c r="B80" s="59"/>
      <c r="C80" s="59"/>
      <c r="D80" s="59"/>
      <c r="E80" s="541"/>
      <c r="F80" s="541"/>
      <c r="G80" s="541"/>
      <c r="H80" s="541"/>
      <c r="I80" s="59"/>
      <c r="J80" s="59"/>
      <c r="K80" s="621"/>
      <c r="L80" s="621"/>
      <c r="M80" s="629">
        <f t="shared" si="8"/>
        <v>0</v>
      </c>
      <c r="N80" s="629">
        <f t="shared" si="9"/>
        <v>0</v>
      </c>
      <c r="O80" s="630">
        <f t="shared" si="6"/>
        <v>0</v>
      </c>
      <c r="P80" s="629">
        <f t="shared" si="10"/>
        <v>0</v>
      </c>
      <c r="Q80" s="629">
        <f t="shared" si="11"/>
        <v>0</v>
      </c>
      <c r="R80" s="630">
        <f t="shared" si="7"/>
        <v>0</v>
      </c>
    </row>
    <row r="81" spans="2:18" outlineLevel="1" x14ac:dyDescent="0.2">
      <c r="B81" s="59"/>
      <c r="C81" s="59"/>
      <c r="D81" s="59"/>
      <c r="E81" s="541"/>
      <c r="F81" s="541"/>
      <c r="G81" s="541"/>
      <c r="H81" s="541"/>
      <c r="I81" s="59"/>
      <c r="J81" s="59"/>
      <c r="K81" s="621"/>
      <c r="L81" s="621"/>
      <c r="M81" s="629">
        <f t="shared" si="8"/>
        <v>0</v>
      </c>
      <c r="N81" s="629">
        <f t="shared" si="9"/>
        <v>0</v>
      </c>
      <c r="O81" s="630">
        <f t="shared" si="6"/>
        <v>0</v>
      </c>
      <c r="P81" s="629">
        <f t="shared" si="10"/>
        <v>0</v>
      </c>
      <c r="Q81" s="629">
        <f t="shared" si="11"/>
        <v>0</v>
      </c>
      <c r="R81" s="630">
        <f t="shared" si="7"/>
        <v>0</v>
      </c>
    </row>
    <row r="82" spans="2:18" outlineLevel="1" x14ac:dyDescent="0.2">
      <c r="B82" s="59"/>
      <c r="C82" s="59"/>
      <c r="D82" s="59"/>
      <c r="E82" s="541"/>
      <c r="F82" s="541"/>
      <c r="G82" s="541"/>
      <c r="H82" s="541"/>
      <c r="I82" s="59"/>
      <c r="J82" s="59"/>
      <c r="K82" s="621"/>
      <c r="L82" s="621"/>
      <c r="M82" s="629">
        <f t="shared" si="8"/>
        <v>0</v>
      </c>
      <c r="N82" s="629">
        <f t="shared" si="9"/>
        <v>0</v>
      </c>
      <c r="O82" s="630">
        <f t="shared" si="6"/>
        <v>0</v>
      </c>
      <c r="P82" s="629">
        <f t="shared" si="10"/>
        <v>0</v>
      </c>
      <c r="Q82" s="629">
        <f t="shared" si="11"/>
        <v>0</v>
      </c>
      <c r="R82" s="630">
        <f t="shared" si="7"/>
        <v>0</v>
      </c>
    </row>
    <row r="83" spans="2:18" outlineLevel="1" x14ac:dyDescent="0.2">
      <c r="B83" s="59"/>
      <c r="C83" s="59"/>
      <c r="D83" s="59"/>
      <c r="E83" s="541"/>
      <c r="F83" s="541"/>
      <c r="G83" s="541"/>
      <c r="H83" s="541"/>
      <c r="I83" s="59"/>
      <c r="J83" s="59"/>
      <c r="K83" s="621"/>
      <c r="L83" s="621"/>
      <c r="M83" s="629">
        <f t="shared" si="8"/>
        <v>0</v>
      </c>
      <c r="N83" s="629">
        <f t="shared" si="9"/>
        <v>0</v>
      </c>
      <c r="O83" s="630">
        <f t="shared" si="6"/>
        <v>0</v>
      </c>
      <c r="P83" s="629">
        <f t="shared" si="10"/>
        <v>0</v>
      </c>
      <c r="Q83" s="629">
        <f t="shared" si="11"/>
        <v>0</v>
      </c>
      <c r="R83" s="630">
        <f t="shared" si="7"/>
        <v>0</v>
      </c>
    </row>
    <row r="84" spans="2:18" outlineLevel="1" x14ac:dyDescent="0.2">
      <c r="B84" s="59"/>
      <c r="C84" s="59"/>
      <c r="D84" s="59"/>
      <c r="E84" s="541"/>
      <c r="F84" s="541"/>
      <c r="G84" s="541"/>
      <c r="H84" s="541"/>
      <c r="I84" s="59"/>
      <c r="J84" s="59"/>
      <c r="K84" s="621"/>
      <c r="L84" s="621"/>
      <c r="M84" s="629">
        <f t="shared" si="8"/>
        <v>0</v>
      </c>
      <c r="N84" s="629">
        <f t="shared" si="9"/>
        <v>0</v>
      </c>
      <c r="O84" s="630">
        <f t="shared" si="6"/>
        <v>0</v>
      </c>
      <c r="P84" s="629">
        <f t="shared" si="10"/>
        <v>0</v>
      </c>
      <c r="Q84" s="629">
        <f t="shared" si="11"/>
        <v>0</v>
      </c>
      <c r="R84" s="630">
        <f t="shared" si="7"/>
        <v>0</v>
      </c>
    </row>
    <row r="85" spans="2:18" outlineLevel="1" x14ac:dyDescent="0.2">
      <c r="B85" s="59"/>
      <c r="C85" s="59"/>
      <c r="D85" s="59"/>
      <c r="E85" s="541"/>
      <c r="F85" s="541"/>
      <c r="G85" s="541"/>
      <c r="H85" s="541"/>
      <c r="I85" s="59"/>
      <c r="J85" s="59"/>
      <c r="K85" s="621"/>
      <c r="L85" s="621"/>
      <c r="M85" s="629">
        <f t="shared" si="8"/>
        <v>0</v>
      </c>
      <c r="N85" s="629">
        <f t="shared" si="9"/>
        <v>0</v>
      </c>
      <c r="O85" s="630">
        <f t="shared" si="6"/>
        <v>0</v>
      </c>
      <c r="P85" s="629">
        <f t="shared" si="10"/>
        <v>0</v>
      </c>
      <c r="Q85" s="629">
        <f t="shared" si="11"/>
        <v>0</v>
      </c>
      <c r="R85" s="630">
        <f t="shared" si="7"/>
        <v>0</v>
      </c>
    </row>
    <row r="86" spans="2:18" outlineLevel="1" x14ac:dyDescent="0.2">
      <c r="B86" s="59"/>
      <c r="C86" s="59"/>
      <c r="D86" s="59"/>
      <c r="E86" s="541"/>
      <c r="F86" s="541"/>
      <c r="G86" s="541"/>
      <c r="H86" s="541"/>
      <c r="I86" s="59"/>
      <c r="J86" s="59"/>
      <c r="K86" s="621"/>
      <c r="L86" s="621"/>
      <c r="M86" s="629">
        <f t="shared" si="8"/>
        <v>0</v>
      </c>
      <c r="N86" s="629">
        <f t="shared" si="9"/>
        <v>0</v>
      </c>
      <c r="O86" s="630">
        <f t="shared" si="6"/>
        <v>0</v>
      </c>
      <c r="P86" s="629">
        <f t="shared" si="10"/>
        <v>0</v>
      </c>
      <c r="Q86" s="629">
        <f t="shared" si="11"/>
        <v>0</v>
      </c>
      <c r="R86" s="630">
        <f t="shared" si="7"/>
        <v>0</v>
      </c>
    </row>
    <row r="87" spans="2:18" outlineLevel="1" x14ac:dyDescent="0.2">
      <c r="B87" s="59"/>
      <c r="C87" s="59"/>
      <c r="D87" s="59"/>
      <c r="E87" s="541"/>
      <c r="F87" s="541"/>
      <c r="G87" s="541"/>
      <c r="H87" s="541"/>
      <c r="I87" s="59"/>
      <c r="J87" s="59"/>
      <c r="K87" s="621"/>
      <c r="L87" s="621"/>
      <c r="M87" s="629">
        <f t="shared" si="8"/>
        <v>0</v>
      </c>
      <c r="N87" s="629">
        <f t="shared" si="9"/>
        <v>0</v>
      </c>
      <c r="O87" s="630">
        <f t="shared" si="6"/>
        <v>0</v>
      </c>
      <c r="P87" s="629">
        <f t="shared" si="10"/>
        <v>0</v>
      </c>
      <c r="Q87" s="629">
        <f t="shared" si="11"/>
        <v>0</v>
      </c>
      <c r="R87" s="630">
        <f t="shared" si="7"/>
        <v>0</v>
      </c>
    </row>
    <row r="88" spans="2:18" outlineLevel="1" x14ac:dyDescent="0.2">
      <c r="B88" s="59"/>
      <c r="C88" s="59"/>
      <c r="D88" s="59"/>
      <c r="E88" s="541"/>
      <c r="F88" s="541"/>
      <c r="G88" s="541"/>
      <c r="H88" s="541"/>
      <c r="I88" s="59"/>
      <c r="J88" s="59"/>
      <c r="K88" s="621"/>
      <c r="L88" s="621"/>
      <c r="M88" s="629">
        <f t="shared" si="8"/>
        <v>0</v>
      </c>
      <c r="N88" s="629">
        <f t="shared" si="9"/>
        <v>0</v>
      </c>
      <c r="O88" s="630">
        <f t="shared" si="6"/>
        <v>0</v>
      </c>
      <c r="P88" s="629">
        <f t="shared" si="10"/>
        <v>0</v>
      </c>
      <c r="Q88" s="629">
        <f t="shared" si="11"/>
        <v>0</v>
      </c>
      <c r="R88" s="630">
        <f t="shared" si="7"/>
        <v>0</v>
      </c>
    </row>
    <row r="89" spans="2:18" outlineLevel="1" x14ac:dyDescent="0.2">
      <c r="B89" s="59"/>
      <c r="C89" s="59"/>
      <c r="D89" s="59"/>
      <c r="E89" s="541"/>
      <c r="F89" s="541"/>
      <c r="G89" s="541"/>
      <c r="H89" s="541"/>
      <c r="I89" s="59"/>
      <c r="J89" s="59"/>
      <c r="K89" s="621"/>
      <c r="L89" s="621"/>
      <c r="M89" s="629">
        <f t="shared" si="8"/>
        <v>0</v>
      </c>
      <c r="N89" s="629">
        <f t="shared" si="9"/>
        <v>0</v>
      </c>
      <c r="O89" s="630">
        <f t="shared" si="6"/>
        <v>0</v>
      </c>
      <c r="P89" s="629">
        <f t="shared" si="10"/>
        <v>0</v>
      </c>
      <c r="Q89" s="629">
        <f t="shared" si="11"/>
        <v>0</v>
      </c>
      <c r="R89" s="630">
        <f t="shared" si="7"/>
        <v>0</v>
      </c>
    </row>
    <row r="90" spans="2:18" outlineLevel="1" x14ac:dyDescent="0.2">
      <c r="B90" s="59"/>
      <c r="C90" s="59"/>
      <c r="D90" s="59"/>
      <c r="E90" s="541"/>
      <c r="F90" s="541"/>
      <c r="G90" s="541"/>
      <c r="H90" s="541"/>
      <c r="I90" s="59"/>
      <c r="J90" s="59"/>
      <c r="K90" s="621"/>
      <c r="L90" s="621"/>
      <c r="M90" s="629">
        <f t="shared" si="8"/>
        <v>0</v>
      </c>
      <c r="N90" s="629">
        <f t="shared" si="9"/>
        <v>0</v>
      </c>
      <c r="O90" s="630">
        <f t="shared" si="6"/>
        <v>0</v>
      </c>
      <c r="P90" s="629">
        <f t="shared" si="10"/>
        <v>0</v>
      </c>
      <c r="Q90" s="629">
        <f t="shared" si="11"/>
        <v>0</v>
      </c>
      <c r="R90" s="630">
        <f t="shared" si="7"/>
        <v>0</v>
      </c>
    </row>
    <row r="91" spans="2:18" outlineLevel="1" x14ac:dyDescent="0.2">
      <c r="B91" s="59"/>
      <c r="C91" s="59"/>
      <c r="D91" s="59"/>
      <c r="E91" s="541"/>
      <c r="F91" s="541"/>
      <c r="G91" s="541"/>
      <c r="H91" s="541"/>
      <c r="I91" s="59"/>
      <c r="J91" s="59"/>
      <c r="K91" s="621"/>
      <c r="L91" s="621"/>
      <c r="M91" s="629">
        <f t="shared" si="8"/>
        <v>0</v>
      </c>
      <c r="N91" s="629">
        <f t="shared" si="9"/>
        <v>0</v>
      </c>
      <c r="O91" s="630">
        <f t="shared" si="6"/>
        <v>0</v>
      </c>
      <c r="P91" s="629">
        <f t="shared" si="10"/>
        <v>0</v>
      </c>
      <c r="Q91" s="629">
        <f t="shared" si="11"/>
        <v>0</v>
      </c>
      <c r="R91" s="630">
        <f t="shared" si="7"/>
        <v>0</v>
      </c>
    </row>
    <row r="92" spans="2:18" outlineLevel="1" x14ac:dyDescent="0.2">
      <c r="B92" s="59"/>
      <c r="C92" s="59"/>
      <c r="D92" s="59"/>
      <c r="E92" s="541"/>
      <c r="F92" s="541"/>
      <c r="G92" s="541"/>
      <c r="H92" s="541"/>
      <c r="I92" s="59"/>
      <c r="J92" s="59"/>
      <c r="K92" s="621"/>
      <c r="L92" s="621"/>
      <c r="M92" s="629">
        <f t="shared" si="8"/>
        <v>0</v>
      </c>
      <c r="N92" s="629">
        <f t="shared" si="9"/>
        <v>0</v>
      </c>
      <c r="O92" s="630">
        <f t="shared" si="6"/>
        <v>0</v>
      </c>
      <c r="P92" s="629">
        <f t="shared" si="10"/>
        <v>0</v>
      </c>
      <c r="Q92" s="629">
        <f t="shared" si="11"/>
        <v>0</v>
      </c>
      <c r="R92" s="630">
        <f t="shared" si="7"/>
        <v>0</v>
      </c>
    </row>
    <row r="93" spans="2:18" outlineLevel="1" x14ac:dyDescent="0.2">
      <c r="B93" s="59"/>
      <c r="C93" s="59"/>
      <c r="D93" s="59"/>
      <c r="E93" s="541"/>
      <c r="F93" s="541"/>
      <c r="G93" s="541"/>
      <c r="H93" s="541"/>
      <c r="I93" s="59"/>
      <c r="J93" s="59"/>
      <c r="K93" s="621"/>
      <c r="L93" s="621"/>
      <c r="M93" s="629">
        <f t="shared" si="8"/>
        <v>0</v>
      </c>
      <c r="N93" s="629">
        <f t="shared" si="9"/>
        <v>0</v>
      </c>
      <c r="O93" s="630">
        <f t="shared" si="6"/>
        <v>0</v>
      </c>
      <c r="P93" s="629">
        <f t="shared" si="10"/>
        <v>0</v>
      </c>
      <c r="Q93" s="629">
        <f t="shared" si="11"/>
        <v>0</v>
      </c>
      <c r="R93" s="630">
        <f t="shared" si="7"/>
        <v>0</v>
      </c>
    </row>
    <row r="94" spans="2:18" outlineLevel="1" x14ac:dyDescent="0.2">
      <c r="B94" s="59"/>
      <c r="C94" s="59"/>
      <c r="D94" s="59"/>
      <c r="E94" s="541"/>
      <c r="F94" s="541"/>
      <c r="G94" s="541"/>
      <c r="H94" s="541"/>
      <c r="I94" s="59"/>
      <c r="J94" s="59"/>
      <c r="K94" s="621"/>
      <c r="L94" s="621"/>
      <c r="M94" s="629">
        <f t="shared" si="8"/>
        <v>0</v>
      </c>
      <c r="N94" s="629">
        <f t="shared" si="9"/>
        <v>0</v>
      </c>
      <c r="O94" s="630">
        <f t="shared" si="6"/>
        <v>0</v>
      </c>
      <c r="P94" s="629">
        <f t="shared" si="10"/>
        <v>0</v>
      </c>
      <c r="Q94" s="629">
        <f t="shared" si="11"/>
        <v>0</v>
      </c>
      <c r="R94" s="630">
        <f t="shared" si="7"/>
        <v>0</v>
      </c>
    </row>
    <row r="95" spans="2:18" outlineLevel="1" x14ac:dyDescent="0.2">
      <c r="B95" s="59"/>
      <c r="C95" s="59"/>
      <c r="D95" s="59"/>
      <c r="E95" s="541"/>
      <c r="F95" s="541"/>
      <c r="G95" s="541"/>
      <c r="H95" s="541"/>
      <c r="I95" s="59"/>
      <c r="J95" s="59"/>
      <c r="K95" s="621"/>
      <c r="L95" s="621"/>
      <c r="M95" s="629">
        <f t="shared" si="8"/>
        <v>0</v>
      </c>
      <c r="N95" s="629">
        <f t="shared" si="9"/>
        <v>0</v>
      </c>
      <c r="O95" s="630">
        <f t="shared" si="6"/>
        <v>0</v>
      </c>
      <c r="P95" s="629">
        <f t="shared" si="10"/>
        <v>0</v>
      </c>
      <c r="Q95" s="629">
        <f t="shared" si="11"/>
        <v>0</v>
      </c>
      <c r="R95" s="630">
        <f t="shared" si="7"/>
        <v>0</v>
      </c>
    </row>
    <row r="96" spans="2:18" outlineLevel="1" x14ac:dyDescent="0.2">
      <c r="B96" s="59"/>
      <c r="C96" s="59"/>
      <c r="D96" s="59"/>
      <c r="E96" s="541"/>
      <c r="F96" s="541"/>
      <c r="G96" s="541"/>
      <c r="H96" s="541"/>
      <c r="I96" s="59"/>
      <c r="J96" s="59"/>
      <c r="K96" s="621"/>
      <c r="L96" s="621"/>
      <c r="M96" s="629">
        <f t="shared" si="8"/>
        <v>0</v>
      </c>
      <c r="N96" s="629">
        <f t="shared" si="9"/>
        <v>0</v>
      </c>
      <c r="O96" s="630">
        <f t="shared" si="6"/>
        <v>0</v>
      </c>
      <c r="P96" s="629">
        <f t="shared" si="10"/>
        <v>0</v>
      </c>
      <c r="Q96" s="629">
        <f t="shared" si="11"/>
        <v>0</v>
      </c>
      <c r="R96" s="630">
        <f t="shared" si="7"/>
        <v>0</v>
      </c>
    </row>
    <row r="97" spans="2:18" outlineLevel="1" x14ac:dyDescent="0.2">
      <c r="B97" s="59"/>
      <c r="C97" s="59"/>
      <c r="D97" s="59"/>
      <c r="E97" s="541"/>
      <c r="F97" s="541"/>
      <c r="G97" s="541"/>
      <c r="H97" s="541"/>
      <c r="I97" s="59"/>
      <c r="J97" s="59"/>
      <c r="K97" s="621"/>
      <c r="L97" s="621"/>
      <c r="M97" s="629">
        <f t="shared" si="8"/>
        <v>0</v>
      </c>
      <c r="N97" s="629">
        <f t="shared" si="9"/>
        <v>0</v>
      </c>
      <c r="O97" s="630">
        <f t="shared" si="6"/>
        <v>0</v>
      </c>
      <c r="P97" s="629">
        <f t="shared" si="10"/>
        <v>0</v>
      </c>
      <c r="Q97" s="629">
        <f t="shared" si="11"/>
        <v>0</v>
      </c>
      <c r="R97" s="630">
        <f t="shared" si="7"/>
        <v>0</v>
      </c>
    </row>
    <row r="98" spans="2:18" outlineLevel="1" x14ac:dyDescent="0.2">
      <c r="B98" s="59"/>
      <c r="C98" s="59"/>
      <c r="D98" s="59"/>
      <c r="E98" s="541"/>
      <c r="F98" s="541"/>
      <c r="G98" s="541"/>
      <c r="H98" s="541"/>
      <c r="I98" s="59"/>
      <c r="J98" s="59"/>
      <c r="K98" s="621"/>
      <c r="L98" s="621"/>
      <c r="M98" s="629">
        <f t="shared" si="8"/>
        <v>0</v>
      </c>
      <c r="N98" s="629">
        <f t="shared" si="9"/>
        <v>0</v>
      </c>
      <c r="O98" s="630">
        <f t="shared" si="6"/>
        <v>0</v>
      </c>
      <c r="P98" s="629">
        <f t="shared" si="10"/>
        <v>0</v>
      </c>
      <c r="Q98" s="629">
        <f t="shared" si="11"/>
        <v>0</v>
      </c>
      <c r="R98" s="630">
        <f t="shared" si="7"/>
        <v>0</v>
      </c>
    </row>
    <row r="99" spans="2:18" outlineLevel="1" x14ac:dyDescent="0.2">
      <c r="B99" s="59"/>
      <c r="C99" s="59"/>
      <c r="D99" s="59"/>
      <c r="E99" s="541"/>
      <c r="F99" s="541"/>
      <c r="G99" s="541"/>
      <c r="H99" s="541"/>
      <c r="I99" s="59"/>
      <c r="J99" s="59"/>
      <c r="K99" s="621"/>
      <c r="L99" s="621"/>
      <c r="M99" s="629">
        <f t="shared" si="8"/>
        <v>0</v>
      </c>
      <c r="N99" s="629">
        <f t="shared" si="9"/>
        <v>0</v>
      </c>
      <c r="O99" s="630">
        <f t="shared" si="6"/>
        <v>0</v>
      </c>
      <c r="P99" s="629">
        <f t="shared" si="10"/>
        <v>0</v>
      </c>
      <c r="Q99" s="629">
        <f t="shared" si="11"/>
        <v>0</v>
      </c>
      <c r="R99" s="630">
        <f t="shared" si="7"/>
        <v>0</v>
      </c>
    </row>
    <row r="100" spans="2:18" outlineLevel="1" x14ac:dyDescent="0.2">
      <c r="B100" s="59"/>
      <c r="C100" s="59"/>
      <c r="D100" s="59"/>
      <c r="E100" s="541"/>
      <c r="F100" s="541"/>
      <c r="G100" s="541"/>
      <c r="H100" s="541"/>
      <c r="I100" s="59"/>
      <c r="J100" s="59"/>
      <c r="K100" s="621"/>
      <c r="L100" s="621"/>
      <c r="M100" s="629">
        <f t="shared" si="8"/>
        <v>0</v>
      </c>
      <c r="N100" s="629">
        <f t="shared" si="9"/>
        <v>0</v>
      </c>
      <c r="O100" s="630">
        <f t="shared" si="6"/>
        <v>0</v>
      </c>
      <c r="P100" s="629">
        <f t="shared" si="10"/>
        <v>0</v>
      </c>
      <c r="Q100" s="629">
        <f t="shared" si="11"/>
        <v>0</v>
      </c>
      <c r="R100" s="630">
        <f t="shared" si="7"/>
        <v>0</v>
      </c>
    </row>
    <row r="101" spans="2:18" outlineLevel="1" x14ac:dyDescent="0.2">
      <c r="B101" s="59"/>
      <c r="C101" s="59"/>
      <c r="D101" s="59"/>
      <c r="E101" s="541"/>
      <c r="F101" s="541"/>
      <c r="G101" s="541"/>
      <c r="H101" s="541"/>
      <c r="I101" s="59"/>
      <c r="J101" s="59"/>
      <c r="K101" s="621"/>
      <c r="L101" s="621"/>
      <c r="M101" s="629">
        <f t="shared" si="8"/>
        <v>0</v>
      </c>
      <c r="N101" s="629">
        <f t="shared" si="9"/>
        <v>0</v>
      </c>
      <c r="O101" s="630">
        <f t="shared" si="6"/>
        <v>0</v>
      </c>
      <c r="P101" s="629">
        <f t="shared" si="10"/>
        <v>0</v>
      </c>
      <c r="Q101" s="629">
        <f t="shared" si="11"/>
        <v>0</v>
      </c>
      <c r="R101" s="630">
        <f t="shared" si="7"/>
        <v>0</v>
      </c>
    </row>
    <row r="102" spans="2:18" outlineLevel="1" x14ac:dyDescent="0.2">
      <c r="B102" s="59"/>
      <c r="C102" s="59"/>
      <c r="D102" s="59"/>
      <c r="E102" s="541"/>
      <c r="F102" s="541"/>
      <c r="G102" s="541"/>
      <c r="H102" s="541"/>
      <c r="I102" s="59"/>
      <c r="J102" s="59"/>
      <c r="K102" s="621"/>
      <c r="L102" s="621"/>
      <c r="M102" s="629">
        <f t="shared" si="8"/>
        <v>0</v>
      </c>
      <c r="N102" s="629">
        <f t="shared" si="9"/>
        <v>0</v>
      </c>
      <c r="O102" s="630">
        <f t="shared" si="6"/>
        <v>0</v>
      </c>
      <c r="P102" s="629">
        <f t="shared" si="10"/>
        <v>0</v>
      </c>
      <c r="Q102" s="629">
        <f t="shared" si="11"/>
        <v>0</v>
      </c>
      <c r="R102" s="630">
        <f t="shared" si="7"/>
        <v>0</v>
      </c>
    </row>
    <row r="103" spans="2:18" outlineLevel="1" x14ac:dyDescent="0.2">
      <c r="B103" s="59"/>
      <c r="C103" s="59"/>
      <c r="D103" s="59"/>
      <c r="E103" s="541"/>
      <c r="F103" s="541"/>
      <c r="G103" s="541"/>
      <c r="H103" s="541"/>
      <c r="I103" s="59"/>
      <c r="J103" s="59"/>
      <c r="K103" s="621"/>
      <c r="L103" s="621"/>
      <c r="M103" s="629">
        <f t="shared" si="8"/>
        <v>0</v>
      </c>
      <c r="N103" s="629">
        <f t="shared" si="9"/>
        <v>0</v>
      </c>
      <c r="O103" s="630">
        <f t="shared" si="6"/>
        <v>0</v>
      </c>
      <c r="P103" s="629">
        <f t="shared" si="10"/>
        <v>0</v>
      </c>
      <c r="Q103" s="629">
        <f t="shared" si="11"/>
        <v>0</v>
      </c>
      <c r="R103" s="630">
        <f t="shared" si="7"/>
        <v>0</v>
      </c>
    </row>
    <row r="104" spans="2:18" outlineLevel="1" x14ac:dyDescent="0.2">
      <c r="B104" s="59"/>
      <c r="C104" s="59"/>
      <c r="D104" s="59"/>
      <c r="E104" s="541"/>
      <c r="F104" s="541"/>
      <c r="G104" s="541"/>
      <c r="H104" s="541"/>
      <c r="I104" s="59"/>
      <c r="J104" s="59"/>
      <c r="K104" s="621"/>
      <c r="L104" s="621"/>
      <c r="M104" s="629">
        <f t="shared" si="8"/>
        <v>0</v>
      </c>
      <c r="N104" s="629">
        <f t="shared" si="9"/>
        <v>0</v>
      </c>
      <c r="O104" s="630">
        <f t="shared" si="6"/>
        <v>0</v>
      </c>
      <c r="P104" s="629">
        <f t="shared" si="10"/>
        <v>0</v>
      </c>
      <c r="Q104" s="629">
        <f t="shared" si="11"/>
        <v>0</v>
      </c>
      <c r="R104" s="630">
        <f t="shared" si="7"/>
        <v>0</v>
      </c>
    </row>
    <row r="105" spans="2:18" outlineLevel="1" x14ac:dyDescent="0.2">
      <c r="B105" s="59"/>
      <c r="C105" s="59"/>
      <c r="D105" s="59"/>
      <c r="E105" s="541"/>
      <c r="F105" s="541"/>
      <c r="G105" s="541"/>
      <c r="H105" s="541"/>
      <c r="I105" s="59"/>
      <c r="J105" s="59"/>
      <c r="K105" s="621"/>
      <c r="L105" s="621"/>
      <c r="M105" s="629">
        <f t="shared" si="8"/>
        <v>0</v>
      </c>
      <c r="N105" s="629">
        <f t="shared" si="9"/>
        <v>0</v>
      </c>
      <c r="O105" s="630">
        <f t="shared" si="6"/>
        <v>0</v>
      </c>
      <c r="P105" s="629">
        <f t="shared" si="10"/>
        <v>0</v>
      </c>
      <c r="Q105" s="629">
        <f t="shared" si="11"/>
        <v>0</v>
      </c>
      <c r="R105" s="630">
        <f t="shared" si="7"/>
        <v>0</v>
      </c>
    </row>
    <row r="106" spans="2:18" outlineLevel="1" x14ac:dyDescent="0.2">
      <c r="B106" s="59"/>
      <c r="C106" s="59"/>
      <c r="D106" s="59"/>
      <c r="E106" s="541"/>
      <c r="F106" s="541"/>
      <c r="G106" s="541"/>
      <c r="H106" s="541"/>
      <c r="I106" s="59"/>
      <c r="J106" s="59"/>
      <c r="K106" s="621"/>
      <c r="L106" s="621"/>
      <c r="M106" s="629">
        <f t="shared" si="8"/>
        <v>0</v>
      </c>
      <c r="N106" s="629">
        <f t="shared" si="9"/>
        <v>0</v>
      </c>
      <c r="O106" s="630">
        <f t="shared" si="6"/>
        <v>0</v>
      </c>
      <c r="P106" s="629">
        <f t="shared" si="10"/>
        <v>0</v>
      </c>
      <c r="Q106" s="629">
        <f t="shared" si="11"/>
        <v>0</v>
      </c>
      <c r="R106" s="630">
        <f t="shared" si="7"/>
        <v>0</v>
      </c>
    </row>
    <row r="107" spans="2:18" outlineLevel="1" x14ac:dyDescent="0.2">
      <c r="B107" s="59"/>
      <c r="C107" s="59"/>
      <c r="D107" s="59"/>
      <c r="E107" s="541"/>
      <c r="F107" s="541"/>
      <c r="G107" s="541"/>
      <c r="H107" s="541"/>
      <c r="I107" s="59"/>
      <c r="J107" s="59"/>
      <c r="K107" s="621"/>
      <c r="L107" s="621"/>
      <c r="M107" s="629">
        <f t="shared" si="8"/>
        <v>0</v>
      </c>
      <c r="N107" s="629">
        <f t="shared" si="9"/>
        <v>0</v>
      </c>
      <c r="O107" s="630">
        <f t="shared" si="6"/>
        <v>0</v>
      </c>
      <c r="P107" s="629">
        <f t="shared" si="10"/>
        <v>0</v>
      </c>
      <c r="Q107" s="629">
        <f t="shared" si="11"/>
        <v>0</v>
      </c>
      <c r="R107" s="630">
        <f t="shared" si="7"/>
        <v>0</v>
      </c>
    </row>
    <row r="108" spans="2:18" outlineLevel="1" x14ac:dyDescent="0.2">
      <c r="B108" s="59"/>
      <c r="C108" s="59"/>
      <c r="D108" s="59"/>
      <c r="E108" s="541"/>
      <c r="F108" s="541"/>
      <c r="G108" s="541"/>
      <c r="H108" s="541"/>
      <c r="I108" s="59"/>
      <c r="J108" s="59"/>
      <c r="K108" s="621"/>
      <c r="L108" s="621"/>
      <c r="M108" s="629">
        <f t="shared" si="8"/>
        <v>0</v>
      </c>
      <c r="N108" s="629">
        <f t="shared" si="9"/>
        <v>0</v>
      </c>
      <c r="O108" s="630">
        <f t="shared" si="6"/>
        <v>0</v>
      </c>
      <c r="P108" s="629">
        <f t="shared" si="10"/>
        <v>0</v>
      </c>
      <c r="Q108" s="629">
        <f t="shared" si="11"/>
        <v>0</v>
      </c>
      <c r="R108" s="630">
        <f t="shared" si="7"/>
        <v>0</v>
      </c>
    </row>
    <row r="109" spans="2:18" outlineLevel="1" x14ac:dyDescent="0.2">
      <c r="B109" s="59"/>
      <c r="C109" s="59"/>
      <c r="D109" s="59"/>
      <c r="E109" s="541"/>
      <c r="F109" s="541"/>
      <c r="G109" s="541"/>
      <c r="H109" s="541"/>
      <c r="I109" s="59"/>
      <c r="J109" s="59"/>
      <c r="K109" s="621"/>
      <c r="L109" s="621"/>
      <c r="M109" s="629">
        <f t="shared" si="8"/>
        <v>0</v>
      </c>
      <c r="N109" s="629">
        <f t="shared" si="9"/>
        <v>0</v>
      </c>
      <c r="O109" s="630">
        <f t="shared" si="6"/>
        <v>0</v>
      </c>
      <c r="P109" s="629">
        <f t="shared" si="10"/>
        <v>0</v>
      </c>
      <c r="Q109" s="629">
        <f t="shared" si="11"/>
        <v>0</v>
      </c>
      <c r="R109" s="630">
        <f t="shared" si="7"/>
        <v>0</v>
      </c>
    </row>
    <row r="110" spans="2:18" outlineLevel="1" x14ac:dyDescent="0.2">
      <c r="B110" s="59"/>
      <c r="C110" s="59"/>
      <c r="D110" s="59"/>
      <c r="E110" s="541"/>
      <c r="F110" s="541"/>
      <c r="G110" s="541"/>
      <c r="H110" s="541"/>
      <c r="I110" s="59"/>
      <c r="J110" s="59"/>
      <c r="K110" s="621"/>
      <c r="L110" s="621"/>
      <c r="M110" s="629">
        <f t="shared" si="8"/>
        <v>0</v>
      </c>
      <c r="N110" s="629">
        <f t="shared" si="9"/>
        <v>0</v>
      </c>
      <c r="O110" s="630">
        <f t="shared" si="6"/>
        <v>0</v>
      </c>
      <c r="P110" s="629">
        <f t="shared" si="10"/>
        <v>0</v>
      </c>
      <c r="Q110" s="629">
        <f t="shared" si="11"/>
        <v>0</v>
      </c>
      <c r="R110" s="630">
        <f t="shared" si="7"/>
        <v>0</v>
      </c>
    </row>
    <row r="111" spans="2:18" outlineLevel="1" x14ac:dyDescent="0.2">
      <c r="B111" s="59"/>
      <c r="C111" s="59"/>
      <c r="D111" s="59"/>
      <c r="E111" s="541"/>
      <c r="F111" s="541"/>
      <c r="G111" s="541"/>
      <c r="H111" s="541"/>
      <c r="I111" s="59"/>
      <c r="J111" s="59"/>
      <c r="K111" s="621"/>
      <c r="L111" s="621"/>
      <c r="M111" s="629">
        <f t="shared" si="8"/>
        <v>0</v>
      </c>
      <c r="N111" s="629">
        <f t="shared" si="9"/>
        <v>0</v>
      </c>
      <c r="O111" s="630">
        <f t="shared" si="6"/>
        <v>0</v>
      </c>
      <c r="P111" s="629">
        <f t="shared" si="10"/>
        <v>0</v>
      </c>
      <c r="Q111" s="629">
        <f t="shared" si="11"/>
        <v>0</v>
      </c>
      <c r="R111" s="630">
        <f t="shared" si="7"/>
        <v>0</v>
      </c>
    </row>
    <row r="112" spans="2:18" outlineLevel="1" x14ac:dyDescent="0.2">
      <c r="B112" s="59"/>
      <c r="C112" s="59"/>
      <c r="D112" s="59"/>
      <c r="E112" s="541"/>
      <c r="F112" s="541"/>
      <c r="G112" s="541"/>
      <c r="H112" s="541"/>
      <c r="I112" s="59"/>
      <c r="J112" s="59"/>
      <c r="K112" s="621"/>
      <c r="L112" s="621"/>
      <c r="M112" s="629">
        <f t="shared" si="8"/>
        <v>0</v>
      </c>
      <c r="N112" s="629">
        <f t="shared" si="9"/>
        <v>0</v>
      </c>
      <c r="O112" s="630">
        <f t="shared" si="6"/>
        <v>0</v>
      </c>
      <c r="P112" s="629">
        <f t="shared" si="10"/>
        <v>0</v>
      </c>
      <c r="Q112" s="629">
        <f t="shared" si="11"/>
        <v>0</v>
      </c>
      <c r="R112" s="630">
        <f t="shared" si="7"/>
        <v>0</v>
      </c>
    </row>
    <row r="113" spans="2:18" outlineLevel="1" x14ac:dyDescent="0.2">
      <c r="B113" s="59"/>
      <c r="C113" s="59"/>
      <c r="D113" s="59"/>
      <c r="E113" s="541"/>
      <c r="F113" s="541"/>
      <c r="G113" s="541"/>
      <c r="H113" s="541"/>
      <c r="I113" s="59"/>
      <c r="J113" s="59"/>
      <c r="K113" s="621"/>
      <c r="L113" s="621"/>
      <c r="M113" s="629">
        <f t="shared" si="8"/>
        <v>0</v>
      </c>
      <c r="N113" s="629">
        <f t="shared" si="9"/>
        <v>0</v>
      </c>
      <c r="O113" s="630">
        <f t="shared" si="6"/>
        <v>0</v>
      </c>
      <c r="P113" s="629">
        <f t="shared" si="10"/>
        <v>0</v>
      </c>
      <c r="Q113" s="629">
        <f t="shared" si="11"/>
        <v>0</v>
      </c>
      <c r="R113" s="630">
        <f t="shared" si="7"/>
        <v>0</v>
      </c>
    </row>
    <row r="114" spans="2:18" outlineLevel="1" x14ac:dyDescent="0.2">
      <c r="B114" s="59"/>
      <c r="C114" s="59"/>
      <c r="D114" s="59"/>
      <c r="E114" s="541"/>
      <c r="F114" s="541"/>
      <c r="G114" s="541"/>
      <c r="H114" s="541"/>
      <c r="I114" s="59"/>
      <c r="J114" s="59"/>
      <c r="K114" s="621"/>
      <c r="L114" s="621"/>
      <c r="M114" s="629">
        <f t="shared" si="8"/>
        <v>0</v>
      </c>
      <c r="N114" s="629">
        <f t="shared" si="9"/>
        <v>0</v>
      </c>
      <c r="O114" s="630">
        <f t="shared" si="6"/>
        <v>0</v>
      </c>
      <c r="P114" s="629">
        <f t="shared" si="10"/>
        <v>0</v>
      </c>
      <c r="Q114" s="629">
        <f t="shared" si="11"/>
        <v>0</v>
      </c>
      <c r="R114" s="630">
        <f t="shared" si="7"/>
        <v>0</v>
      </c>
    </row>
    <row r="115" spans="2:18" outlineLevel="1" x14ac:dyDescent="0.2">
      <c r="B115" s="59"/>
      <c r="C115" s="59"/>
      <c r="D115" s="59"/>
      <c r="E115" s="541"/>
      <c r="F115" s="541"/>
      <c r="G115" s="541"/>
      <c r="H115" s="541"/>
      <c r="I115" s="59"/>
      <c r="J115" s="59"/>
      <c r="K115" s="621"/>
      <c r="L115" s="621"/>
      <c r="M115" s="629">
        <f t="shared" si="8"/>
        <v>0</v>
      </c>
      <c r="N115" s="629">
        <f t="shared" si="9"/>
        <v>0</v>
      </c>
      <c r="O115" s="630">
        <f t="shared" si="6"/>
        <v>0</v>
      </c>
      <c r="P115" s="629">
        <f t="shared" si="10"/>
        <v>0</v>
      </c>
      <c r="Q115" s="629">
        <f t="shared" si="11"/>
        <v>0</v>
      </c>
      <c r="R115" s="630">
        <f t="shared" si="7"/>
        <v>0</v>
      </c>
    </row>
    <row r="116" spans="2:18" outlineLevel="1" x14ac:dyDescent="0.2">
      <c r="B116" s="59"/>
      <c r="C116" s="59"/>
      <c r="D116" s="59"/>
      <c r="E116" s="541"/>
      <c r="F116" s="541"/>
      <c r="G116" s="541"/>
      <c r="H116" s="541"/>
      <c r="I116" s="59"/>
      <c r="J116" s="59"/>
      <c r="K116" s="621"/>
      <c r="L116" s="621"/>
      <c r="M116" s="629">
        <f t="shared" si="8"/>
        <v>0</v>
      </c>
      <c r="N116" s="629">
        <f t="shared" si="9"/>
        <v>0</v>
      </c>
      <c r="O116" s="630">
        <f t="shared" si="6"/>
        <v>0</v>
      </c>
      <c r="P116" s="629">
        <f t="shared" si="10"/>
        <v>0</v>
      </c>
      <c r="Q116" s="629">
        <f t="shared" si="11"/>
        <v>0</v>
      </c>
      <c r="R116" s="630">
        <f t="shared" si="7"/>
        <v>0</v>
      </c>
    </row>
    <row r="117" spans="2:18" outlineLevel="1" x14ac:dyDescent="0.2">
      <c r="B117" s="59"/>
      <c r="C117" s="59"/>
      <c r="D117" s="59"/>
      <c r="E117" s="541"/>
      <c r="F117" s="541"/>
      <c r="G117" s="541"/>
      <c r="H117" s="541"/>
      <c r="I117" s="59"/>
      <c r="J117" s="59"/>
      <c r="K117" s="621"/>
      <c r="L117" s="621"/>
      <c r="M117" s="629">
        <f t="shared" si="8"/>
        <v>0</v>
      </c>
      <c r="N117" s="629">
        <f t="shared" si="9"/>
        <v>0</v>
      </c>
      <c r="O117" s="630">
        <f t="shared" si="6"/>
        <v>0</v>
      </c>
      <c r="P117" s="629">
        <f t="shared" si="10"/>
        <v>0</v>
      </c>
      <c r="Q117" s="629">
        <f t="shared" si="11"/>
        <v>0</v>
      </c>
      <c r="R117" s="630">
        <f t="shared" si="7"/>
        <v>0</v>
      </c>
    </row>
    <row r="118" spans="2:18" outlineLevel="1" x14ac:dyDescent="0.2">
      <c r="B118" s="59"/>
      <c r="C118" s="59"/>
      <c r="D118" s="59"/>
      <c r="E118" s="541"/>
      <c r="F118" s="541"/>
      <c r="G118" s="541"/>
      <c r="H118" s="541"/>
      <c r="I118" s="59"/>
      <c r="J118" s="59"/>
      <c r="K118" s="621"/>
      <c r="L118" s="621"/>
      <c r="M118" s="629">
        <f t="shared" si="8"/>
        <v>0</v>
      </c>
      <c r="N118" s="629">
        <f t="shared" si="9"/>
        <v>0</v>
      </c>
      <c r="O118" s="630">
        <f t="shared" si="6"/>
        <v>0</v>
      </c>
      <c r="P118" s="629">
        <f t="shared" si="10"/>
        <v>0</v>
      </c>
      <c r="Q118" s="629">
        <f t="shared" si="11"/>
        <v>0</v>
      </c>
      <c r="R118" s="630">
        <f t="shared" si="7"/>
        <v>0</v>
      </c>
    </row>
    <row r="119" spans="2:18" outlineLevel="1" x14ac:dyDescent="0.2">
      <c r="B119" s="59"/>
      <c r="C119" s="59"/>
      <c r="D119" s="59"/>
      <c r="E119" s="541"/>
      <c r="F119" s="541"/>
      <c r="G119" s="541"/>
      <c r="H119" s="541"/>
      <c r="I119" s="59"/>
      <c r="J119" s="59"/>
      <c r="K119" s="621"/>
      <c r="L119" s="621"/>
      <c r="M119" s="629">
        <f t="shared" si="8"/>
        <v>0</v>
      </c>
      <c r="N119" s="629">
        <f t="shared" si="9"/>
        <v>0</v>
      </c>
      <c r="O119" s="630">
        <f t="shared" si="6"/>
        <v>0</v>
      </c>
      <c r="P119" s="629">
        <f t="shared" si="10"/>
        <v>0</v>
      </c>
      <c r="Q119" s="629">
        <f t="shared" si="11"/>
        <v>0</v>
      </c>
      <c r="R119" s="630">
        <f t="shared" si="7"/>
        <v>0</v>
      </c>
    </row>
    <row r="120" spans="2:18" outlineLevel="1" x14ac:dyDescent="0.2">
      <c r="B120" s="59"/>
      <c r="C120" s="59"/>
      <c r="D120" s="59"/>
      <c r="E120" s="541"/>
      <c r="F120" s="541"/>
      <c r="G120" s="541"/>
      <c r="H120" s="541"/>
      <c r="I120" s="59"/>
      <c r="J120" s="59"/>
      <c r="K120" s="621"/>
      <c r="L120" s="621"/>
      <c r="M120" s="629">
        <f t="shared" si="8"/>
        <v>0</v>
      </c>
      <c r="N120" s="629">
        <f t="shared" si="9"/>
        <v>0</v>
      </c>
      <c r="O120" s="630">
        <f t="shared" si="6"/>
        <v>0</v>
      </c>
      <c r="P120" s="629">
        <f t="shared" si="10"/>
        <v>0</v>
      </c>
      <c r="Q120" s="629">
        <f t="shared" si="11"/>
        <v>0</v>
      </c>
      <c r="R120" s="630">
        <f t="shared" si="7"/>
        <v>0</v>
      </c>
    </row>
    <row r="121" spans="2:18" outlineLevel="1" x14ac:dyDescent="0.2">
      <c r="B121" s="59"/>
      <c r="C121" s="59"/>
      <c r="D121" s="59"/>
      <c r="E121" s="541"/>
      <c r="F121" s="541"/>
      <c r="G121" s="541"/>
      <c r="H121" s="541"/>
      <c r="I121" s="59"/>
      <c r="J121" s="59"/>
      <c r="K121" s="621"/>
      <c r="L121" s="621"/>
      <c r="M121" s="629">
        <f t="shared" si="8"/>
        <v>0</v>
      </c>
      <c r="N121" s="629">
        <f t="shared" si="9"/>
        <v>0</v>
      </c>
      <c r="O121" s="630">
        <f t="shared" si="6"/>
        <v>0</v>
      </c>
      <c r="P121" s="629">
        <f t="shared" si="10"/>
        <v>0</v>
      </c>
      <c r="Q121" s="629">
        <f t="shared" si="11"/>
        <v>0</v>
      </c>
      <c r="R121" s="630">
        <f t="shared" si="7"/>
        <v>0</v>
      </c>
    </row>
    <row r="122" spans="2:18" outlineLevel="1" x14ac:dyDescent="0.2">
      <c r="B122" s="59"/>
      <c r="C122" s="59"/>
      <c r="D122" s="59"/>
      <c r="E122" s="541"/>
      <c r="F122" s="541"/>
      <c r="G122" s="541"/>
      <c r="H122" s="541"/>
      <c r="I122" s="59"/>
      <c r="J122" s="59"/>
      <c r="K122" s="621"/>
      <c r="L122" s="621"/>
      <c r="M122" s="629">
        <f t="shared" si="8"/>
        <v>0</v>
      </c>
      <c r="N122" s="629">
        <f t="shared" si="9"/>
        <v>0</v>
      </c>
      <c r="O122" s="630">
        <f t="shared" si="6"/>
        <v>0</v>
      </c>
      <c r="P122" s="629">
        <f t="shared" si="10"/>
        <v>0</v>
      </c>
      <c r="Q122" s="629">
        <f t="shared" si="11"/>
        <v>0</v>
      </c>
      <c r="R122" s="630">
        <f t="shared" si="7"/>
        <v>0</v>
      </c>
    </row>
    <row r="123" spans="2:18" outlineLevel="1" x14ac:dyDescent="0.2">
      <c r="B123" s="59"/>
      <c r="C123" s="59"/>
      <c r="D123" s="59"/>
      <c r="E123" s="541"/>
      <c r="F123" s="541"/>
      <c r="G123" s="541"/>
      <c r="H123" s="541"/>
      <c r="I123" s="59"/>
      <c r="J123" s="59"/>
      <c r="K123" s="621"/>
      <c r="L123" s="621"/>
      <c r="M123" s="629">
        <f t="shared" si="8"/>
        <v>0</v>
      </c>
      <c r="N123" s="629">
        <f t="shared" si="9"/>
        <v>0</v>
      </c>
      <c r="O123" s="630">
        <f t="shared" si="6"/>
        <v>0</v>
      </c>
      <c r="P123" s="629">
        <f t="shared" si="10"/>
        <v>0</v>
      </c>
      <c r="Q123" s="629">
        <f t="shared" si="11"/>
        <v>0</v>
      </c>
      <c r="R123" s="630">
        <f t="shared" si="7"/>
        <v>0</v>
      </c>
    </row>
    <row r="124" spans="2:18" outlineLevel="1" x14ac:dyDescent="0.2">
      <c r="B124" s="59"/>
      <c r="C124" s="59"/>
      <c r="D124" s="59"/>
      <c r="E124" s="541"/>
      <c r="F124" s="541"/>
      <c r="G124" s="541"/>
      <c r="H124" s="541"/>
      <c r="I124" s="59"/>
      <c r="J124" s="59"/>
      <c r="K124" s="621"/>
      <c r="L124" s="621"/>
      <c r="M124" s="629">
        <f t="shared" si="8"/>
        <v>0</v>
      </c>
      <c r="N124" s="629">
        <f t="shared" si="9"/>
        <v>0</v>
      </c>
      <c r="O124" s="630">
        <f t="shared" si="6"/>
        <v>0</v>
      </c>
      <c r="P124" s="629">
        <f t="shared" si="10"/>
        <v>0</v>
      </c>
      <c r="Q124" s="629">
        <f t="shared" si="11"/>
        <v>0</v>
      </c>
      <c r="R124" s="630">
        <f t="shared" si="7"/>
        <v>0</v>
      </c>
    </row>
    <row r="125" spans="2:18" outlineLevel="1" x14ac:dyDescent="0.2">
      <c r="B125" s="59"/>
      <c r="C125" s="59"/>
      <c r="D125" s="59"/>
      <c r="E125" s="541"/>
      <c r="F125" s="541"/>
      <c r="G125" s="541"/>
      <c r="H125" s="541"/>
      <c r="I125" s="59"/>
      <c r="J125" s="59"/>
      <c r="K125" s="621"/>
      <c r="L125" s="621"/>
      <c r="M125" s="629">
        <f t="shared" si="8"/>
        <v>0</v>
      </c>
      <c r="N125" s="629">
        <f t="shared" si="9"/>
        <v>0</v>
      </c>
      <c r="O125" s="630">
        <f t="shared" si="6"/>
        <v>0</v>
      </c>
      <c r="P125" s="629">
        <f t="shared" si="10"/>
        <v>0</v>
      </c>
      <c r="Q125" s="629">
        <f t="shared" si="11"/>
        <v>0</v>
      </c>
      <c r="R125" s="630">
        <f t="shared" si="7"/>
        <v>0</v>
      </c>
    </row>
    <row r="126" spans="2:18" outlineLevel="1" x14ac:dyDescent="0.2">
      <c r="B126" s="59"/>
      <c r="C126" s="59"/>
      <c r="D126" s="59"/>
      <c r="E126" s="541"/>
      <c r="F126" s="541"/>
      <c r="G126" s="541"/>
      <c r="H126" s="541"/>
      <c r="I126" s="59"/>
      <c r="J126" s="59"/>
      <c r="K126" s="621"/>
      <c r="L126" s="621"/>
      <c r="M126" s="629">
        <f t="shared" si="8"/>
        <v>0</v>
      </c>
      <c r="N126" s="629">
        <f t="shared" si="9"/>
        <v>0</v>
      </c>
      <c r="O126" s="630">
        <f t="shared" si="6"/>
        <v>0</v>
      </c>
      <c r="P126" s="629">
        <f t="shared" si="10"/>
        <v>0</v>
      </c>
      <c r="Q126" s="629">
        <f t="shared" si="11"/>
        <v>0</v>
      </c>
      <c r="R126" s="630">
        <f t="shared" si="7"/>
        <v>0</v>
      </c>
    </row>
    <row r="127" spans="2:18" outlineLevel="1" x14ac:dyDescent="0.2">
      <c r="B127" s="59"/>
      <c r="C127" s="59"/>
      <c r="D127" s="59"/>
      <c r="E127" s="541"/>
      <c r="F127" s="541"/>
      <c r="G127" s="541"/>
      <c r="H127" s="541"/>
      <c r="I127" s="59"/>
      <c r="J127" s="59"/>
      <c r="K127" s="621"/>
      <c r="L127" s="621"/>
      <c r="M127" s="629">
        <f t="shared" si="8"/>
        <v>0</v>
      </c>
      <c r="N127" s="629">
        <f t="shared" si="9"/>
        <v>0</v>
      </c>
      <c r="O127" s="630">
        <f t="shared" si="6"/>
        <v>0</v>
      </c>
      <c r="P127" s="629">
        <f t="shared" si="10"/>
        <v>0</v>
      </c>
      <c r="Q127" s="629">
        <f t="shared" si="11"/>
        <v>0</v>
      </c>
      <c r="R127" s="630">
        <f t="shared" si="7"/>
        <v>0</v>
      </c>
    </row>
    <row r="128" spans="2:18" outlineLevel="1" x14ac:dyDescent="0.2">
      <c r="B128" s="59"/>
      <c r="C128" s="59"/>
      <c r="D128" s="59"/>
      <c r="E128" s="541"/>
      <c r="F128" s="541"/>
      <c r="G128" s="541"/>
      <c r="H128" s="541"/>
      <c r="I128" s="59"/>
      <c r="J128" s="59"/>
      <c r="K128" s="621"/>
      <c r="L128" s="621"/>
      <c r="M128" s="629">
        <f t="shared" si="8"/>
        <v>0</v>
      </c>
      <c r="N128" s="629">
        <f t="shared" si="9"/>
        <v>0</v>
      </c>
      <c r="O128" s="630">
        <f t="shared" si="6"/>
        <v>0</v>
      </c>
      <c r="P128" s="629">
        <f t="shared" si="10"/>
        <v>0</v>
      </c>
      <c r="Q128" s="629">
        <f t="shared" si="11"/>
        <v>0</v>
      </c>
      <c r="R128" s="630">
        <f t="shared" si="7"/>
        <v>0</v>
      </c>
    </row>
    <row r="129" spans="2:18" outlineLevel="1" x14ac:dyDescent="0.2">
      <c r="B129" s="59"/>
      <c r="C129" s="59"/>
      <c r="D129" s="59"/>
      <c r="E129" s="541"/>
      <c r="F129" s="541"/>
      <c r="G129" s="541"/>
      <c r="H129" s="541"/>
      <c r="I129" s="59"/>
      <c r="J129" s="59"/>
      <c r="K129" s="621"/>
      <c r="L129" s="621"/>
      <c r="M129" s="629">
        <f t="shared" si="8"/>
        <v>0</v>
      </c>
      <c r="N129" s="629">
        <f t="shared" si="9"/>
        <v>0</v>
      </c>
      <c r="O129" s="630">
        <f t="shared" si="6"/>
        <v>0</v>
      </c>
      <c r="P129" s="629">
        <f t="shared" si="10"/>
        <v>0</v>
      </c>
      <c r="Q129" s="629">
        <f t="shared" si="11"/>
        <v>0</v>
      </c>
      <c r="R129" s="630">
        <f t="shared" si="7"/>
        <v>0</v>
      </c>
    </row>
    <row r="130" spans="2:18" outlineLevel="1" x14ac:dyDescent="0.2">
      <c r="B130" s="59"/>
      <c r="C130" s="59"/>
      <c r="D130" s="59"/>
      <c r="E130" s="541"/>
      <c r="F130" s="541"/>
      <c r="G130" s="541"/>
      <c r="H130" s="541"/>
      <c r="I130" s="59"/>
      <c r="J130" s="59"/>
      <c r="K130" s="621"/>
      <c r="L130" s="621"/>
      <c r="M130" s="629">
        <f t="shared" si="8"/>
        <v>0</v>
      </c>
      <c r="N130" s="629">
        <f t="shared" si="9"/>
        <v>0</v>
      </c>
      <c r="O130" s="630">
        <f t="shared" si="6"/>
        <v>0</v>
      </c>
      <c r="P130" s="629">
        <f t="shared" si="10"/>
        <v>0</v>
      </c>
      <c r="Q130" s="629">
        <f t="shared" si="11"/>
        <v>0</v>
      </c>
      <c r="R130" s="630">
        <f t="shared" si="7"/>
        <v>0</v>
      </c>
    </row>
    <row r="131" spans="2:18" outlineLevel="1" x14ac:dyDescent="0.2">
      <c r="B131" s="59"/>
      <c r="C131" s="59"/>
      <c r="D131" s="59"/>
      <c r="E131" s="541"/>
      <c r="F131" s="541"/>
      <c r="G131" s="541"/>
      <c r="H131" s="541"/>
      <c r="I131" s="59"/>
      <c r="J131" s="59"/>
      <c r="K131" s="621"/>
      <c r="L131" s="621"/>
      <c r="M131" s="629">
        <f t="shared" si="8"/>
        <v>0</v>
      </c>
      <c r="N131" s="629">
        <f t="shared" si="9"/>
        <v>0</v>
      </c>
      <c r="O131" s="630">
        <f t="shared" si="6"/>
        <v>0</v>
      </c>
      <c r="P131" s="629">
        <f t="shared" si="10"/>
        <v>0</v>
      </c>
      <c r="Q131" s="629">
        <f t="shared" si="11"/>
        <v>0</v>
      </c>
      <c r="R131" s="630">
        <f t="shared" si="7"/>
        <v>0</v>
      </c>
    </row>
    <row r="132" spans="2:18" outlineLevel="1" x14ac:dyDescent="0.2">
      <c r="B132" s="59"/>
      <c r="C132" s="59"/>
      <c r="D132" s="59"/>
      <c r="E132" s="541"/>
      <c r="F132" s="541"/>
      <c r="G132" s="541"/>
      <c r="H132" s="541"/>
      <c r="I132" s="59"/>
      <c r="J132" s="59"/>
      <c r="K132" s="621"/>
      <c r="L132" s="621"/>
      <c r="M132" s="629">
        <f t="shared" si="8"/>
        <v>0</v>
      </c>
      <c r="N132" s="629">
        <f t="shared" si="9"/>
        <v>0</v>
      </c>
      <c r="O132" s="630">
        <f t="shared" si="6"/>
        <v>0</v>
      </c>
      <c r="P132" s="629">
        <f t="shared" si="10"/>
        <v>0</v>
      </c>
      <c r="Q132" s="629">
        <f t="shared" si="11"/>
        <v>0</v>
      </c>
      <c r="R132" s="630">
        <f t="shared" si="7"/>
        <v>0</v>
      </c>
    </row>
    <row r="133" spans="2:18" outlineLevel="1" x14ac:dyDescent="0.2">
      <c r="B133" s="59"/>
      <c r="C133" s="59"/>
      <c r="D133" s="59"/>
      <c r="E133" s="541"/>
      <c r="F133" s="541"/>
      <c r="G133" s="541"/>
      <c r="H133" s="541"/>
      <c r="I133" s="59"/>
      <c r="J133" s="59"/>
      <c r="K133" s="621"/>
      <c r="L133" s="621"/>
      <c r="M133" s="629">
        <f t="shared" si="8"/>
        <v>0</v>
      </c>
      <c r="N133" s="629">
        <f t="shared" si="9"/>
        <v>0</v>
      </c>
      <c r="O133" s="630">
        <f t="shared" ref="O133:O196" si="12">M133+N133</f>
        <v>0</v>
      </c>
      <c r="P133" s="629">
        <f t="shared" si="10"/>
        <v>0</v>
      </c>
      <c r="Q133" s="629">
        <f t="shared" si="11"/>
        <v>0</v>
      </c>
      <c r="R133" s="630">
        <f t="shared" ref="R133:R196" si="13">P133+Q133</f>
        <v>0</v>
      </c>
    </row>
    <row r="134" spans="2:18" outlineLevel="1" x14ac:dyDescent="0.2">
      <c r="B134" s="59"/>
      <c r="C134" s="59"/>
      <c r="D134" s="59"/>
      <c r="E134" s="541"/>
      <c r="F134" s="541"/>
      <c r="G134" s="541"/>
      <c r="H134" s="541"/>
      <c r="I134" s="59"/>
      <c r="J134" s="59"/>
      <c r="K134" s="621"/>
      <c r="L134" s="621"/>
      <c r="M134" s="629">
        <f t="shared" ref="M134:M197" si="14">G134*(-1)</f>
        <v>0</v>
      </c>
      <c r="N134" s="629">
        <f t="shared" ref="N134:N197" si="15">H134*(-1)</f>
        <v>0</v>
      </c>
      <c r="O134" s="630">
        <f t="shared" si="12"/>
        <v>0</v>
      </c>
      <c r="P134" s="629">
        <f t="shared" ref="P134:P197" si="16">+IF(AND(I134="NO",E134&gt;G134),(E134-G134)*K134*(-1),0)</f>
        <v>0</v>
      </c>
      <c r="Q134" s="629">
        <f t="shared" ref="Q134:Q197" si="17">+IF(AND(J134="NO",F134&gt;H134),(F134-H134)*L134*(-1),0)</f>
        <v>0</v>
      </c>
      <c r="R134" s="630">
        <f t="shared" si="13"/>
        <v>0</v>
      </c>
    </row>
    <row r="135" spans="2:18" outlineLevel="1" x14ac:dyDescent="0.2">
      <c r="B135" s="59"/>
      <c r="C135" s="59"/>
      <c r="D135" s="59"/>
      <c r="E135" s="541"/>
      <c r="F135" s="541"/>
      <c r="G135" s="541"/>
      <c r="H135" s="541"/>
      <c r="I135" s="59"/>
      <c r="J135" s="59"/>
      <c r="K135" s="621"/>
      <c r="L135" s="621"/>
      <c r="M135" s="629">
        <f t="shared" si="14"/>
        <v>0</v>
      </c>
      <c r="N135" s="629">
        <f t="shared" si="15"/>
        <v>0</v>
      </c>
      <c r="O135" s="630">
        <f t="shared" si="12"/>
        <v>0</v>
      </c>
      <c r="P135" s="629">
        <f t="shared" si="16"/>
        <v>0</v>
      </c>
      <c r="Q135" s="629">
        <f t="shared" si="17"/>
        <v>0</v>
      </c>
      <c r="R135" s="630">
        <f t="shared" si="13"/>
        <v>0</v>
      </c>
    </row>
    <row r="136" spans="2:18" outlineLevel="1" x14ac:dyDescent="0.2">
      <c r="B136" s="59"/>
      <c r="C136" s="59"/>
      <c r="D136" s="59"/>
      <c r="E136" s="541"/>
      <c r="F136" s="541"/>
      <c r="G136" s="541"/>
      <c r="H136" s="541"/>
      <c r="I136" s="59"/>
      <c r="J136" s="59"/>
      <c r="K136" s="621"/>
      <c r="L136" s="621"/>
      <c r="M136" s="629">
        <f t="shared" si="14"/>
        <v>0</v>
      </c>
      <c r="N136" s="629">
        <f t="shared" si="15"/>
        <v>0</v>
      </c>
      <c r="O136" s="630">
        <f t="shared" si="12"/>
        <v>0</v>
      </c>
      <c r="P136" s="629">
        <f t="shared" si="16"/>
        <v>0</v>
      </c>
      <c r="Q136" s="629">
        <f t="shared" si="17"/>
        <v>0</v>
      </c>
      <c r="R136" s="630">
        <f t="shared" si="13"/>
        <v>0</v>
      </c>
    </row>
    <row r="137" spans="2:18" outlineLevel="1" x14ac:dyDescent="0.2">
      <c r="B137" s="59"/>
      <c r="C137" s="59"/>
      <c r="D137" s="59"/>
      <c r="E137" s="541"/>
      <c r="F137" s="541"/>
      <c r="G137" s="541"/>
      <c r="H137" s="541"/>
      <c r="I137" s="59"/>
      <c r="J137" s="59"/>
      <c r="K137" s="621"/>
      <c r="L137" s="621"/>
      <c r="M137" s="629">
        <f t="shared" si="14"/>
        <v>0</v>
      </c>
      <c r="N137" s="629">
        <f t="shared" si="15"/>
        <v>0</v>
      </c>
      <c r="O137" s="630">
        <f t="shared" si="12"/>
        <v>0</v>
      </c>
      <c r="P137" s="629">
        <f t="shared" si="16"/>
        <v>0</v>
      </c>
      <c r="Q137" s="629">
        <f t="shared" si="17"/>
        <v>0</v>
      </c>
      <c r="R137" s="630">
        <f t="shared" si="13"/>
        <v>0</v>
      </c>
    </row>
    <row r="138" spans="2:18" outlineLevel="1" x14ac:dyDescent="0.2">
      <c r="B138" s="59"/>
      <c r="C138" s="59"/>
      <c r="D138" s="59"/>
      <c r="E138" s="541"/>
      <c r="F138" s="541"/>
      <c r="G138" s="541"/>
      <c r="H138" s="541"/>
      <c r="I138" s="59"/>
      <c r="J138" s="59"/>
      <c r="K138" s="621"/>
      <c r="L138" s="621"/>
      <c r="M138" s="629">
        <f t="shared" si="14"/>
        <v>0</v>
      </c>
      <c r="N138" s="629">
        <f t="shared" si="15"/>
        <v>0</v>
      </c>
      <c r="O138" s="630">
        <f t="shared" si="12"/>
        <v>0</v>
      </c>
      <c r="P138" s="629">
        <f t="shared" si="16"/>
        <v>0</v>
      </c>
      <c r="Q138" s="629">
        <f t="shared" si="17"/>
        <v>0</v>
      </c>
      <c r="R138" s="630">
        <f t="shared" si="13"/>
        <v>0</v>
      </c>
    </row>
    <row r="139" spans="2:18" outlineLevel="1" x14ac:dyDescent="0.2">
      <c r="B139" s="59"/>
      <c r="C139" s="59"/>
      <c r="D139" s="59"/>
      <c r="E139" s="541"/>
      <c r="F139" s="541"/>
      <c r="G139" s="541"/>
      <c r="H139" s="541"/>
      <c r="I139" s="59"/>
      <c r="J139" s="59"/>
      <c r="K139" s="621"/>
      <c r="L139" s="621"/>
      <c r="M139" s="629">
        <f t="shared" si="14"/>
        <v>0</v>
      </c>
      <c r="N139" s="629">
        <f t="shared" si="15"/>
        <v>0</v>
      </c>
      <c r="O139" s="630">
        <f t="shared" si="12"/>
        <v>0</v>
      </c>
      <c r="P139" s="629">
        <f t="shared" si="16"/>
        <v>0</v>
      </c>
      <c r="Q139" s="629">
        <f t="shared" si="17"/>
        <v>0</v>
      </c>
      <c r="R139" s="630">
        <f t="shared" si="13"/>
        <v>0</v>
      </c>
    </row>
    <row r="140" spans="2:18" outlineLevel="1" x14ac:dyDescent="0.2">
      <c r="B140" s="59"/>
      <c r="C140" s="59"/>
      <c r="D140" s="59"/>
      <c r="E140" s="541"/>
      <c r="F140" s="541"/>
      <c r="G140" s="541"/>
      <c r="H140" s="541"/>
      <c r="I140" s="59"/>
      <c r="J140" s="59"/>
      <c r="K140" s="621"/>
      <c r="L140" s="621"/>
      <c r="M140" s="629">
        <f t="shared" si="14"/>
        <v>0</v>
      </c>
      <c r="N140" s="629">
        <f t="shared" si="15"/>
        <v>0</v>
      </c>
      <c r="O140" s="630">
        <f t="shared" si="12"/>
        <v>0</v>
      </c>
      <c r="P140" s="629">
        <f t="shared" si="16"/>
        <v>0</v>
      </c>
      <c r="Q140" s="629">
        <f t="shared" si="17"/>
        <v>0</v>
      </c>
      <c r="R140" s="630">
        <f t="shared" si="13"/>
        <v>0</v>
      </c>
    </row>
    <row r="141" spans="2:18" outlineLevel="1" x14ac:dyDescent="0.2">
      <c r="B141" s="59"/>
      <c r="C141" s="59"/>
      <c r="D141" s="59"/>
      <c r="E141" s="541"/>
      <c r="F141" s="541"/>
      <c r="G141" s="541"/>
      <c r="H141" s="541"/>
      <c r="I141" s="59"/>
      <c r="J141" s="59"/>
      <c r="K141" s="621"/>
      <c r="L141" s="621"/>
      <c r="M141" s="629">
        <f t="shared" si="14"/>
        <v>0</v>
      </c>
      <c r="N141" s="629">
        <f t="shared" si="15"/>
        <v>0</v>
      </c>
      <c r="O141" s="630">
        <f t="shared" si="12"/>
        <v>0</v>
      </c>
      <c r="P141" s="629">
        <f t="shared" si="16"/>
        <v>0</v>
      </c>
      <c r="Q141" s="629">
        <f t="shared" si="17"/>
        <v>0</v>
      </c>
      <c r="R141" s="630">
        <f t="shared" si="13"/>
        <v>0</v>
      </c>
    </row>
    <row r="142" spans="2:18" outlineLevel="1" x14ac:dyDescent="0.2">
      <c r="B142" s="59"/>
      <c r="C142" s="59"/>
      <c r="D142" s="59"/>
      <c r="E142" s="541"/>
      <c r="F142" s="541"/>
      <c r="G142" s="541"/>
      <c r="H142" s="541"/>
      <c r="I142" s="59"/>
      <c r="J142" s="59"/>
      <c r="K142" s="621"/>
      <c r="L142" s="621"/>
      <c r="M142" s="629">
        <f t="shared" si="14"/>
        <v>0</v>
      </c>
      <c r="N142" s="629">
        <f t="shared" si="15"/>
        <v>0</v>
      </c>
      <c r="O142" s="630">
        <f t="shared" si="12"/>
        <v>0</v>
      </c>
      <c r="P142" s="629">
        <f t="shared" si="16"/>
        <v>0</v>
      </c>
      <c r="Q142" s="629">
        <f t="shared" si="17"/>
        <v>0</v>
      </c>
      <c r="R142" s="630">
        <f t="shared" si="13"/>
        <v>0</v>
      </c>
    </row>
    <row r="143" spans="2:18" outlineLevel="1" x14ac:dyDescent="0.2">
      <c r="B143" s="59"/>
      <c r="C143" s="59"/>
      <c r="D143" s="59"/>
      <c r="E143" s="541"/>
      <c r="F143" s="541"/>
      <c r="G143" s="541"/>
      <c r="H143" s="541"/>
      <c r="I143" s="59"/>
      <c r="J143" s="59"/>
      <c r="K143" s="621"/>
      <c r="L143" s="621"/>
      <c r="M143" s="629">
        <f t="shared" si="14"/>
        <v>0</v>
      </c>
      <c r="N143" s="629">
        <f t="shared" si="15"/>
        <v>0</v>
      </c>
      <c r="O143" s="630">
        <f t="shared" si="12"/>
        <v>0</v>
      </c>
      <c r="P143" s="629">
        <f t="shared" si="16"/>
        <v>0</v>
      </c>
      <c r="Q143" s="629">
        <f t="shared" si="17"/>
        <v>0</v>
      </c>
      <c r="R143" s="630">
        <f t="shared" si="13"/>
        <v>0</v>
      </c>
    </row>
    <row r="144" spans="2:18" outlineLevel="1" x14ac:dyDescent="0.2">
      <c r="B144" s="59"/>
      <c r="C144" s="59"/>
      <c r="D144" s="59"/>
      <c r="E144" s="541"/>
      <c r="F144" s="541"/>
      <c r="G144" s="541"/>
      <c r="H144" s="541"/>
      <c r="I144" s="59"/>
      <c r="J144" s="59"/>
      <c r="K144" s="621"/>
      <c r="L144" s="621"/>
      <c r="M144" s="629">
        <f t="shared" si="14"/>
        <v>0</v>
      </c>
      <c r="N144" s="629">
        <f t="shared" si="15"/>
        <v>0</v>
      </c>
      <c r="O144" s="630">
        <f t="shared" si="12"/>
        <v>0</v>
      </c>
      <c r="P144" s="629">
        <f t="shared" si="16"/>
        <v>0</v>
      </c>
      <c r="Q144" s="629">
        <f t="shared" si="17"/>
        <v>0</v>
      </c>
      <c r="R144" s="630">
        <f t="shared" si="13"/>
        <v>0</v>
      </c>
    </row>
    <row r="145" spans="2:18" outlineLevel="1" x14ac:dyDescent="0.2">
      <c r="B145" s="59"/>
      <c r="C145" s="59"/>
      <c r="D145" s="59"/>
      <c r="E145" s="541"/>
      <c r="F145" s="541"/>
      <c r="G145" s="541"/>
      <c r="H145" s="541"/>
      <c r="I145" s="59"/>
      <c r="J145" s="59"/>
      <c r="K145" s="621"/>
      <c r="L145" s="621"/>
      <c r="M145" s="629">
        <f t="shared" si="14"/>
        <v>0</v>
      </c>
      <c r="N145" s="629">
        <f t="shared" si="15"/>
        <v>0</v>
      </c>
      <c r="O145" s="630">
        <f t="shared" si="12"/>
        <v>0</v>
      </c>
      <c r="P145" s="629">
        <f t="shared" si="16"/>
        <v>0</v>
      </c>
      <c r="Q145" s="629">
        <f t="shared" si="17"/>
        <v>0</v>
      </c>
      <c r="R145" s="630">
        <f t="shared" si="13"/>
        <v>0</v>
      </c>
    </row>
    <row r="146" spans="2:18" outlineLevel="1" x14ac:dyDescent="0.2">
      <c r="B146" s="59"/>
      <c r="C146" s="59"/>
      <c r="D146" s="59"/>
      <c r="E146" s="541"/>
      <c r="F146" s="541"/>
      <c r="G146" s="541"/>
      <c r="H146" s="541"/>
      <c r="I146" s="59"/>
      <c r="J146" s="59"/>
      <c r="K146" s="621"/>
      <c r="L146" s="621"/>
      <c r="M146" s="629">
        <f t="shared" si="14"/>
        <v>0</v>
      </c>
      <c r="N146" s="629">
        <f t="shared" si="15"/>
        <v>0</v>
      </c>
      <c r="O146" s="630">
        <f t="shared" si="12"/>
        <v>0</v>
      </c>
      <c r="P146" s="629">
        <f t="shared" si="16"/>
        <v>0</v>
      </c>
      <c r="Q146" s="629">
        <f t="shared" si="17"/>
        <v>0</v>
      </c>
      <c r="R146" s="630">
        <f t="shared" si="13"/>
        <v>0</v>
      </c>
    </row>
    <row r="147" spans="2:18" outlineLevel="1" x14ac:dyDescent="0.2">
      <c r="B147" s="59"/>
      <c r="C147" s="59"/>
      <c r="D147" s="59"/>
      <c r="E147" s="541"/>
      <c r="F147" s="541"/>
      <c r="G147" s="541"/>
      <c r="H147" s="541"/>
      <c r="I147" s="59"/>
      <c r="J147" s="59"/>
      <c r="K147" s="621"/>
      <c r="L147" s="621"/>
      <c r="M147" s="629">
        <f t="shared" si="14"/>
        <v>0</v>
      </c>
      <c r="N147" s="629">
        <f t="shared" si="15"/>
        <v>0</v>
      </c>
      <c r="O147" s="630">
        <f t="shared" si="12"/>
        <v>0</v>
      </c>
      <c r="P147" s="629">
        <f t="shared" si="16"/>
        <v>0</v>
      </c>
      <c r="Q147" s="629">
        <f t="shared" si="17"/>
        <v>0</v>
      </c>
      <c r="R147" s="630">
        <f t="shared" si="13"/>
        <v>0</v>
      </c>
    </row>
    <row r="148" spans="2:18" outlineLevel="1" x14ac:dyDescent="0.2">
      <c r="B148" s="59"/>
      <c r="C148" s="59"/>
      <c r="D148" s="59"/>
      <c r="E148" s="541"/>
      <c r="F148" s="541"/>
      <c r="G148" s="541"/>
      <c r="H148" s="541"/>
      <c r="I148" s="59"/>
      <c r="J148" s="59"/>
      <c r="K148" s="621"/>
      <c r="L148" s="621"/>
      <c r="M148" s="629">
        <f t="shared" si="14"/>
        <v>0</v>
      </c>
      <c r="N148" s="629">
        <f t="shared" si="15"/>
        <v>0</v>
      </c>
      <c r="O148" s="630">
        <f t="shared" si="12"/>
        <v>0</v>
      </c>
      <c r="P148" s="629">
        <f t="shared" si="16"/>
        <v>0</v>
      </c>
      <c r="Q148" s="629">
        <f t="shared" si="17"/>
        <v>0</v>
      </c>
      <c r="R148" s="630">
        <f t="shared" si="13"/>
        <v>0</v>
      </c>
    </row>
    <row r="149" spans="2:18" outlineLevel="1" x14ac:dyDescent="0.2">
      <c r="B149" s="59"/>
      <c r="C149" s="59"/>
      <c r="D149" s="59"/>
      <c r="E149" s="541"/>
      <c r="F149" s="541"/>
      <c r="G149" s="541"/>
      <c r="H149" s="541"/>
      <c r="I149" s="59"/>
      <c r="J149" s="59"/>
      <c r="K149" s="621"/>
      <c r="L149" s="621"/>
      <c r="M149" s="629">
        <f t="shared" si="14"/>
        <v>0</v>
      </c>
      <c r="N149" s="629">
        <f t="shared" si="15"/>
        <v>0</v>
      </c>
      <c r="O149" s="630">
        <f t="shared" si="12"/>
        <v>0</v>
      </c>
      <c r="P149" s="629">
        <f t="shared" si="16"/>
        <v>0</v>
      </c>
      <c r="Q149" s="629">
        <f t="shared" si="17"/>
        <v>0</v>
      </c>
      <c r="R149" s="630">
        <f t="shared" si="13"/>
        <v>0</v>
      </c>
    </row>
    <row r="150" spans="2:18" outlineLevel="1" x14ac:dyDescent="0.2">
      <c r="B150" s="59"/>
      <c r="C150" s="59"/>
      <c r="D150" s="59"/>
      <c r="E150" s="541"/>
      <c r="F150" s="541"/>
      <c r="G150" s="541"/>
      <c r="H150" s="541"/>
      <c r="I150" s="59"/>
      <c r="J150" s="59"/>
      <c r="K150" s="621"/>
      <c r="L150" s="621"/>
      <c r="M150" s="629">
        <f t="shared" si="14"/>
        <v>0</v>
      </c>
      <c r="N150" s="629">
        <f t="shared" si="15"/>
        <v>0</v>
      </c>
      <c r="O150" s="630">
        <f t="shared" si="12"/>
        <v>0</v>
      </c>
      <c r="P150" s="629">
        <f t="shared" si="16"/>
        <v>0</v>
      </c>
      <c r="Q150" s="629">
        <f t="shared" si="17"/>
        <v>0</v>
      </c>
      <c r="R150" s="630">
        <f t="shared" si="13"/>
        <v>0</v>
      </c>
    </row>
    <row r="151" spans="2:18" outlineLevel="1" x14ac:dyDescent="0.2">
      <c r="B151" s="59"/>
      <c r="C151" s="59"/>
      <c r="D151" s="59"/>
      <c r="E151" s="541"/>
      <c r="F151" s="541"/>
      <c r="G151" s="541"/>
      <c r="H151" s="541"/>
      <c r="I151" s="59"/>
      <c r="J151" s="59"/>
      <c r="K151" s="621"/>
      <c r="L151" s="621"/>
      <c r="M151" s="629">
        <f t="shared" si="14"/>
        <v>0</v>
      </c>
      <c r="N151" s="629">
        <f t="shared" si="15"/>
        <v>0</v>
      </c>
      <c r="O151" s="630">
        <f t="shared" si="12"/>
        <v>0</v>
      </c>
      <c r="P151" s="629">
        <f t="shared" si="16"/>
        <v>0</v>
      </c>
      <c r="Q151" s="629">
        <f t="shared" si="17"/>
        <v>0</v>
      </c>
      <c r="R151" s="630">
        <f t="shared" si="13"/>
        <v>0</v>
      </c>
    </row>
    <row r="152" spans="2:18" outlineLevel="1" x14ac:dyDescent="0.2">
      <c r="B152" s="59"/>
      <c r="C152" s="59"/>
      <c r="D152" s="59"/>
      <c r="E152" s="541"/>
      <c r="F152" s="541"/>
      <c r="G152" s="541"/>
      <c r="H152" s="541"/>
      <c r="I152" s="59"/>
      <c r="J152" s="59"/>
      <c r="K152" s="621"/>
      <c r="L152" s="621"/>
      <c r="M152" s="629">
        <f t="shared" si="14"/>
        <v>0</v>
      </c>
      <c r="N152" s="629">
        <f t="shared" si="15"/>
        <v>0</v>
      </c>
      <c r="O152" s="630">
        <f t="shared" si="12"/>
        <v>0</v>
      </c>
      <c r="P152" s="629">
        <f t="shared" si="16"/>
        <v>0</v>
      </c>
      <c r="Q152" s="629">
        <f t="shared" si="17"/>
        <v>0</v>
      </c>
      <c r="R152" s="630">
        <f t="shared" si="13"/>
        <v>0</v>
      </c>
    </row>
    <row r="153" spans="2:18" outlineLevel="1" x14ac:dyDescent="0.2">
      <c r="B153" s="59"/>
      <c r="C153" s="59"/>
      <c r="D153" s="59"/>
      <c r="E153" s="541"/>
      <c r="F153" s="541"/>
      <c r="G153" s="541"/>
      <c r="H153" s="541"/>
      <c r="I153" s="59"/>
      <c r="J153" s="59"/>
      <c r="K153" s="621"/>
      <c r="L153" s="621"/>
      <c r="M153" s="629">
        <f t="shared" si="14"/>
        <v>0</v>
      </c>
      <c r="N153" s="629">
        <f t="shared" si="15"/>
        <v>0</v>
      </c>
      <c r="O153" s="630">
        <f t="shared" si="12"/>
        <v>0</v>
      </c>
      <c r="P153" s="629">
        <f t="shared" si="16"/>
        <v>0</v>
      </c>
      <c r="Q153" s="629">
        <f t="shared" si="17"/>
        <v>0</v>
      </c>
      <c r="R153" s="630">
        <f t="shared" si="13"/>
        <v>0</v>
      </c>
    </row>
    <row r="154" spans="2:18" outlineLevel="1" x14ac:dyDescent="0.2">
      <c r="B154" s="59"/>
      <c r="C154" s="59"/>
      <c r="D154" s="59"/>
      <c r="E154" s="541"/>
      <c r="F154" s="541"/>
      <c r="G154" s="541"/>
      <c r="H154" s="541"/>
      <c r="I154" s="59"/>
      <c r="J154" s="59"/>
      <c r="K154" s="621"/>
      <c r="L154" s="621"/>
      <c r="M154" s="629">
        <f t="shared" si="14"/>
        <v>0</v>
      </c>
      <c r="N154" s="629">
        <f t="shared" si="15"/>
        <v>0</v>
      </c>
      <c r="O154" s="630">
        <f t="shared" si="12"/>
        <v>0</v>
      </c>
      <c r="P154" s="629">
        <f t="shared" si="16"/>
        <v>0</v>
      </c>
      <c r="Q154" s="629">
        <f t="shared" si="17"/>
        <v>0</v>
      </c>
      <c r="R154" s="630">
        <f t="shared" si="13"/>
        <v>0</v>
      </c>
    </row>
    <row r="155" spans="2:18" outlineLevel="1" x14ac:dyDescent="0.2">
      <c r="B155" s="59"/>
      <c r="C155" s="59"/>
      <c r="D155" s="59"/>
      <c r="E155" s="541"/>
      <c r="F155" s="541"/>
      <c r="G155" s="541"/>
      <c r="H155" s="541"/>
      <c r="I155" s="59"/>
      <c r="J155" s="59"/>
      <c r="K155" s="621"/>
      <c r="L155" s="621"/>
      <c r="M155" s="629">
        <f t="shared" si="14"/>
        <v>0</v>
      </c>
      <c r="N155" s="629">
        <f t="shared" si="15"/>
        <v>0</v>
      </c>
      <c r="O155" s="630">
        <f t="shared" si="12"/>
        <v>0</v>
      </c>
      <c r="P155" s="629">
        <f t="shared" si="16"/>
        <v>0</v>
      </c>
      <c r="Q155" s="629">
        <f t="shared" si="17"/>
        <v>0</v>
      </c>
      <c r="R155" s="630">
        <f t="shared" si="13"/>
        <v>0</v>
      </c>
    </row>
    <row r="156" spans="2:18" outlineLevel="1" x14ac:dyDescent="0.2">
      <c r="B156" s="59"/>
      <c r="C156" s="59"/>
      <c r="D156" s="59"/>
      <c r="E156" s="541"/>
      <c r="F156" s="541"/>
      <c r="G156" s="541"/>
      <c r="H156" s="541"/>
      <c r="I156" s="59"/>
      <c r="J156" s="59"/>
      <c r="K156" s="621"/>
      <c r="L156" s="621"/>
      <c r="M156" s="629">
        <f t="shared" si="14"/>
        <v>0</v>
      </c>
      <c r="N156" s="629">
        <f t="shared" si="15"/>
        <v>0</v>
      </c>
      <c r="O156" s="630">
        <f t="shared" si="12"/>
        <v>0</v>
      </c>
      <c r="P156" s="629">
        <f t="shared" si="16"/>
        <v>0</v>
      </c>
      <c r="Q156" s="629">
        <f t="shared" si="17"/>
        <v>0</v>
      </c>
      <c r="R156" s="630">
        <f t="shared" si="13"/>
        <v>0</v>
      </c>
    </row>
    <row r="157" spans="2:18" outlineLevel="1" x14ac:dyDescent="0.2">
      <c r="B157" s="59"/>
      <c r="C157" s="59"/>
      <c r="D157" s="59"/>
      <c r="E157" s="541"/>
      <c r="F157" s="541"/>
      <c r="G157" s="541"/>
      <c r="H157" s="541"/>
      <c r="I157" s="59"/>
      <c r="J157" s="59"/>
      <c r="K157" s="621"/>
      <c r="L157" s="621"/>
      <c r="M157" s="629">
        <f t="shared" si="14"/>
        <v>0</v>
      </c>
      <c r="N157" s="629">
        <f t="shared" si="15"/>
        <v>0</v>
      </c>
      <c r="O157" s="630">
        <f t="shared" si="12"/>
        <v>0</v>
      </c>
      <c r="P157" s="629">
        <f t="shared" si="16"/>
        <v>0</v>
      </c>
      <c r="Q157" s="629">
        <f t="shared" si="17"/>
        <v>0</v>
      </c>
      <c r="R157" s="630">
        <f t="shared" si="13"/>
        <v>0</v>
      </c>
    </row>
    <row r="158" spans="2:18" outlineLevel="1" x14ac:dyDescent="0.2">
      <c r="B158" s="59"/>
      <c r="C158" s="59"/>
      <c r="D158" s="59"/>
      <c r="E158" s="541"/>
      <c r="F158" s="541"/>
      <c r="G158" s="541"/>
      <c r="H158" s="541"/>
      <c r="I158" s="59"/>
      <c r="J158" s="59"/>
      <c r="K158" s="621"/>
      <c r="L158" s="621"/>
      <c r="M158" s="629">
        <f t="shared" si="14"/>
        <v>0</v>
      </c>
      <c r="N158" s="629">
        <f t="shared" si="15"/>
        <v>0</v>
      </c>
      <c r="O158" s="630">
        <f t="shared" si="12"/>
        <v>0</v>
      </c>
      <c r="P158" s="629">
        <f t="shared" si="16"/>
        <v>0</v>
      </c>
      <c r="Q158" s="629">
        <f t="shared" si="17"/>
        <v>0</v>
      </c>
      <c r="R158" s="630">
        <f t="shared" si="13"/>
        <v>0</v>
      </c>
    </row>
    <row r="159" spans="2:18" outlineLevel="1" x14ac:dyDescent="0.2">
      <c r="B159" s="59"/>
      <c r="C159" s="59"/>
      <c r="D159" s="59"/>
      <c r="E159" s="541"/>
      <c r="F159" s="541"/>
      <c r="G159" s="541"/>
      <c r="H159" s="541"/>
      <c r="I159" s="59"/>
      <c r="J159" s="59"/>
      <c r="K159" s="621"/>
      <c r="L159" s="621"/>
      <c r="M159" s="629">
        <f t="shared" si="14"/>
        <v>0</v>
      </c>
      <c r="N159" s="629">
        <f t="shared" si="15"/>
        <v>0</v>
      </c>
      <c r="O159" s="630">
        <f t="shared" si="12"/>
        <v>0</v>
      </c>
      <c r="P159" s="629">
        <f t="shared" si="16"/>
        <v>0</v>
      </c>
      <c r="Q159" s="629">
        <f t="shared" si="17"/>
        <v>0</v>
      </c>
      <c r="R159" s="630">
        <f t="shared" si="13"/>
        <v>0</v>
      </c>
    </row>
    <row r="160" spans="2:18" outlineLevel="1" x14ac:dyDescent="0.2">
      <c r="B160" s="59"/>
      <c r="C160" s="59"/>
      <c r="D160" s="59"/>
      <c r="E160" s="541"/>
      <c r="F160" s="541"/>
      <c r="G160" s="541"/>
      <c r="H160" s="541"/>
      <c r="I160" s="59"/>
      <c r="J160" s="59"/>
      <c r="K160" s="621"/>
      <c r="L160" s="621"/>
      <c r="M160" s="629">
        <f t="shared" si="14"/>
        <v>0</v>
      </c>
      <c r="N160" s="629">
        <f t="shared" si="15"/>
        <v>0</v>
      </c>
      <c r="O160" s="630">
        <f t="shared" si="12"/>
        <v>0</v>
      </c>
      <c r="P160" s="629">
        <f t="shared" si="16"/>
        <v>0</v>
      </c>
      <c r="Q160" s="629">
        <f t="shared" si="17"/>
        <v>0</v>
      </c>
      <c r="R160" s="630">
        <f t="shared" si="13"/>
        <v>0</v>
      </c>
    </row>
    <row r="161" spans="2:18" outlineLevel="1" x14ac:dyDescent="0.2">
      <c r="B161" s="59"/>
      <c r="C161" s="59"/>
      <c r="D161" s="59"/>
      <c r="E161" s="541"/>
      <c r="F161" s="541"/>
      <c r="G161" s="541"/>
      <c r="H161" s="541"/>
      <c r="I161" s="59"/>
      <c r="J161" s="59"/>
      <c r="K161" s="621"/>
      <c r="L161" s="621"/>
      <c r="M161" s="629">
        <f t="shared" si="14"/>
        <v>0</v>
      </c>
      <c r="N161" s="629">
        <f t="shared" si="15"/>
        <v>0</v>
      </c>
      <c r="O161" s="630">
        <f t="shared" si="12"/>
        <v>0</v>
      </c>
      <c r="P161" s="629">
        <f t="shared" si="16"/>
        <v>0</v>
      </c>
      <c r="Q161" s="629">
        <f t="shared" si="17"/>
        <v>0</v>
      </c>
      <c r="R161" s="630">
        <f t="shared" si="13"/>
        <v>0</v>
      </c>
    </row>
    <row r="162" spans="2:18" outlineLevel="1" x14ac:dyDescent="0.2">
      <c r="B162" s="59"/>
      <c r="C162" s="59"/>
      <c r="D162" s="59"/>
      <c r="E162" s="541"/>
      <c r="F162" s="541"/>
      <c r="G162" s="541"/>
      <c r="H162" s="541"/>
      <c r="I162" s="59"/>
      <c r="J162" s="59"/>
      <c r="K162" s="621"/>
      <c r="L162" s="621"/>
      <c r="M162" s="629">
        <f t="shared" si="14"/>
        <v>0</v>
      </c>
      <c r="N162" s="629">
        <f t="shared" si="15"/>
        <v>0</v>
      </c>
      <c r="O162" s="630">
        <f t="shared" si="12"/>
        <v>0</v>
      </c>
      <c r="P162" s="629">
        <f t="shared" si="16"/>
        <v>0</v>
      </c>
      <c r="Q162" s="629">
        <f t="shared" si="17"/>
        <v>0</v>
      </c>
      <c r="R162" s="630">
        <f t="shared" si="13"/>
        <v>0</v>
      </c>
    </row>
    <row r="163" spans="2:18" outlineLevel="1" x14ac:dyDescent="0.2">
      <c r="B163" s="59"/>
      <c r="C163" s="59"/>
      <c r="D163" s="59"/>
      <c r="E163" s="541"/>
      <c r="F163" s="541"/>
      <c r="G163" s="541"/>
      <c r="H163" s="541"/>
      <c r="I163" s="59"/>
      <c r="J163" s="59"/>
      <c r="K163" s="621"/>
      <c r="L163" s="621"/>
      <c r="M163" s="629">
        <f t="shared" si="14"/>
        <v>0</v>
      </c>
      <c r="N163" s="629">
        <f t="shared" si="15"/>
        <v>0</v>
      </c>
      <c r="O163" s="630">
        <f t="shared" si="12"/>
        <v>0</v>
      </c>
      <c r="P163" s="629">
        <f t="shared" si="16"/>
        <v>0</v>
      </c>
      <c r="Q163" s="629">
        <f t="shared" si="17"/>
        <v>0</v>
      </c>
      <c r="R163" s="630">
        <f t="shared" si="13"/>
        <v>0</v>
      </c>
    </row>
    <row r="164" spans="2:18" outlineLevel="1" x14ac:dyDescent="0.2">
      <c r="B164" s="59"/>
      <c r="C164" s="59"/>
      <c r="D164" s="59"/>
      <c r="E164" s="541"/>
      <c r="F164" s="541"/>
      <c r="G164" s="541"/>
      <c r="H164" s="541"/>
      <c r="I164" s="59"/>
      <c r="J164" s="59"/>
      <c r="K164" s="621"/>
      <c r="L164" s="621"/>
      <c r="M164" s="629">
        <f t="shared" si="14"/>
        <v>0</v>
      </c>
      <c r="N164" s="629">
        <f t="shared" si="15"/>
        <v>0</v>
      </c>
      <c r="O164" s="630">
        <f t="shared" si="12"/>
        <v>0</v>
      </c>
      <c r="P164" s="629">
        <f t="shared" si="16"/>
        <v>0</v>
      </c>
      <c r="Q164" s="629">
        <f t="shared" si="17"/>
        <v>0</v>
      </c>
      <c r="R164" s="630">
        <f t="shared" si="13"/>
        <v>0</v>
      </c>
    </row>
    <row r="165" spans="2:18" outlineLevel="1" x14ac:dyDescent="0.2">
      <c r="B165" s="59"/>
      <c r="C165" s="59"/>
      <c r="D165" s="59"/>
      <c r="E165" s="541"/>
      <c r="F165" s="541"/>
      <c r="G165" s="541"/>
      <c r="H165" s="541"/>
      <c r="I165" s="59"/>
      <c r="J165" s="59"/>
      <c r="K165" s="621"/>
      <c r="L165" s="621"/>
      <c r="M165" s="629">
        <f t="shared" si="14"/>
        <v>0</v>
      </c>
      <c r="N165" s="629">
        <f t="shared" si="15"/>
        <v>0</v>
      </c>
      <c r="O165" s="630">
        <f t="shared" si="12"/>
        <v>0</v>
      </c>
      <c r="P165" s="629">
        <f t="shared" si="16"/>
        <v>0</v>
      </c>
      <c r="Q165" s="629">
        <f t="shared" si="17"/>
        <v>0</v>
      </c>
      <c r="R165" s="630">
        <f t="shared" si="13"/>
        <v>0</v>
      </c>
    </row>
    <row r="166" spans="2:18" outlineLevel="1" x14ac:dyDescent="0.2">
      <c r="B166" s="59"/>
      <c r="C166" s="59"/>
      <c r="D166" s="59"/>
      <c r="E166" s="541"/>
      <c r="F166" s="541"/>
      <c r="G166" s="541"/>
      <c r="H166" s="541"/>
      <c r="I166" s="59"/>
      <c r="J166" s="59"/>
      <c r="K166" s="621"/>
      <c r="L166" s="621"/>
      <c r="M166" s="629">
        <f t="shared" si="14"/>
        <v>0</v>
      </c>
      <c r="N166" s="629">
        <f t="shared" si="15"/>
        <v>0</v>
      </c>
      <c r="O166" s="630">
        <f t="shared" si="12"/>
        <v>0</v>
      </c>
      <c r="P166" s="629">
        <f t="shared" si="16"/>
        <v>0</v>
      </c>
      <c r="Q166" s="629">
        <f t="shared" si="17"/>
        <v>0</v>
      </c>
      <c r="R166" s="630">
        <f t="shared" si="13"/>
        <v>0</v>
      </c>
    </row>
    <row r="167" spans="2:18" outlineLevel="1" x14ac:dyDescent="0.2">
      <c r="B167" s="59"/>
      <c r="C167" s="59"/>
      <c r="D167" s="59"/>
      <c r="E167" s="541"/>
      <c r="F167" s="541"/>
      <c r="G167" s="541"/>
      <c r="H167" s="541"/>
      <c r="I167" s="59"/>
      <c r="J167" s="59"/>
      <c r="K167" s="621"/>
      <c r="L167" s="621"/>
      <c r="M167" s="629">
        <f t="shared" si="14"/>
        <v>0</v>
      </c>
      <c r="N167" s="629">
        <f t="shared" si="15"/>
        <v>0</v>
      </c>
      <c r="O167" s="630">
        <f t="shared" si="12"/>
        <v>0</v>
      </c>
      <c r="P167" s="629">
        <f t="shared" si="16"/>
        <v>0</v>
      </c>
      <c r="Q167" s="629">
        <f t="shared" si="17"/>
        <v>0</v>
      </c>
      <c r="R167" s="630">
        <f t="shared" si="13"/>
        <v>0</v>
      </c>
    </row>
    <row r="168" spans="2:18" outlineLevel="1" x14ac:dyDescent="0.2">
      <c r="B168" s="59"/>
      <c r="C168" s="59"/>
      <c r="D168" s="59"/>
      <c r="E168" s="541"/>
      <c r="F168" s="541"/>
      <c r="G168" s="541"/>
      <c r="H168" s="541"/>
      <c r="I168" s="59"/>
      <c r="J168" s="59"/>
      <c r="K168" s="621"/>
      <c r="L168" s="621"/>
      <c r="M168" s="629">
        <f t="shared" si="14"/>
        <v>0</v>
      </c>
      <c r="N168" s="629">
        <f t="shared" si="15"/>
        <v>0</v>
      </c>
      <c r="O168" s="630">
        <f t="shared" si="12"/>
        <v>0</v>
      </c>
      <c r="P168" s="629">
        <f t="shared" si="16"/>
        <v>0</v>
      </c>
      <c r="Q168" s="629">
        <f t="shared" si="17"/>
        <v>0</v>
      </c>
      <c r="R168" s="630">
        <f t="shared" si="13"/>
        <v>0</v>
      </c>
    </row>
    <row r="169" spans="2:18" outlineLevel="1" x14ac:dyDescent="0.2">
      <c r="B169" s="59"/>
      <c r="C169" s="59"/>
      <c r="D169" s="59"/>
      <c r="E169" s="541"/>
      <c r="F169" s="541"/>
      <c r="G169" s="541"/>
      <c r="H169" s="541"/>
      <c r="I169" s="59"/>
      <c r="J169" s="59"/>
      <c r="K169" s="621"/>
      <c r="L169" s="621"/>
      <c r="M169" s="629">
        <f t="shared" si="14"/>
        <v>0</v>
      </c>
      <c r="N169" s="629">
        <f t="shared" si="15"/>
        <v>0</v>
      </c>
      <c r="O169" s="630">
        <f t="shared" si="12"/>
        <v>0</v>
      </c>
      <c r="P169" s="629">
        <f t="shared" si="16"/>
        <v>0</v>
      </c>
      <c r="Q169" s="629">
        <f t="shared" si="17"/>
        <v>0</v>
      </c>
      <c r="R169" s="630">
        <f t="shared" si="13"/>
        <v>0</v>
      </c>
    </row>
    <row r="170" spans="2:18" outlineLevel="1" x14ac:dyDescent="0.2">
      <c r="B170" s="59"/>
      <c r="C170" s="59"/>
      <c r="D170" s="59"/>
      <c r="E170" s="541"/>
      <c r="F170" s="541"/>
      <c r="G170" s="541"/>
      <c r="H170" s="541"/>
      <c r="I170" s="59"/>
      <c r="J170" s="59"/>
      <c r="K170" s="621"/>
      <c r="L170" s="621"/>
      <c r="M170" s="629">
        <f t="shared" si="14"/>
        <v>0</v>
      </c>
      <c r="N170" s="629">
        <f t="shared" si="15"/>
        <v>0</v>
      </c>
      <c r="O170" s="630">
        <f t="shared" si="12"/>
        <v>0</v>
      </c>
      <c r="P170" s="629">
        <f t="shared" si="16"/>
        <v>0</v>
      </c>
      <c r="Q170" s="629">
        <f t="shared" si="17"/>
        <v>0</v>
      </c>
      <c r="R170" s="630">
        <f t="shared" si="13"/>
        <v>0</v>
      </c>
    </row>
    <row r="171" spans="2:18" outlineLevel="1" x14ac:dyDescent="0.2">
      <c r="B171" s="59"/>
      <c r="C171" s="59"/>
      <c r="D171" s="59"/>
      <c r="E171" s="541"/>
      <c r="F171" s="541"/>
      <c r="G171" s="541"/>
      <c r="H171" s="541"/>
      <c r="I171" s="59"/>
      <c r="J171" s="59"/>
      <c r="K171" s="621"/>
      <c r="L171" s="621"/>
      <c r="M171" s="629">
        <f t="shared" si="14"/>
        <v>0</v>
      </c>
      <c r="N171" s="629">
        <f t="shared" si="15"/>
        <v>0</v>
      </c>
      <c r="O171" s="630">
        <f t="shared" si="12"/>
        <v>0</v>
      </c>
      <c r="P171" s="629">
        <f t="shared" si="16"/>
        <v>0</v>
      </c>
      <c r="Q171" s="629">
        <f t="shared" si="17"/>
        <v>0</v>
      </c>
      <c r="R171" s="630">
        <f t="shared" si="13"/>
        <v>0</v>
      </c>
    </row>
    <row r="172" spans="2:18" outlineLevel="1" x14ac:dyDescent="0.2">
      <c r="B172" s="59"/>
      <c r="C172" s="59"/>
      <c r="D172" s="59"/>
      <c r="E172" s="541"/>
      <c r="F172" s="541"/>
      <c r="G172" s="541"/>
      <c r="H172" s="541"/>
      <c r="I172" s="59"/>
      <c r="J172" s="59"/>
      <c r="K172" s="621"/>
      <c r="L172" s="621"/>
      <c r="M172" s="629">
        <f t="shared" si="14"/>
        <v>0</v>
      </c>
      <c r="N172" s="629">
        <f t="shared" si="15"/>
        <v>0</v>
      </c>
      <c r="O172" s="630">
        <f t="shared" si="12"/>
        <v>0</v>
      </c>
      <c r="P172" s="629">
        <f t="shared" si="16"/>
        <v>0</v>
      </c>
      <c r="Q172" s="629">
        <f t="shared" si="17"/>
        <v>0</v>
      </c>
      <c r="R172" s="630">
        <f t="shared" si="13"/>
        <v>0</v>
      </c>
    </row>
    <row r="173" spans="2:18" outlineLevel="1" x14ac:dyDescent="0.2">
      <c r="B173" s="59"/>
      <c r="C173" s="59"/>
      <c r="D173" s="59"/>
      <c r="E173" s="541"/>
      <c r="F173" s="541"/>
      <c r="G173" s="541"/>
      <c r="H173" s="541"/>
      <c r="I173" s="59"/>
      <c r="J173" s="59"/>
      <c r="K173" s="621"/>
      <c r="L173" s="621"/>
      <c r="M173" s="629">
        <f t="shared" si="14"/>
        <v>0</v>
      </c>
      <c r="N173" s="629">
        <f t="shared" si="15"/>
        <v>0</v>
      </c>
      <c r="O173" s="630">
        <f t="shared" si="12"/>
        <v>0</v>
      </c>
      <c r="P173" s="629">
        <f t="shared" si="16"/>
        <v>0</v>
      </c>
      <c r="Q173" s="629">
        <f t="shared" si="17"/>
        <v>0</v>
      </c>
      <c r="R173" s="630">
        <f t="shared" si="13"/>
        <v>0</v>
      </c>
    </row>
    <row r="174" spans="2:18" outlineLevel="1" x14ac:dyDescent="0.2">
      <c r="B174" s="59"/>
      <c r="C174" s="59"/>
      <c r="D174" s="59"/>
      <c r="E174" s="541"/>
      <c r="F174" s="541"/>
      <c r="G174" s="541"/>
      <c r="H174" s="541"/>
      <c r="I174" s="59"/>
      <c r="J174" s="59"/>
      <c r="K174" s="621"/>
      <c r="L174" s="621"/>
      <c r="M174" s="629">
        <f t="shared" si="14"/>
        <v>0</v>
      </c>
      <c r="N174" s="629">
        <f t="shared" si="15"/>
        <v>0</v>
      </c>
      <c r="O174" s="630">
        <f t="shared" si="12"/>
        <v>0</v>
      </c>
      <c r="P174" s="629">
        <f t="shared" si="16"/>
        <v>0</v>
      </c>
      <c r="Q174" s="629">
        <f t="shared" si="17"/>
        <v>0</v>
      </c>
      <c r="R174" s="630">
        <f t="shared" si="13"/>
        <v>0</v>
      </c>
    </row>
    <row r="175" spans="2:18" outlineLevel="1" x14ac:dyDescent="0.2">
      <c r="B175" s="59"/>
      <c r="C175" s="59"/>
      <c r="D175" s="59"/>
      <c r="E175" s="541"/>
      <c r="F175" s="541"/>
      <c r="G175" s="541"/>
      <c r="H175" s="541"/>
      <c r="I175" s="59"/>
      <c r="J175" s="59"/>
      <c r="K175" s="621"/>
      <c r="L175" s="621"/>
      <c r="M175" s="629">
        <f t="shared" si="14"/>
        <v>0</v>
      </c>
      <c r="N175" s="629">
        <f t="shared" si="15"/>
        <v>0</v>
      </c>
      <c r="O175" s="630">
        <f t="shared" si="12"/>
        <v>0</v>
      </c>
      <c r="P175" s="629">
        <f t="shared" si="16"/>
        <v>0</v>
      </c>
      <c r="Q175" s="629">
        <f t="shared" si="17"/>
        <v>0</v>
      </c>
      <c r="R175" s="630">
        <f t="shared" si="13"/>
        <v>0</v>
      </c>
    </row>
    <row r="176" spans="2:18" outlineLevel="1" x14ac:dyDescent="0.2">
      <c r="B176" s="59"/>
      <c r="C176" s="59"/>
      <c r="D176" s="59"/>
      <c r="E176" s="541"/>
      <c r="F176" s="541"/>
      <c r="G176" s="541"/>
      <c r="H176" s="541"/>
      <c r="I176" s="59"/>
      <c r="J176" s="59"/>
      <c r="K176" s="621"/>
      <c r="L176" s="621"/>
      <c r="M176" s="629">
        <f t="shared" si="14"/>
        <v>0</v>
      </c>
      <c r="N176" s="629">
        <f t="shared" si="15"/>
        <v>0</v>
      </c>
      <c r="O176" s="630">
        <f t="shared" si="12"/>
        <v>0</v>
      </c>
      <c r="P176" s="629">
        <f t="shared" si="16"/>
        <v>0</v>
      </c>
      <c r="Q176" s="629">
        <f t="shared" si="17"/>
        <v>0</v>
      </c>
      <c r="R176" s="630">
        <f t="shared" si="13"/>
        <v>0</v>
      </c>
    </row>
    <row r="177" spans="2:18" outlineLevel="1" x14ac:dyDescent="0.2">
      <c r="B177" s="59"/>
      <c r="C177" s="59"/>
      <c r="D177" s="59"/>
      <c r="E177" s="541"/>
      <c r="F177" s="541"/>
      <c r="G177" s="541"/>
      <c r="H177" s="541"/>
      <c r="I177" s="59"/>
      <c r="J177" s="59"/>
      <c r="K177" s="621"/>
      <c r="L177" s="621"/>
      <c r="M177" s="629">
        <f t="shared" si="14"/>
        <v>0</v>
      </c>
      <c r="N177" s="629">
        <f t="shared" si="15"/>
        <v>0</v>
      </c>
      <c r="O177" s="630">
        <f t="shared" si="12"/>
        <v>0</v>
      </c>
      <c r="P177" s="629">
        <f t="shared" si="16"/>
        <v>0</v>
      </c>
      <c r="Q177" s="629">
        <f t="shared" si="17"/>
        <v>0</v>
      </c>
      <c r="R177" s="630">
        <f t="shared" si="13"/>
        <v>0</v>
      </c>
    </row>
    <row r="178" spans="2:18" outlineLevel="1" x14ac:dyDescent="0.2">
      <c r="B178" s="59"/>
      <c r="C178" s="59"/>
      <c r="D178" s="59"/>
      <c r="E178" s="541"/>
      <c r="F178" s="541"/>
      <c r="G178" s="541"/>
      <c r="H178" s="541"/>
      <c r="I178" s="59"/>
      <c r="J178" s="59"/>
      <c r="K178" s="621"/>
      <c r="L178" s="621"/>
      <c r="M178" s="629">
        <f t="shared" si="14"/>
        <v>0</v>
      </c>
      <c r="N178" s="629">
        <f t="shared" si="15"/>
        <v>0</v>
      </c>
      <c r="O178" s="630">
        <f t="shared" si="12"/>
        <v>0</v>
      </c>
      <c r="P178" s="629">
        <f t="shared" si="16"/>
        <v>0</v>
      </c>
      <c r="Q178" s="629">
        <f t="shared" si="17"/>
        <v>0</v>
      </c>
      <c r="R178" s="630">
        <f t="shared" si="13"/>
        <v>0</v>
      </c>
    </row>
    <row r="179" spans="2:18" outlineLevel="1" x14ac:dyDescent="0.2">
      <c r="B179" s="59"/>
      <c r="C179" s="59"/>
      <c r="D179" s="59"/>
      <c r="E179" s="541"/>
      <c r="F179" s="541"/>
      <c r="G179" s="541"/>
      <c r="H179" s="541"/>
      <c r="I179" s="59"/>
      <c r="J179" s="59"/>
      <c r="K179" s="621"/>
      <c r="L179" s="621"/>
      <c r="M179" s="629">
        <f t="shared" si="14"/>
        <v>0</v>
      </c>
      <c r="N179" s="629">
        <f t="shared" si="15"/>
        <v>0</v>
      </c>
      <c r="O179" s="630">
        <f t="shared" si="12"/>
        <v>0</v>
      </c>
      <c r="P179" s="629">
        <f t="shared" si="16"/>
        <v>0</v>
      </c>
      <c r="Q179" s="629">
        <f t="shared" si="17"/>
        <v>0</v>
      </c>
      <c r="R179" s="630">
        <f t="shared" si="13"/>
        <v>0</v>
      </c>
    </row>
    <row r="180" spans="2:18" outlineLevel="1" x14ac:dyDescent="0.2">
      <c r="B180" s="59"/>
      <c r="C180" s="59"/>
      <c r="D180" s="59"/>
      <c r="E180" s="541"/>
      <c r="F180" s="541"/>
      <c r="G180" s="541"/>
      <c r="H180" s="541"/>
      <c r="I180" s="59"/>
      <c r="J180" s="59"/>
      <c r="K180" s="621"/>
      <c r="L180" s="621"/>
      <c r="M180" s="629">
        <f t="shared" si="14"/>
        <v>0</v>
      </c>
      <c r="N180" s="629">
        <f t="shared" si="15"/>
        <v>0</v>
      </c>
      <c r="O180" s="630">
        <f t="shared" si="12"/>
        <v>0</v>
      </c>
      <c r="P180" s="629">
        <f t="shared" si="16"/>
        <v>0</v>
      </c>
      <c r="Q180" s="629">
        <f t="shared" si="17"/>
        <v>0</v>
      </c>
      <c r="R180" s="630">
        <f t="shared" si="13"/>
        <v>0</v>
      </c>
    </row>
    <row r="181" spans="2:18" outlineLevel="1" x14ac:dyDescent="0.2">
      <c r="B181" s="59"/>
      <c r="C181" s="59"/>
      <c r="D181" s="59"/>
      <c r="E181" s="541"/>
      <c r="F181" s="541"/>
      <c r="G181" s="541"/>
      <c r="H181" s="541"/>
      <c r="I181" s="59"/>
      <c r="J181" s="59"/>
      <c r="K181" s="621"/>
      <c r="L181" s="621"/>
      <c r="M181" s="629">
        <f t="shared" si="14"/>
        <v>0</v>
      </c>
      <c r="N181" s="629">
        <f t="shared" si="15"/>
        <v>0</v>
      </c>
      <c r="O181" s="630">
        <f t="shared" si="12"/>
        <v>0</v>
      </c>
      <c r="P181" s="629">
        <f t="shared" si="16"/>
        <v>0</v>
      </c>
      <c r="Q181" s="629">
        <f t="shared" si="17"/>
        <v>0</v>
      </c>
      <c r="R181" s="630">
        <f t="shared" si="13"/>
        <v>0</v>
      </c>
    </row>
    <row r="182" spans="2:18" outlineLevel="1" x14ac:dyDescent="0.2">
      <c r="B182" s="59"/>
      <c r="C182" s="59"/>
      <c r="D182" s="59"/>
      <c r="E182" s="541"/>
      <c r="F182" s="541"/>
      <c r="G182" s="541"/>
      <c r="H182" s="541"/>
      <c r="I182" s="59"/>
      <c r="J182" s="59"/>
      <c r="K182" s="621"/>
      <c r="L182" s="621"/>
      <c r="M182" s="629">
        <f t="shared" si="14"/>
        <v>0</v>
      </c>
      <c r="N182" s="629">
        <f t="shared" si="15"/>
        <v>0</v>
      </c>
      <c r="O182" s="630">
        <f t="shared" si="12"/>
        <v>0</v>
      </c>
      <c r="P182" s="629">
        <f t="shared" si="16"/>
        <v>0</v>
      </c>
      <c r="Q182" s="629">
        <f t="shared" si="17"/>
        <v>0</v>
      </c>
      <c r="R182" s="630">
        <f t="shared" si="13"/>
        <v>0</v>
      </c>
    </row>
    <row r="183" spans="2:18" outlineLevel="1" x14ac:dyDescent="0.2">
      <c r="B183" s="59"/>
      <c r="C183" s="59"/>
      <c r="D183" s="59"/>
      <c r="E183" s="541"/>
      <c r="F183" s="541"/>
      <c r="G183" s="541"/>
      <c r="H183" s="541"/>
      <c r="I183" s="59"/>
      <c r="J183" s="59"/>
      <c r="K183" s="621"/>
      <c r="L183" s="621"/>
      <c r="M183" s="629">
        <f t="shared" si="14"/>
        <v>0</v>
      </c>
      <c r="N183" s="629">
        <f t="shared" si="15"/>
        <v>0</v>
      </c>
      <c r="O183" s="630">
        <f t="shared" si="12"/>
        <v>0</v>
      </c>
      <c r="P183" s="629">
        <f t="shared" si="16"/>
        <v>0</v>
      </c>
      <c r="Q183" s="629">
        <f t="shared" si="17"/>
        <v>0</v>
      </c>
      <c r="R183" s="630">
        <f t="shared" si="13"/>
        <v>0</v>
      </c>
    </row>
    <row r="184" spans="2:18" outlineLevel="1" x14ac:dyDescent="0.2">
      <c r="B184" s="59"/>
      <c r="C184" s="59"/>
      <c r="D184" s="59"/>
      <c r="E184" s="541"/>
      <c r="F184" s="541"/>
      <c r="G184" s="541"/>
      <c r="H184" s="541"/>
      <c r="I184" s="59"/>
      <c r="J184" s="59"/>
      <c r="K184" s="621"/>
      <c r="L184" s="621"/>
      <c r="M184" s="629">
        <f t="shared" si="14"/>
        <v>0</v>
      </c>
      <c r="N184" s="629">
        <f t="shared" si="15"/>
        <v>0</v>
      </c>
      <c r="O184" s="630">
        <f t="shared" si="12"/>
        <v>0</v>
      </c>
      <c r="P184" s="629">
        <f t="shared" si="16"/>
        <v>0</v>
      </c>
      <c r="Q184" s="629">
        <f t="shared" si="17"/>
        <v>0</v>
      </c>
      <c r="R184" s="630">
        <f t="shared" si="13"/>
        <v>0</v>
      </c>
    </row>
    <row r="185" spans="2:18" outlineLevel="1" x14ac:dyDescent="0.2">
      <c r="B185" s="59"/>
      <c r="C185" s="59"/>
      <c r="D185" s="59"/>
      <c r="E185" s="541"/>
      <c r="F185" s="541"/>
      <c r="G185" s="541"/>
      <c r="H185" s="541"/>
      <c r="I185" s="59"/>
      <c r="J185" s="59"/>
      <c r="K185" s="621"/>
      <c r="L185" s="621"/>
      <c r="M185" s="629">
        <f t="shared" si="14"/>
        <v>0</v>
      </c>
      <c r="N185" s="629">
        <f t="shared" si="15"/>
        <v>0</v>
      </c>
      <c r="O185" s="630">
        <f t="shared" si="12"/>
        <v>0</v>
      </c>
      <c r="P185" s="629">
        <f t="shared" si="16"/>
        <v>0</v>
      </c>
      <c r="Q185" s="629">
        <f t="shared" si="17"/>
        <v>0</v>
      </c>
      <c r="R185" s="630">
        <f t="shared" si="13"/>
        <v>0</v>
      </c>
    </row>
    <row r="186" spans="2:18" outlineLevel="1" x14ac:dyDescent="0.2">
      <c r="B186" s="59"/>
      <c r="C186" s="59"/>
      <c r="D186" s="59"/>
      <c r="E186" s="541"/>
      <c r="F186" s="541"/>
      <c r="G186" s="541"/>
      <c r="H186" s="541"/>
      <c r="I186" s="59"/>
      <c r="J186" s="59"/>
      <c r="K186" s="621"/>
      <c r="L186" s="621"/>
      <c r="M186" s="629">
        <f t="shared" si="14"/>
        <v>0</v>
      </c>
      <c r="N186" s="629">
        <f t="shared" si="15"/>
        <v>0</v>
      </c>
      <c r="O186" s="630">
        <f t="shared" si="12"/>
        <v>0</v>
      </c>
      <c r="P186" s="629">
        <f t="shared" si="16"/>
        <v>0</v>
      </c>
      <c r="Q186" s="629">
        <f t="shared" si="17"/>
        <v>0</v>
      </c>
      <c r="R186" s="630">
        <f t="shared" si="13"/>
        <v>0</v>
      </c>
    </row>
    <row r="187" spans="2:18" outlineLevel="1" x14ac:dyDescent="0.2">
      <c r="B187" s="59"/>
      <c r="C187" s="59"/>
      <c r="D187" s="59"/>
      <c r="E187" s="541"/>
      <c r="F187" s="541"/>
      <c r="G187" s="541"/>
      <c r="H187" s="541"/>
      <c r="I187" s="59"/>
      <c r="J187" s="59"/>
      <c r="K187" s="621"/>
      <c r="L187" s="621"/>
      <c r="M187" s="629">
        <f t="shared" si="14"/>
        <v>0</v>
      </c>
      <c r="N187" s="629">
        <f t="shared" si="15"/>
        <v>0</v>
      </c>
      <c r="O187" s="630">
        <f t="shared" si="12"/>
        <v>0</v>
      </c>
      <c r="P187" s="629">
        <f t="shared" si="16"/>
        <v>0</v>
      </c>
      <c r="Q187" s="629">
        <f t="shared" si="17"/>
        <v>0</v>
      </c>
      <c r="R187" s="630">
        <f t="shared" si="13"/>
        <v>0</v>
      </c>
    </row>
    <row r="188" spans="2:18" outlineLevel="1" x14ac:dyDescent="0.2">
      <c r="B188" s="59"/>
      <c r="C188" s="59"/>
      <c r="D188" s="59"/>
      <c r="E188" s="541"/>
      <c r="F188" s="541"/>
      <c r="G188" s="541"/>
      <c r="H188" s="541"/>
      <c r="I188" s="59"/>
      <c r="J188" s="59"/>
      <c r="K188" s="621"/>
      <c r="L188" s="621"/>
      <c r="M188" s="629">
        <f t="shared" si="14"/>
        <v>0</v>
      </c>
      <c r="N188" s="629">
        <f t="shared" si="15"/>
        <v>0</v>
      </c>
      <c r="O188" s="630">
        <f t="shared" si="12"/>
        <v>0</v>
      </c>
      <c r="P188" s="629">
        <f t="shared" si="16"/>
        <v>0</v>
      </c>
      <c r="Q188" s="629">
        <f t="shared" si="17"/>
        <v>0</v>
      </c>
      <c r="R188" s="630">
        <f t="shared" si="13"/>
        <v>0</v>
      </c>
    </row>
    <row r="189" spans="2:18" outlineLevel="1" x14ac:dyDescent="0.2">
      <c r="B189" s="59"/>
      <c r="C189" s="59"/>
      <c r="D189" s="59"/>
      <c r="E189" s="541"/>
      <c r="F189" s="541"/>
      <c r="G189" s="541"/>
      <c r="H189" s="541"/>
      <c r="I189" s="59"/>
      <c r="J189" s="59"/>
      <c r="K189" s="621"/>
      <c r="L189" s="621"/>
      <c r="M189" s="629">
        <f t="shared" si="14"/>
        <v>0</v>
      </c>
      <c r="N189" s="629">
        <f t="shared" si="15"/>
        <v>0</v>
      </c>
      <c r="O189" s="630">
        <f t="shared" si="12"/>
        <v>0</v>
      </c>
      <c r="P189" s="629">
        <f t="shared" si="16"/>
        <v>0</v>
      </c>
      <c r="Q189" s="629">
        <f t="shared" si="17"/>
        <v>0</v>
      </c>
      <c r="R189" s="630">
        <f t="shared" si="13"/>
        <v>0</v>
      </c>
    </row>
    <row r="190" spans="2:18" outlineLevel="1" x14ac:dyDescent="0.2">
      <c r="B190" s="59"/>
      <c r="C190" s="59"/>
      <c r="D190" s="59"/>
      <c r="E190" s="541"/>
      <c r="F190" s="541"/>
      <c r="G190" s="541"/>
      <c r="H190" s="541"/>
      <c r="I190" s="59"/>
      <c r="J190" s="59"/>
      <c r="K190" s="621"/>
      <c r="L190" s="621"/>
      <c r="M190" s="629">
        <f t="shared" si="14"/>
        <v>0</v>
      </c>
      <c r="N190" s="629">
        <f t="shared" si="15"/>
        <v>0</v>
      </c>
      <c r="O190" s="630">
        <f t="shared" si="12"/>
        <v>0</v>
      </c>
      <c r="P190" s="629">
        <f t="shared" si="16"/>
        <v>0</v>
      </c>
      <c r="Q190" s="629">
        <f t="shared" si="17"/>
        <v>0</v>
      </c>
      <c r="R190" s="630">
        <f t="shared" si="13"/>
        <v>0</v>
      </c>
    </row>
    <row r="191" spans="2:18" outlineLevel="1" x14ac:dyDescent="0.2">
      <c r="B191" s="59"/>
      <c r="C191" s="59"/>
      <c r="D191" s="59"/>
      <c r="E191" s="541"/>
      <c r="F191" s="541"/>
      <c r="G191" s="541"/>
      <c r="H191" s="541"/>
      <c r="I191" s="59"/>
      <c r="J191" s="59"/>
      <c r="K191" s="621"/>
      <c r="L191" s="621"/>
      <c r="M191" s="629">
        <f t="shared" si="14"/>
        <v>0</v>
      </c>
      <c r="N191" s="629">
        <f t="shared" si="15"/>
        <v>0</v>
      </c>
      <c r="O191" s="630">
        <f t="shared" si="12"/>
        <v>0</v>
      </c>
      <c r="P191" s="629">
        <f t="shared" si="16"/>
        <v>0</v>
      </c>
      <c r="Q191" s="629">
        <f t="shared" si="17"/>
        <v>0</v>
      </c>
      <c r="R191" s="630">
        <f t="shared" si="13"/>
        <v>0</v>
      </c>
    </row>
    <row r="192" spans="2:18" outlineLevel="1" x14ac:dyDescent="0.2">
      <c r="B192" s="59"/>
      <c r="C192" s="59"/>
      <c r="D192" s="59"/>
      <c r="E192" s="541"/>
      <c r="F192" s="541"/>
      <c r="G192" s="541"/>
      <c r="H192" s="541"/>
      <c r="I192" s="59"/>
      <c r="J192" s="59"/>
      <c r="K192" s="621"/>
      <c r="L192" s="621"/>
      <c r="M192" s="629">
        <f t="shared" si="14"/>
        <v>0</v>
      </c>
      <c r="N192" s="629">
        <f t="shared" si="15"/>
        <v>0</v>
      </c>
      <c r="O192" s="630">
        <f t="shared" si="12"/>
        <v>0</v>
      </c>
      <c r="P192" s="629">
        <f t="shared" si="16"/>
        <v>0</v>
      </c>
      <c r="Q192" s="629">
        <f t="shared" si="17"/>
        <v>0</v>
      </c>
      <c r="R192" s="630">
        <f t="shared" si="13"/>
        <v>0</v>
      </c>
    </row>
    <row r="193" spans="2:18" outlineLevel="1" x14ac:dyDescent="0.2">
      <c r="B193" s="59"/>
      <c r="C193" s="59"/>
      <c r="D193" s="59"/>
      <c r="E193" s="541"/>
      <c r="F193" s="541"/>
      <c r="G193" s="541"/>
      <c r="H193" s="541"/>
      <c r="I193" s="59"/>
      <c r="J193" s="59"/>
      <c r="K193" s="621"/>
      <c r="L193" s="621"/>
      <c r="M193" s="629">
        <f t="shared" si="14"/>
        <v>0</v>
      </c>
      <c r="N193" s="629">
        <f t="shared" si="15"/>
        <v>0</v>
      </c>
      <c r="O193" s="630">
        <f t="shared" si="12"/>
        <v>0</v>
      </c>
      <c r="P193" s="629">
        <f t="shared" si="16"/>
        <v>0</v>
      </c>
      <c r="Q193" s="629">
        <f t="shared" si="17"/>
        <v>0</v>
      </c>
      <c r="R193" s="630">
        <f t="shared" si="13"/>
        <v>0</v>
      </c>
    </row>
    <row r="194" spans="2:18" outlineLevel="1" x14ac:dyDescent="0.2">
      <c r="B194" s="59"/>
      <c r="C194" s="59"/>
      <c r="D194" s="59"/>
      <c r="E194" s="541"/>
      <c r="F194" s="541"/>
      <c r="G194" s="541"/>
      <c r="H194" s="541"/>
      <c r="I194" s="59"/>
      <c r="J194" s="59"/>
      <c r="K194" s="621"/>
      <c r="L194" s="621"/>
      <c r="M194" s="629">
        <f t="shared" si="14"/>
        <v>0</v>
      </c>
      <c r="N194" s="629">
        <f t="shared" si="15"/>
        <v>0</v>
      </c>
      <c r="O194" s="630">
        <f t="shared" si="12"/>
        <v>0</v>
      </c>
      <c r="P194" s="629">
        <f t="shared" si="16"/>
        <v>0</v>
      </c>
      <c r="Q194" s="629">
        <f t="shared" si="17"/>
        <v>0</v>
      </c>
      <c r="R194" s="630">
        <f t="shared" si="13"/>
        <v>0</v>
      </c>
    </row>
    <row r="195" spans="2:18" outlineLevel="1" x14ac:dyDescent="0.2">
      <c r="B195" s="59"/>
      <c r="C195" s="59"/>
      <c r="D195" s="59"/>
      <c r="E195" s="541"/>
      <c r="F195" s="541"/>
      <c r="G195" s="541"/>
      <c r="H195" s="541"/>
      <c r="I195" s="59"/>
      <c r="J195" s="59"/>
      <c r="K195" s="621"/>
      <c r="L195" s="621"/>
      <c r="M195" s="629">
        <f t="shared" si="14"/>
        <v>0</v>
      </c>
      <c r="N195" s="629">
        <f t="shared" si="15"/>
        <v>0</v>
      </c>
      <c r="O195" s="630">
        <f t="shared" si="12"/>
        <v>0</v>
      </c>
      <c r="P195" s="629">
        <f t="shared" si="16"/>
        <v>0</v>
      </c>
      <c r="Q195" s="629">
        <f t="shared" si="17"/>
        <v>0</v>
      </c>
      <c r="R195" s="630">
        <f t="shared" si="13"/>
        <v>0</v>
      </c>
    </row>
    <row r="196" spans="2:18" outlineLevel="1" x14ac:dyDescent="0.2">
      <c r="B196" s="59"/>
      <c r="C196" s="59"/>
      <c r="D196" s="59"/>
      <c r="E196" s="541"/>
      <c r="F196" s="541"/>
      <c r="G196" s="541"/>
      <c r="H196" s="541"/>
      <c r="I196" s="59"/>
      <c r="J196" s="59"/>
      <c r="K196" s="621"/>
      <c r="L196" s="621"/>
      <c r="M196" s="629">
        <f t="shared" si="14"/>
        <v>0</v>
      </c>
      <c r="N196" s="629">
        <f t="shared" si="15"/>
        <v>0</v>
      </c>
      <c r="O196" s="630">
        <f t="shared" si="12"/>
        <v>0</v>
      </c>
      <c r="P196" s="629">
        <f t="shared" si="16"/>
        <v>0</v>
      </c>
      <c r="Q196" s="629">
        <f t="shared" si="17"/>
        <v>0</v>
      </c>
      <c r="R196" s="630">
        <f t="shared" si="13"/>
        <v>0</v>
      </c>
    </row>
    <row r="197" spans="2:18" outlineLevel="1" x14ac:dyDescent="0.2">
      <c r="B197" s="59"/>
      <c r="C197" s="59"/>
      <c r="D197" s="59"/>
      <c r="E197" s="541"/>
      <c r="F197" s="541"/>
      <c r="G197" s="541"/>
      <c r="H197" s="541"/>
      <c r="I197" s="59"/>
      <c r="J197" s="59"/>
      <c r="K197" s="621"/>
      <c r="L197" s="621"/>
      <c r="M197" s="629">
        <f t="shared" si="14"/>
        <v>0</v>
      </c>
      <c r="N197" s="629">
        <f t="shared" si="15"/>
        <v>0</v>
      </c>
      <c r="O197" s="630">
        <f t="shared" ref="O197:O260" si="18">M197+N197</f>
        <v>0</v>
      </c>
      <c r="P197" s="629">
        <f t="shared" si="16"/>
        <v>0</v>
      </c>
      <c r="Q197" s="629">
        <f t="shared" si="17"/>
        <v>0</v>
      </c>
      <c r="R197" s="630">
        <f t="shared" ref="R197:R260" si="19">P197+Q197</f>
        <v>0</v>
      </c>
    </row>
    <row r="198" spans="2:18" outlineLevel="1" x14ac:dyDescent="0.2">
      <c r="B198" s="59"/>
      <c r="C198" s="59"/>
      <c r="D198" s="59"/>
      <c r="E198" s="541"/>
      <c r="F198" s="541"/>
      <c r="G198" s="541"/>
      <c r="H198" s="541"/>
      <c r="I198" s="59"/>
      <c r="J198" s="59"/>
      <c r="K198" s="621"/>
      <c r="L198" s="621"/>
      <c r="M198" s="629">
        <f t="shared" ref="M198:M261" si="20">G198*(-1)</f>
        <v>0</v>
      </c>
      <c r="N198" s="629">
        <f t="shared" ref="N198:N261" si="21">H198*(-1)</f>
        <v>0</v>
      </c>
      <c r="O198" s="630">
        <f t="shared" si="18"/>
        <v>0</v>
      </c>
      <c r="P198" s="629">
        <f t="shared" ref="P198:P261" si="22">+IF(AND(I198="NO",E198&gt;G198),(E198-G198)*K198*(-1),0)</f>
        <v>0</v>
      </c>
      <c r="Q198" s="629">
        <f t="shared" ref="Q198:Q261" si="23">+IF(AND(J198="NO",F198&gt;H198),(F198-H198)*L198*(-1),0)</f>
        <v>0</v>
      </c>
      <c r="R198" s="630">
        <f t="shared" si="19"/>
        <v>0</v>
      </c>
    </row>
    <row r="199" spans="2:18" outlineLevel="1" x14ac:dyDescent="0.2">
      <c r="B199" s="59"/>
      <c r="C199" s="59"/>
      <c r="D199" s="59"/>
      <c r="E199" s="541"/>
      <c r="F199" s="541"/>
      <c r="G199" s="541"/>
      <c r="H199" s="541"/>
      <c r="I199" s="59"/>
      <c r="J199" s="59"/>
      <c r="K199" s="621"/>
      <c r="L199" s="621"/>
      <c r="M199" s="629">
        <f t="shared" si="20"/>
        <v>0</v>
      </c>
      <c r="N199" s="629">
        <f t="shared" si="21"/>
        <v>0</v>
      </c>
      <c r="O199" s="630">
        <f t="shared" si="18"/>
        <v>0</v>
      </c>
      <c r="P199" s="629">
        <f t="shared" si="22"/>
        <v>0</v>
      </c>
      <c r="Q199" s="629">
        <f t="shared" si="23"/>
        <v>0</v>
      </c>
      <c r="R199" s="630">
        <f t="shared" si="19"/>
        <v>0</v>
      </c>
    </row>
    <row r="200" spans="2:18" outlineLevel="1" x14ac:dyDescent="0.2">
      <c r="B200" s="59"/>
      <c r="C200" s="59"/>
      <c r="D200" s="59"/>
      <c r="E200" s="541"/>
      <c r="F200" s="541"/>
      <c r="G200" s="541"/>
      <c r="H200" s="541"/>
      <c r="I200" s="59"/>
      <c r="J200" s="59"/>
      <c r="K200" s="621"/>
      <c r="L200" s="621"/>
      <c r="M200" s="629">
        <f t="shared" si="20"/>
        <v>0</v>
      </c>
      <c r="N200" s="629">
        <f t="shared" si="21"/>
        <v>0</v>
      </c>
      <c r="O200" s="630">
        <f t="shared" si="18"/>
        <v>0</v>
      </c>
      <c r="P200" s="629">
        <f t="shared" si="22"/>
        <v>0</v>
      </c>
      <c r="Q200" s="629">
        <f t="shared" si="23"/>
        <v>0</v>
      </c>
      <c r="R200" s="630">
        <f t="shared" si="19"/>
        <v>0</v>
      </c>
    </row>
    <row r="201" spans="2:18" outlineLevel="1" x14ac:dyDescent="0.2">
      <c r="B201" s="59"/>
      <c r="C201" s="59"/>
      <c r="D201" s="59"/>
      <c r="E201" s="541"/>
      <c r="F201" s="541"/>
      <c r="G201" s="541"/>
      <c r="H201" s="541"/>
      <c r="I201" s="59"/>
      <c r="J201" s="59"/>
      <c r="K201" s="621"/>
      <c r="L201" s="621"/>
      <c r="M201" s="629">
        <f t="shared" si="20"/>
        <v>0</v>
      </c>
      <c r="N201" s="629">
        <f t="shared" si="21"/>
        <v>0</v>
      </c>
      <c r="O201" s="630">
        <f t="shared" si="18"/>
        <v>0</v>
      </c>
      <c r="P201" s="629">
        <f t="shared" si="22"/>
        <v>0</v>
      </c>
      <c r="Q201" s="629">
        <f t="shared" si="23"/>
        <v>0</v>
      </c>
      <c r="R201" s="630">
        <f t="shared" si="19"/>
        <v>0</v>
      </c>
    </row>
    <row r="202" spans="2:18" outlineLevel="1" x14ac:dyDescent="0.2">
      <c r="B202" s="59"/>
      <c r="C202" s="59"/>
      <c r="D202" s="59"/>
      <c r="E202" s="541"/>
      <c r="F202" s="541"/>
      <c r="G202" s="541"/>
      <c r="H202" s="541"/>
      <c r="I202" s="59"/>
      <c r="J202" s="59"/>
      <c r="K202" s="621"/>
      <c r="L202" s="621"/>
      <c r="M202" s="629">
        <f t="shared" si="20"/>
        <v>0</v>
      </c>
      <c r="N202" s="629">
        <f t="shared" si="21"/>
        <v>0</v>
      </c>
      <c r="O202" s="630">
        <f t="shared" si="18"/>
        <v>0</v>
      </c>
      <c r="P202" s="629">
        <f t="shared" si="22"/>
        <v>0</v>
      </c>
      <c r="Q202" s="629">
        <f t="shared" si="23"/>
        <v>0</v>
      </c>
      <c r="R202" s="630">
        <f t="shared" si="19"/>
        <v>0</v>
      </c>
    </row>
    <row r="203" spans="2:18" outlineLevel="1" x14ac:dyDescent="0.2">
      <c r="B203" s="59"/>
      <c r="C203" s="59"/>
      <c r="D203" s="59"/>
      <c r="E203" s="541"/>
      <c r="F203" s="541"/>
      <c r="G203" s="541"/>
      <c r="H203" s="541"/>
      <c r="I203" s="59"/>
      <c r="J203" s="59"/>
      <c r="K203" s="621"/>
      <c r="L203" s="621"/>
      <c r="M203" s="629">
        <f t="shared" si="20"/>
        <v>0</v>
      </c>
      <c r="N203" s="629">
        <f t="shared" si="21"/>
        <v>0</v>
      </c>
      <c r="O203" s="630">
        <f t="shared" si="18"/>
        <v>0</v>
      </c>
      <c r="P203" s="629">
        <f t="shared" si="22"/>
        <v>0</v>
      </c>
      <c r="Q203" s="629">
        <f t="shared" si="23"/>
        <v>0</v>
      </c>
      <c r="R203" s="630">
        <f t="shared" si="19"/>
        <v>0</v>
      </c>
    </row>
    <row r="204" spans="2:18" outlineLevel="1" x14ac:dyDescent="0.2">
      <c r="B204" s="59"/>
      <c r="C204" s="59"/>
      <c r="D204" s="59"/>
      <c r="E204" s="541"/>
      <c r="F204" s="541"/>
      <c r="G204" s="541"/>
      <c r="H204" s="541"/>
      <c r="I204" s="59"/>
      <c r="J204" s="59"/>
      <c r="K204" s="621"/>
      <c r="L204" s="621"/>
      <c r="M204" s="629">
        <f t="shared" si="20"/>
        <v>0</v>
      </c>
      <c r="N204" s="629">
        <f t="shared" si="21"/>
        <v>0</v>
      </c>
      <c r="O204" s="630">
        <f t="shared" si="18"/>
        <v>0</v>
      </c>
      <c r="P204" s="629">
        <f t="shared" si="22"/>
        <v>0</v>
      </c>
      <c r="Q204" s="629">
        <f t="shared" si="23"/>
        <v>0</v>
      </c>
      <c r="R204" s="630">
        <f t="shared" si="19"/>
        <v>0</v>
      </c>
    </row>
    <row r="205" spans="2:18" outlineLevel="1" x14ac:dyDescent="0.2">
      <c r="B205" s="59"/>
      <c r="C205" s="59"/>
      <c r="D205" s="59"/>
      <c r="E205" s="541"/>
      <c r="F205" s="541"/>
      <c r="G205" s="541"/>
      <c r="H205" s="541"/>
      <c r="I205" s="59"/>
      <c r="J205" s="59"/>
      <c r="K205" s="621"/>
      <c r="L205" s="621"/>
      <c r="M205" s="629">
        <f t="shared" si="20"/>
        <v>0</v>
      </c>
      <c r="N205" s="629">
        <f t="shared" si="21"/>
        <v>0</v>
      </c>
      <c r="O205" s="630">
        <f t="shared" si="18"/>
        <v>0</v>
      </c>
      <c r="P205" s="629">
        <f t="shared" si="22"/>
        <v>0</v>
      </c>
      <c r="Q205" s="629">
        <f t="shared" si="23"/>
        <v>0</v>
      </c>
      <c r="R205" s="630">
        <f t="shared" si="19"/>
        <v>0</v>
      </c>
    </row>
    <row r="206" spans="2:18" outlineLevel="1" x14ac:dyDescent="0.2">
      <c r="B206" s="59"/>
      <c r="C206" s="59"/>
      <c r="D206" s="59"/>
      <c r="E206" s="541"/>
      <c r="F206" s="541"/>
      <c r="G206" s="541"/>
      <c r="H206" s="541"/>
      <c r="I206" s="59"/>
      <c r="J206" s="59"/>
      <c r="K206" s="621"/>
      <c r="L206" s="621"/>
      <c r="M206" s="629">
        <f t="shared" si="20"/>
        <v>0</v>
      </c>
      <c r="N206" s="629">
        <f t="shared" si="21"/>
        <v>0</v>
      </c>
      <c r="O206" s="630">
        <f t="shared" si="18"/>
        <v>0</v>
      </c>
      <c r="P206" s="629">
        <f t="shared" si="22"/>
        <v>0</v>
      </c>
      <c r="Q206" s="629">
        <f t="shared" si="23"/>
        <v>0</v>
      </c>
      <c r="R206" s="630">
        <f t="shared" si="19"/>
        <v>0</v>
      </c>
    </row>
    <row r="207" spans="2:18" outlineLevel="1" x14ac:dyDescent="0.2">
      <c r="B207" s="59"/>
      <c r="C207" s="59"/>
      <c r="D207" s="59"/>
      <c r="E207" s="541"/>
      <c r="F207" s="541"/>
      <c r="G207" s="541"/>
      <c r="H207" s="541"/>
      <c r="I207" s="59"/>
      <c r="J207" s="59"/>
      <c r="K207" s="621"/>
      <c r="L207" s="621"/>
      <c r="M207" s="629">
        <f t="shared" si="20"/>
        <v>0</v>
      </c>
      <c r="N207" s="629">
        <f t="shared" si="21"/>
        <v>0</v>
      </c>
      <c r="O207" s="630">
        <f t="shared" si="18"/>
        <v>0</v>
      </c>
      <c r="P207" s="629">
        <f t="shared" si="22"/>
        <v>0</v>
      </c>
      <c r="Q207" s="629">
        <f t="shared" si="23"/>
        <v>0</v>
      </c>
      <c r="R207" s="630">
        <f t="shared" si="19"/>
        <v>0</v>
      </c>
    </row>
    <row r="208" spans="2:18" outlineLevel="1" x14ac:dyDescent="0.2">
      <c r="B208" s="59"/>
      <c r="C208" s="59"/>
      <c r="D208" s="59"/>
      <c r="E208" s="541"/>
      <c r="F208" s="541"/>
      <c r="G208" s="541"/>
      <c r="H208" s="541"/>
      <c r="I208" s="59"/>
      <c r="J208" s="59"/>
      <c r="K208" s="621"/>
      <c r="L208" s="621"/>
      <c r="M208" s="629">
        <f t="shared" si="20"/>
        <v>0</v>
      </c>
      <c r="N208" s="629">
        <f t="shared" si="21"/>
        <v>0</v>
      </c>
      <c r="O208" s="630">
        <f t="shared" si="18"/>
        <v>0</v>
      </c>
      <c r="P208" s="629">
        <f t="shared" si="22"/>
        <v>0</v>
      </c>
      <c r="Q208" s="629">
        <f t="shared" si="23"/>
        <v>0</v>
      </c>
      <c r="R208" s="630">
        <f t="shared" si="19"/>
        <v>0</v>
      </c>
    </row>
    <row r="209" spans="2:18" outlineLevel="1" x14ac:dyDescent="0.2">
      <c r="B209" s="59"/>
      <c r="C209" s="59"/>
      <c r="D209" s="59"/>
      <c r="E209" s="541"/>
      <c r="F209" s="541"/>
      <c r="G209" s="541"/>
      <c r="H209" s="541"/>
      <c r="I209" s="59"/>
      <c r="J209" s="59"/>
      <c r="K209" s="621"/>
      <c r="L209" s="621"/>
      <c r="M209" s="629">
        <f t="shared" si="20"/>
        <v>0</v>
      </c>
      <c r="N209" s="629">
        <f t="shared" si="21"/>
        <v>0</v>
      </c>
      <c r="O209" s="630">
        <f t="shared" si="18"/>
        <v>0</v>
      </c>
      <c r="P209" s="629">
        <f t="shared" si="22"/>
        <v>0</v>
      </c>
      <c r="Q209" s="629">
        <f t="shared" si="23"/>
        <v>0</v>
      </c>
      <c r="R209" s="630">
        <f t="shared" si="19"/>
        <v>0</v>
      </c>
    </row>
    <row r="210" spans="2:18" outlineLevel="1" x14ac:dyDescent="0.2">
      <c r="B210" s="59"/>
      <c r="C210" s="59"/>
      <c r="D210" s="59"/>
      <c r="E210" s="541"/>
      <c r="F210" s="541"/>
      <c r="G210" s="541"/>
      <c r="H210" s="541"/>
      <c r="I210" s="59"/>
      <c r="J210" s="59"/>
      <c r="K210" s="621"/>
      <c r="L210" s="621"/>
      <c r="M210" s="629">
        <f t="shared" si="20"/>
        <v>0</v>
      </c>
      <c r="N210" s="629">
        <f t="shared" si="21"/>
        <v>0</v>
      </c>
      <c r="O210" s="630">
        <f t="shared" si="18"/>
        <v>0</v>
      </c>
      <c r="P210" s="629">
        <f t="shared" si="22"/>
        <v>0</v>
      </c>
      <c r="Q210" s="629">
        <f t="shared" si="23"/>
        <v>0</v>
      </c>
      <c r="R210" s="630">
        <f t="shared" si="19"/>
        <v>0</v>
      </c>
    </row>
    <row r="211" spans="2:18" outlineLevel="1" x14ac:dyDescent="0.2">
      <c r="B211" s="59"/>
      <c r="C211" s="59"/>
      <c r="D211" s="59"/>
      <c r="E211" s="541"/>
      <c r="F211" s="541"/>
      <c r="G211" s="541"/>
      <c r="H211" s="541"/>
      <c r="I211" s="59"/>
      <c r="J211" s="59"/>
      <c r="K211" s="621"/>
      <c r="L211" s="621"/>
      <c r="M211" s="629">
        <f t="shared" si="20"/>
        <v>0</v>
      </c>
      <c r="N211" s="629">
        <f t="shared" si="21"/>
        <v>0</v>
      </c>
      <c r="O211" s="630">
        <f t="shared" si="18"/>
        <v>0</v>
      </c>
      <c r="P211" s="629">
        <f t="shared" si="22"/>
        <v>0</v>
      </c>
      <c r="Q211" s="629">
        <f t="shared" si="23"/>
        <v>0</v>
      </c>
      <c r="R211" s="630">
        <f t="shared" si="19"/>
        <v>0</v>
      </c>
    </row>
    <row r="212" spans="2:18" outlineLevel="1" x14ac:dyDescent="0.2">
      <c r="B212" s="59"/>
      <c r="C212" s="59"/>
      <c r="D212" s="59"/>
      <c r="E212" s="541"/>
      <c r="F212" s="541"/>
      <c r="G212" s="541"/>
      <c r="H212" s="541"/>
      <c r="I212" s="59"/>
      <c r="J212" s="59"/>
      <c r="K212" s="621"/>
      <c r="L212" s="621"/>
      <c r="M212" s="629">
        <f t="shared" si="20"/>
        <v>0</v>
      </c>
      <c r="N212" s="629">
        <f t="shared" si="21"/>
        <v>0</v>
      </c>
      <c r="O212" s="630">
        <f t="shared" si="18"/>
        <v>0</v>
      </c>
      <c r="P212" s="629">
        <f t="shared" si="22"/>
        <v>0</v>
      </c>
      <c r="Q212" s="629">
        <f t="shared" si="23"/>
        <v>0</v>
      </c>
      <c r="R212" s="630">
        <f t="shared" si="19"/>
        <v>0</v>
      </c>
    </row>
    <row r="213" spans="2:18" outlineLevel="1" x14ac:dyDescent="0.2">
      <c r="B213" s="59"/>
      <c r="C213" s="59"/>
      <c r="D213" s="59"/>
      <c r="E213" s="541"/>
      <c r="F213" s="541"/>
      <c r="G213" s="541"/>
      <c r="H213" s="541"/>
      <c r="I213" s="59"/>
      <c r="J213" s="59"/>
      <c r="K213" s="621"/>
      <c r="L213" s="621"/>
      <c r="M213" s="629">
        <f t="shared" si="20"/>
        <v>0</v>
      </c>
      <c r="N213" s="629">
        <f t="shared" si="21"/>
        <v>0</v>
      </c>
      <c r="O213" s="630">
        <f t="shared" si="18"/>
        <v>0</v>
      </c>
      <c r="P213" s="629">
        <f t="shared" si="22"/>
        <v>0</v>
      </c>
      <c r="Q213" s="629">
        <f t="shared" si="23"/>
        <v>0</v>
      </c>
      <c r="R213" s="630">
        <f t="shared" si="19"/>
        <v>0</v>
      </c>
    </row>
    <row r="214" spans="2:18" outlineLevel="1" x14ac:dyDescent="0.2">
      <c r="B214" s="59"/>
      <c r="C214" s="59"/>
      <c r="D214" s="59"/>
      <c r="E214" s="541"/>
      <c r="F214" s="541"/>
      <c r="G214" s="541"/>
      <c r="H214" s="541"/>
      <c r="I214" s="59"/>
      <c r="J214" s="59"/>
      <c r="K214" s="621"/>
      <c r="L214" s="621"/>
      <c r="M214" s="629">
        <f t="shared" si="20"/>
        <v>0</v>
      </c>
      <c r="N214" s="629">
        <f t="shared" si="21"/>
        <v>0</v>
      </c>
      <c r="O214" s="630">
        <f t="shared" si="18"/>
        <v>0</v>
      </c>
      <c r="P214" s="629">
        <f t="shared" si="22"/>
        <v>0</v>
      </c>
      <c r="Q214" s="629">
        <f t="shared" si="23"/>
        <v>0</v>
      </c>
      <c r="R214" s="630">
        <f t="shared" si="19"/>
        <v>0</v>
      </c>
    </row>
    <row r="215" spans="2:18" outlineLevel="1" x14ac:dyDescent="0.2">
      <c r="B215" s="59"/>
      <c r="C215" s="59"/>
      <c r="D215" s="59"/>
      <c r="E215" s="541"/>
      <c r="F215" s="541"/>
      <c r="G215" s="541"/>
      <c r="H215" s="541"/>
      <c r="I215" s="59"/>
      <c r="J215" s="59"/>
      <c r="K215" s="621"/>
      <c r="L215" s="621"/>
      <c r="M215" s="629">
        <f t="shared" si="20"/>
        <v>0</v>
      </c>
      <c r="N215" s="629">
        <f t="shared" si="21"/>
        <v>0</v>
      </c>
      <c r="O215" s="630">
        <f t="shared" si="18"/>
        <v>0</v>
      </c>
      <c r="P215" s="629">
        <f t="shared" si="22"/>
        <v>0</v>
      </c>
      <c r="Q215" s="629">
        <f t="shared" si="23"/>
        <v>0</v>
      </c>
      <c r="R215" s="630">
        <f t="shared" si="19"/>
        <v>0</v>
      </c>
    </row>
    <row r="216" spans="2:18" outlineLevel="1" x14ac:dyDescent="0.2">
      <c r="B216" s="59"/>
      <c r="C216" s="59"/>
      <c r="D216" s="59"/>
      <c r="E216" s="541"/>
      <c r="F216" s="541"/>
      <c r="G216" s="541"/>
      <c r="H216" s="541"/>
      <c r="I216" s="59"/>
      <c r="J216" s="59"/>
      <c r="K216" s="621"/>
      <c r="L216" s="621"/>
      <c r="M216" s="629">
        <f t="shared" si="20"/>
        <v>0</v>
      </c>
      <c r="N216" s="629">
        <f t="shared" si="21"/>
        <v>0</v>
      </c>
      <c r="O216" s="630">
        <f t="shared" si="18"/>
        <v>0</v>
      </c>
      <c r="P216" s="629">
        <f t="shared" si="22"/>
        <v>0</v>
      </c>
      <c r="Q216" s="629">
        <f t="shared" si="23"/>
        <v>0</v>
      </c>
      <c r="R216" s="630">
        <f t="shared" si="19"/>
        <v>0</v>
      </c>
    </row>
    <row r="217" spans="2:18" outlineLevel="1" x14ac:dyDescent="0.2">
      <c r="B217" s="59"/>
      <c r="C217" s="59"/>
      <c r="D217" s="59"/>
      <c r="E217" s="541"/>
      <c r="F217" s="541"/>
      <c r="G217" s="541"/>
      <c r="H217" s="541"/>
      <c r="I217" s="59"/>
      <c r="J217" s="59"/>
      <c r="K217" s="621"/>
      <c r="L217" s="621"/>
      <c r="M217" s="629">
        <f t="shared" si="20"/>
        <v>0</v>
      </c>
      <c r="N217" s="629">
        <f t="shared" si="21"/>
        <v>0</v>
      </c>
      <c r="O217" s="630">
        <f t="shared" si="18"/>
        <v>0</v>
      </c>
      <c r="P217" s="629">
        <f t="shared" si="22"/>
        <v>0</v>
      </c>
      <c r="Q217" s="629">
        <f t="shared" si="23"/>
        <v>0</v>
      </c>
      <c r="R217" s="630">
        <f t="shared" si="19"/>
        <v>0</v>
      </c>
    </row>
    <row r="218" spans="2:18" outlineLevel="1" x14ac:dyDescent="0.2">
      <c r="B218" s="59"/>
      <c r="C218" s="59"/>
      <c r="D218" s="59"/>
      <c r="E218" s="541"/>
      <c r="F218" s="541"/>
      <c r="G218" s="541"/>
      <c r="H218" s="541"/>
      <c r="I218" s="59"/>
      <c r="J218" s="59"/>
      <c r="K218" s="621"/>
      <c r="L218" s="621"/>
      <c r="M218" s="629">
        <f t="shared" si="20"/>
        <v>0</v>
      </c>
      <c r="N218" s="629">
        <f t="shared" si="21"/>
        <v>0</v>
      </c>
      <c r="O218" s="630">
        <f t="shared" si="18"/>
        <v>0</v>
      </c>
      <c r="P218" s="629">
        <f t="shared" si="22"/>
        <v>0</v>
      </c>
      <c r="Q218" s="629">
        <f t="shared" si="23"/>
        <v>0</v>
      </c>
      <c r="R218" s="630">
        <f t="shared" si="19"/>
        <v>0</v>
      </c>
    </row>
    <row r="219" spans="2:18" outlineLevel="1" x14ac:dyDescent="0.2">
      <c r="B219" s="59"/>
      <c r="C219" s="59"/>
      <c r="D219" s="59"/>
      <c r="E219" s="541"/>
      <c r="F219" s="541"/>
      <c r="G219" s="541"/>
      <c r="H219" s="541"/>
      <c r="I219" s="59"/>
      <c r="J219" s="59"/>
      <c r="K219" s="621"/>
      <c r="L219" s="621"/>
      <c r="M219" s="629">
        <f t="shared" si="20"/>
        <v>0</v>
      </c>
      <c r="N219" s="629">
        <f t="shared" si="21"/>
        <v>0</v>
      </c>
      <c r="O219" s="630">
        <f t="shared" si="18"/>
        <v>0</v>
      </c>
      <c r="P219" s="629">
        <f t="shared" si="22"/>
        <v>0</v>
      </c>
      <c r="Q219" s="629">
        <f t="shared" si="23"/>
        <v>0</v>
      </c>
      <c r="R219" s="630">
        <f t="shared" si="19"/>
        <v>0</v>
      </c>
    </row>
    <row r="220" spans="2:18" outlineLevel="1" x14ac:dyDescent="0.2">
      <c r="B220" s="59"/>
      <c r="C220" s="59"/>
      <c r="D220" s="59"/>
      <c r="E220" s="541"/>
      <c r="F220" s="541"/>
      <c r="G220" s="541"/>
      <c r="H220" s="541"/>
      <c r="I220" s="59"/>
      <c r="J220" s="59"/>
      <c r="K220" s="621"/>
      <c r="L220" s="621"/>
      <c r="M220" s="629">
        <f t="shared" si="20"/>
        <v>0</v>
      </c>
      <c r="N220" s="629">
        <f t="shared" si="21"/>
        <v>0</v>
      </c>
      <c r="O220" s="630">
        <f t="shared" si="18"/>
        <v>0</v>
      </c>
      <c r="P220" s="629">
        <f t="shared" si="22"/>
        <v>0</v>
      </c>
      <c r="Q220" s="629">
        <f t="shared" si="23"/>
        <v>0</v>
      </c>
      <c r="R220" s="630">
        <f t="shared" si="19"/>
        <v>0</v>
      </c>
    </row>
    <row r="221" spans="2:18" outlineLevel="1" x14ac:dyDescent="0.2">
      <c r="B221" s="59"/>
      <c r="C221" s="59"/>
      <c r="D221" s="59"/>
      <c r="E221" s="541"/>
      <c r="F221" s="541"/>
      <c r="G221" s="541"/>
      <c r="H221" s="541"/>
      <c r="I221" s="59"/>
      <c r="J221" s="59"/>
      <c r="K221" s="621"/>
      <c r="L221" s="621"/>
      <c r="M221" s="629">
        <f t="shared" si="20"/>
        <v>0</v>
      </c>
      <c r="N221" s="629">
        <f t="shared" si="21"/>
        <v>0</v>
      </c>
      <c r="O221" s="630">
        <f t="shared" si="18"/>
        <v>0</v>
      </c>
      <c r="P221" s="629">
        <f t="shared" si="22"/>
        <v>0</v>
      </c>
      <c r="Q221" s="629">
        <f t="shared" si="23"/>
        <v>0</v>
      </c>
      <c r="R221" s="630">
        <f t="shared" si="19"/>
        <v>0</v>
      </c>
    </row>
    <row r="222" spans="2:18" outlineLevel="1" x14ac:dyDescent="0.2">
      <c r="B222" s="59"/>
      <c r="C222" s="59"/>
      <c r="D222" s="59"/>
      <c r="E222" s="541"/>
      <c r="F222" s="541"/>
      <c r="G222" s="541"/>
      <c r="H222" s="541"/>
      <c r="I222" s="59"/>
      <c r="J222" s="59"/>
      <c r="K222" s="621"/>
      <c r="L222" s="621"/>
      <c r="M222" s="629">
        <f t="shared" si="20"/>
        <v>0</v>
      </c>
      <c r="N222" s="629">
        <f t="shared" si="21"/>
        <v>0</v>
      </c>
      <c r="O222" s="630">
        <f t="shared" si="18"/>
        <v>0</v>
      </c>
      <c r="P222" s="629">
        <f t="shared" si="22"/>
        <v>0</v>
      </c>
      <c r="Q222" s="629">
        <f t="shared" si="23"/>
        <v>0</v>
      </c>
      <c r="R222" s="630">
        <f t="shared" si="19"/>
        <v>0</v>
      </c>
    </row>
    <row r="223" spans="2:18" outlineLevel="1" x14ac:dyDescent="0.2">
      <c r="B223" s="59"/>
      <c r="C223" s="59"/>
      <c r="D223" s="59"/>
      <c r="E223" s="541"/>
      <c r="F223" s="541"/>
      <c r="G223" s="541"/>
      <c r="H223" s="541"/>
      <c r="I223" s="59"/>
      <c r="J223" s="59"/>
      <c r="K223" s="621"/>
      <c r="L223" s="621"/>
      <c r="M223" s="629">
        <f t="shared" si="20"/>
        <v>0</v>
      </c>
      <c r="N223" s="629">
        <f t="shared" si="21"/>
        <v>0</v>
      </c>
      <c r="O223" s="630">
        <f t="shared" si="18"/>
        <v>0</v>
      </c>
      <c r="P223" s="629">
        <f t="shared" si="22"/>
        <v>0</v>
      </c>
      <c r="Q223" s="629">
        <f t="shared" si="23"/>
        <v>0</v>
      </c>
      <c r="R223" s="630">
        <f t="shared" si="19"/>
        <v>0</v>
      </c>
    </row>
    <row r="224" spans="2:18" outlineLevel="1" x14ac:dyDescent="0.2">
      <c r="B224" s="59"/>
      <c r="C224" s="59"/>
      <c r="D224" s="59"/>
      <c r="E224" s="541"/>
      <c r="F224" s="541"/>
      <c r="G224" s="541"/>
      <c r="H224" s="541"/>
      <c r="I224" s="59"/>
      <c r="J224" s="59"/>
      <c r="K224" s="621"/>
      <c r="L224" s="621"/>
      <c r="M224" s="629">
        <f t="shared" si="20"/>
        <v>0</v>
      </c>
      <c r="N224" s="629">
        <f t="shared" si="21"/>
        <v>0</v>
      </c>
      <c r="O224" s="630">
        <f t="shared" si="18"/>
        <v>0</v>
      </c>
      <c r="P224" s="629">
        <f t="shared" si="22"/>
        <v>0</v>
      </c>
      <c r="Q224" s="629">
        <f t="shared" si="23"/>
        <v>0</v>
      </c>
      <c r="R224" s="630">
        <f t="shared" si="19"/>
        <v>0</v>
      </c>
    </row>
    <row r="225" spans="2:18" outlineLevel="1" x14ac:dyDescent="0.2">
      <c r="B225" s="59"/>
      <c r="C225" s="59"/>
      <c r="D225" s="59"/>
      <c r="E225" s="541"/>
      <c r="F225" s="541"/>
      <c r="G225" s="541"/>
      <c r="H225" s="541"/>
      <c r="I225" s="59"/>
      <c r="J225" s="59"/>
      <c r="K225" s="621"/>
      <c r="L225" s="621"/>
      <c r="M225" s="629">
        <f t="shared" si="20"/>
        <v>0</v>
      </c>
      <c r="N225" s="629">
        <f t="shared" si="21"/>
        <v>0</v>
      </c>
      <c r="O225" s="630">
        <f t="shared" si="18"/>
        <v>0</v>
      </c>
      <c r="P225" s="629">
        <f t="shared" si="22"/>
        <v>0</v>
      </c>
      <c r="Q225" s="629">
        <f t="shared" si="23"/>
        <v>0</v>
      </c>
      <c r="R225" s="630">
        <f t="shared" si="19"/>
        <v>0</v>
      </c>
    </row>
    <row r="226" spans="2:18" outlineLevel="1" x14ac:dyDescent="0.2">
      <c r="B226" s="59"/>
      <c r="C226" s="59"/>
      <c r="D226" s="59"/>
      <c r="E226" s="541"/>
      <c r="F226" s="541"/>
      <c r="G226" s="541"/>
      <c r="H226" s="541"/>
      <c r="I226" s="59"/>
      <c r="J226" s="59"/>
      <c r="K226" s="621"/>
      <c r="L226" s="621"/>
      <c r="M226" s="629">
        <f t="shared" si="20"/>
        <v>0</v>
      </c>
      <c r="N226" s="629">
        <f t="shared" si="21"/>
        <v>0</v>
      </c>
      <c r="O226" s="630">
        <f t="shared" si="18"/>
        <v>0</v>
      </c>
      <c r="P226" s="629">
        <f t="shared" si="22"/>
        <v>0</v>
      </c>
      <c r="Q226" s="629">
        <f t="shared" si="23"/>
        <v>0</v>
      </c>
      <c r="R226" s="630">
        <f t="shared" si="19"/>
        <v>0</v>
      </c>
    </row>
    <row r="227" spans="2:18" outlineLevel="1" x14ac:dyDescent="0.2">
      <c r="B227" s="59"/>
      <c r="C227" s="59"/>
      <c r="D227" s="59"/>
      <c r="E227" s="541"/>
      <c r="F227" s="541"/>
      <c r="G227" s="541"/>
      <c r="H227" s="541"/>
      <c r="I227" s="59"/>
      <c r="J227" s="59"/>
      <c r="K227" s="621"/>
      <c r="L227" s="621"/>
      <c r="M227" s="629">
        <f t="shared" si="20"/>
        <v>0</v>
      </c>
      <c r="N227" s="629">
        <f t="shared" si="21"/>
        <v>0</v>
      </c>
      <c r="O227" s="630">
        <f t="shared" si="18"/>
        <v>0</v>
      </c>
      <c r="P227" s="629">
        <f t="shared" si="22"/>
        <v>0</v>
      </c>
      <c r="Q227" s="629">
        <f t="shared" si="23"/>
        <v>0</v>
      </c>
      <c r="R227" s="630">
        <f t="shared" si="19"/>
        <v>0</v>
      </c>
    </row>
    <row r="228" spans="2:18" outlineLevel="1" x14ac:dyDescent="0.2">
      <c r="B228" s="59"/>
      <c r="C228" s="59"/>
      <c r="D228" s="59"/>
      <c r="E228" s="541"/>
      <c r="F228" s="541"/>
      <c r="G228" s="541"/>
      <c r="H228" s="541"/>
      <c r="I228" s="59"/>
      <c r="J228" s="59"/>
      <c r="K228" s="621"/>
      <c r="L228" s="621"/>
      <c r="M228" s="629">
        <f t="shared" si="20"/>
        <v>0</v>
      </c>
      <c r="N228" s="629">
        <f t="shared" si="21"/>
        <v>0</v>
      </c>
      <c r="O228" s="630">
        <f t="shared" si="18"/>
        <v>0</v>
      </c>
      <c r="P228" s="629">
        <f t="shared" si="22"/>
        <v>0</v>
      </c>
      <c r="Q228" s="629">
        <f t="shared" si="23"/>
        <v>0</v>
      </c>
      <c r="R228" s="630">
        <f t="shared" si="19"/>
        <v>0</v>
      </c>
    </row>
    <row r="229" spans="2:18" outlineLevel="1" x14ac:dyDescent="0.2">
      <c r="B229" s="59"/>
      <c r="C229" s="59"/>
      <c r="D229" s="59"/>
      <c r="E229" s="541"/>
      <c r="F229" s="541"/>
      <c r="G229" s="541"/>
      <c r="H229" s="541"/>
      <c r="I229" s="59"/>
      <c r="J229" s="59"/>
      <c r="K229" s="621"/>
      <c r="L229" s="621"/>
      <c r="M229" s="629">
        <f t="shared" si="20"/>
        <v>0</v>
      </c>
      <c r="N229" s="629">
        <f t="shared" si="21"/>
        <v>0</v>
      </c>
      <c r="O229" s="630">
        <f t="shared" si="18"/>
        <v>0</v>
      </c>
      <c r="P229" s="629">
        <f t="shared" si="22"/>
        <v>0</v>
      </c>
      <c r="Q229" s="629">
        <f t="shared" si="23"/>
        <v>0</v>
      </c>
      <c r="R229" s="630">
        <f t="shared" si="19"/>
        <v>0</v>
      </c>
    </row>
    <row r="230" spans="2:18" outlineLevel="1" x14ac:dyDescent="0.2">
      <c r="B230" s="59"/>
      <c r="C230" s="59"/>
      <c r="D230" s="59"/>
      <c r="E230" s="541"/>
      <c r="F230" s="541"/>
      <c r="G230" s="541"/>
      <c r="H230" s="541"/>
      <c r="I230" s="59"/>
      <c r="J230" s="59"/>
      <c r="K230" s="621"/>
      <c r="L230" s="621"/>
      <c r="M230" s="629">
        <f t="shared" si="20"/>
        <v>0</v>
      </c>
      <c r="N230" s="629">
        <f t="shared" si="21"/>
        <v>0</v>
      </c>
      <c r="O230" s="630">
        <f t="shared" si="18"/>
        <v>0</v>
      </c>
      <c r="P230" s="629">
        <f t="shared" si="22"/>
        <v>0</v>
      </c>
      <c r="Q230" s="629">
        <f t="shared" si="23"/>
        <v>0</v>
      </c>
      <c r="R230" s="630">
        <f t="shared" si="19"/>
        <v>0</v>
      </c>
    </row>
    <row r="231" spans="2:18" outlineLevel="1" x14ac:dyDescent="0.2">
      <c r="B231" s="59"/>
      <c r="C231" s="59"/>
      <c r="D231" s="59"/>
      <c r="E231" s="541"/>
      <c r="F231" s="541"/>
      <c r="G231" s="541"/>
      <c r="H231" s="541"/>
      <c r="I231" s="59"/>
      <c r="J231" s="59"/>
      <c r="K231" s="621"/>
      <c r="L231" s="621"/>
      <c r="M231" s="629">
        <f t="shared" si="20"/>
        <v>0</v>
      </c>
      <c r="N231" s="629">
        <f t="shared" si="21"/>
        <v>0</v>
      </c>
      <c r="O231" s="630">
        <f t="shared" si="18"/>
        <v>0</v>
      </c>
      <c r="P231" s="629">
        <f t="shared" si="22"/>
        <v>0</v>
      </c>
      <c r="Q231" s="629">
        <f t="shared" si="23"/>
        <v>0</v>
      </c>
      <c r="R231" s="630">
        <f t="shared" si="19"/>
        <v>0</v>
      </c>
    </row>
    <row r="232" spans="2:18" outlineLevel="1" x14ac:dyDescent="0.2">
      <c r="B232" s="59"/>
      <c r="C232" s="59"/>
      <c r="D232" s="59"/>
      <c r="E232" s="541"/>
      <c r="F232" s="541"/>
      <c r="G232" s="541"/>
      <c r="H232" s="541"/>
      <c r="I232" s="59"/>
      <c r="J232" s="59"/>
      <c r="K232" s="621"/>
      <c r="L232" s="621"/>
      <c r="M232" s="629">
        <f t="shared" si="20"/>
        <v>0</v>
      </c>
      <c r="N232" s="629">
        <f t="shared" si="21"/>
        <v>0</v>
      </c>
      <c r="O232" s="630">
        <f t="shared" si="18"/>
        <v>0</v>
      </c>
      <c r="P232" s="629">
        <f t="shared" si="22"/>
        <v>0</v>
      </c>
      <c r="Q232" s="629">
        <f t="shared" si="23"/>
        <v>0</v>
      </c>
      <c r="R232" s="630">
        <f t="shared" si="19"/>
        <v>0</v>
      </c>
    </row>
    <row r="233" spans="2:18" outlineLevel="1" x14ac:dyDescent="0.2">
      <c r="B233" s="59"/>
      <c r="C233" s="59"/>
      <c r="D233" s="59"/>
      <c r="E233" s="541"/>
      <c r="F233" s="541"/>
      <c r="G233" s="541"/>
      <c r="H233" s="541"/>
      <c r="I233" s="59"/>
      <c r="J233" s="59"/>
      <c r="K233" s="621"/>
      <c r="L233" s="621"/>
      <c r="M233" s="629">
        <f t="shared" si="20"/>
        <v>0</v>
      </c>
      <c r="N233" s="629">
        <f t="shared" si="21"/>
        <v>0</v>
      </c>
      <c r="O233" s="630">
        <f t="shared" si="18"/>
        <v>0</v>
      </c>
      <c r="P233" s="629">
        <f t="shared" si="22"/>
        <v>0</v>
      </c>
      <c r="Q233" s="629">
        <f t="shared" si="23"/>
        <v>0</v>
      </c>
      <c r="R233" s="630">
        <f t="shared" si="19"/>
        <v>0</v>
      </c>
    </row>
    <row r="234" spans="2:18" outlineLevel="1" x14ac:dyDescent="0.2">
      <c r="B234" s="59"/>
      <c r="C234" s="59"/>
      <c r="D234" s="59"/>
      <c r="E234" s="541"/>
      <c r="F234" s="541"/>
      <c r="G234" s="541"/>
      <c r="H234" s="541"/>
      <c r="I234" s="59"/>
      <c r="J234" s="59"/>
      <c r="K234" s="621"/>
      <c r="L234" s="621"/>
      <c r="M234" s="629">
        <f t="shared" si="20"/>
        <v>0</v>
      </c>
      <c r="N234" s="629">
        <f t="shared" si="21"/>
        <v>0</v>
      </c>
      <c r="O234" s="630">
        <f t="shared" si="18"/>
        <v>0</v>
      </c>
      <c r="P234" s="629">
        <f t="shared" si="22"/>
        <v>0</v>
      </c>
      <c r="Q234" s="629">
        <f t="shared" si="23"/>
        <v>0</v>
      </c>
      <c r="R234" s="630">
        <f t="shared" si="19"/>
        <v>0</v>
      </c>
    </row>
    <row r="235" spans="2:18" outlineLevel="1" x14ac:dyDescent="0.2">
      <c r="B235" s="59"/>
      <c r="C235" s="59"/>
      <c r="D235" s="59"/>
      <c r="E235" s="541"/>
      <c r="F235" s="541"/>
      <c r="G235" s="541"/>
      <c r="H235" s="541"/>
      <c r="I235" s="59"/>
      <c r="J235" s="59"/>
      <c r="K235" s="621"/>
      <c r="L235" s="621"/>
      <c r="M235" s="629">
        <f t="shared" si="20"/>
        <v>0</v>
      </c>
      <c r="N235" s="629">
        <f t="shared" si="21"/>
        <v>0</v>
      </c>
      <c r="O235" s="630">
        <f t="shared" si="18"/>
        <v>0</v>
      </c>
      <c r="P235" s="629">
        <f t="shared" si="22"/>
        <v>0</v>
      </c>
      <c r="Q235" s="629">
        <f t="shared" si="23"/>
        <v>0</v>
      </c>
      <c r="R235" s="630">
        <f t="shared" si="19"/>
        <v>0</v>
      </c>
    </row>
    <row r="236" spans="2:18" outlineLevel="1" x14ac:dyDescent="0.2">
      <c r="B236" s="59"/>
      <c r="C236" s="59"/>
      <c r="D236" s="59"/>
      <c r="E236" s="541"/>
      <c r="F236" s="541"/>
      <c r="G236" s="541"/>
      <c r="H236" s="541"/>
      <c r="I236" s="59"/>
      <c r="J236" s="59"/>
      <c r="K236" s="621"/>
      <c r="L236" s="621"/>
      <c r="M236" s="629">
        <f t="shared" si="20"/>
        <v>0</v>
      </c>
      <c r="N236" s="629">
        <f t="shared" si="21"/>
        <v>0</v>
      </c>
      <c r="O236" s="630">
        <f t="shared" si="18"/>
        <v>0</v>
      </c>
      <c r="P236" s="629">
        <f t="shared" si="22"/>
        <v>0</v>
      </c>
      <c r="Q236" s="629">
        <f t="shared" si="23"/>
        <v>0</v>
      </c>
      <c r="R236" s="630">
        <f t="shared" si="19"/>
        <v>0</v>
      </c>
    </row>
    <row r="237" spans="2:18" outlineLevel="1" x14ac:dyDescent="0.2">
      <c r="B237" s="59"/>
      <c r="C237" s="59"/>
      <c r="D237" s="59"/>
      <c r="E237" s="541"/>
      <c r="F237" s="541"/>
      <c r="G237" s="541"/>
      <c r="H237" s="541"/>
      <c r="I237" s="59"/>
      <c r="J237" s="59"/>
      <c r="K237" s="621"/>
      <c r="L237" s="621"/>
      <c r="M237" s="629">
        <f t="shared" si="20"/>
        <v>0</v>
      </c>
      <c r="N237" s="629">
        <f t="shared" si="21"/>
        <v>0</v>
      </c>
      <c r="O237" s="630">
        <f t="shared" si="18"/>
        <v>0</v>
      </c>
      <c r="P237" s="629">
        <f t="shared" si="22"/>
        <v>0</v>
      </c>
      <c r="Q237" s="629">
        <f t="shared" si="23"/>
        <v>0</v>
      </c>
      <c r="R237" s="630">
        <f t="shared" si="19"/>
        <v>0</v>
      </c>
    </row>
    <row r="238" spans="2:18" outlineLevel="1" x14ac:dyDescent="0.2">
      <c r="B238" s="59"/>
      <c r="C238" s="59"/>
      <c r="D238" s="59"/>
      <c r="E238" s="541"/>
      <c r="F238" s="541"/>
      <c r="G238" s="541"/>
      <c r="H238" s="541"/>
      <c r="I238" s="59"/>
      <c r="J238" s="59"/>
      <c r="K238" s="621"/>
      <c r="L238" s="621"/>
      <c r="M238" s="629">
        <f t="shared" si="20"/>
        <v>0</v>
      </c>
      <c r="N238" s="629">
        <f t="shared" si="21"/>
        <v>0</v>
      </c>
      <c r="O238" s="630">
        <f t="shared" si="18"/>
        <v>0</v>
      </c>
      <c r="P238" s="629">
        <f t="shared" si="22"/>
        <v>0</v>
      </c>
      <c r="Q238" s="629">
        <f t="shared" si="23"/>
        <v>0</v>
      </c>
      <c r="R238" s="630">
        <f t="shared" si="19"/>
        <v>0</v>
      </c>
    </row>
    <row r="239" spans="2:18" outlineLevel="1" x14ac:dyDescent="0.2">
      <c r="B239" s="59"/>
      <c r="C239" s="59"/>
      <c r="D239" s="59"/>
      <c r="E239" s="541"/>
      <c r="F239" s="541"/>
      <c r="G239" s="541"/>
      <c r="H239" s="541"/>
      <c r="I239" s="59"/>
      <c r="J239" s="59"/>
      <c r="K239" s="621"/>
      <c r="L239" s="621"/>
      <c r="M239" s="629">
        <f t="shared" si="20"/>
        <v>0</v>
      </c>
      <c r="N239" s="629">
        <f t="shared" si="21"/>
        <v>0</v>
      </c>
      <c r="O239" s="630">
        <f t="shared" si="18"/>
        <v>0</v>
      </c>
      <c r="P239" s="629">
        <f t="shared" si="22"/>
        <v>0</v>
      </c>
      <c r="Q239" s="629">
        <f t="shared" si="23"/>
        <v>0</v>
      </c>
      <c r="R239" s="630">
        <f t="shared" si="19"/>
        <v>0</v>
      </c>
    </row>
    <row r="240" spans="2:18" outlineLevel="1" x14ac:dyDescent="0.2">
      <c r="B240" s="59"/>
      <c r="C240" s="59"/>
      <c r="D240" s="59"/>
      <c r="E240" s="541"/>
      <c r="F240" s="541"/>
      <c r="G240" s="541"/>
      <c r="H240" s="541"/>
      <c r="I240" s="59"/>
      <c r="J240" s="59"/>
      <c r="K240" s="621"/>
      <c r="L240" s="621"/>
      <c r="M240" s="629">
        <f t="shared" si="20"/>
        <v>0</v>
      </c>
      <c r="N240" s="629">
        <f t="shared" si="21"/>
        <v>0</v>
      </c>
      <c r="O240" s="630">
        <f t="shared" si="18"/>
        <v>0</v>
      </c>
      <c r="P240" s="629">
        <f t="shared" si="22"/>
        <v>0</v>
      </c>
      <c r="Q240" s="629">
        <f t="shared" si="23"/>
        <v>0</v>
      </c>
      <c r="R240" s="630">
        <f t="shared" si="19"/>
        <v>0</v>
      </c>
    </row>
    <row r="241" spans="2:18" outlineLevel="1" x14ac:dyDescent="0.2">
      <c r="B241" s="59"/>
      <c r="C241" s="59"/>
      <c r="D241" s="59"/>
      <c r="E241" s="541"/>
      <c r="F241" s="541"/>
      <c r="G241" s="541"/>
      <c r="H241" s="541"/>
      <c r="I241" s="59"/>
      <c r="J241" s="59"/>
      <c r="K241" s="621"/>
      <c r="L241" s="621"/>
      <c r="M241" s="629">
        <f t="shared" si="20"/>
        <v>0</v>
      </c>
      <c r="N241" s="629">
        <f t="shared" si="21"/>
        <v>0</v>
      </c>
      <c r="O241" s="630">
        <f t="shared" si="18"/>
        <v>0</v>
      </c>
      <c r="P241" s="629">
        <f t="shared" si="22"/>
        <v>0</v>
      </c>
      <c r="Q241" s="629">
        <f t="shared" si="23"/>
        <v>0</v>
      </c>
      <c r="R241" s="630">
        <f t="shared" si="19"/>
        <v>0</v>
      </c>
    </row>
    <row r="242" spans="2:18" outlineLevel="1" x14ac:dyDescent="0.2">
      <c r="B242" s="59"/>
      <c r="C242" s="59"/>
      <c r="D242" s="59"/>
      <c r="E242" s="541"/>
      <c r="F242" s="541"/>
      <c r="G242" s="541"/>
      <c r="H242" s="541"/>
      <c r="I242" s="59"/>
      <c r="J242" s="59"/>
      <c r="K242" s="621"/>
      <c r="L242" s="621"/>
      <c r="M242" s="629">
        <f t="shared" si="20"/>
        <v>0</v>
      </c>
      <c r="N242" s="629">
        <f t="shared" si="21"/>
        <v>0</v>
      </c>
      <c r="O242" s="630">
        <f t="shared" si="18"/>
        <v>0</v>
      </c>
      <c r="P242" s="629">
        <f t="shared" si="22"/>
        <v>0</v>
      </c>
      <c r="Q242" s="629">
        <f t="shared" si="23"/>
        <v>0</v>
      </c>
      <c r="R242" s="630">
        <f t="shared" si="19"/>
        <v>0</v>
      </c>
    </row>
    <row r="243" spans="2:18" outlineLevel="1" x14ac:dyDescent="0.2">
      <c r="B243" s="59"/>
      <c r="C243" s="59"/>
      <c r="D243" s="59"/>
      <c r="E243" s="541"/>
      <c r="F243" s="541"/>
      <c r="G243" s="541"/>
      <c r="H243" s="541"/>
      <c r="I243" s="59"/>
      <c r="J243" s="59"/>
      <c r="K243" s="621"/>
      <c r="L243" s="621"/>
      <c r="M243" s="629">
        <f t="shared" si="20"/>
        <v>0</v>
      </c>
      <c r="N243" s="629">
        <f t="shared" si="21"/>
        <v>0</v>
      </c>
      <c r="O243" s="630">
        <f t="shared" si="18"/>
        <v>0</v>
      </c>
      <c r="P243" s="629">
        <f t="shared" si="22"/>
        <v>0</v>
      </c>
      <c r="Q243" s="629">
        <f t="shared" si="23"/>
        <v>0</v>
      </c>
      <c r="R243" s="630">
        <f t="shared" si="19"/>
        <v>0</v>
      </c>
    </row>
    <row r="244" spans="2:18" outlineLevel="1" x14ac:dyDescent="0.2">
      <c r="B244" s="59"/>
      <c r="C244" s="59"/>
      <c r="D244" s="59"/>
      <c r="E244" s="541"/>
      <c r="F244" s="541"/>
      <c r="G244" s="541"/>
      <c r="H244" s="541"/>
      <c r="I244" s="59"/>
      <c r="J244" s="59"/>
      <c r="K244" s="621"/>
      <c r="L244" s="621"/>
      <c r="M244" s="629">
        <f t="shared" si="20"/>
        <v>0</v>
      </c>
      <c r="N244" s="629">
        <f t="shared" si="21"/>
        <v>0</v>
      </c>
      <c r="O244" s="630">
        <f t="shared" si="18"/>
        <v>0</v>
      </c>
      <c r="P244" s="629">
        <f t="shared" si="22"/>
        <v>0</v>
      </c>
      <c r="Q244" s="629">
        <f t="shared" si="23"/>
        <v>0</v>
      </c>
      <c r="R244" s="630">
        <f t="shared" si="19"/>
        <v>0</v>
      </c>
    </row>
    <row r="245" spans="2:18" outlineLevel="1" x14ac:dyDescent="0.2">
      <c r="B245" s="59"/>
      <c r="C245" s="59"/>
      <c r="D245" s="59"/>
      <c r="E245" s="541"/>
      <c r="F245" s="541"/>
      <c r="G245" s="541"/>
      <c r="H245" s="541"/>
      <c r="I245" s="59"/>
      <c r="J245" s="59"/>
      <c r="K245" s="621"/>
      <c r="L245" s="621"/>
      <c r="M245" s="629">
        <f t="shared" si="20"/>
        <v>0</v>
      </c>
      <c r="N245" s="629">
        <f t="shared" si="21"/>
        <v>0</v>
      </c>
      <c r="O245" s="630">
        <f t="shared" si="18"/>
        <v>0</v>
      </c>
      <c r="P245" s="629">
        <f t="shared" si="22"/>
        <v>0</v>
      </c>
      <c r="Q245" s="629">
        <f t="shared" si="23"/>
        <v>0</v>
      </c>
      <c r="R245" s="630">
        <f t="shared" si="19"/>
        <v>0</v>
      </c>
    </row>
    <row r="246" spans="2:18" outlineLevel="1" x14ac:dyDescent="0.2">
      <c r="B246" s="59"/>
      <c r="C246" s="59"/>
      <c r="D246" s="59"/>
      <c r="E246" s="541"/>
      <c r="F246" s="541"/>
      <c r="G246" s="541"/>
      <c r="H246" s="541"/>
      <c r="I246" s="59"/>
      <c r="J246" s="59"/>
      <c r="K246" s="621"/>
      <c r="L246" s="621"/>
      <c r="M246" s="629">
        <f t="shared" si="20"/>
        <v>0</v>
      </c>
      <c r="N246" s="629">
        <f t="shared" si="21"/>
        <v>0</v>
      </c>
      <c r="O246" s="630">
        <f t="shared" si="18"/>
        <v>0</v>
      </c>
      <c r="P246" s="629">
        <f t="shared" si="22"/>
        <v>0</v>
      </c>
      <c r="Q246" s="629">
        <f t="shared" si="23"/>
        <v>0</v>
      </c>
      <c r="R246" s="630">
        <f t="shared" si="19"/>
        <v>0</v>
      </c>
    </row>
    <row r="247" spans="2:18" outlineLevel="1" x14ac:dyDescent="0.2">
      <c r="B247" s="59"/>
      <c r="C247" s="59"/>
      <c r="D247" s="59"/>
      <c r="E247" s="541"/>
      <c r="F247" s="541"/>
      <c r="G247" s="541"/>
      <c r="H247" s="541"/>
      <c r="I247" s="59"/>
      <c r="J247" s="59"/>
      <c r="K247" s="621"/>
      <c r="L247" s="621"/>
      <c r="M247" s="629">
        <f t="shared" si="20"/>
        <v>0</v>
      </c>
      <c r="N247" s="629">
        <f t="shared" si="21"/>
        <v>0</v>
      </c>
      <c r="O247" s="630">
        <f t="shared" si="18"/>
        <v>0</v>
      </c>
      <c r="P247" s="629">
        <f t="shared" si="22"/>
        <v>0</v>
      </c>
      <c r="Q247" s="629">
        <f t="shared" si="23"/>
        <v>0</v>
      </c>
      <c r="R247" s="630">
        <f t="shared" si="19"/>
        <v>0</v>
      </c>
    </row>
    <row r="248" spans="2:18" outlineLevel="1" x14ac:dyDescent="0.2">
      <c r="B248" s="59"/>
      <c r="C248" s="59"/>
      <c r="D248" s="59"/>
      <c r="E248" s="541"/>
      <c r="F248" s="541"/>
      <c r="G248" s="541"/>
      <c r="H248" s="541"/>
      <c r="I248" s="59"/>
      <c r="J248" s="59"/>
      <c r="K248" s="621"/>
      <c r="L248" s="621"/>
      <c r="M248" s="629">
        <f t="shared" si="20"/>
        <v>0</v>
      </c>
      <c r="N248" s="629">
        <f t="shared" si="21"/>
        <v>0</v>
      </c>
      <c r="O248" s="630">
        <f t="shared" si="18"/>
        <v>0</v>
      </c>
      <c r="P248" s="629">
        <f t="shared" si="22"/>
        <v>0</v>
      </c>
      <c r="Q248" s="629">
        <f t="shared" si="23"/>
        <v>0</v>
      </c>
      <c r="R248" s="630">
        <f t="shared" si="19"/>
        <v>0</v>
      </c>
    </row>
    <row r="249" spans="2:18" outlineLevel="1" x14ac:dyDescent="0.2">
      <c r="B249" s="59"/>
      <c r="C249" s="59"/>
      <c r="D249" s="59"/>
      <c r="E249" s="541"/>
      <c r="F249" s="541"/>
      <c r="G249" s="541"/>
      <c r="H249" s="541"/>
      <c r="I249" s="59"/>
      <c r="J249" s="59"/>
      <c r="K249" s="621"/>
      <c r="L249" s="621"/>
      <c r="M249" s="629">
        <f t="shared" si="20"/>
        <v>0</v>
      </c>
      <c r="N249" s="629">
        <f t="shared" si="21"/>
        <v>0</v>
      </c>
      <c r="O249" s="630">
        <f t="shared" si="18"/>
        <v>0</v>
      </c>
      <c r="P249" s="629">
        <f t="shared" si="22"/>
        <v>0</v>
      </c>
      <c r="Q249" s="629">
        <f t="shared" si="23"/>
        <v>0</v>
      </c>
      <c r="R249" s="630">
        <f t="shared" si="19"/>
        <v>0</v>
      </c>
    </row>
    <row r="250" spans="2:18" outlineLevel="1" x14ac:dyDescent="0.2">
      <c r="B250" s="59"/>
      <c r="C250" s="59"/>
      <c r="D250" s="59"/>
      <c r="E250" s="541"/>
      <c r="F250" s="541"/>
      <c r="G250" s="541"/>
      <c r="H250" s="541"/>
      <c r="I250" s="59"/>
      <c r="J250" s="59"/>
      <c r="K250" s="621"/>
      <c r="L250" s="621"/>
      <c r="M250" s="629">
        <f t="shared" si="20"/>
        <v>0</v>
      </c>
      <c r="N250" s="629">
        <f t="shared" si="21"/>
        <v>0</v>
      </c>
      <c r="O250" s="630">
        <f t="shared" si="18"/>
        <v>0</v>
      </c>
      <c r="P250" s="629">
        <f t="shared" si="22"/>
        <v>0</v>
      </c>
      <c r="Q250" s="629">
        <f t="shared" si="23"/>
        <v>0</v>
      </c>
      <c r="R250" s="630">
        <f t="shared" si="19"/>
        <v>0</v>
      </c>
    </row>
    <row r="251" spans="2:18" outlineLevel="1" x14ac:dyDescent="0.2">
      <c r="B251" s="59"/>
      <c r="C251" s="59"/>
      <c r="D251" s="59"/>
      <c r="E251" s="541"/>
      <c r="F251" s="541"/>
      <c r="G251" s="541"/>
      <c r="H251" s="541"/>
      <c r="I251" s="59"/>
      <c r="J251" s="59"/>
      <c r="K251" s="621"/>
      <c r="L251" s="621"/>
      <c r="M251" s="629">
        <f t="shared" si="20"/>
        <v>0</v>
      </c>
      <c r="N251" s="629">
        <f t="shared" si="21"/>
        <v>0</v>
      </c>
      <c r="O251" s="630">
        <f t="shared" si="18"/>
        <v>0</v>
      </c>
      <c r="P251" s="629">
        <f t="shared" si="22"/>
        <v>0</v>
      </c>
      <c r="Q251" s="629">
        <f t="shared" si="23"/>
        <v>0</v>
      </c>
      <c r="R251" s="630">
        <f t="shared" si="19"/>
        <v>0</v>
      </c>
    </row>
    <row r="252" spans="2:18" outlineLevel="1" x14ac:dyDescent="0.2">
      <c r="B252" s="59"/>
      <c r="C252" s="59"/>
      <c r="D252" s="59"/>
      <c r="E252" s="541"/>
      <c r="F252" s="541"/>
      <c r="G252" s="541"/>
      <c r="H252" s="541"/>
      <c r="I252" s="59"/>
      <c r="J252" s="59"/>
      <c r="K252" s="621"/>
      <c r="L252" s="621"/>
      <c r="M252" s="629">
        <f t="shared" si="20"/>
        <v>0</v>
      </c>
      <c r="N252" s="629">
        <f t="shared" si="21"/>
        <v>0</v>
      </c>
      <c r="O252" s="630">
        <f t="shared" si="18"/>
        <v>0</v>
      </c>
      <c r="P252" s="629">
        <f t="shared" si="22"/>
        <v>0</v>
      </c>
      <c r="Q252" s="629">
        <f t="shared" si="23"/>
        <v>0</v>
      </c>
      <c r="R252" s="630">
        <f t="shared" si="19"/>
        <v>0</v>
      </c>
    </row>
    <row r="253" spans="2:18" outlineLevel="1" x14ac:dyDescent="0.2">
      <c r="B253" s="59"/>
      <c r="C253" s="59"/>
      <c r="D253" s="59"/>
      <c r="E253" s="541"/>
      <c r="F253" s="541"/>
      <c r="G253" s="541"/>
      <c r="H253" s="541"/>
      <c r="I253" s="59"/>
      <c r="J253" s="59"/>
      <c r="K253" s="621"/>
      <c r="L253" s="621"/>
      <c r="M253" s="629">
        <f t="shared" si="20"/>
        <v>0</v>
      </c>
      <c r="N253" s="629">
        <f t="shared" si="21"/>
        <v>0</v>
      </c>
      <c r="O253" s="630">
        <f t="shared" si="18"/>
        <v>0</v>
      </c>
      <c r="P253" s="629">
        <f t="shared" si="22"/>
        <v>0</v>
      </c>
      <c r="Q253" s="629">
        <f t="shared" si="23"/>
        <v>0</v>
      </c>
      <c r="R253" s="630">
        <f t="shared" si="19"/>
        <v>0</v>
      </c>
    </row>
    <row r="254" spans="2:18" outlineLevel="1" x14ac:dyDescent="0.2">
      <c r="B254" s="59"/>
      <c r="C254" s="59"/>
      <c r="D254" s="59"/>
      <c r="E254" s="541"/>
      <c r="F254" s="541"/>
      <c r="G254" s="541"/>
      <c r="H254" s="541"/>
      <c r="I254" s="59"/>
      <c r="J254" s="59"/>
      <c r="K254" s="621"/>
      <c r="L254" s="621"/>
      <c r="M254" s="629">
        <f t="shared" si="20"/>
        <v>0</v>
      </c>
      <c r="N254" s="629">
        <f t="shared" si="21"/>
        <v>0</v>
      </c>
      <c r="O254" s="630">
        <f t="shared" si="18"/>
        <v>0</v>
      </c>
      <c r="P254" s="629">
        <f t="shared" si="22"/>
        <v>0</v>
      </c>
      <c r="Q254" s="629">
        <f t="shared" si="23"/>
        <v>0</v>
      </c>
      <c r="R254" s="630">
        <f t="shared" si="19"/>
        <v>0</v>
      </c>
    </row>
    <row r="255" spans="2:18" outlineLevel="1" x14ac:dyDescent="0.2">
      <c r="B255" s="59"/>
      <c r="C255" s="59"/>
      <c r="D255" s="59"/>
      <c r="E255" s="541"/>
      <c r="F255" s="541"/>
      <c r="G255" s="541"/>
      <c r="H255" s="541"/>
      <c r="I255" s="59"/>
      <c r="J255" s="59"/>
      <c r="K255" s="621"/>
      <c r="L255" s="621"/>
      <c r="M255" s="629">
        <f t="shared" si="20"/>
        <v>0</v>
      </c>
      <c r="N255" s="629">
        <f t="shared" si="21"/>
        <v>0</v>
      </c>
      <c r="O255" s="630">
        <f t="shared" si="18"/>
        <v>0</v>
      </c>
      <c r="P255" s="629">
        <f t="shared" si="22"/>
        <v>0</v>
      </c>
      <c r="Q255" s="629">
        <f t="shared" si="23"/>
        <v>0</v>
      </c>
      <c r="R255" s="630">
        <f t="shared" si="19"/>
        <v>0</v>
      </c>
    </row>
    <row r="256" spans="2:18" outlineLevel="1" x14ac:dyDescent="0.2">
      <c r="B256" s="59"/>
      <c r="C256" s="59"/>
      <c r="D256" s="59"/>
      <c r="E256" s="541"/>
      <c r="F256" s="541"/>
      <c r="G256" s="541"/>
      <c r="H256" s="541"/>
      <c r="I256" s="59"/>
      <c r="J256" s="59"/>
      <c r="K256" s="621"/>
      <c r="L256" s="621"/>
      <c r="M256" s="629">
        <f t="shared" si="20"/>
        <v>0</v>
      </c>
      <c r="N256" s="629">
        <f t="shared" si="21"/>
        <v>0</v>
      </c>
      <c r="O256" s="630">
        <f t="shared" si="18"/>
        <v>0</v>
      </c>
      <c r="P256" s="629">
        <f t="shared" si="22"/>
        <v>0</v>
      </c>
      <c r="Q256" s="629">
        <f t="shared" si="23"/>
        <v>0</v>
      </c>
      <c r="R256" s="630">
        <f t="shared" si="19"/>
        <v>0</v>
      </c>
    </row>
    <row r="257" spans="2:18" outlineLevel="1" x14ac:dyDescent="0.2">
      <c r="B257" s="59"/>
      <c r="C257" s="59"/>
      <c r="D257" s="59"/>
      <c r="E257" s="541"/>
      <c r="F257" s="541"/>
      <c r="G257" s="541"/>
      <c r="H257" s="541"/>
      <c r="I257" s="59"/>
      <c r="J257" s="59"/>
      <c r="K257" s="621"/>
      <c r="L257" s="621"/>
      <c r="M257" s="629">
        <f t="shared" si="20"/>
        <v>0</v>
      </c>
      <c r="N257" s="629">
        <f t="shared" si="21"/>
        <v>0</v>
      </c>
      <c r="O257" s="630">
        <f t="shared" si="18"/>
        <v>0</v>
      </c>
      <c r="P257" s="629">
        <f t="shared" si="22"/>
        <v>0</v>
      </c>
      <c r="Q257" s="629">
        <f t="shared" si="23"/>
        <v>0</v>
      </c>
      <c r="R257" s="630">
        <f t="shared" si="19"/>
        <v>0</v>
      </c>
    </row>
    <row r="258" spans="2:18" outlineLevel="1" x14ac:dyDescent="0.2">
      <c r="B258" s="59"/>
      <c r="C258" s="59"/>
      <c r="D258" s="59"/>
      <c r="E258" s="541"/>
      <c r="F258" s="541"/>
      <c r="G258" s="541"/>
      <c r="H258" s="541"/>
      <c r="I258" s="59"/>
      <c r="J258" s="59"/>
      <c r="K258" s="621"/>
      <c r="L258" s="621"/>
      <c r="M258" s="629">
        <f t="shared" si="20"/>
        <v>0</v>
      </c>
      <c r="N258" s="629">
        <f t="shared" si="21"/>
        <v>0</v>
      </c>
      <c r="O258" s="630">
        <f t="shared" si="18"/>
        <v>0</v>
      </c>
      <c r="P258" s="629">
        <f t="shared" si="22"/>
        <v>0</v>
      </c>
      <c r="Q258" s="629">
        <f t="shared" si="23"/>
        <v>0</v>
      </c>
      <c r="R258" s="630">
        <f t="shared" si="19"/>
        <v>0</v>
      </c>
    </row>
    <row r="259" spans="2:18" outlineLevel="1" x14ac:dyDescent="0.2">
      <c r="B259" s="59"/>
      <c r="C259" s="59"/>
      <c r="D259" s="59"/>
      <c r="E259" s="541"/>
      <c r="F259" s="541"/>
      <c r="G259" s="541"/>
      <c r="H259" s="541"/>
      <c r="I259" s="59"/>
      <c r="J259" s="59"/>
      <c r="K259" s="621"/>
      <c r="L259" s="621"/>
      <c r="M259" s="629">
        <f t="shared" si="20"/>
        <v>0</v>
      </c>
      <c r="N259" s="629">
        <f t="shared" si="21"/>
        <v>0</v>
      </c>
      <c r="O259" s="630">
        <f t="shared" si="18"/>
        <v>0</v>
      </c>
      <c r="P259" s="629">
        <f t="shared" si="22"/>
        <v>0</v>
      </c>
      <c r="Q259" s="629">
        <f t="shared" si="23"/>
        <v>0</v>
      </c>
      <c r="R259" s="630">
        <f t="shared" si="19"/>
        <v>0</v>
      </c>
    </row>
    <row r="260" spans="2:18" outlineLevel="1" x14ac:dyDescent="0.2">
      <c r="B260" s="59"/>
      <c r="C260" s="59"/>
      <c r="D260" s="59"/>
      <c r="E260" s="541"/>
      <c r="F260" s="541"/>
      <c r="G260" s="541"/>
      <c r="H260" s="541"/>
      <c r="I260" s="59"/>
      <c r="J260" s="59"/>
      <c r="K260" s="621"/>
      <c r="L260" s="621"/>
      <c r="M260" s="629">
        <f t="shared" si="20"/>
        <v>0</v>
      </c>
      <c r="N260" s="629">
        <f t="shared" si="21"/>
        <v>0</v>
      </c>
      <c r="O260" s="630">
        <f t="shared" si="18"/>
        <v>0</v>
      </c>
      <c r="P260" s="629">
        <f t="shared" si="22"/>
        <v>0</v>
      </c>
      <c r="Q260" s="629">
        <f t="shared" si="23"/>
        <v>0</v>
      </c>
      <c r="R260" s="630">
        <f t="shared" si="19"/>
        <v>0</v>
      </c>
    </row>
    <row r="261" spans="2:18" outlineLevel="1" x14ac:dyDescent="0.2">
      <c r="B261" s="59"/>
      <c r="C261" s="59"/>
      <c r="D261" s="59"/>
      <c r="E261" s="541"/>
      <c r="F261" s="541"/>
      <c r="G261" s="541"/>
      <c r="H261" s="541"/>
      <c r="I261" s="59"/>
      <c r="J261" s="59"/>
      <c r="K261" s="621"/>
      <c r="L261" s="621"/>
      <c r="M261" s="629">
        <f t="shared" si="20"/>
        <v>0</v>
      </c>
      <c r="N261" s="629">
        <f t="shared" si="21"/>
        <v>0</v>
      </c>
      <c r="O261" s="630">
        <f t="shared" ref="O261:O324" si="24">M261+N261</f>
        <v>0</v>
      </c>
      <c r="P261" s="629">
        <f t="shared" si="22"/>
        <v>0</v>
      </c>
      <c r="Q261" s="629">
        <f t="shared" si="23"/>
        <v>0</v>
      </c>
      <c r="R261" s="630">
        <f t="shared" ref="R261:R324" si="25">P261+Q261</f>
        <v>0</v>
      </c>
    </row>
    <row r="262" spans="2:18" outlineLevel="1" x14ac:dyDescent="0.2">
      <c r="B262" s="59"/>
      <c r="C262" s="59"/>
      <c r="D262" s="59"/>
      <c r="E262" s="541"/>
      <c r="F262" s="541"/>
      <c r="G262" s="541"/>
      <c r="H262" s="541"/>
      <c r="I262" s="59"/>
      <c r="J262" s="59"/>
      <c r="K262" s="621"/>
      <c r="L262" s="621"/>
      <c r="M262" s="629">
        <f t="shared" ref="M262:M325" si="26">G262*(-1)</f>
        <v>0</v>
      </c>
      <c r="N262" s="629">
        <f t="shared" ref="N262:N325" si="27">H262*(-1)</f>
        <v>0</v>
      </c>
      <c r="O262" s="630">
        <f t="shared" si="24"/>
        <v>0</v>
      </c>
      <c r="P262" s="629">
        <f t="shared" ref="P262:P325" si="28">+IF(AND(I262="NO",E262&gt;G262),(E262-G262)*K262*(-1),0)</f>
        <v>0</v>
      </c>
      <c r="Q262" s="629">
        <f t="shared" ref="Q262:Q325" si="29">+IF(AND(J262="NO",F262&gt;H262),(F262-H262)*L262*(-1),0)</f>
        <v>0</v>
      </c>
      <c r="R262" s="630">
        <f t="shared" si="25"/>
        <v>0</v>
      </c>
    </row>
    <row r="263" spans="2:18" outlineLevel="1" x14ac:dyDescent="0.2">
      <c r="B263" s="59"/>
      <c r="C263" s="59"/>
      <c r="D263" s="59"/>
      <c r="E263" s="541"/>
      <c r="F263" s="541"/>
      <c r="G263" s="541"/>
      <c r="H263" s="541"/>
      <c r="I263" s="59"/>
      <c r="J263" s="59"/>
      <c r="K263" s="621"/>
      <c r="L263" s="621"/>
      <c r="M263" s="629">
        <f t="shared" si="26"/>
        <v>0</v>
      </c>
      <c r="N263" s="629">
        <f t="shared" si="27"/>
        <v>0</v>
      </c>
      <c r="O263" s="630">
        <f t="shared" si="24"/>
        <v>0</v>
      </c>
      <c r="P263" s="629">
        <f t="shared" si="28"/>
        <v>0</v>
      </c>
      <c r="Q263" s="629">
        <f t="shared" si="29"/>
        <v>0</v>
      </c>
      <c r="R263" s="630">
        <f t="shared" si="25"/>
        <v>0</v>
      </c>
    </row>
    <row r="264" spans="2:18" outlineLevel="1" x14ac:dyDescent="0.2">
      <c r="B264" s="59"/>
      <c r="C264" s="59"/>
      <c r="D264" s="59"/>
      <c r="E264" s="541"/>
      <c r="F264" s="541"/>
      <c r="G264" s="541"/>
      <c r="H264" s="541"/>
      <c r="I264" s="59"/>
      <c r="J264" s="59"/>
      <c r="K264" s="621"/>
      <c r="L264" s="621"/>
      <c r="M264" s="629">
        <f t="shared" si="26"/>
        <v>0</v>
      </c>
      <c r="N264" s="629">
        <f t="shared" si="27"/>
        <v>0</v>
      </c>
      <c r="O264" s="630">
        <f t="shared" si="24"/>
        <v>0</v>
      </c>
      <c r="P264" s="629">
        <f t="shared" si="28"/>
        <v>0</v>
      </c>
      <c r="Q264" s="629">
        <f t="shared" si="29"/>
        <v>0</v>
      </c>
      <c r="R264" s="630">
        <f t="shared" si="25"/>
        <v>0</v>
      </c>
    </row>
    <row r="265" spans="2:18" outlineLevel="1" x14ac:dyDescent="0.2">
      <c r="B265" s="59"/>
      <c r="C265" s="59"/>
      <c r="D265" s="59"/>
      <c r="E265" s="541"/>
      <c r="F265" s="541"/>
      <c r="G265" s="541"/>
      <c r="H265" s="541"/>
      <c r="I265" s="59"/>
      <c r="J265" s="59"/>
      <c r="K265" s="621"/>
      <c r="L265" s="621"/>
      <c r="M265" s="629">
        <f t="shared" si="26"/>
        <v>0</v>
      </c>
      <c r="N265" s="629">
        <f t="shared" si="27"/>
        <v>0</v>
      </c>
      <c r="O265" s="630">
        <f t="shared" si="24"/>
        <v>0</v>
      </c>
      <c r="P265" s="629">
        <f t="shared" si="28"/>
        <v>0</v>
      </c>
      <c r="Q265" s="629">
        <f t="shared" si="29"/>
        <v>0</v>
      </c>
      <c r="R265" s="630">
        <f t="shared" si="25"/>
        <v>0</v>
      </c>
    </row>
    <row r="266" spans="2:18" outlineLevel="1" x14ac:dyDescent="0.2">
      <c r="B266" s="59"/>
      <c r="C266" s="59"/>
      <c r="D266" s="59"/>
      <c r="E266" s="541"/>
      <c r="F266" s="541"/>
      <c r="G266" s="541"/>
      <c r="H266" s="541"/>
      <c r="I266" s="59"/>
      <c r="J266" s="59"/>
      <c r="K266" s="621"/>
      <c r="L266" s="621"/>
      <c r="M266" s="629">
        <f t="shared" si="26"/>
        <v>0</v>
      </c>
      <c r="N266" s="629">
        <f t="shared" si="27"/>
        <v>0</v>
      </c>
      <c r="O266" s="630">
        <f t="shared" si="24"/>
        <v>0</v>
      </c>
      <c r="P266" s="629">
        <f t="shared" si="28"/>
        <v>0</v>
      </c>
      <c r="Q266" s="629">
        <f t="shared" si="29"/>
        <v>0</v>
      </c>
      <c r="R266" s="630">
        <f t="shared" si="25"/>
        <v>0</v>
      </c>
    </row>
    <row r="267" spans="2:18" outlineLevel="1" x14ac:dyDescent="0.2">
      <c r="B267" s="59"/>
      <c r="C267" s="59"/>
      <c r="D267" s="59"/>
      <c r="E267" s="541"/>
      <c r="F267" s="541"/>
      <c r="G267" s="541"/>
      <c r="H267" s="541"/>
      <c r="I267" s="59"/>
      <c r="J267" s="59"/>
      <c r="K267" s="621"/>
      <c r="L267" s="621"/>
      <c r="M267" s="629">
        <f t="shared" si="26"/>
        <v>0</v>
      </c>
      <c r="N267" s="629">
        <f t="shared" si="27"/>
        <v>0</v>
      </c>
      <c r="O267" s="630">
        <f t="shared" si="24"/>
        <v>0</v>
      </c>
      <c r="P267" s="629">
        <f t="shared" si="28"/>
        <v>0</v>
      </c>
      <c r="Q267" s="629">
        <f t="shared" si="29"/>
        <v>0</v>
      </c>
      <c r="R267" s="630">
        <f t="shared" si="25"/>
        <v>0</v>
      </c>
    </row>
    <row r="268" spans="2:18" outlineLevel="1" x14ac:dyDescent="0.2">
      <c r="B268" s="59"/>
      <c r="C268" s="59"/>
      <c r="D268" s="59"/>
      <c r="E268" s="541"/>
      <c r="F268" s="541"/>
      <c r="G268" s="541"/>
      <c r="H268" s="541"/>
      <c r="I268" s="59"/>
      <c r="J268" s="59"/>
      <c r="K268" s="621"/>
      <c r="L268" s="621"/>
      <c r="M268" s="629">
        <f t="shared" si="26"/>
        <v>0</v>
      </c>
      <c r="N268" s="629">
        <f t="shared" si="27"/>
        <v>0</v>
      </c>
      <c r="O268" s="630">
        <f t="shared" si="24"/>
        <v>0</v>
      </c>
      <c r="P268" s="629">
        <f t="shared" si="28"/>
        <v>0</v>
      </c>
      <c r="Q268" s="629">
        <f t="shared" si="29"/>
        <v>0</v>
      </c>
      <c r="R268" s="630">
        <f t="shared" si="25"/>
        <v>0</v>
      </c>
    </row>
    <row r="269" spans="2:18" outlineLevel="1" x14ac:dyDescent="0.2">
      <c r="B269" s="59"/>
      <c r="C269" s="59"/>
      <c r="D269" s="59"/>
      <c r="E269" s="541"/>
      <c r="F269" s="541"/>
      <c r="G269" s="541"/>
      <c r="H269" s="541"/>
      <c r="I269" s="59"/>
      <c r="J269" s="59"/>
      <c r="K269" s="621"/>
      <c r="L269" s="621"/>
      <c r="M269" s="629">
        <f t="shared" si="26"/>
        <v>0</v>
      </c>
      <c r="N269" s="629">
        <f t="shared" si="27"/>
        <v>0</v>
      </c>
      <c r="O269" s="630">
        <f t="shared" si="24"/>
        <v>0</v>
      </c>
      <c r="P269" s="629">
        <f t="shared" si="28"/>
        <v>0</v>
      </c>
      <c r="Q269" s="629">
        <f t="shared" si="29"/>
        <v>0</v>
      </c>
      <c r="R269" s="630">
        <f t="shared" si="25"/>
        <v>0</v>
      </c>
    </row>
    <row r="270" spans="2:18" outlineLevel="1" x14ac:dyDescent="0.2">
      <c r="B270" s="59"/>
      <c r="C270" s="59"/>
      <c r="D270" s="59"/>
      <c r="E270" s="541"/>
      <c r="F270" s="541"/>
      <c r="G270" s="541"/>
      <c r="H270" s="541"/>
      <c r="I270" s="59"/>
      <c r="J270" s="59"/>
      <c r="K270" s="621"/>
      <c r="L270" s="621"/>
      <c r="M270" s="629">
        <f t="shared" si="26"/>
        <v>0</v>
      </c>
      <c r="N270" s="629">
        <f t="shared" si="27"/>
        <v>0</v>
      </c>
      <c r="O270" s="630">
        <f t="shared" si="24"/>
        <v>0</v>
      </c>
      <c r="P270" s="629">
        <f t="shared" si="28"/>
        <v>0</v>
      </c>
      <c r="Q270" s="629">
        <f t="shared" si="29"/>
        <v>0</v>
      </c>
      <c r="R270" s="630">
        <f t="shared" si="25"/>
        <v>0</v>
      </c>
    </row>
    <row r="271" spans="2:18" outlineLevel="1" x14ac:dyDescent="0.2">
      <c r="B271" s="59"/>
      <c r="C271" s="59"/>
      <c r="D271" s="59"/>
      <c r="E271" s="541"/>
      <c r="F271" s="541"/>
      <c r="G271" s="541"/>
      <c r="H271" s="541"/>
      <c r="I271" s="59"/>
      <c r="J271" s="59"/>
      <c r="K271" s="621"/>
      <c r="L271" s="621"/>
      <c r="M271" s="629">
        <f t="shared" si="26"/>
        <v>0</v>
      </c>
      <c r="N271" s="629">
        <f t="shared" si="27"/>
        <v>0</v>
      </c>
      <c r="O271" s="630">
        <f t="shared" si="24"/>
        <v>0</v>
      </c>
      <c r="P271" s="629">
        <f t="shared" si="28"/>
        <v>0</v>
      </c>
      <c r="Q271" s="629">
        <f t="shared" si="29"/>
        <v>0</v>
      </c>
      <c r="R271" s="630">
        <f t="shared" si="25"/>
        <v>0</v>
      </c>
    </row>
    <row r="272" spans="2:18" outlineLevel="1" x14ac:dyDescent="0.2">
      <c r="B272" s="59"/>
      <c r="C272" s="59"/>
      <c r="D272" s="59"/>
      <c r="E272" s="541"/>
      <c r="F272" s="541"/>
      <c r="G272" s="541"/>
      <c r="H272" s="541"/>
      <c r="I272" s="59"/>
      <c r="J272" s="59"/>
      <c r="K272" s="621"/>
      <c r="L272" s="621"/>
      <c r="M272" s="629">
        <f t="shared" si="26"/>
        <v>0</v>
      </c>
      <c r="N272" s="629">
        <f t="shared" si="27"/>
        <v>0</v>
      </c>
      <c r="O272" s="630">
        <f t="shared" si="24"/>
        <v>0</v>
      </c>
      <c r="P272" s="629">
        <f t="shared" si="28"/>
        <v>0</v>
      </c>
      <c r="Q272" s="629">
        <f t="shared" si="29"/>
        <v>0</v>
      </c>
      <c r="R272" s="630">
        <f t="shared" si="25"/>
        <v>0</v>
      </c>
    </row>
    <row r="273" spans="2:18" outlineLevel="1" x14ac:dyDescent="0.2">
      <c r="B273" s="59"/>
      <c r="C273" s="59"/>
      <c r="D273" s="59"/>
      <c r="E273" s="541"/>
      <c r="F273" s="541"/>
      <c r="G273" s="541"/>
      <c r="H273" s="541"/>
      <c r="I273" s="59"/>
      <c r="J273" s="59"/>
      <c r="K273" s="621"/>
      <c r="L273" s="621"/>
      <c r="M273" s="629">
        <f t="shared" si="26"/>
        <v>0</v>
      </c>
      <c r="N273" s="629">
        <f t="shared" si="27"/>
        <v>0</v>
      </c>
      <c r="O273" s="630">
        <f t="shared" si="24"/>
        <v>0</v>
      </c>
      <c r="P273" s="629">
        <f t="shared" si="28"/>
        <v>0</v>
      </c>
      <c r="Q273" s="629">
        <f t="shared" si="29"/>
        <v>0</v>
      </c>
      <c r="R273" s="630">
        <f t="shared" si="25"/>
        <v>0</v>
      </c>
    </row>
    <row r="274" spans="2:18" outlineLevel="1" x14ac:dyDescent="0.2">
      <c r="B274" s="59"/>
      <c r="C274" s="59"/>
      <c r="D274" s="59"/>
      <c r="E274" s="541"/>
      <c r="F274" s="541"/>
      <c r="G274" s="541"/>
      <c r="H274" s="541"/>
      <c r="I274" s="59"/>
      <c r="J274" s="59"/>
      <c r="K274" s="621"/>
      <c r="L274" s="621"/>
      <c r="M274" s="629">
        <f t="shared" si="26"/>
        <v>0</v>
      </c>
      <c r="N274" s="629">
        <f t="shared" si="27"/>
        <v>0</v>
      </c>
      <c r="O274" s="630">
        <f t="shared" si="24"/>
        <v>0</v>
      </c>
      <c r="P274" s="629">
        <f t="shared" si="28"/>
        <v>0</v>
      </c>
      <c r="Q274" s="629">
        <f t="shared" si="29"/>
        <v>0</v>
      </c>
      <c r="R274" s="630">
        <f t="shared" si="25"/>
        <v>0</v>
      </c>
    </row>
    <row r="275" spans="2:18" outlineLevel="1" x14ac:dyDescent="0.2">
      <c r="B275" s="59"/>
      <c r="C275" s="59"/>
      <c r="D275" s="59"/>
      <c r="E275" s="541"/>
      <c r="F275" s="541"/>
      <c r="G275" s="541"/>
      <c r="H275" s="541"/>
      <c r="I275" s="59"/>
      <c r="J275" s="59"/>
      <c r="K275" s="621"/>
      <c r="L275" s="621"/>
      <c r="M275" s="629">
        <f t="shared" si="26"/>
        <v>0</v>
      </c>
      <c r="N275" s="629">
        <f t="shared" si="27"/>
        <v>0</v>
      </c>
      <c r="O275" s="630">
        <f t="shared" si="24"/>
        <v>0</v>
      </c>
      <c r="P275" s="629">
        <f t="shared" si="28"/>
        <v>0</v>
      </c>
      <c r="Q275" s="629">
        <f t="shared" si="29"/>
        <v>0</v>
      </c>
      <c r="R275" s="630">
        <f t="shared" si="25"/>
        <v>0</v>
      </c>
    </row>
    <row r="276" spans="2:18" outlineLevel="1" x14ac:dyDescent="0.2">
      <c r="B276" s="59"/>
      <c r="C276" s="59"/>
      <c r="D276" s="59"/>
      <c r="E276" s="541"/>
      <c r="F276" s="541"/>
      <c r="G276" s="541"/>
      <c r="H276" s="541"/>
      <c r="I276" s="59"/>
      <c r="J276" s="59"/>
      <c r="K276" s="621"/>
      <c r="L276" s="621"/>
      <c r="M276" s="629">
        <f t="shared" si="26"/>
        <v>0</v>
      </c>
      <c r="N276" s="629">
        <f t="shared" si="27"/>
        <v>0</v>
      </c>
      <c r="O276" s="630">
        <f t="shared" si="24"/>
        <v>0</v>
      </c>
      <c r="P276" s="629">
        <f t="shared" si="28"/>
        <v>0</v>
      </c>
      <c r="Q276" s="629">
        <f t="shared" si="29"/>
        <v>0</v>
      </c>
      <c r="R276" s="630">
        <f t="shared" si="25"/>
        <v>0</v>
      </c>
    </row>
    <row r="277" spans="2:18" outlineLevel="1" x14ac:dyDescent="0.2">
      <c r="B277" s="59"/>
      <c r="C277" s="59"/>
      <c r="D277" s="59"/>
      <c r="E277" s="541"/>
      <c r="F277" s="541"/>
      <c r="G277" s="541"/>
      <c r="H277" s="541"/>
      <c r="I277" s="59"/>
      <c r="J277" s="59"/>
      <c r="K277" s="621"/>
      <c r="L277" s="621"/>
      <c r="M277" s="629">
        <f t="shared" si="26"/>
        <v>0</v>
      </c>
      <c r="N277" s="629">
        <f t="shared" si="27"/>
        <v>0</v>
      </c>
      <c r="O277" s="630">
        <f t="shared" si="24"/>
        <v>0</v>
      </c>
      <c r="P277" s="629">
        <f t="shared" si="28"/>
        <v>0</v>
      </c>
      <c r="Q277" s="629">
        <f t="shared" si="29"/>
        <v>0</v>
      </c>
      <c r="R277" s="630">
        <f t="shared" si="25"/>
        <v>0</v>
      </c>
    </row>
    <row r="278" spans="2:18" outlineLevel="1" x14ac:dyDescent="0.2">
      <c r="B278" s="59"/>
      <c r="C278" s="59"/>
      <c r="D278" s="59"/>
      <c r="E278" s="541"/>
      <c r="F278" s="541"/>
      <c r="G278" s="541"/>
      <c r="H278" s="541"/>
      <c r="I278" s="59"/>
      <c r="J278" s="59"/>
      <c r="K278" s="621"/>
      <c r="L278" s="621"/>
      <c r="M278" s="629">
        <f t="shared" si="26"/>
        <v>0</v>
      </c>
      <c r="N278" s="629">
        <f t="shared" si="27"/>
        <v>0</v>
      </c>
      <c r="O278" s="630">
        <f t="shared" si="24"/>
        <v>0</v>
      </c>
      <c r="P278" s="629">
        <f t="shared" si="28"/>
        <v>0</v>
      </c>
      <c r="Q278" s="629">
        <f t="shared" si="29"/>
        <v>0</v>
      </c>
      <c r="R278" s="630">
        <f t="shared" si="25"/>
        <v>0</v>
      </c>
    </row>
    <row r="279" spans="2:18" outlineLevel="1" x14ac:dyDescent="0.2">
      <c r="B279" s="59"/>
      <c r="C279" s="59"/>
      <c r="D279" s="59"/>
      <c r="E279" s="541"/>
      <c r="F279" s="541"/>
      <c r="G279" s="541"/>
      <c r="H279" s="541"/>
      <c r="I279" s="59"/>
      <c r="J279" s="59"/>
      <c r="K279" s="621"/>
      <c r="L279" s="621"/>
      <c r="M279" s="629">
        <f t="shared" si="26"/>
        <v>0</v>
      </c>
      <c r="N279" s="629">
        <f t="shared" si="27"/>
        <v>0</v>
      </c>
      <c r="O279" s="630">
        <f t="shared" si="24"/>
        <v>0</v>
      </c>
      <c r="P279" s="629">
        <f t="shared" si="28"/>
        <v>0</v>
      </c>
      <c r="Q279" s="629">
        <f t="shared" si="29"/>
        <v>0</v>
      </c>
      <c r="R279" s="630">
        <f t="shared" si="25"/>
        <v>0</v>
      </c>
    </row>
    <row r="280" spans="2:18" outlineLevel="1" x14ac:dyDescent="0.2">
      <c r="B280" s="59"/>
      <c r="C280" s="59"/>
      <c r="D280" s="59"/>
      <c r="E280" s="541"/>
      <c r="F280" s="541"/>
      <c r="G280" s="541"/>
      <c r="H280" s="541"/>
      <c r="I280" s="59"/>
      <c r="J280" s="59"/>
      <c r="K280" s="621"/>
      <c r="L280" s="621"/>
      <c r="M280" s="629">
        <f t="shared" si="26"/>
        <v>0</v>
      </c>
      <c r="N280" s="629">
        <f t="shared" si="27"/>
        <v>0</v>
      </c>
      <c r="O280" s="630">
        <f t="shared" si="24"/>
        <v>0</v>
      </c>
      <c r="P280" s="629">
        <f t="shared" si="28"/>
        <v>0</v>
      </c>
      <c r="Q280" s="629">
        <f t="shared" si="29"/>
        <v>0</v>
      </c>
      <c r="R280" s="630">
        <f t="shared" si="25"/>
        <v>0</v>
      </c>
    </row>
    <row r="281" spans="2:18" outlineLevel="1" x14ac:dyDescent="0.2">
      <c r="B281" s="59"/>
      <c r="C281" s="59"/>
      <c r="D281" s="59"/>
      <c r="E281" s="541"/>
      <c r="F281" s="541"/>
      <c r="G281" s="541"/>
      <c r="H281" s="541"/>
      <c r="I281" s="59"/>
      <c r="J281" s="59"/>
      <c r="K281" s="621"/>
      <c r="L281" s="621"/>
      <c r="M281" s="629">
        <f t="shared" si="26"/>
        <v>0</v>
      </c>
      <c r="N281" s="629">
        <f t="shared" si="27"/>
        <v>0</v>
      </c>
      <c r="O281" s="630">
        <f t="shared" si="24"/>
        <v>0</v>
      </c>
      <c r="P281" s="629">
        <f t="shared" si="28"/>
        <v>0</v>
      </c>
      <c r="Q281" s="629">
        <f t="shared" si="29"/>
        <v>0</v>
      </c>
      <c r="R281" s="630">
        <f t="shared" si="25"/>
        <v>0</v>
      </c>
    </row>
    <row r="282" spans="2:18" outlineLevel="1" x14ac:dyDescent="0.2">
      <c r="B282" s="59"/>
      <c r="C282" s="59"/>
      <c r="D282" s="59"/>
      <c r="E282" s="541"/>
      <c r="F282" s="541"/>
      <c r="G282" s="541"/>
      <c r="H282" s="541"/>
      <c r="I282" s="59"/>
      <c r="J282" s="59"/>
      <c r="K282" s="621"/>
      <c r="L282" s="621"/>
      <c r="M282" s="629">
        <f t="shared" si="26"/>
        <v>0</v>
      </c>
      <c r="N282" s="629">
        <f t="shared" si="27"/>
        <v>0</v>
      </c>
      <c r="O282" s="630">
        <f t="shared" si="24"/>
        <v>0</v>
      </c>
      <c r="P282" s="629">
        <f t="shared" si="28"/>
        <v>0</v>
      </c>
      <c r="Q282" s="629">
        <f t="shared" si="29"/>
        <v>0</v>
      </c>
      <c r="R282" s="630">
        <f t="shared" si="25"/>
        <v>0</v>
      </c>
    </row>
    <row r="283" spans="2:18" outlineLevel="1" x14ac:dyDescent="0.2">
      <c r="B283" s="59"/>
      <c r="C283" s="59"/>
      <c r="D283" s="59"/>
      <c r="E283" s="541"/>
      <c r="F283" s="541"/>
      <c r="G283" s="541"/>
      <c r="H283" s="541"/>
      <c r="I283" s="59"/>
      <c r="J283" s="59"/>
      <c r="K283" s="621"/>
      <c r="L283" s="621"/>
      <c r="M283" s="629">
        <f t="shared" si="26"/>
        <v>0</v>
      </c>
      <c r="N283" s="629">
        <f t="shared" si="27"/>
        <v>0</v>
      </c>
      <c r="O283" s="630">
        <f t="shared" si="24"/>
        <v>0</v>
      </c>
      <c r="P283" s="629">
        <f t="shared" si="28"/>
        <v>0</v>
      </c>
      <c r="Q283" s="629">
        <f t="shared" si="29"/>
        <v>0</v>
      </c>
      <c r="R283" s="630">
        <f t="shared" si="25"/>
        <v>0</v>
      </c>
    </row>
    <row r="284" spans="2:18" outlineLevel="1" x14ac:dyDescent="0.2">
      <c r="B284" s="59"/>
      <c r="C284" s="59"/>
      <c r="D284" s="59"/>
      <c r="E284" s="541"/>
      <c r="F284" s="541"/>
      <c r="G284" s="541"/>
      <c r="H284" s="541"/>
      <c r="I284" s="59"/>
      <c r="J284" s="59"/>
      <c r="K284" s="621"/>
      <c r="L284" s="621"/>
      <c r="M284" s="629">
        <f t="shared" si="26"/>
        <v>0</v>
      </c>
      <c r="N284" s="629">
        <f t="shared" si="27"/>
        <v>0</v>
      </c>
      <c r="O284" s="630">
        <f t="shared" si="24"/>
        <v>0</v>
      </c>
      <c r="P284" s="629">
        <f t="shared" si="28"/>
        <v>0</v>
      </c>
      <c r="Q284" s="629">
        <f t="shared" si="29"/>
        <v>0</v>
      </c>
      <c r="R284" s="630">
        <f t="shared" si="25"/>
        <v>0</v>
      </c>
    </row>
    <row r="285" spans="2:18" outlineLevel="1" x14ac:dyDescent="0.2">
      <c r="B285" s="59"/>
      <c r="C285" s="59"/>
      <c r="D285" s="59"/>
      <c r="E285" s="541"/>
      <c r="F285" s="541"/>
      <c r="G285" s="541"/>
      <c r="H285" s="541"/>
      <c r="I285" s="59"/>
      <c r="J285" s="59"/>
      <c r="K285" s="621"/>
      <c r="L285" s="621"/>
      <c r="M285" s="629">
        <f t="shared" si="26"/>
        <v>0</v>
      </c>
      <c r="N285" s="629">
        <f t="shared" si="27"/>
        <v>0</v>
      </c>
      <c r="O285" s="630">
        <f t="shared" si="24"/>
        <v>0</v>
      </c>
      <c r="P285" s="629">
        <f t="shared" si="28"/>
        <v>0</v>
      </c>
      <c r="Q285" s="629">
        <f t="shared" si="29"/>
        <v>0</v>
      </c>
      <c r="R285" s="630">
        <f t="shared" si="25"/>
        <v>0</v>
      </c>
    </row>
    <row r="286" spans="2:18" outlineLevel="1" x14ac:dyDescent="0.2">
      <c r="B286" s="59"/>
      <c r="C286" s="59"/>
      <c r="D286" s="59"/>
      <c r="E286" s="541"/>
      <c r="F286" s="541"/>
      <c r="G286" s="541"/>
      <c r="H286" s="541"/>
      <c r="I286" s="59"/>
      <c r="J286" s="59"/>
      <c r="K286" s="621"/>
      <c r="L286" s="621"/>
      <c r="M286" s="629">
        <f t="shared" si="26"/>
        <v>0</v>
      </c>
      <c r="N286" s="629">
        <f t="shared" si="27"/>
        <v>0</v>
      </c>
      <c r="O286" s="630">
        <f t="shared" si="24"/>
        <v>0</v>
      </c>
      <c r="P286" s="629">
        <f t="shared" si="28"/>
        <v>0</v>
      </c>
      <c r="Q286" s="629">
        <f t="shared" si="29"/>
        <v>0</v>
      </c>
      <c r="R286" s="630">
        <f t="shared" si="25"/>
        <v>0</v>
      </c>
    </row>
    <row r="287" spans="2:18" outlineLevel="1" x14ac:dyDescent="0.2">
      <c r="B287" s="59"/>
      <c r="C287" s="59"/>
      <c r="D287" s="59"/>
      <c r="E287" s="541"/>
      <c r="F287" s="541"/>
      <c r="G287" s="541"/>
      <c r="H287" s="541"/>
      <c r="I287" s="59"/>
      <c r="J287" s="59"/>
      <c r="K287" s="621"/>
      <c r="L287" s="621"/>
      <c r="M287" s="629">
        <f t="shared" si="26"/>
        <v>0</v>
      </c>
      <c r="N287" s="629">
        <f t="shared" si="27"/>
        <v>0</v>
      </c>
      <c r="O287" s="630">
        <f t="shared" si="24"/>
        <v>0</v>
      </c>
      <c r="P287" s="629">
        <f t="shared" si="28"/>
        <v>0</v>
      </c>
      <c r="Q287" s="629">
        <f t="shared" si="29"/>
        <v>0</v>
      </c>
      <c r="R287" s="630">
        <f t="shared" si="25"/>
        <v>0</v>
      </c>
    </row>
    <row r="288" spans="2:18" outlineLevel="1" x14ac:dyDescent="0.2">
      <c r="B288" s="59"/>
      <c r="C288" s="59"/>
      <c r="D288" s="59"/>
      <c r="E288" s="541"/>
      <c r="F288" s="541"/>
      <c r="G288" s="541"/>
      <c r="H288" s="541"/>
      <c r="I288" s="59"/>
      <c r="J288" s="59"/>
      <c r="K288" s="621"/>
      <c r="L288" s="621"/>
      <c r="M288" s="629">
        <f t="shared" si="26"/>
        <v>0</v>
      </c>
      <c r="N288" s="629">
        <f t="shared" si="27"/>
        <v>0</v>
      </c>
      <c r="O288" s="630">
        <f t="shared" si="24"/>
        <v>0</v>
      </c>
      <c r="P288" s="629">
        <f t="shared" si="28"/>
        <v>0</v>
      </c>
      <c r="Q288" s="629">
        <f t="shared" si="29"/>
        <v>0</v>
      </c>
      <c r="R288" s="630">
        <f t="shared" si="25"/>
        <v>0</v>
      </c>
    </row>
    <row r="289" spans="2:18" outlineLevel="1" x14ac:dyDescent="0.2">
      <c r="B289" s="59"/>
      <c r="C289" s="59"/>
      <c r="D289" s="59"/>
      <c r="E289" s="541"/>
      <c r="F289" s="541"/>
      <c r="G289" s="541"/>
      <c r="H289" s="541"/>
      <c r="I289" s="59"/>
      <c r="J289" s="59"/>
      <c r="K289" s="621"/>
      <c r="L289" s="621"/>
      <c r="M289" s="629">
        <f t="shared" si="26"/>
        <v>0</v>
      </c>
      <c r="N289" s="629">
        <f t="shared" si="27"/>
        <v>0</v>
      </c>
      <c r="O289" s="630">
        <f t="shared" si="24"/>
        <v>0</v>
      </c>
      <c r="P289" s="629">
        <f t="shared" si="28"/>
        <v>0</v>
      </c>
      <c r="Q289" s="629">
        <f t="shared" si="29"/>
        <v>0</v>
      </c>
      <c r="R289" s="630">
        <f t="shared" si="25"/>
        <v>0</v>
      </c>
    </row>
    <row r="290" spans="2:18" outlineLevel="1" x14ac:dyDescent="0.2">
      <c r="B290" s="59"/>
      <c r="C290" s="59"/>
      <c r="D290" s="59"/>
      <c r="E290" s="541"/>
      <c r="F290" s="541"/>
      <c r="G290" s="541"/>
      <c r="H290" s="541"/>
      <c r="I290" s="59"/>
      <c r="J290" s="59"/>
      <c r="K290" s="621"/>
      <c r="L290" s="621"/>
      <c r="M290" s="629">
        <f t="shared" si="26"/>
        <v>0</v>
      </c>
      <c r="N290" s="629">
        <f t="shared" si="27"/>
        <v>0</v>
      </c>
      <c r="O290" s="630">
        <f t="shared" si="24"/>
        <v>0</v>
      </c>
      <c r="P290" s="629">
        <f t="shared" si="28"/>
        <v>0</v>
      </c>
      <c r="Q290" s="629">
        <f t="shared" si="29"/>
        <v>0</v>
      </c>
      <c r="R290" s="630">
        <f t="shared" si="25"/>
        <v>0</v>
      </c>
    </row>
    <row r="291" spans="2:18" outlineLevel="1" x14ac:dyDescent="0.2">
      <c r="B291" s="59"/>
      <c r="C291" s="59"/>
      <c r="D291" s="59"/>
      <c r="E291" s="541"/>
      <c r="F291" s="541"/>
      <c r="G291" s="541"/>
      <c r="H291" s="541"/>
      <c r="I291" s="59"/>
      <c r="J291" s="59"/>
      <c r="K291" s="621"/>
      <c r="L291" s="621"/>
      <c r="M291" s="629">
        <f t="shared" si="26"/>
        <v>0</v>
      </c>
      <c r="N291" s="629">
        <f t="shared" si="27"/>
        <v>0</v>
      </c>
      <c r="O291" s="630">
        <f t="shared" si="24"/>
        <v>0</v>
      </c>
      <c r="P291" s="629">
        <f t="shared" si="28"/>
        <v>0</v>
      </c>
      <c r="Q291" s="629">
        <f t="shared" si="29"/>
        <v>0</v>
      </c>
      <c r="R291" s="630">
        <f t="shared" si="25"/>
        <v>0</v>
      </c>
    </row>
    <row r="292" spans="2:18" outlineLevel="1" x14ac:dyDescent="0.2">
      <c r="B292" s="59"/>
      <c r="C292" s="59"/>
      <c r="D292" s="59"/>
      <c r="E292" s="541"/>
      <c r="F292" s="541"/>
      <c r="G292" s="541"/>
      <c r="H292" s="541"/>
      <c r="I292" s="59"/>
      <c r="J292" s="59"/>
      <c r="K292" s="621"/>
      <c r="L292" s="621"/>
      <c r="M292" s="629">
        <f t="shared" si="26"/>
        <v>0</v>
      </c>
      <c r="N292" s="629">
        <f t="shared" si="27"/>
        <v>0</v>
      </c>
      <c r="O292" s="630">
        <f t="shared" si="24"/>
        <v>0</v>
      </c>
      <c r="P292" s="629">
        <f t="shared" si="28"/>
        <v>0</v>
      </c>
      <c r="Q292" s="629">
        <f t="shared" si="29"/>
        <v>0</v>
      </c>
      <c r="R292" s="630">
        <f t="shared" si="25"/>
        <v>0</v>
      </c>
    </row>
    <row r="293" spans="2:18" outlineLevel="1" x14ac:dyDescent="0.2">
      <c r="B293" s="59"/>
      <c r="C293" s="59"/>
      <c r="D293" s="59"/>
      <c r="E293" s="541"/>
      <c r="F293" s="541"/>
      <c r="G293" s="541"/>
      <c r="H293" s="541"/>
      <c r="I293" s="59"/>
      <c r="J293" s="59"/>
      <c r="K293" s="621"/>
      <c r="L293" s="621"/>
      <c r="M293" s="629">
        <f t="shared" si="26"/>
        <v>0</v>
      </c>
      <c r="N293" s="629">
        <f t="shared" si="27"/>
        <v>0</v>
      </c>
      <c r="O293" s="630">
        <f t="shared" si="24"/>
        <v>0</v>
      </c>
      <c r="P293" s="629">
        <f t="shared" si="28"/>
        <v>0</v>
      </c>
      <c r="Q293" s="629">
        <f t="shared" si="29"/>
        <v>0</v>
      </c>
      <c r="R293" s="630">
        <f t="shared" si="25"/>
        <v>0</v>
      </c>
    </row>
    <row r="294" spans="2:18" outlineLevel="1" x14ac:dyDescent="0.2">
      <c r="B294" s="59"/>
      <c r="C294" s="59"/>
      <c r="D294" s="59"/>
      <c r="E294" s="541"/>
      <c r="F294" s="541"/>
      <c r="G294" s="541"/>
      <c r="H294" s="541"/>
      <c r="I294" s="59"/>
      <c r="J294" s="59"/>
      <c r="K294" s="621"/>
      <c r="L294" s="621"/>
      <c r="M294" s="629">
        <f t="shared" si="26"/>
        <v>0</v>
      </c>
      <c r="N294" s="629">
        <f t="shared" si="27"/>
        <v>0</v>
      </c>
      <c r="O294" s="630">
        <f t="shared" si="24"/>
        <v>0</v>
      </c>
      <c r="P294" s="629">
        <f t="shared" si="28"/>
        <v>0</v>
      </c>
      <c r="Q294" s="629">
        <f t="shared" si="29"/>
        <v>0</v>
      </c>
      <c r="R294" s="630">
        <f t="shared" si="25"/>
        <v>0</v>
      </c>
    </row>
    <row r="295" spans="2:18" outlineLevel="1" x14ac:dyDescent="0.2">
      <c r="B295" s="59"/>
      <c r="C295" s="59"/>
      <c r="D295" s="59"/>
      <c r="E295" s="541"/>
      <c r="F295" s="541"/>
      <c r="G295" s="541"/>
      <c r="H295" s="541"/>
      <c r="I295" s="59"/>
      <c r="J295" s="59"/>
      <c r="K295" s="621"/>
      <c r="L295" s="621"/>
      <c r="M295" s="629">
        <f t="shared" si="26"/>
        <v>0</v>
      </c>
      <c r="N295" s="629">
        <f t="shared" si="27"/>
        <v>0</v>
      </c>
      <c r="O295" s="630">
        <f t="shared" si="24"/>
        <v>0</v>
      </c>
      <c r="P295" s="629">
        <f t="shared" si="28"/>
        <v>0</v>
      </c>
      <c r="Q295" s="629">
        <f t="shared" si="29"/>
        <v>0</v>
      </c>
      <c r="R295" s="630">
        <f t="shared" si="25"/>
        <v>0</v>
      </c>
    </row>
    <row r="296" spans="2:18" outlineLevel="1" x14ac:dyDescent="0.2">
      <c r="B296" s="59"/>
      <c r="C296" s="59"/>
      <c r="D296" s="59"/>
      <c r="E296" s="541"/>
      <c r="F296" s="541"/>
      <c r="G296" s="541"/>
      <c r="H296" s="541"/>
      <c r="I296" s="59"/>
      <c r="J296" s="59"/>
      <c r="K296" s="621"/>
      <c r="L296" s="621"/>
      <c r="M296" s="629">
        <f t="shared" si="26"/>
        <v>0</v>
      </c>
      <c r="N296" s="629">
        <f t="shared" si="27"/>
        <v>0</v>
      </c>
      <c r="O296" s="630">
        <f t="shared" si="24"/>
        <v>0</v>
      </c>
      <c r="P296" s="629">
        <f t="shared" si="28"/>
        <v>0</v>
      </c>
      <c r="Q296" s="629">
        <f t="shared" si="29"/>
        <v>0</v>
      </c>
      <c r="R296" s="630">
        <f t="shared" si="25"/>
        <v>0</v>
      </c>
    </row>
    <row r="297" spans="2:18" outlineLevel="1" x14ac:dyDescent="0.2">
      <c r="B297" s="59"/>
      <c r="C297" s="59"/>
      <c r="D297" s="59"/>
      <c r="E297" s="541"/>
      <c r="F297" s="541"/>
      <c r="G297" s="541"/>
      <c r="H297" s="541"/>
      <c r="I297" s="59"/>
      <c r="J297" s="59"/>
      <c r="K297" s="621"/>
      <c r="L297" s="621"/>
      <c r="M297" s="629">
        <f t="shared" si="26"/>
        <v>0</v>
      </c>
      <c r="N297" s="629">
        <f t="shared" si="27"/>
        <v>0</v>
      </c>
      <c r="O297" s="630">
        <f t="shared" si="24"/>
        <v>0</v>
      </c>
      <c r="P297" s="629">
        <f t="shared" si="28"/>
        <v>0</v>
      </c>
      <c r="Q297" s="629">
        <f t="shared" si="29"/>
        <v>0</v>
      </c>
      <c r="R297" s="630">
        <f t="shared" si="25"/>
        <v>0</v>
      </c>
    </row>
    <row r="298" spans="2:18" outlineLevel="1" x14ac:dyDescent="0.2">
      <c r="B298" s="59"/>
      <c r="C298" s="59"/>
      <c r="D298" s="59"/>
      <c r="E298" s="541"/>
      <c r="F298" s="541"/>
      <c r="G298" s="541"/>
      <c r="H298" s="541"/>
      <c r="I298" s="59"/>
      <c r="J298" s="59"/>
      <c r="K298" s="621"/>
      <c r="L298" s="621"/>
      <c r="M298" s="629">
        <f t="shared" si="26"/>
        <v>0</v>
      </c>
      <c r="N298" s="629">
        <f t="shared" si="27"/>
        <v>0</v>
      </c>
      <c r="O298" s="630">
        <f t="shared" si="24"/>
        <v>0</v>
      </c>
      <c r="P298" s="629">
        <f t="shared" si="28"/>
        <v>0</v>
      </c>
      <c r="Q298" s="629">
        <f t="shared" si="29"/>
        <v>0</v>
      </c>
      <c r="R298" s="630">
        <f t="shared" si="25"/>
        <v>0</v>
      </c>
    </row>
    <row r="299" spans="2:18" outlineLevel="1" x14ac:dyDescent="0.2">
      <c r="B299" s="59"/>
      <c r="C299" s="59"/>
      <c r="D299" s="59"/>
      <c r="E299" s="541"/>
      <c r="F299" s="541"/>
      <c r="G299" s="541"/>
      <c r="H299" s="541"/>
      <c r="I299" s="59"/>
      <c r="J299" s="59"/>
      <c r="K299" s="621"/>
      <c r="L299" s="621"/>
      <c r="M299" s="629">
        <f t="shared" si="26"/>
        <v>0</v>
      </c>
      <c r="N299" s="629">
        <f t="shared" si="27"/>
        <v>0</v>
      </c>
      <c r="O299" s="630">
        <f t="shared" si="24"/>
        <v>0</v>
      </c>
      <c r="P299" s="629">
        <f t="shared" si="28"/>
        <v>0</v>
      </c>
      <c r="Q299" s="629">
        <f t="shared" si="29"/>
        <v>0</v>
      </c>
      <c r="R299" s="630">
        <f t="shared" si="25"/>
        <v>0</v>
      </c>
    </row>
    <row r="300" spans="2:18" outlineLevel="1" x14ac:dyDescent="0.2">
      <c r="B300" s="59"/>
      <c r="C300" s="59"/>
      <c r="D300" s="59"/>
      <c r="E300" s="541"/>
      <c r="F300" s="541"/>
      <c r="G300" s="541"/>
      <c r="H300" s="541"/>
      <c r="I300" s="59"/>
      <c r="J300" s="59"/>
      <c r="K300" s="621"/>
      <c r="L300" s="621"/>
      <c r="M300" s="629">
        <f t="shared" si="26"/>
        <v>0</v>
      </c>
      <c r="N300" s="629">
        <f t="shared" si="27"/>
        <v>0</v>
      </c>
      <c r="O300" s="630">
        <f t="shared" si="24"/>
        <v>0</v>
      </c>
      <c r="P300" s="629">
        <f t="shared" si="28"/>
        <v>0</v>
      </c>
      <c r="Q300" s="629">
        <f t="shared" si="29"/>
        <v>0</v>
      </c>
      <c r="R300" s="630">
        <f t="shared" si="25"/>
        <v>0</v>
      </c>
    </row>
    <row r="301" spans="2:18" outlineLevel="1" x14ac:dyDescent="0.2">
      <c r="B301" s="59"/>
      <c r="C301" s="59"/>
      <c r="D301" s="59"/>
      <c r="E301" s="541"/>
      <c r="F301" s="541"/>
      <c r="G301" s="541"/>
      <c r="H301" s="541"/>
      <c r="I301" s="59"/>
      <c r="J301" s="59"/>
      <c r="K301" s="621"/>
      <c r="L301" s="621"/>
      <c r="M301" s="629">
        <f t="shared" si="26"/>
        <v>0</v>
      </c>
      <c r="N301" s="629">
        <f t="shared" si="27"/>
        <v>0</v>
      </c>
      <c r="O301" s="630">
        <f t="shared" si="24"/>
        <v>0</v>
      </c>
      <c r="P301" s="629">
        <f t="shared" si="28"/>
        <v>0</v>
      </c>
      <c r="Q301" s="629">
        <f t="shared" si="29"/>
        <v>0</v>
      </c>
      <c r="R301" s="630">
        <f t="shared" si="25"/>
        <v>0</v>
      </c>
    </row>
    <row r="302" spans="2:18" outlineLevel="1" x14ac:dyDescent="0.2">
      <c r="B302" s="59"/>
      <c r="C302" s="59"/>
      <c r="D302" s="59"/>
      <c r="E302" s="541"/>
      <c r="F302" s="541"/>
      <c r="G302" s="541"/>
      <c r="H302" s="541"/>
      <c r="I302" s="59"/>
      <c r="J302" s="59"/>
      <c r="K302" s="621"/>
      <c r="L302" s="621"/>
      <c r="M302" s="629">
        <f t="shared" si="26"/>
        <v>0</v>
      </c>
      <c r="N302" s="629">
        <f t="shared" si="27"/>
        <v>0</v>
      </c>
      <c r="O302" s="630">
        <f t="shared" si="24"/>
        <v>0</v>
      </c>
      <c r="P302" s="629">
        <f t="shared" si="28"/>
        <v>0</v>
      </c>
      <c r="Q302" s="629">
        <f t="shared" si="29"/>
        <v>0</v>
      </c>
      <c r="R302" s="630">
        <f t="shared" si="25"/>
        <v>0</v>
      </c>
    </row>
    <row r="303" spans="2:18" outlineLevel="1" x14ac:dyDescent="0.2">
      <c r="B303" s="59"/>
      <c r="C303" s="59"/>
      <c r="D303" s="59"/>
      <c r="E303" s="541"/>
      <c r="F303" s="541"/>
      <c r="G303" s="541"/>
      <c r="H303" s="541"/>
      <c r="I303" s="59"/>
      <c r="J303" s="59"/>
      <c r="K303" s="621"/>
      <c r="L303" s="621"/>
      <c r="M303" s="629">
        <f t="shared" si="26"/>
        <v>0</v>
      </c>
      <c r="N303" s="629">
        <f t="shared" si="27"/>
        <v>0</v>
      </c>
      <c r="O303" s="630">
        <f t="shared" si="24"/>
        <v>0</v>
      </c>
      <c r="P303" s="629">
        <f t="shared" si="28"/>
        <v>0</v>
      </c>
      <c r="Q303" s="629">
        <f t="shared" si="29"/>
        <v>0</v>
      </c>
      <c r="R303" s="630">
        <f t="shared" si="25"/>
        <v>0</v>
      </c>
    </row>
    <row r="304" spans="2:18" outlineLevel="1" x14ac:dyDescent="0.2">
      <c r="B304" s="59"/>
      <c r="C304" s="59"/>
      <c r="D304" s="59"/>
      <c r="E304" s="541"/>
      <c r="F304" s="541"/>
      <c r="G304" s="541"/>
      <c r="H304" s="541"/>
      <c r="I304" s="59"/>
      <c r="J304" s="59"/>
      <c r="K304" s="621"/>
      <c r="L304" s="621"/>
      <c r="M304" s="629">
        <f t="shared" si="26"/>
        <v>0</v>
      </c>
      <c r="N304" s="629">
        <f t="shared" si="27"/>
        <v>0</v>
      </c>
      <c r="O304" s="630">
        <f t="shared" si="24"/>
        <v>0</v>
      </c>
      <c r="P304" s="629">
        <f t="shared" si="28"/>
        <v>0</v>
      </c>
      <c r="Q304" s="629">
        <f t="shared" si="29"/>
        <v>0</v>
      </c>
      <c r="R304" s="630">
        <f t="shared" si="25"/>
        <v>0</v>
      </c>
    </row>
    <row r="305" spans="2:18" outlineLevel="1" x14ac:dyDescent="0.2">
      <c r="B305" s="59"/>
      <c r="C305" s="59"/>
      <c r="D305" s="59"/>
      <c r="E305" s="541"/>
      <c r="F305" s="541"/>
      <c r="G305" s="541"/>
      <c r="H305" s="541"/>
      <c r="I305" s="59"/>
      <c r="J305" s="59"/>
      <c r="K305" s="621"/>
      <c r="L305" s="621"/>
      <c r="M305" s="629">
        <f t="shared" si="26"/>
        <v>0</v>
      </c>
      <c r="N305" s="629">
        <f t="shared" si="27"/>
        <v>0</v>
      </c>
      <c r="O305" s="630">
        <f t="shared" si="24"/>
        <v>0</v>
      </c>
      <c r="P305" s="629">
        <f t="shared" si="28"/>
        <v>0</v>
      </c>
      <c r="Q305" s="629">
        <f t="shared" si="29"/>
        <v>0</v>
      </c>
      <c r="R305" s="630">
        <f t="shared" si="25"/>
        <v>0</v>
      </c>
    </row>
    <row r="306" spans="2:18" outlineLevel="1" x14ac:dyDescent="0.2">
      <c r="B306" s="59"/>
      <c r="C306" s="59"/>
      <c r="D306" s="59"/>
      <c r="E306" s="541"/>
      <c r="F306" s="541"/>
      <c r="G306" s="541"/>
      <c r="H306" s="541"/>
      <c r="I306" s="59"/>
      <c r="J306" s="59"/>
      <c r="K306" s="621"/>
      <c r="L306" s="621"/>
      <c r="M306" s="629">
        <f t="shared" si="26"/>
        <v>0</v>
      </c>
      <c r="N306" s="629">
        <f t="shared" si="27"/>
        <v>0</v>
      </c>
      <c r="O306" s="630">
        <f t="shared" si="24"/>
        <v>0</v>
      </c>
      <c r="P306" s="629">
        <f t="shared" si="28"/>
        <v>0</v>
      </c>
      <c r="Q306" s="629">
        <f t="shared" si="29"/>
        <v>0</v>
      </c>
      <c r="R306" s="630">
        <f t="shared" si="25"/>
        <v>0</v>
      </c>
    </row>
    <row r="307" spans="2:18" outlineLevel="1" x14ac:dyDescent="0.2">
      <c r="B307" s="59"/>
      <c r="C307" s="59"/>
      <c r="D307" s="59"/>
      <c r="E307" s="541"/>
      <c r="F307" s="541"/>
      <c r="G307" s="541"/>
      <c r="H307" s="541"/>
      <c r="I307" s="59"/>
      <c r="J307" s="59"/>
      <c r="K307" s="621"/>
      <c r="L307" s="621"/>
      <c r="M307" s="629">
        <f t="shared" si="26"/>
        <v>0</v>
      </c>
      <c r="N307" s="629">
        <f t="shared" si="27"/>
        <v>0</v>
      </c>
      <c r="O307" s="630">
        <f t="shared" si="24"/>
        <v>0</v>
      </c>
      <c r="P307" s="629">
        <f t="shared" si="28"/>
        <v>0</v>
      </c>
      <c r="Q307" s="629">
        <f t="shared" si="29"/>
        <v>0</v>
      </c>
      <c r="R307" s="630">
        <f t="shared" si="25"/>
        <v>0</v>
      </c>
    </row>
    <row r="308" spans="2:18" outlineLevel="1" x14ac:dyDescent="0.2">
      <c r="B308" s="59"/>
      <c r="C308" s="59"/>
      <c r="D308" s="59"/>
      <c r="E308" s="541"/>
      <c r="F308" s="541"/>
      <c r="G308" s="541"/>
      <c r="H308" s="541"/>
      <c r="I308" s="59"/>
      <c r="J308" s="59"/>
      <c r="K308" s="621"/>
      <c r="L308" s="621"/>
      <c r="M308" s="629">
        <f t="shared" si="26"/>
        <v>0</v>
      </c>
      <c r="N308" s="629">
        <f t="shared" si="27"/>
        <v>0</v>
      </c>
      <c r="O308" s="630">
        <f t="shared" si="24"/>
        <v>0</v>
      </c>
      <c r="P308" s="629">
        <f t="shared" si="28"/>
        <v>0</v>
      </c>
      <c r="Q308" s="629">
        <f t="shared" si="29"/>
        <v>0</v>
      </c>
      <c r="R308" s="630">
        <f t="shared" si="25"/>
        <v>0</v>
      </c>
    </row>
    <row r="309" spans="2:18" outlineLevel="1" x14ac:dyDescent="0.2">
      <c r="B309" s="59"/>
      <c r="C309" s="59"/>
      <c r="D309" s="59"/>
      <c r="E309" s="541"/>
      <c r="F309" s="541"/>
      <c r="G309" s="541"/>
      <c r="H309" s="541"/>
      <c r="I309" s="59"/>
      <c r="J309" s="59"/>
      <c r="K309" s="621"/>
      <c r="L309" s="621"/>
      <c r="M309" s="629">
        <f t="shared" si="26"/>
        <v>0</v>
      </c>
      <c r="N309" s="629">
        <f t="shared" si="27"/>
        <v>0</v>
      </c>
      <c r="O309" s="630">
        <f t="shared" si="24"/>
        <v>0</v>
      </c>
      <c r="P309" s="629">
        <f t="shared" si="28"/>
        <v>0</v>
      </c>
      <c r="Q309" s="629">
        <f t="shared" si="29"/>
        <v>0</v>
      </c>
      <c r="R309" s="630">
        <f t="shared" si="25"/>
        <v>0</v>
      </c>
    </row>
    <row r="310" spans="2:18" outlineLevel="1" x14ac:dyDescent="0.2">
      <c r="B310" s="59"/>
      <c r="C310" s="59"/>
      <c r="D310" s="59"/>
      <c r="E310" s="541"/>
      <c r="F310" s="541"/>
      <c r="G310" s="541"/>
      <c r="H310" s="541"/>
      <c r="I310" s="59"/>
      <c r="J310" s="59"/>
      <c r="K310" s="621"/>
      <c r="L310" s="621"/>
      <c r="M310" s="629">
        <f t="shared" si="26"/>
        <v>0</v>
      </c>
      <c r="N310" s="629">
        <f t="shared" si="27"/>
        <v>0</v>
      </c>
      <c r="O310" s="630">
        <f t="shared" si="24"/>
        <v>0</v>
      </c>
      <c r="P310" s="629">
        <f t="shared" si="28"/>
        <v>0</v>
      </c>
      <c r="Q310" s="629">
        <f t="shared" si="29"/>
        <v>0</v>
      </c>
      <c r="R310" s="630">
        <f t="shared" si="25"/>
        <v>0</v>
      </c>
    </row>
    <row r="311" spans="2:18" outlineLevel="1" x14ac:dyDescent="0.2">
      <c r="B311" s="59"/>
      <c r="C311" s="59"/>
      <c r="D311" s="59"/>
      <c r="E311" s="541"/>
      <c r="F311" s="541"/>
      <c r="G311" s="541"/>
      <c r="H311" s="541"/>
      <c r="I311" s="59"/>
      <c r="J311" s="59"/>
      <c r="K311" s="621"/>
      <c r="L311" s="621"/>
      <c r="M311" s="629">
        <f t="shared" si="26"/>
        <v>0</v>
      </c>
      <c r="N311" s="629">
        <f t="shared" si="27"/>
        <v>0</v>
      </c>
      <c r="O311" s="630">
        <f t="shared" si="24"/>
        <v>0</v>
      </c>
      <c r="P311" s="629">
        <f t="shared" si="28"/>
        <v>0</v>
      </c>
      <c r="Q311" s="629">
        <f t="shared" si="29"/>
        <v>0</v>
      </c>
      <c r="R311" s="630">
        <f t="shared" si="25"/>
        <v>0</v>
      </c>
    </row>
    <row r="312" spans="2:18" outlineLevel="1" x14ac:dyDescent="0.2">
      <c r="B312" s="59"/>
      <c r="C312" s="59"/>
      <c r="D312" s="59"/>
      <c r="E312" s="541"/>
      <c r="F312" s="541"/>
      <c r="G312" s="541"/>
      <c r="H312" s="541"/>
      <c r="I312" s="59"/>
      <c r="J312" s="59"/>
      <c r="K312" s="621"/>
      <c r="L312" s="621"/>
      <c r="M312" s="629">
        <f t="shared" si="26"/>
        <v>0</v>
      </c>
      <c r="N312" s="629">
        <f t="shared" si="27"/>
        <v>0</v>
      </c>
      <c r="O312" s="630">
        <f t="shared" si="24"/>
        <v>0</v>
      </c>
      <c r="P312" s="629">
        <f t="shared" si="28"/>
        <v>0</v>
      </c>
      <c r="Q312" s="629">
        <f t="shared" si="29"/>
        <v>0</v>
      </c>
      <c r="R312" s="630">
        <f t="shared" si="25"/>
        <v>0</v>
      </c>
    </row>
    <row r="313" spans="2:18" outlineLevel="1" x14ac:dyDescent="0.2">
      <c r="B313" s="59"/>
      <c r="C313" s="59"/>
      <c r="D313" s="59"/>
      <c r="E313" s="541"/>
      <c r="F313" s="541"/>
      <c r="G313" s="541"/>
      <c r="H313" s="541"/>
      <c r="I313" s="59"/>
      <c r="J313" s="59"/>
      <c r="K313" s="621"/>
      <c r="L313" s="621"/>
      <c r="M313" s="629">
        <f t="shared" si="26"/>
        <v>0</v>
      </c>
      <c r="N313" s="629">
        <f t="shared" si="27"/>
        <v>0</v>
      </c>
      <c r="O313" s="630">
        <f t="shared" si="24"/>
        <v>0</v>
      </c>
      <c r="P313" s="629">
        <f t="shared" si="28"/>
        <v>0</v>
      </c>
      <c r="Q313" s="629">
        <f t="shared" si="29"/>
        <v>0</v>
      </c>
      <c r="R313" s="630">
        <f t="shared" si="25"/>
        <v>0</v>
      </c>
    </row>
    <row r="314" spans="2:18" outlineLevel="1" x14ac:dyDescent="0.2">
      <c r="B314" s="59"/>
      <c r="C314" s="59"/>
      <c r="D314" s="59"/>
      <c r="E314" s="541"/>
      <c r="F314" s="541"/>
      <c r="G314" s="541"/>
      <c r="H314" s="541"/>
      <c r="I314" s="59"/>
      <c r="J314" s="59"/>
      <c r="K314" s="621"/>
      <c r="L314" s="621"/>
      <c r="M314" s="629">
        <f t="shared" si="26"/>
        <v>0</v>
      </c>
      <c r="N314" s="629">
        <f t="shared" si="27"/>
        <v>0</v>
      </c>
      <c r="O314" s="630">
        <f t="shared" si="24"/>
        <v>0</v>
      </c>
      <c r="P314" s="629">
        <f t="shared" si="28"/>
        <v>0</v>
      </c>
      <c r="Q314" s="629">
        <f t="shared" si="29"/>
        <v>0</v>
      </c>
      <c r="R314" s="630">
        <f t="shared" si="25"/>
        <v>0</v>
      </c>
    </row>
    <row r="315" spans="2:18" outlineLevel="1" x14ac:dyDescent="0.2">
      <c r="B315" s="59"/>
      <c r="C315" s="59"/>
      <c r="D315" s="59"/>
      <c r="E315" s="541"/>
      <c r="F315" s="541"/>
      <c r="G315" s="541"/>
      <c r="H315" s="541"/>
      <c r="I315" s="59"/>
      <c r="J315" s="59"/>
      <c r="K315" s="621"/>
      <c r="L315" s="621"/>
      <c r="M315" s="629">
        <f t="shared" si="26"/>
        <v>0</v>
      </c>
      <c r="N315" s="629">
        <f t="shared" si="27"/>
        <v>0</v>
      </c>
      <c r="O315" s="630">
        <f t="shared" si="24"/>
        <v>0</v>
      </c>
      <c r="P315" s="629">
        <f t="shared" si="28"/>
        <v>0</v>
      </c>
      <c r="Q315" s="629">
        <f t="shared" si="29"/>
        <v>0</v>
      </c>
      <c r="R315" s="630">
        <f t="shared" si="25"/>
        <v>0</v>
      </c>
    </row>
    <row r="316" spans="2:18" outlineLevel="1" x14ac:dyDescent="0.2">
      <c r="B316" s="59"/>
      <c r="C316" s="59"/>
      <c r="D316" s="59"/>
      <c r="E316" s="541"/>
      <c r="F316" s="541"/>
      <c r="G316" s="541"/>
      <c r="H316" s="541"/>
      <c r="I316" s="59"/>
      <c r="J316" s="59"/>
      <c r="K316" s="621"/>
      <c r="L316" s="621"/>
      <c r="M316" s="629">
        <f t="shared" si="26"/>
        <v>0</v>
      </c>
      <c r="N316" s="629">
        <f t="shared" si="27"/>
        <v>0</v>
      </c>
      <c r="O316" s="630">
        <f t="shared" si="24"/>
        <v>0</v>
      </c>
      <c r="P316" s="629">
        <f t="shared" si="28"/>
        <v>0</v>
      </c>
      <c r="Q316" s="629">
        <f t="shared" si="29"/>
        <v>0</v>
      </c>
      <c r="R316" s="630">
        <f t="shared" si="25"/>
        <v>0</v>
      </c>
    </row>
    <row r="317" spans="2:18" outlineLevel="1" x14ac:dyDescent="0.2">
      <c r="B317" s="59"/>
      <c r="C317" s="59"/>
      <c r="D317" s="59"/>
      <c r="E317" s="541"/>
      <c r="F317" s="541"/>
      <c r="G317" s="541"/>
      <c r="H317" s="541"/>
      <c r="I317" s="59"/>
      <c r="J317" s="59"/>
      <c r="K317" s="621"/>
      <c r="L317" s="621"/>
      <c r="M317" s="629">
        <f t="shared" si="26"/>
        <v>0</v>
      </c>
      <c r="N317" s="629">
        <f t="shared" si="27"/>
        <v>0</v>
      </c>
      <c r="O317" s="630">
        <f t="shared" si="24"/>
        <v>0</v>
      </c>
      <c r="P317" s="629">
        <f t="shared" si="28"/>
        <v>0</v>
      </c>
      <c r="Q317" s="629">
        <f t="shared" si="29"/>
        <v>0</v>
      </c>
      <c r="R317" s="630">
        <f t="shared" si="25"/>
        <v>0</v>
      </c>
    </row>
    <row r="318" spans="2:18" outlineLevel="1" x14ac:dyDescent="0.2">
      <c r="B318" s="59"/>
      <c r="C318" s="59"/>
      <c r="D318" s="59"/>
      <c r="E318" s="541"/>
      <c r="F318" s="541"/>
      <c r="G318" s="541"/>
      <c r="H318" s="541"/>
      <c r="I318" s="59"/>
      <c r="J318" s="59"/>
      <c r="K318" s="621"/>
      <c r="L318" s="621"/>
      <c r="M318" s="629">
        <f t="shared" si="26"/>
        <v>0</v>
      </c>
      <c r="N318" s="629">
        <f t="shared" si="27"/>
        <v>0</v>
      </c>
      <c r="O318" s="630">
        <f t="shared" si="24"/>
        <v>0</v>
      </c>
      <c r="P318" s="629">
        <f t="shared" si="28"/>
        <v>0</v>
      </c>
      <c r="Q318" s="629">
        <f t="shared" si="29"/>
        <v>0</v>
      </c>
      <c r="R318" s="630">
        <f t="shared" si="25"/>
        <v>0</v>
      </c>
    </row>
    <row r="319" spans="2:18" outlineLevel="1" x14ac:dyDescent="0.2">
      <c r="B319" s="59"/>
      <c r="C319" s="59"/>
      <c r="D319" s="59"/>
      <c r="E319" s="541"/>
      <c r="F319" s="541"/>
      <c r="G319" s="541"/>
      <c r="H319" s="541"/>
      <c r="I319" s="59"/>
      <c r="J319" s="59"/>
      <c r="K319" s="621"/>
      <c r="L319" s="621"/>
      <c r="M319" s="629">
        <f t="shared" si="26"/>
        <v>0</v>
      </c>
      <c r="N319" s="629">
        <f t="shared" si="27"/>
        <v>0</v>
      </c>
      <c r="O319" s="630">
        <f t="shared" si="24"/>
        <v>0</v>
      </c>
      <c r="P319" s="629">
        <f t="shared" si="28"/>
        <v>0</v>
      </c>
      <c r="Q319" s="629">
        <f t="shared" si="29"/>
        <v>0</v>
      </c>
      <c r="R319" s="630">
        <f t="shared" si="25"/>
        <v>0</v>
      </c>
    </row>
    <row r="320" spans="2:18" outlineLevel="1" x14ac:dyDescent="0.2">
      <c r="B320" s="59"/>
      <c r="C320" s="59"/>
      <c r="D320" s="59"/>
      <c r="E320" s="541"/>
      <c r="F320" s="541"/>
      <c r="G320" s="541"/>
      <c r="H320" s="541"/>
      <c r="I320" s="59"/>
      <c r="J320" s="59"/>
      <c r="K320" s="621"/>
      <c r="L320" s="621"/>
      <c r="M320" s="629">
        <f t="shared" si="26"/>
        <v>0</v>
      </c>
      <c r="N320" s="629">
        <f t="shared" si="27"/>
        <v>0</v>
      </c>
      <c r="O320" s="630">
        <f t="shared" si="24"/>
        <v>0</v>
      </c>
      <c r="P320" s="629">
        <f t="shared" si="28"/>
        <v>0</v>
      </c>
      <c r="Q320" s="629">
        <f t="shared" si="29"/>
        <v>0</v>
      </c>
      <c r="R320" s="630">
        <f t="shared" si="25"/>
        <v>0</v>
      </c>
    </row>
    <row r="321" spans="2:18" outlineLevel="1" x14ac:dyDescent="0.2">
      <c r="B321" s="59"/>
      <c r="C321" s="59"/>
      <c r="D321" s="59"/>
      <c r="E321" s="541"/>
      <c r="F321" s="541"/>
      <c r="G321" s="541"/>
      <c r="H321" s="541"/>
      <c r="I321" s="59"/>
      <c r="J321" s="59"/>
      <c r="K321" s="621"/>
      <c r="L321" s="621"/>
      <c r="M321" s="629">
        <f t="shared" si="26"/>
        <v>0</v>
      </c>
      <c r="N321" s="629">
        <f t="shared" si="27"/>
        <v>0</v>
      </c>
      <c r="O321" s="630">
        <f t="shared" si="24"/>
        <v>0</v>
      </c>
      <c r="P321" s="629">
        <f t="shared" si="28"/>
        <v>0</v>
      </c>
      <c r="Q321" s="629">
        <f t="shared" si="29"/>
        <v>0</v>
      </c>
      <c r="R321" s="630">
        <f t="shared" si="25"/>
        <v>0</v>
      </c>
    </row>
    <row r="322" spans="2:18" outlineLevel="1" x14ac:dyDescent="0.2">
      <c r="B322" s="59"/>
      <c r="C322" s="59"/>
      <c r="D322" s="59"/>
      <c r="E322" s="541"/>
      <c r="F322" s="541"/>
      <c r="G322" s="541"/>
      <c r="H322" s="541"/>
      <c r="I322" s="59"/>
      <c r="J322" s="59"/>
      <c r="K322" s="621"/>
      <c r="L322" s="621"/>
      <c r="M322" s="629">
        <f t="shared" si="26"/>
        <v>0</v>
      </c>
      <c r="N322" s="629">
        <f t="shared" si="27"/>
        <v>0</v>
      </c>
      <c r="O322" s="630">
        <f t="shared" si="24"/>
        <v>0</v>
      </c>
      <c r="P322" s="629">
        <f t="shared" si="28"/>
        <v>0</v>
      </c>
      <c r="Q322" s="629">
        <f t="shared" si="29"/>
        <v>0</v>
      </c>
      <c r="R322" s="630">
        <f t="shared" si="25"/>
        <v>0</v>
      </c>
    </row>
    <row r="323" spans="2:18" outlineLevel="1" x14ac:dyDescent="0.2">
      <c r="B323" s="59"/>
      <c r="C323" s="59"/>
      <c r="D323" s="59"/>
      <c r="E323" s="541"/>
      <c r="F323" s="541"/>
      <c r="G323" s="541"/>
      <c r="H323" s="541"/>
      <c r="I323" s="59"/>
      <c r="J323" s="59"/>
      <c r="K323" s="621"/>
      <c r="L323" s="621"/>
      <c r="M323" s="629">
        <f t="shared" si="26"/>
        <v>0</v>
      </c>
      <c r="N323" s="629">
        <f t="shared" si="27"/>
        <v>0</v>
      </c>
      <c r="O323" s="630">
        <f t="shared" si="24"/>
        <v>0</v>
      </c>
      <c r="P323" s="629">
        <f t="shared" si="28"/>
        <v>0</v>
      </c>
      <c r="Q323" s="629">
        <f t="shared" si="29"/>
        <v>0</v>
      </c>
      <c r="R323" s="630">
        <f t="shared" si="25"/>
        <v>0</v>
      </c>
    </row>
    <row r="324" spans="2:18" outlineLevel="1" x14ac:dyDescent="0.2">
      <c r="B324" s="59"/>
      <c r="C324" s="59"/>
      <c r="D324" s="59"/>
      <c r="E324" s="541"/>
      <c r="F324" s="541"/>
      <c r="G324" s="541"/>
      <c r="H324" s="541"/>
      <c r="I324" s="59"/>
      <c r="J324" s="59"/>
      <c r="K324" s="621"/>
      <c r="L324" s="621"/>
      <c r="M324" s="629">
        <f t="shared" si="26"/>
        <v>0</v>
      </c>
      <c r="N324" s="629">
        <f t="shared" si="27"/>
        <v>0</v>
      </c>
      <c r="O324" s="630">
        <f t="shared" si="24"/>
        <v>0</v>
      </c>
      <c r="P324" s="629">
        <f t="shared" si="28"/>
        <v>0</v>
      </c>
      <c r="Q324" s="629">
        <f t="shared" si="29"/>
        <v>0</v>
      </c>
      <c r="R324" s="630">
        <f t="shared" si="25"/>
        <v>0</v>
      </c>
    </row>
    <row r="325" spans="2:18" outlineLevel="1" x14ac:dyDescent="0.2">
      <c r="B325" s="59"/>
      <c r="C325" s="59"/>
      <c r="D325" s="59"/>
      <c r="E325" s="541"/>
      <c r="F325" s="541"/>
      <c r="G325" s="541"/>
      <c r="H325" s="541"/>
      <c r="I325" s="59"/>
      <c r="J325" s="59"/>
      <c r="K325" s="621"/>
      <c r="L325" s="621"/>
      <c r="M325" s="629">
        <f t="shared" si="26"/>
        <v>0</v>
      </c>
      <c r="N325" s="629">
        <f t="shared" si="27"/>
        <v>0</v>
      </c>
      <c r="O325" s="630">
        <f t="shared" ref="O325:O388" si="30">M325+N325</f>
        <v>0</v>
      </c>
      <c r="P325" s="629">
        <f t="shared" si="28"/>
        <v>0</v>
      </c>
      <c r="Q325" s="629">
        <f t="shared" si="29"/>
        <v>0</v>
      </c>
      <c r="R325" s="630">
        <f t="shared" ref="R325:R388" si="31">P325+Q325</f>
        <v>0</v>
      </c>
    </row>
    <row r="326" spans="2:18" outlineLevel="1" x14ac:dyDescent="0.2">
      <c r="B326" s="59"/>
      <c r="C326" s="59"/>
      <c r="D326" s="59"/>
      <c r="E326" s="541"/>
      <c r="F326" s="541"/>
      <c r="G326" s="541"/>
      <c r="H326" s="541"/>
      <c r="I326" s="59"/>
      <c r="J326" s="59"/>
      <c r="K326" s="621"/>
      <c r="L326" s="621"/>
      <c r="M326" s="629">
        <f t="shared" ref="M326:M389" si="32">G326*(-1)</f>
        <v>0</v>
      </c>
      <c r="N326" s="629">
        <f t="shared" ref="N326:N389" si="33">H326*(-1)</f>
        <v>0</v>
      </c>
      <c r="O326" s="630">
        <f t="shared" si="30"/>
        <v>0</v>
      </c>
      <c r="P326" s="629">
        <f t="shared" ref="P326:P389" si="34">+IF(AND(I326="NO",E326&gt;G326),(E326-G326)*K326*(-1),0)</f>
        <v>0</v>
      </c>
      <c r="Q326" s="629">
        <f t="shared" ref="Q326:Q389" si="35">+IF(AND(J326="NO",F326&gt;H326),(F326-H326)*L326*(-1),0)</f>
        <v>0</v>
      </c>
      <c r="R326" s="630">
        <f t="shared" si="31"/>
        <v>0</v>
      </c>
    </row>
    <row r="327" spans="2:18" outlineLevel="1" x14ac:dyDescent="0.2">
      <c r="B327" s="59"/>
      <c r="C327" s="59"/>
      <c r="D327" s="59"/>
      <c r="E327" s="541"/>
      <c r="F327" s="541"/>
      <c r="G327" s="541"/>
      <c r="H327" s="541"/>
      <c r="I327" s="59"/>
      <c r="J327" s="59"/>
      <c r="K327" s="621"/>
      <c r="L327" s="621"/>
      <c r="M327" s="629">
        <f t="shared" si="32"/>
        <v>0</v>
      </c>
      <c r="N327" s="629">
        <f t="shared" si="33"/>
        <v>0</v>
      </c>
      <c r="O327" s="630">
        <f t="shared" si="30"/>
        <v>0</v>
      </c>
      <c r="P327" s="629">
        <f t="shared" si="34"/>
        <v>0</v>
      </c>
      <c r="Q327" s="629">
        <f t="shared" si="35"/>
        <v>0</v>
      </c>
      <c r="R327" s="630">
        <f t="shared" si="31"/>
        <v>0</v>
      </c>
    </row>
    <row r="328" spans="2:18" outlineLevel="1" x14ac:dyDescent="0.2">
      <c r="B328" s="59"/>
      <c r="C328" s="59"/>
      <c r="D328" s="59"/>
      <c r="E328" s="541"/>
      <c r="F328" s="541"/>
      <c r="G328" s="541"/>
      <c r="H328" s="541"/>
      <c r="I328" s="59"/>
      <c r="J328" s="59"/>
      <c r="K328" s="621"/>
      <c r="L328" s="621"/>
      <c r="M328" s="629">
        <f t="shared" si="32"/>
        <v>0</v>
      </c>
      <c r="N328" s="629">
        <f t="shared" si="33"/>
        <v>0</v>
      </c>
      <c r="O328" s="630">
        <f t="shared" si="30"/>
        <v>0</v>
      </c>
      <c r="P328" s="629">
        <f t="shared" si="34"/>
        <v>0</v>
      </c>
      <c r="Q328" s="629">
        <f t="shared" si="35"/>
        <v>0</v>
      </c>
      <c r="R328" s="630">
        <f t="shared" si="31"/>
        <v>0</v>
      </c>
    </row>
    <row r="329" spans="2:18" outlineLevel="1" x14ac:dyDescent="0.2">
      <c r="B329" s="59"/>
      <c r="C329" s="59"/>
      <c r="D329" s="59"/>
      <c r="E329" s="541"/>
      <c r="F329" s="541"/>
      <c r="G329" s="541"/>
      <c r="H329" s="541"/>
      <c r="I329" s="59"/>
      <c r="J329" s="59"/>
      <c r="K329" s="621"/>
      <c r="L329" s="621"/>
      <c r="M329" s="629">
        <f t="shared" si="32"/>
        <v>0</v>
      </c>
      <c r="N329" s="629">
        <f t="shared" si="33"/>
        <v>0</v>
      </c>
      <c r="O329" s="630">
        <f t="shared" si="30"/>
        <v>0</v>
      </c>
      <c r="P329" s="629">
        <f t="shared" si="34"/>
        <v>0</v>
      </c>
      <c r="Q329" s="629">
        <f t="shared" si="35"/>
        <v>0</v>
      </c>
      <c r="R329" s="630">
        <f t="shared" si="31"/>
        <v>0</v>
      </c>
    </row>
    <row r="330" spans="2:18" outlineLevel="1" x14ac:dyDescent="0.2">
      <c r="B330" s="59"/>
      <c r="C330" s="59"/>
      <c r="D330" s="59"/>
      <c r="E330" s="541"/>
      <c r="F330" s="541"/>
      <c r="G330" s="541"/>
      <c r="H330" s="541"/>
      <c r="I330" s="59"/>
      <c r="J330" s="59"/>
      <c r="K330" s="621"/>
      <c r="L330" s="621"/>
      <c r="M330" s="629">
        <f t="shared" si="32"/>
        <v>0</v>
      </c>
      <c r="N330" s="629">
        <f t="shared" si="33"/>
        <v>0</v>
      </c>
      <c r="O330" s="630">
        <f t="shared" si="30"/>
        <v>0</v>
      </c>
      <c r="P330" s="629">
        <f t="shared" si="34"/>
        <v>0</v>
      </c>
      <c r="Q330" s="629">
        <f t="shared" si="35"/>
        <v>0</v>
      </c>
      <c r="R330" s="630">
        <f t="shared" si="31"/>
        <v>0</v>
      </c>
    </row>
    <row r="331" spans="2:18" outlineLevel="1" x14ac:dyDescent="0.2">
      <c r="B331" s="59"/>
      <c r="C331" s="59"/>
      <c r="D331" s="59"/>
      <c r="E331" s="541"/>
      <c r="F331" s="541"/>
      <c r="G331" s="541"/>
      <c r="H331" s="541"/>
      <c r="I331" s="59"/>
      <c r="J331" s="59"/>
      <c r="K331" s="621"/>
      <c r="L331" s="621"/>
      <c r="M331" s="629">
        <f t="shared" si="32"/>
        <v>0</v>
      </c>
      <c r="N331" s="629">
        <f t="shared" si="33"/>
        <v>0</v>
      </c>
      <c r="O331" s="630">
        <f t="shared" si="30"/>
        <v>0</v>
      </c>
      <c r="P331" s="629">
        <f t="shared" si="34"/>
        <v>0</v>
      </c>
      <c r="Q331" s="629">
        <f t="shared" si="35"/>
        <v>0</v>
      </c>
      <c r="R331" s="630">
        <f t="shared" si="31"/>
        <v>0</v>
      </c>
    </row>
    <row r="332" spans="2:18" outlineLevel="1" x14ac:dyDescent="0.2">
      <c r="B332" s="59"/>
      <c r="C332" s="59"/>
      <c r="D332" s="59"/>
      <c r="E332" s="541"/>
      <c r="F332" s="541"/>
      <c r="G332" s="541"/>
      <c r="H332" s="541"/>
      <c r="I332" s="59"/>
      <c r="J332" s="59"/>
      <c r="K332" s="621"/>
      <c r="L332" s="621"/>
      <c r="M332" s="629">
        <f t="shared" si="32"/>
        <v>0</v>
      </c>
      <c r="N332" s="629">
        <f t="shared" si="33"/>
        <v>0</v>
      </c>
      <c r="O332" s="630">
        <f t="shared" si="30"/>
        <v>0</v>
      </c>
      <c r="P332" s="629">
        <f t="shared" si="34"/>
        <v>0</v>
      </c>
      <c r="Q332" s="629">
        <f t="shared" si="35"/>
        <v>0</v>
      </c>
      <c r="R332" s="630">
        <f t="shared" si="31"/>
        <v>0</v>
      </c>
    </row>
    <row r="333" spans="2:18" outlineLevel="1" x14ac:dyDescent="0.2">
      <c r="B333" s="59"/>
      <c r="C333" s="59"/>
      <c r="D333" s="59"/>
      <c r="E333" s="541"/>
      <c r="F333" s="541"/>
      <c r="G333" s="541"/>
      <c r="H333" s="541"/>
      <c r="I333" s="59"/>
      <c r="J333" s="59"/>
      <c r="K333" s="621"/>
      <c r="L333" s="621"/>
      <c r="M333" s="629">
        <f t="shared" si="32"/>
        <v>0</v>
      </c>
      <c r="N333" s="629">
        <f t="shared" si="33"/>
        <v>0</v>
      </c>
      <c r="O333" s="630">
        <f t="shared" si="30"/>
        <v>0</v>
      </c>
      <c r="P333" s="629">
        <f t="shared" si="34"/>
        <v>0</v>
      </c>
      <c r="Q333" s="629">
        <f t="shared" si="35"/>
        <v>0</v>
      </c>
      <c r="R333" s="630">
        <f t="shared" si="31"/>
        <v>0</v>
      </c>
    </row>
    <row r="334" spans="2:18" outlineLevel="1" x14ac:dyDescent="0.2">
      <c r="B334" s="59"/>
      <c r="C334" s="59"/>
      <c r="D334" s="59"/>
      <c r="E334" s="541"/>
      <c r="F334" s="541"/>
      <c r="G334" s="541"/>
      <c r="H334" s="541"/>
      <c r="I334" s="59"/>
      <c r="J334" s="59"/>
      <c r="K334" s="621"/>
      <c r="L334" s="621"/>
      <c r="M334" s="629">
        <f t="shared" si="32"/>
        <v>0</v>
      </c>
      <c r="N334" s="629">
        <f t="shared" si="33"/>
        <v>0</v>
      </c>
      <c r="O334" s="630">
        <f t="shared" si="30"/>
        <v>0</v>
      </c>
      <c r="P334" s="629">
        <f t="shared" si="34"/>
        <v>0</v>
      </c>
      <c r="Q334" s="629">
        <f t="shared" si="35"/>
        <v>0</v>
      </c>
      <c r="R334" s="630">
        <f t="shared" si="31"/>
        <v>0</v>
      </c>
    </row>
    <row r="335" spans="2:18" outlineLevel="1" x14ac:dyDescent="0.2">
      <c r="B335" s="59"/>
      <c r="C335" s="59"/>
      <c r="D335" s="59"/>
      <c r="E335" s="541"/>
      <c r="F335" s="541"/>
      <c r="G335" s="541"/>
      <c r="H335" s="541"/>
      <c r="I335" s="59"/>
      <c r="J335" s="59"/>
      <c r="K335" s="621"/>
      <c r="L335" s="621"/>
      <c r="M335" s="629">
        <f t="shared" si="32"/>
        <v>0</v>
      </c>
      <c r="N335" s="629">
        <f t="shared" si="33"/>
        <v>0</v>
      </c>
      <c r="O335" s="630">
        <f t="shared" si="30"/>
        <v>0</v>
      </c>
      <c r="P335" s="629">
        <f t="shared" si="34"/>
        <v>0</v>
      </c>
      <c r="Q335" s="629">
        <f t="shared" si="35"/>
        <v>0</v>
      </c>
      <c r="R335" s="630">
        <f t="shared" si="31"/>
        <v>0</v>
      </c>
    </row>
    <row r="336" spans="2:18" outlineLevel="1" x14ac:dyDescent="0.2">
      <c r="B336" s="59"/>
      <c r="C336" s="59"/>
      <c r="D336" s="59"/>
      <c r="E336" s="541"/>
      <c r="F336" s="541"/>
      <c r="G336" s="541"/>
      <c r="H336" s="541"/>
      <c r="I336" s="59"/>
      <c r="J336" s="59"/>
      <c r="K336" s="621"/>
      <c r="L336" s="621"/>
      <c r="M336" s="629">
        <f t="shared" si="32"/>
        <v>0</v>
      </c>
      <c r="N336" s="629">
        <f t="shared" si="33"/>
        <v>0</v>
      </c>
      <c r="O336" s="630">
        <f t="shared" si="30"/>
        <v>0</v>
      </c>
      <c r="P336" s="629">
        <f t="shared" si="34"/>
        <v>0</v>
      </c>
      <c r="Q336" s="629">
        <f t="shared" si="35"/>
        <v>0</v>
      </c>
      <c r="R336" s="630">
        <f t="shared" si="31"/>
        <v>0</v>
      </c>
    </row>
    <row r="337" spans="2:18" outlineLevel="1" x14ac:dyDescent="0.2">
      <c r="B337" s="59"/>
      <c r="C337" s="59"/>
      <c r="D337" s="59"/>
      <c r="E337" s="541"/>
      <c r="F337" s="541"/>
      <c r="G337" s="541"/>
      <c r="H337" s="541"/>
      <c r="I337" s="59"/>
      <c r="J337" s="59"/>
      <c r="K337" s="621"/>
      <c r="L337" s="621"/>
      <c r="M337" s="629">
        <f t="shared" si="32"/>
        <v>0</v>
      </c>
      <c r="N337" s="629">
        <f t="shared" si="33"/>
        <v>0</v>
      </c>
      <c r="O337" s="630">
        <f t="shared" si="30"/>
        <v>0</v>
      </c>
      <c r="P337" s="629">
        <f t="shared" si="34"/>
        <v>0</v>
      </c>
      <c r="Q337" s="629">
        <f t="shared" si="35"/>
        <v>0</v>
      </c>
      <c r="R337" s="630">
        <f t="shared" si="31"/>
        <v>0</v>
      </c>
    </row>
    <row r="338" spans="2:18" outlineLevel="1" x14ac:dyDescent="0.2">
      <c r="B338" s="59"/>
      <c r="C338" s="59"/>
      <c r="D338" s="59"/>
      <c r="E338" s="541"/>
      <c r="F338" s="541"/>
      <c r="G338" s="541"/>
      <c r="H338" s="541"/>
      <c r="I338" s="59"/>
      <c r="J338" s="59"/>
      <c r="K338" s="621"/>
      <c r="L338" s="621"/>
      <c r="M338" s="629">
        <f t="shared" si="32"/>
        <v>0</v>
      </c>
      <c r="N338" s="629">
        <f t="shared" si="33"/>
        <v>0</v>
      </c>
      <c r="O338" s="630">
        <f t="shared" si="30"/>
        <v>0</v>
      </c>
      <c r="P338" s="629">
        <f t="shared" si="34"/>
        <v>0</v>
      </c>
      <c r="Q338" s="629">
        <f t="shared" si="35"/>
        <v>0</v>
      </c>
      <c r="R338" s="630">
        <f t="shared" si="31"/>
        <v>0</v>
      </c>
    </row>
    <row r="339" spans="2:18" outlineLevel="1" x14ac:dyDescent="0.2">
      <c r="B339" s="59"/>
      <c r="C339" s="59"/>
      <c r="D339" s="59"/>
      <c r="E339" s="541"/>
      <c r="F339" s="541"/>
      <c r="G339" s="541"/>
      <c r="H339" s="541"/>
      <c r="I339" s="59"/>
      <c r="J339" s="59"/>
      <c r="K339" s="621"/>
      <c r="L339" s="621"/>
      <c r="M339" s="629">
        <f t="shared" si="32"/>
        <v>0</v>
      </c>
      <c r="N339" s="629">
        <f t="shared" si="33"/>
        <v>0</v>
      </c>
      <c r="O339" s="630">
        <f t="shared" si="30"/>
        <v>0</v>
      </c>
      <c r="P339" s="629">
        <f t="shared" si="34"/>
        <v>0</v>
      </c>
      <c r="Q339" s="629">
        <f t="shared" si="35"/>
        <v>0</v>
      </c>
      <c r="R339" s="630">
        <f t="shared" si="31"/>
        <v>0</v>
      </c>
    </row>
    <row r="340" spans="2:18" outlineLevel="1" x14ac:dyDescent="0.2">
      <c r="B340" s="59"/>
      <c r="C340" s="59"/>
      <c r="D340" s="59"/>
      <c r="E340" s="541"/>
      <c r="F340" s="541"/>
      <c r="G340" s="541"/>
      <c r="H340" s="541"/>
      <c r="I340" s="59"/>
      <c r="J340" s="59"/>
      <c r="K340" s="621"/>
      <c r="L340" s="621"/>
      <c r="M340" s="629">
        <f t="shared" si="32"/>
        <v>0</v>
      </c>
      <c r="N340" s="629">
        <f t="shared" si="33"/>
        <v>0</v>
      </c>
      <c r="O340" s="630">
        <f t="shared" si="30"/>
        <v>0</v>
      </c>
      <c r="P340" s="629">
        <f t="shared" si="34"/>
        <v>0</v>
      </c>
      <c r="Q340" s="629">
        <f t="shared" si="35"/>
        <v>0</v>
      </c>
      <c r="R340" s="630">
        <f t="shared" si="31"/>
        <v>0</v>
      </c>
    </row>
    <row r="341" spans="2:18" outlineLevel="1" x14ac:dyDescent="0.2">
      <c r="B341" s="59"/>
      <c r="C341" s="59"/>
      <c r="D341" s="59"/>
      <c r="E341" s="541"/>
      <c r="F341" s="541"/>
      <c r="G341" s="541"/>
      <c r="H341" s="541"/>
      <c r="I341" s="59"/>
      <c r="J341" s="59"/>
      <c r="K341" s="621"/>
      <c r="L341" s="621"/>
      <c r="M341" s="629">
        <f t="shared" si="32"/>
        <v>0</v>
      </c>
      <c r="N341" s="629">
        <f t="shared" si="33"/>
        <v>0</v>
      </c>
      <c r="O341" s="630">
        <f t="shared" si="30"/>
        <v>0</v>
      </c>
      <c r="P341" s="629">
        <f t="shared" si="34"/>
        <v>0</v>
      </c>
      <c r="Q341" s="629">
        <f t="shared" si="35"/>
        <v>0</v>
      </c>
      <c r="R341" s="630">
        <f t="shared" si="31"/>
        <v>0</v>
      </c>
    </row>
    <row r="342" spans="2:18" outlineLevel="1" x14ac:dyDescent="0.2">
      <c r="B342" s="59"/>
      <c r="C342" s="59"/>
      <c r="D342" s="59"/>
      <c r="E342" s="541"/>
      <c r="F342" s="541"/>
      <c r="G342" s="541"/>
      <c r="H342" s="541"/>
      <c r="I342" s="59"/>
      <c r="J342" s="59"/>
      <c r="K342" s="621"/>
      <c r="L342" s="621"/>
      <c r="M342" s="629">
        <f t="shared" si="32"/>
        <v>0</v>
      </c>
      <c r="N342" s="629">
        <f t="shared" si="33"/>
        <v>0</v>
      </c>
      <c r="O342" s="630">
        <f t="shared" si="30"/>
        <v>0</v>
      </c>
      <c r="P342" s="629">
        <f t="shared" si="34"/>
        <v>0</v>
      </c>
      <c r="Q342" s="629">
        <f t="shared" si="35"/>
        <v>0</v>
      </c>
      <c r="R342" s="630">
        <f t="shared" si="31"/>
        <v>0</v>
      </c>
    </row>
    <row r="343" spans="2:18" outlineLevel="1" x14ac:dyDescent="0.2">
      <c r="B343" s="59"/>
      <c r="C343" s="59"/>
      <c r="D343" s="59"/>
      <c r="E343" s="541"/>
      <c r="F343" s="541"/>
      <c r="G343" s="541"/>
      <c r="H343" s="541"/>
      <c r="I343" s="59"/>
      <c r="J343" s="59"/>
      <c r="K343" s="621"/>
      <c r="L343" s="621"/>
      <c r="M343" s="629">
        <f t="shared" si="32"/>
        <v>0</v>
      </c>
      <c r="N343" s="629">
        <f t="shared" si="33"/>
        <v>0</v>
      </c>
      <c r="O343" s="630">
        <f t="shared" si="30"/>
        <v>0</v>
      </c>
      <c r="P343" s="629">
        <f t="shared" si="34"/>
        <v>0</v>
      </c>
      <c r="Q343" s="629">
        <f t="shared" si="35"/>
        <v>0</v>
      </c>
      <c r="R343" s="630">
        <f t="shared" si="31"/>
        <v>0</v>
      </c>
    </row>
    <row r="344" spans="2:18" outlineLevel="1" x14ac:dyDescent="0.2">
      <c r="B344" s="59"/>
      <c r="C344" s="59"/>
      <c r="D344" s="59"/>
      <c r="E344" s="541"/>
      <c r="F344" s="541"/>
      <c r="G344" s="541"/>
      <c r="H344" s="541"/>
      <c r="I344" s="59"/>
      <c r="J344" s="59"/>
      <c r="K344" s="621"/>
      <c r="L344" s="621"/>
      <c r="M344" s="629">
        <f t="shared" si="32"/>
        <v>0</v>
      </c>
      <c r="N344" s="629">
        <f t="shared" si="33"/>
        <v>0</v>
      </c>
      <c r="O344" s="630">
        <f t="shared" si="30"/>
        <v>0</v>
      </c>
      <c r="P344" s="629">
        <f t="shared" si="34"/>
        <v>0</v>
      </c>
      <c r="Q344" s="629">
        <f t="shared" si="35"/>
        <v>0</v>
      </c>
      <c r="R344" s="630">
        <f t="shared" si="31"/>
        <v>0</v>
      </c>
    </row>
    <row r="345" spans="2:18" outlineLevel="1" x14ac:dyDescent="0.2">
      <c r="B345" s="59"/>
      <c r="C345" s="59"/>
      <c r="D345" s="59"/>
      <c r="E345" s="541"/>
      <c r="F345" s="541"/>
      <c r="G345" s="541"/>
      <c r="H345" s="541"/>
      <c r="I345" s="59"/>
      <c r="J345" s="59"/>
      <c r="K345" s="621"/>
      <c r="L345" s="621"/>
      <c r="M345" s="629">
        <f t="shared" si="32"/>
        <v>0</v>
      </c>
      <c r="N345" s="629">
        <f t="shared" si="33"/>
        <v>0</v>
      </c>
      <c r="O345" s="630">
        <f t="shared" si="30"/>
        <v>0</v>
      </c>
      <c r="P345" s="629">
        <f t="shared" si="34"/>
        <v>0</v>
      </c>
      <c r="Q345" s="629">
        <f t="shared" si="35"/>
        <v>0</v>
      </c>
      <c r="R345" s="630">
        <f t="shared" si="31"/>
        <v>0</v>
      </c>
    </row>
    <row r="346" spans="2:18" outlineLevel="1" x14ac:dyDescent="0.2">
      <c r="B346" s="59"/>
      <c r="C346" s="59"/>
      <c r="D346" s="59"/>
      <c r="E346" s="541"/>
      <c r="F346" s="541"/>
      <c r="G346" s="541"/>
      <c r="H346" s="541"/>
      <c r="I346" s="59"/>
      <c r="J346" s="59"/>
      <c r="K346" s="621"/>
      <c r="L346" s="621"/>
      <c r="M346" s="629">
        <f t="shared" si="32"/>
        <v>0</v>
      </c>
      <c r="N346" s="629">
        <f t="shared" si="33"/>
        <v>0</v>
      </c>
      <c r="O346" s="630">
        <f t="shared" si="30"/>
        <v>0</v>
      </c>
      <c r="P346" s="629">
        <f t="shared" si="34"/>
        <v>0</v>
      </c>
      <c r="Q346" s="629">
        <f t="shared" si="35"/>
        <v>0</v>
      </c>
      <c r="R346" s="630">
        <f t="shared" si="31"/>
        <v>0</v>
      </c>
    </row>
    <row r="347" spans="2:18" outlineLevel="1" x14ac:dyDescent="0.2">
      <c r="B347" s="59"/>
      <c r="C347" s="59"/>
      <c r="D347" s="59"/>
      <c r="E347" s="541"/>
      <c r="F347" s="541"/>
      <c r="G347" s="541"/>
      <c r="H347" s="541"/>
      <c r="I347" s="59"/>
      <c r="J347" s="59"/>
      <c r="K347" s="621"/>
      <c r="L347" s="621"/>
      <c r="M347" s="629">
        <f t="shared" si="32"/>
        <v>0</v>
      </c>
      <c r="N347" s="629">
        <f t="shared" si="33"/>
        <v>0</v>
      </c>
      <c r="O347" s="630">
        <f t="shared" si="30"/>
        <v>0</v>
      </c>
      <c r="P347" s="629">
        <f t="shared" si="34"/>
        <v>0</v>
      </c>
      <c r="Q347" s="629">
        <f t="shared" si="35"/>
        <v>0</v>
      </c>
      <c r="R347" s="630">
        <f t="shared" si="31"/>
        <v>0</v>
      </c>
    </row>
    <row r="348" spans="2:18" outlineLevel="1" x14ac:dyDescent="0.2">
      <c r="B348" s="59"/>
      <c r="C348" s="59"/>
      <c r="D348" s="59"/>
      <c r="E348" s="541"/>
      <c r="F348" s="541"/>
      <c r="G348" s="541"/>
      <c r="H348" s="541"/>
      <c r="I348" s="59"/>
      <c r="J348" s="59"/>
      <c r="K348" s="621"/>
      <c r="L348" s="621"/>
      <c r="M348" s="629">
        <f t="shared" si="32"/>
        <v>0</v>
      </c>
      <c r="N348" s="629">
        <f t="shared" si="33"/>
        <v>0</v>
      </c>
      <c r="O348" s="630">
        <f t="shared" si="30"/>
        <v>0</v>
      </c>
      <c r="P348" s="629">
        <f t="shared" si="34"/>
        <v>0</v>
      </c>
      <c r="Q348" s="629">
        <f t="shared" si="35"/>
        <v>0</v>
      </c>
      <c r="R348" s="630">
        <f t="shared" si="31"/>
        <v>0</v>
      </c>
    </row>
    <row r="349" spans="2:18" outlineLevel="1" x14ac:dyDescent="0.2">
      <c r="B349" s="59"/>
      <c r="C349" s="59"/>
      <c r="D349" s="59"/>
      <c r="E349" s="541"/>
      <c r="F349" s="541"/>
      <c r="G349" s="541"/>
      <c r="H349" s="541"/>
      <c r="I349" s="59"/>
      <c r="J349" s="59"/>
      <c r="K349" s="621"/>
      <c r="L349" s="621"/>
      <c r="M349" s="629">
        <f t="shared" si="32"/>
        <v>0</v>
      </c>
      <c r="N349" s="629">
        <f t="shared" si="33"/>
        <v>0</v>
      </c>
      <c r="O349" s="630">
        <f t="shared" si="30"/>
        <v>0</v>
      </c>
      <c r="P349" s="629">
        <f t="shared" si="34"/>
        <v>0</v>
      </c>
      <c r="Q349" s="629">
        <f t="shared" si="35"/>
        <v>0</v>
      </c>
      <c r="R349" s="630">
        <f t="shared" si="31"/>
        <v>0</v>
      </c>
    </row>
    <row r="350" spans="2:18" outlineLevel="1" x14ac:dyDescent="0.2">
      <c r="B350" s="59"/>
      <c r="C350" s="59"/>
      <c r="D350" s="59"/>
      <c r="E350" s="541"/>
      <c r="F350" s="541"/>
      <c r="G350" s="541"/>
      <c r="H350" s="541"/>
      <c r="I350" s="59"/>
      <c r="J350" s="59"/>
      <c r="K350" s="621"/>
      <c r="L350" s="621"/>
      <c r="M350" s="629">
        <f t="shared" si="32"/>
        <v>0</v>
      </c>
      <c r="N350" s="629">
        <f t="shared" si="33"/>
        <v>0</v>
      </c>
      <c r="O350" s="630">
        <f t="shared" si="30"/>
        <v>0</v>
      </c>
      <c r="P350" s="629">
        <f t="shared" si="34"/>
        <v>0</v>
      </c>
      <c r="Q350" s="629">
        <f t="shared" si="35"/>
        <v>0</v>
      </c>
      <c r="R350" s="630">
        <f t="shared" si="31"/>
        <v>0</v>
      </c>
    </row>
    <row r="351" spans="2:18" outlineLevel="1" x14ac:dyDescent="0.2">
      <c r="B351" s="59"/>
      <c r="C351" s="59"/>
      <c r="D351" s="59"/>
      <c r="E351" s="541"/>
      <c r="F351" s="541"/>
      <c r="G351" s="541"/>
      <c r="H351" s="541"/>
      <c r="I351" s="59"/>
      <c r="J351" s="59"/>
      <c r="K351" s="621"/>
      <c r="L351" s="621"/>
      <c r="M351" s="629">
        <f t="shared" si="32"/>
        <v>0</v>
      </c>
      <c r="N351" s="629">
        <f t="shared" si="33"/>
        <v>0</v>
      </c>
      <c r="O351" s="630">
        <f t="shared" si="30"/>
        <v>0</v>
      </c>
      <c r="P351" s="629">
        <f t="shared" si="34"/>
        <v>0</v>
      </c>
      <c r="Q351" s="629">
        <f t="shared" si="35"/>
        <v>0</v>
      </c>
      <c r="R351" s="630">
        <f t="shared" si="31"/>
        <v>0</v>
      </c>
    </row>
    <row r="352" spans="2:18" outlineLevel="1" x14ac:dyDescent="0.2">
      <c r="B352" s="59"/>
      <c r="C352" s="59"/>
      <c r="D352" s="59"/>
      <c r="E352" s="541"/>
      <c r="F352" s="541"/>
      <c r="G352" s="541"/>
      <c r="H352" s="541"/>
      <c r="I352" s="59"/>
      <c r="J352" s="59"/>
      <c r="K352" s="621"/>
      <c r="L352" s="621"/>
      <c r="M352" s="629">
        <f t="shared" si="32"/>
        <v>0</v>
      </c>
      <c r="N352" s="629">
        <f t="shared" si="33"/>
        <v>0</v>
      </c>
      <c r="O352" s="630">
        <f t="shared" si="30"/>
        <v>0</v>
      </c>
      <c r="P352" s="629">
        <f t="shared" si="34"/>
        <v>0</v>
      </c>
      <c r="Q352" s="629">
        <f t="shared" si="35"/>
        <v>0</v>
      </c>
      <c r="R352" s="630">
        <f t="shared" si="31"/>
        <v>0</v>
      </c>
    </row>
    <row r="353" spans="2:18" outlineLevel="1" x14ac:dyDescent="0.2">
      <c r="B353" s="59"/>
      <c r="C353" s="59"/>
      <c r="D353" s="59"/>
      <c r="E353" s="541"/>
      <c r="F353" s="541"/>
      <c r="G353" s="541"/>
      <c r="H353" s="541"/>
      <c r="I353" s="59"/>
      <c r="J353" s="59"/>
      <c r="K353" s="621"/>
      <c r="L353" s="621"/>
      <c r="M353" s="629">
        <f t="shared" si="32"/>
        <v>0</v>
      </c>
      <c r="N353" s="629">
        <f t="shared" si="33"/>
        <v>0</v>
      </c>
      <c r="O353" s="630">
        <f t="shared" si="30"/>
        <v>0</v>
      </c>
      <c r="P353" s="629">
        <f t="shared" si="34"/>
        <v>0</v>
      </c>
      <c r="Q353" s="629">
        <f t="shared" si="35"/>
        <v>0</v>
      </c>
      <c r="R353" s="630">
        <f t="shared" si="31"/>
        <v>0</v>
      </c>
    </row>
    <row r="354" spans="2:18" outlineLevel="1" x14ac:dyDescent="0.2">
      <c r="B354" s="59"/>
      <c r="C354" s="59"/>
      <c r="D354" s="59"/>
      <c r="E354" s="541"/>
      <c r="F354" s="541"/>
      <c r="G354" s="541"/>
      <c r="H354" s="541"/>
      <c r="I354" s="59"/>
      <c r="J354" s="59"/>
      <c r="K354" s="621"/>
      <c r="L354" s="621"/>
      <c r="M354" s="629">
        <f t="shared" si="32"/>
        <v>0</v>
      </c>
      <c r="N354" s="629">
        <f t="shared" si="33"/>
        <v>0</v>
      </c>
      <c r="O354" s="630">
        <f t="shared" si="30"/>
        <v>0</v>
      </c>
      <c r="P354" s="629">
        <f t="shared" si="34"/>
        <v>0</v>
      </c>
      <c r="Q354" s="629">
        <f t="shared" si="35"/>
        <v>0</v>
      </c>
      <c r="R354" s="630">
        <f t="shared" si="31"/>
        <v>0</v>
      </c>
    </row>
    <row r="355" spans="2:18" outlineLevel="1" x14ac:dyDescent="0.2">
      <c r="B355" s="59"/>
      <c r="C355" s="59"/>
      <c r="D355" s="59"/>
      <c r="E355" s="541"/>
      <c r="F355" s="541"/>
      <c r="G355" s="541"/>
      <c r="H355" s="541"/>
      <c r="I355" s="59"/>
      <c r="J355" s="59"/>
      <c r="K355" s="621"/>
      <c r="L355" s="621"/>
      <c r="M355" s="629">
        <f t="shared" si="32"/>
        <v>0</v>
      </c>
      <c r="N355" s="629">
        <f t="shared" si="33"/>
        <v>0</v>
      </c>
      <c r="O355" s="630">
        <f t="shared" si="30"/>
        <v>0</v>
      </c>
      <c r="P355" s="629">
        <f t="shared" si="34"/>
        <v>0</v>
      </c>
      <c r="Q355" s="629">
        <f t="shared" si="35"/>
        <v>0</v>
      </c>
      <c r="R355" s="630">
        <f t="shared" si="31"/>
        <v>0</v>
      </c>
    </row>
    <row r="356" spans="2:18" outlineLevel="1" x14ac:dyDescent="0.2">
      <c r="B356" s="59"/>
      <c r="C356" s="59"/>
      <c r="D356" s="59"/>
      <c r="E356" s="541"/>
      <c r="F356" s="541"/>
      <c r="G356" s="541"/>
      <c r="H356" s="541"/>
      <c r="I356" s="59"/>
      <c r="J356" s="59"/>
      <c r="K356" s="621"/>
      <c r="L356" s="621"/>
      <c r="M356" s="629">
        <f t="shared" si="32"/>
        <v>0</v>
      </c>
      <c r="N356" s="629">
        <f t="shared" si="33"/>
        <v>0</v>
      </c>
      <c r="O356" s="630">
        <f t="shared" si="30"/>
        <v>0</v>
      </c>
      <c r="P356" s="629">
        <f t="shared" si="34"/>
        <v>0</v>
      </c>
      <c r="Q356" s="629">
        <f t="shared" si="35"/>
        <v>0</v>
      </c>
      <c r="R356" s="630">
        <f t="shared" si="31"/>
        <v>0</v>
      </c>
    </row>
    <row r="357" spans="2:18" outlineLevel="1" x14ac:dyDescent="0.2">
      <c r="B357" s="59"/>
      <c r="C357" s="59"/>
      <c r="D357" s="59"/>
      <c r="E357" s="541"/>
      <c r="F357" s="541"/>
      <c r="G357" s="541"/>
      <c r="H357" s="541"/>
      <c r="I357" s="59"/>
      <c r="J357" s="59"/>
      <c r="K357" s="621"/>
      <c r="L357" s="621"/>
      <c r="M357" s="629">
        <f t="shared" si="32"/>
        <v>0</v>
      </c>
      <c r="N357" s="629">
        <f t="shared" si="33"/>
        <v>0</v>
      </c>
      <c r="O357" s="630">
        <f t="shared" si="30"/>
        <v>0</v>
      </c>
      <c r="P357" s="629">
        <f t="shared" si="34"/>
        <v>0</v>
      </c>
      <c r="Q357" s="629">
        <f t="shared" si="35"/>
        <v>0</v>
      </c>
      <c r="R357" s="630">
        <f t="shared" si="31"/>
        <v>0</v>
      </c>
    </row>
    <row r="358" spans="2:18" outlineLevel="1" x14ac:dyDescent="0.2">
      <c r="B358" s="59"/>
      <c r="C358" s="59"/>
      <c r="D358" s="59"/>
      <c r="E358" s="541"/>
      <c r="F358" s="541"/>
      <c r="G358" s="541"/>
      <c r="H358" s="541"/>
      <c r="I358" s="59"/>
      <c r="J358" s="59"/>
      <c r="K358" s="621"/>
      <c r="L358" s="621"/>
      <c r="M358" s="629">
        <f t="shared" si="32"/>
        <v>0</v>
      </c>
      <c r="N358" s="629">
        <f t="shared" si="33"/>
        <v>0</v>
      </c>
      <c r="O358" s="630">
        <f t="shared" si="30"/>
        <v>0</v>
      </c>
      <c r="P358" s="629">
        <f t="shared" si="34"/>
        <v>0</v>
      </c>
      <c r="Q358" s="629">
        <f t="shared" si="35"/>
        <v>0</v>
      </c>
      <c r="R358" s="630">
        <f t="shared" si="31"/>
        <v>0</v>
      </c>
    </row>
    <row r="359" spans="2:18" outlineLevel="1" x14ac:dyDescent="0.2">
      <c r="B359" s="59"/>
      <c r="C359" s="59"/>
      <c r="D359" s="59"/>
      <c r="E359" s="541"/>
      <c r="F359" s="541"/>
      <c r="G359" s="541"/>
      <c r="H359" s="541"/>
      <c r="I359" s="59"/>
      <c r="J359" s="59"/>
      <c r="K359" s="621"/>
      <c r="L359" s="621"/>
      <c r="M359" s="629">
        <f t="shared" si="32"/>
        <v>0</v>
      </c>
      <c r="N359" s="629">
        <f t="shared" si="33"/>
        <v>0</v>
      </c>
      <c r="O359" s="630">
        <f t="shared" si="30"/>
        <v>0</v>
      </c>
      <c r="P359" s="629">
        <f t="shared" si="34"/>
        <v>0</v>
      </c>
      <c r="Q359" s="629">
        <f t="shared" si="35"/>
        <v>0</v>
      </c>
      <c r="R359" s="630">
        <f t="shared" si="31"/>
        <v>0</v>
      </c>
    </row>
    <row r="360" spans="2:18" outlineLevel="1" x14ac:dyDescent="0.2">
      <c r="B360" s="59"/>
      <c r="C360" s="59"/>
      <c r="D360" s="59"/>
      <c r="E360" s="541"/>
      <c r="F360" s="541"/>
      <c r="G360" s="541"/>
      <c r="H360" s="541"/>
      <c r="I360" s="59"/>
      <c r="J360" s="59"/>
      <c r="K360" s="621"/>
      <c r="L360" s="621"/>
      <c r="M360" s="629">
        <f t="shared" si="32"/>
        <v>0</v>
      </c>
      <c r="N360" s="629">
        <f t="shared" si="33"/>
        <v>0</v>
      </c>
      <c r="O360" s="630">
        <f t="shared" si="30"/>
        <v>0</v>
      </c>
      <c r="P360" s="629">
        <f t="shared" si="34"/>
        <v>0</v>
      </c>
      <c r="Q360" s="629">
        <f t="shared" si="35"/>
        <v>0</v>
      </c>
      <c r="R360" s="630">
        <f t="shared" si="31"/>
        <v>0</v>
      </c>
    </row>
    <row r="361" spans="2:18" outlineLevel="1" x14ac:dyDescent="0.2">
      <c r="B361" s="59"/>
      <c r="C361" s="59"/>
      <c r="D361" s="59"/>
      <c r="E361" s="541"/>
      <c r="F361" s="541"/>
      <c r="G361" s="541"/>
      <c r="H361" s="541"/>
      <c r="I361" s="59"/>
      <c r="J361" s="59"/>
      <c r="K361" s="621"/>
      <c r="L361" s="621"/>
      <c r="M361" s="629">
        <f t="shared" si="32"/>
        <v>0</v>
      </c>
      <c r="N361" s="629">
        <f t="shared" si="33"/>
        <v>0</v>
      </c>
      <c r="O361" s="630">
        <f t="shared" si="30"/>
        <v>0</v>
      </c>
      <c r="P361" s="629">
        <f t="shared" si="34"/>
        <v>0</v>
      </c>
      <c r="Q361" s="629">
        <f t="shared" si="35"/>
        <v>0</v>
      </c>
      <c r="R361" s="630">
        <f t="shared" si="31"/>
        <v>0</v>
      </c>
    </row>
    <row r="362" spans="2:18" outlineLevel="1" x14ac:dyDescent="0.2">
      <c r="B362" s="59"/>
      <c r="C362" s="59"/>
      <c r="D362" s="59"/>
      <c r="E362" s="541"/>
      <c r="F362" s="541"/>
      <c r="G362" s="541"/>
      <c r="H362" s="541"/>
      <c r="I362" s="59"/>
      <c r="J362" s="59"/>
      <c r="K362" s="621"/>
      <c r="L362" s="621"/>
      <c r="M362" s="629">
        <f t="shared" si="32"/>
        <v>0</v>
      </c>
      <c r="N362" s="629">
        <f t="shared" si="33"/>
        <v>0</v>
      </c>
      <c r="O362" s="630">
        <f t="shared" si="30"/>
        <v>0</v>
      </c>
      <c r="P362" s="629">
        <f t="shared" si="34"/>
        <v>0</v>
      </c>
      <c r="Q362" s="629">
        <f t="shared" si="35"/>
        <v>0</v>
      </c>
      <c r="R362" s="630">
        <f t="shared" si="31"/>
        <v>0</v>
      </c>
    </row>
    <row r="363" spans="2:18" outlineLevel="1" x14ac:dyDescent="0.2">
      <c r="B363" s="59"/>
      <c r="C363" s="59"/>
      <c r="D363" s="59"/>
      <c r="E363" s="541"/>
      <c r="F363" s="541"/>
      <c r="G363" s="541"/>
      <c r="H363" s="541"/>
      <c r="I363" s="59"/>
      <c r="J363" s="59"/>
      <c r="K363" s="621"/>
      <c r="L363" s="621"/>
      <c r="M363" s="629">
        <f t="shared" si="32"/>
        <v>0</v>
      </c>
      <c r="N363" s="629">
        <f t="shared" si="33"/>
        <v>0</v>
      </c>
      <c r="O363" s="630">
        <f t="shared" si="30"/>
        <v>0</v>
      </c>
      <c r="P363" s="629">
        <f t="shared" si="34"/>
        <v>0</v>
      </c>
      <c r="Q363" s="629">
        <f t="shared" si="35"/>
        <v>0</v>
      </c>
      <c r="R363" s="630">
        <f t="shared" si="31"/>
        <v>0</v>
      </c>
    </row>
    <row r="364" spans="2:18" outlineLevel="1" x14ac:dyDescent="0.2">
      <c r="B364" s="59"/>
      <c r="C364" s="59"/>
      <c r="D364" s="59"/>
      <c r="E364" s="541"/>
      <c r="F364" s="541"/>
      <c r="G364" s="541"/>
      <c r="H364" s="541"/>
      <c r="I364" s="59"/>
      <c r="J364" s="59"/>
      <c r="K364" s="621"/>
      <c r="L364" s="621"/>
      <c r="M364" s="629">
        <f t="shared" si="32"/>
        <v>0</v>
      </c>
      <c r="N364" s="629">
        <f t="shared" si="33"/>
        <v>0</v>
      </c>
      <c r="O364" s="630">
        <f t="shared" si="30"/>
        <v>0</v>
      </c>
      <c r="P364" s="629">
        <f t="shared" si="34"/>
        <v>0</v>
      </c>
      <c r="Q364" s="629">
        <f t="shared" si="35"/>
        <v>0</v>
      </c>
      <c r="R364" s="630">
        <f t="shared" si="31"/>
        <v>0</v>
      </c>
    </row>
    <row r="365" spans="2:18" outlineLevel="1" x14ac:dyDescent="0.2">
      <c r="B365" s="59"/>
      <c r="C365" s="59"/>
      <c r="D365" s="59"/>
      <c r="E365" s="541"/>
      <c r="F365" s="541"/>
      <c r="G365" s="541"/>
      <c r="H365" s="541"/>
      <c r="I365" s="59"/>
      <c r="J365" s="59"/>
      <c r="K365" s="621"/>
      <c r="L365" s="621"/>
      <c r="M365" s="629">
        <f t="shared" si="32"/>
        <v>0</v>
      </c>
      <c r="N365" s="629">
        <f t="shared" si="33"/>
        <v>0</v>
      </c>
      <c r="O365" s="630">
        <f t="shared" si="30"/>
        <v>0</v>
      </c>
      <c r="P365" s="629">
        <f t="shared" si="34"/>
        <v>0</v>
      </c>
      <c r="Q365" s="629">
        <f t="shared" si="35"/>
        <v>0</v>
      </c>
      <c r="R365" s="630">
        <f t="shared" si="31"/>
        <v>0</v>
      </c>
    </row>
    <row r="366" spans="2:18" outlineLevel="1" x14ac:dyDescent="0.2">
      <c r="B366" s="59"/>
      <c r="C366" s="59"/>
      <c r="D366" s="59"/>
      <c r="E366" s="541"/>
      <c r="F366" s="541"/>
      <c r="G366" s="541"/>
      <c r="H366" s="541"/>
      <c r="I366" s="59"/>
      <c r="J366" s="59"/>
      <c r="K366" s="621"/>
      <c r="L366" s="621"/>
      <c r="M366" s="629">
        <f t="shared" si="32"/>
        <v>0</v>
      </c>
      <c r="N366" s="629">
        <f t="shared" si="33"/>
        <v>0</v>
      </c>
      <c r="O366" s="630">
        <f t="shared" si="30"/>
        <v>0</v>
      </c>
      <c r="P366" s="629">
        <f t="shared" si="34"/>
        <v>0</v>
      </c>
      <c r="Q366" s="629">
        <f t="shared" si="35"/>
        <v>0</v>
      </c>
      <c r="R366" s="630">
        <f t="shared" si="31"/>
        <v>0</v>
      </c>
    </row>
    <row r="367" spans="2:18" outlineLevel="1" x14ac:dyDescent="0.2">
      <c r="B367" s="59"/>
      <c r="C367" s="59"/>
      <c r="D367" s="59"/>
      <c r="E367" s="541"/>
      <c r="F367" s="541"/>
      <c r="G367" s="541"/>
      <c r="H367" s="541"/>
      <c r="I367" s="59"/>
      <c r="J367" s="59"/>
      <c r="K367" s="621"/>
      <c r="L367" s="621"/>
      <c r="M367" s="629">
        <f t="shared" si="32"/>
        <v>0</v>
      </c>
      <c r="N367" s="629">
        <f t="shared" si="33"/>
        <v>0</v>
      </c>
      <c r="O367" s="630">
        <f t="shared" si="30"/>
        <v>0</v>
      </c>
      <c r="P367" s="629">
        <f t="shared" si="34"/>
        <v>0</v>
      </c>
      <c r="Q367" s="629">
        <f t="shared" si="35"/>
        <v>0</v>
      </c>
      <c r="R367" s="630">
        <f t="shared" si="31"/>
        <v>0</v>
      </c>
    </row>
    <row r="368" spans="2:18" outlineLevel="1" x14ac:dyDescent="0.2">
      <c r="B368" s="59"/>
      <c r="C368" s="59"/>
      <c r="D368" s="59"/>
      <c r="E368" s="541"/>
      <c r="F368" s="541"/>
      <c r="G368" s="541"/>
      <c r="H368" s="541"/>
      <c r="I368" s="59"/>
      <c r="J368" s="59"/>
      <c r="K368" s="621"/>
      <c r="L368" s="621"/>
      <c r="M368" s="629">
        <f t="shared" si="32"/>
        <v>0</v>
      </c>
      <c r="N368" s="629">
        <f t="shared" si="33"/>
        <v>0</v>
      </c>
      <c r="O368" s="630">
        <f t="shared" si="30"/>
        <v>0</v>
      </c>
      <c r="P368" s="629">
        <f t="shared" si="34"/>
        <v>0</v>
      </c>
      <c r="Q368" s="629">
        <f t="shared" si="35"/>
        <v>0</v>
      </c>
      <c r="R368" s="630">
        <f t="shared" si="31"/>
        <v>0</v>
      </c>
    </row>
    <row r="369" spans="2:18" outlineLevel="1" x14ac:dyDescent="0.2">
      <c r="B369" s="59"/>
      <c r="C369" s="59"/>
      <c r="D369" s="59"/>
      <c r="E369" s="541"/>
      <c r="F369" s="541"/>
      <c r="G369" s="541"/>
      <c r="H369" s="541"/>
      <c r="I369" s="59"/>
      <c r="J369" s="59"/>
      <c r="K369" s="621"/>
      <c r="L369" s="621"/>
      <c r="M369" s="629">
        <f t="shared" si="32"/>
        <v>0</v>
      </c>
      <c r="N369" s="629">
        <f t="shared" si="33"/>
        <v>0</v>
      </c>
      <c r="O369" s="630">
        <f t="shared" si="30"/>
        <v>0</v>
      </c>
      <c r="P369" s="629">
        <f t="shared" si="34"/>
        <v>0</v>
      </c>
      <c r="Q369" s="629">
        <f t="shared" si="35"/>
        <v>0</v>
      </c>
      <c r="R369" s="630">
        <f t="shared" si="31"/>
        <v>0</v>
      </c>
    </row>
    <row r="370" spans="2:18" outlineLevel="1" x14ac:dyDescent="0.2">
      <c r="B370" s="59"/>
      <c r="C370" s="59"/>
      <c r="D370" s="59"/>
      <c r="E370" s="541"/>
      <c r="F370" s="541"/>
      <c r="G370" s="541"/>
      <c r="H370" s="541"/>
      <c r="I370" s="59"/>
      <c r="J370" s="59"/>
      <c r="K370" s="621"/>
      <c r="L370" s="621"/>
      <c r="M370" s="629">
        <f t="shared" si="32"/>
        <v>0</v>
      </c>
      <c r="N370" s="629">
        <f t="shared" si="33"/>
        <v>0</v>
      </c>
      <c r="O370" s="630">
        <f t="shared" si="30"/>
        <v>0</v>
      </c>
      <c r="P370" s="629">
        <f t="shared" si="34"/>
        <v>0</v>
      </c>
      <c r="Q370" s="629">
        <f t="shared" si="35"/>
        <v>0</v>
      </c>
      <c r="R370" s="630">
        <f t="shared" si="31"/>
        <v>0</v>
      </c>
    </row>
    <row r="371" spans="2:18" outlineLevel="1" x14ac:dyDescent="0.2">
      <c r="B371" s="59"/>
      <c r="C371" s="59"/>
      <c r="D371" s="59"/>
      <c r="E371" s="541"/>
      <c r="F371" s="541"/>
      <c r="G371" s="541"/>
      <c r="H371" s="541"/>
      <c r="I371" s="59"/>
      <c r="J371" s="59"/>
      <c r="K371" s="621"/>
      <c r="L371" s="621"/>
      <c r="M371" s="629">
        <f t="shared" si="32"/>
        <v>0</v>
      </c>
      <c r="N371" s="629">
        <f t="shared" si="33"/>
        <v>0</v>
      </c>
      <c r="O371" s="630">
        <f t="shared" si="30"/>
        <v>0</v>
      </c>
      <c r="P371" s="629">
        <f t="shared" si="34"/>
        <v>0</v>
      </c>
      <c r="Q371" s="629">
        <f t="shared" si="35"/>
        <v>0</v>
      </c>
      <c r="R371" s="630">
        <f t="shared" si="31"/>
        <v>0</v>
      </c>
    </row>
    <row r="372" spans="2:18" outlineLevel="1" x14ac:dyDescent="0.2">
      <c r="B372" s="59"/>
      <c r="C372" s="59"/>
      <c r="D372" s="59"/>
      <c r="E372" s="541"/>
      <c r="F372" s="541"/>
      <c r="G372" s="541"/>
      <c r="H372" s="541"/>
      <c r="I372" s="59"/>
      <c r="J372" s="59"/>
      <c r="K372" s="621"/>
      <c r="L372" s="621"/>
      <c r="M372" s="629">
        <f t="shared" si="32"/>
        <v>0</v>
      </c>
      <c r="N372" s="629">
        <f t="shared" si="33"/>
        <v>0</v>
      </c>
      <c r="O372" s="630">
        <f t="shared" si="30"/>
        <v>0</v>
      </c>
      <c r="P372" s="629">
        <f t="shared" si="34"/>
        <v>0</v>
      </c>
      <c r="Q372" s="629">
        <f t="shared" si="35"/>
        <v>0</v>
      </c>
      <c r="R372" s="630">
        <f t="shared" si="31"/>
        <v>0</v>
      </c>
    </row>
    <row r="373" spans="2:18" outlineLevel="1" x14ac:dyDescent="0.2">
      <c r="B373" s="59"/>
      <c r="C373" s="59"/>
      <c r="D373" s="59"/>
      <c r="E373" s="541"/>
      <c r="F373" s="541"/>
      <c r="G373" s="541"/>
      <c r="H373" s="541"/>
      <c r="I373" s="59"/>
      <c r="J373" s="59"/>
      <c r="K373" s="621"/>
      <c r="L373" s="621"/>
      <c r="M373" s="629">
        <f t="shared" si="32"/>
        <v>0</v>
      </c>
      <c r="N373" s="629">
        <f t="shared" si="33"/>
        <v>0</v>
      </c>
      <c r="O373" s="630">
        <f t="shared" si="30"/>
        <v>0</v>
      </c>
      <c r="P373" s="629">
        <f t="shared" si="34"/>
        <v>0</v>
      </c>
      <c r="Q373" s="629">
        <f t="shared" si="35"/>
        <v>0</v>
      </c>
      <c r="R373" s="630">
        <f t="shared" si="31"/>
        <v>0</v>
      </c>
    </row>
    <row r="374" spans="2:18" outlineLevel="1" x14ac:dyDescent="0.2">
      <c r="B374" s="59"/>
      <c r="C374" s="59"/>
      <c r="D374" s="59"/>
      <c r="E374" s="541"/>
      <c r="F374" s="541"/>
      <c r="G374" s="541"/>
      <c r="H374" s="541"/>
      <c r="I374" s="59"/>
      <c r="J374" s="59"/>
      <c r="K374" s="621"/>
      <c r="L374" s="621"/>
      <c r="M374" s="629">
        <f t="shared" si="32"/>
        <v>0</v>
      </c>
      <c r="N374" s="629">
        <f t="shared" si="33"/>
        <v>0</v>
      </c>
      <c r="O374" s="630">
        <f t="shared" si="30"/>
        <v>0</v>
      </c>
      <c r="P374" s="629">
        <f t="shared" si="34"/>
        <v>0</v>
      </c>
      <c r="Q374" s="629">
        <f t="shared" si="35"/>
        <v>0</v>
      </c>
      <c r="R374" s="630">
        <f t="shared" si="31"/>
        <v>0</v>
      </c>
    </row>
    <row r="375" spans="2:18" outlineLevel="1" x14ac:dyDescent="0.2">
      <c r="B375" s="59"/>
      <c r="C375" s="59"/>
      <c r="D375" s="59"/>
      <c r="E375" s="541"/>
      <c r="F375" s="541"/>
      <c r="G375" s="541"/>
      <c r="H375" s="541"/>
      <c r="I375" s="59"/>
      <c r="J375" s="59"/>
      <c r="K375" s="621"/>
      <c r="L375" s="621"/>
      <c r="M375" s="629">
        <f t="shared" si="32"/>
        <v>0</v>
      </c>
      <c r="N375" s="629">
        <f t="shared" si="33"/>
        <v>0</v>
      </c>
      <c r="O375" s="630">
        <f t="shared" si="30"/>
        <v>0</v>
      </c>
      <c r="P375" s="629">
        <f t="shared" si="34"/>
        <v>0</v>
      </c>
      <c r="Q375" s="629">
        <f t="shared" si="35"/>
        <v>0</v>
      </c>
      <c r="R375" s="630">
        <f t="shared" si="31"/>
        <v>0</v>
      </c>
    </row>
    <row r="376" spans="2:18" outlineLevel="1" x14ac:dyDescent="0.2">
      <c r="B376" s="59"/>
      <c r="C376" s="59"/>
      <c r="D376" s="59"/>
      <c r="E376" s="541"/>
      <c r="F376" s="541"/>
      <c r="G376" s="541"/>
      <c r="H376" s="541"/>
      <c r="I376" s="59"/>
      <c r="J376" s="59"/>
      <c r="K376" s="621"/>
      <c r="L376" s="621"/>
      <c r="M376" s="629">
        <f t="shared" si="32"/>
        <v>0</v>
      </c>
      <c r="N376" s="629">
        <f t="shared" si="33"/>
        <v>0</v>
      </c>
      <c r="O376" s="630">
        <f t="shared" si="30"/>
        <v>0</v>
      </c>
      <c r="P376" s="629">
        <f t="shared" si="34"/>
        <v>0</v>
      </c>
      <c r="Q376" s="629">
        <f t="shared" si="35"/>
        <v>0</v>
      </c>
      <c r="R376" s="630">
        <f t="shared" si="31"/>
        <v>0</v>
      </c>
    </row>
    <row r="377" spans="2:18" outlineLevel="1" x14ac:dyDescent="0.2">
      <c r="B377" s="59"/>
      <c r="C377" s="59"/>
      <c r="D377" s="59"/>
      <c r="E377" s="541"/>
      <c r="F377" s="541"/>
      <c r="G377" s="541"/>
      <c r="H377" s="541"/>
      <c r="I377" s="59"/>
      <c r="J377" s="59"/>
      <c r="K377" s="621"/>
      <c r="L377" s="621"/>
      <c r="M377" s="629">
        <f t="shared" si="32"/>
        <v>0</v>
      </c>
      <c r="N377" s="629">
        <f t="shared" si="33"/>
        <v>0</v>
      </c>
      <c r="O377" s="630">
        <f t="shared" si="30"/>
        <v>0</v>
      </c>
      <c r="P377" s="629">
        <f t="shared" si="34"/>
        <v>0</v>
      </c>
      <c r="Q377" s="629">
        <f t="shared" si="35"/>
        <v>0</v>
      </c>
      <c r="R377" s="630">
        <f t="shared" si="31"/>
        <v>0</v>
      </c>
    </row>
    <row r="378" spans="2:18" outlineLevel="1" x14ac:dyDescent="0.2">
      <c r="B378" s="59"/>
      <c r="C378" s="59"/>
      <c r="D378" s="59"/>
      <c r="E378" s="541"/>
      <c r="F378" s="541"/>
      <c r="G378" s="541"/>
      <c r="H378" s="541"/>
      <c r="I378" s="59"/>
      <c r="J378" s="59"/>
      <c r="K378" s="621"/>
      <c r="L378" s="621"/>
      <c r="M378" s="629">
        <f t="shared" si="32"/>
        <v>0</v>
      </c>
      <c r="N378" s="629">
        <f t="shared" si="33"/>
        <v>0</v>
      </c>
      <c r="O378" s="630">
        <f t="shared" si="30"/>
        <v>0</v>
      </c>
      <c r="P378" s="629">
        <f t="shared" si="34"/>
        <v>0</v>
      </c>
      <c r="Q378" s="629">
        <f t="shared" si="35"/>
        <v>0</v>
      </c>
      <c r="R378" s="630">
        <f t="shared" si="31"/>
        <v>0</v>
      </c>
    </row>
    <row r="379" spans="2:18" outlineLevel="1" x14ac:dyDescent="0.2">
      <c r="B379" s="59"/>
      <c r="C379" s="59"/>
      <c r="D379" s="59"/>
      <c r="E379" s="541"/>
      <c r="F379" s="541"/>
      <c r="G379" s="541"/>
      <c r="H379" s="541"/>
      <c r="I379" s="59"/>
      <c r="J379" s="59"/>
      <c r="K379" s="621"/>
      <c r="L379" s="621"/>
      <c r="M379" s="629">
        <f t="shared" si="32"/>
        <v>0</v>
      </c>
      <c r="N379" s="629">
        <f t="shared" si="33"/>
        <v>0</v>
      </c>
      <c r="O379" s="630">
        <f t="shared" si="30"/>
        <v>0</v>
      </c>
      <c r="P379" s="629">
        <f t="shared" si="34"/>
        <v>0</v>
      </c>
      <c r="Q379" s="629">
        <f t="shared" si="35"/>
        <v>0</v>
      </c>
      <c r="R379" s="630">
        <f t="shared" si="31"/>
        <v>0</v>
      </c>
    </row>
    <row r="380" spans="2:18" outlineLevel="1" x14ac:dyDescent="0.2">
      <c r="B380" s="59"/>
      <c r="C380" s="59"/>
      <c r="D380" s="59"/>
      <c r="E380" s="541"/>
      <c r="F380" s="541"/>
      <c r="G380" s="541"/>
      <c r="H380" s="541"/>
      <c r="I380" s="59"/>
      <c r="J380" s="59"/>
      <c r="K380" s="621"/>
      <c r="L380" s="621"/>
      <c r="M380" s="629">
        <f t="shared" si="32"/>
        <v>0</v>
      </c>
      <c r="N380" s="629">
        <f t="shared" si="33"/>
        <v>0</v>
      </c>
      <c r="O380" s="630">
        <f t="shared" si="30"/>
        <v>0</v>
      </c>
      <c r="P380" s="629">
        <f t="shared" si="34"/>
        <v>0</v>
      </c>
      <c r="Q380" s="629">
        <f t="shared" si="35"/>
        <v>0</v>
      </c>
      <c r="R380" s="630">
        <f t="shared" si="31"/>
        <v>0</v>
      </c>
    </row>
    <row r="381" spans="2:18" outlineLevel="1" x14ac:dyDescent="0.2">
      <c r="B381" s="59"/>
      <c r="C381" s="59"/>
      <c r="D381" s="59"/>
      <c r="E381" s="541"/>
      <c r="F381" s="541"/>
      <c r="G381" s="541"/>
      <c r="H381" s="541"/>
      <c r="I381" s="59"/>
      <c r="J381" s="59"/>
      <c r="K381" s="621"/>
      <c r="L381" s="621"/>
      <c r="M381" s="629">
        <f t="shared" si="32"/>
        <v>0</v>
      </c>
      <c r="N381" s="629">
        <f t="shared" si="33"/>
        <v>0</v>
      </c>
      <c r="O381" s="630">
        <f t="shared" si="30"/>
        <v>0</v>
      </c>
      <c r="P381" s="629">
        <f t="shared" si="34"/>
        <v>0</v>
      </c>
      <c r="Q381" s="629">
        <f t="shared" si="35"/>
        <v>0</v>
      </c>
      <c r="R381" s="630">
        <f t="shared" si="31"/>
        <v>0</v>
      </c>
    </row>
    <row r="382" spans="2:18" outlineLevel="1" x14ac:dyDescent="0.2">
      <c r="B382" s="59"/>
      <c r="C382" s="59"/>
      <c r="D382" s="59"/>
      <c r="E382" s="541"/>
      <c r="F382" s="541"/>
      <c r="G382" s="541"/>
      <c r="H382" s="541"/>
      <c r="I382" s="59"/>
      <c r="J382" s="59"/>
      <c r="K382" s="621"/>
      <c r="L382" s="621"/>
      <c r="M382" s="629">
        <f t="shared" si="32"/>
        <v>0</v>
      </c>
      <c r="N382" s="629">
        <f t="shared" si="33"/>
        <v>0</v>
      </c>
      <c r="O382" s="630">
        <f t="shared" si="30"/>
        <v>0</v>
      </c>
      <c r="P382" s="629">
        <f t="shared" si="34"/>
        <v>0</v>
      </c>
      <c r="Q382" s="629">
        <f t="shared" si="35"/>
        <v>0</v>
      </c>
      <c r="R382" s="630">
        <f t="shared" si="31"/>
        <v>0</v>
      </c>
    </row>
    <row r="383" spans="2:18" outlineLevel="1" x14ac:dyDescent="0.2">
      <c r="B383" s="59"/>
      <c r="C383" s="59"/>
      <c r="D383" s="59"/>
      <c r="E383" s="541"/>
      <c r="F383" s="541"/>
      <c r="G383" s="541"/>
      <c r="H383" s="541"/>
      <c r="I383" s="59"/>
      <c r="J383" s="59"/>
      <c r="K383" s="621"/>
      <c r="L383" s="621"/>
      <c r="M383" s="629">
        <f t="shared" si="32"/>
        <v>0</v>
      </c>
      <c r="N383" s="629">
        <f t="shared" si="33"/>
        <v>0</v>
      </c>
      <c r="O383" s="630">
        <f t="shared" si="30"/>
        <v>0</v>
      </c>
      <c r="P383" s="629">
        <f t="shared" si="34"/>
        <v>0</v>
      </c>
      <c r="Q383" s="629">
        <f t="shared" si="35"/>
        <v>0</v>
      </c>
      <c r="R383" s="630">
        <f t="shared" si="31"/>
        <v>0</v>
      </c>
    </row>
    <row r="384" spans="2:18" outlineLevel="1" x14ac:dyDescent="0.2">
      <c r="B384" s="59"/>
      <c r="C384" s="59"/>
      <c r="D384" s="59"/>
      <c r="E384" s="541"/>
      <c r="F384" s="541"/>
      <c r="G384" s="541"/>
      <c r="H384" s="541"/>
      <c r="I384" s="59"/>
      <c r="J384" s="59"/>
      <c r="K384" s="621"/>
      <c r="L384" s="621"/>
      <c r="M384" s="629">
        <f t="shared" si="32"/>
        <v>0</v>
      </c>
      <c r="N384" s="629">
        <f t="shared" si="33"/>
        <v>0</v>
      </c>
      <c r="O384" s="630">
        <f t="shared" si="30"/>
        <v>0</v>
      </c>
      <c r="P384" s="629">
        <f t="shared" si="34"/>
        <v>0</v>
      </c>
      <c r="Q384" s="629">
        <f t="shared" si="35"/>
        <v>0</v>
      </c>
      <c r="R384" s="630">
        <f t="shared" si="31"/>
        <v>0</v>
      </c>
    </row>
    <row r="385" spans="2:18" outlineLevel="1" x14ac:dyDescent="0.2">
      <c r="B385" s="59"/>
      <c r="C385" s="59"/>
      <c r="D385" s="59"/>
      <c r="E385" s="541"/>
      <c r="F385" s="541"/>
      <c r="G385" s="541"/>
      <c r="H385" s="541"/>
      <c r="I385" s="59"/>
      <c r="J385" s="59"/>
      <c r="K385" s="621"/>
      <c r="L385" s="621"/>
      <c r="M385" s="629">
        <f t="shared" si="32"/>
        <v>0</v>
      </c>
      <c r="N385" s="629">
        <f t="shared" si="33"/>
        <v>0</v>
      </c>
      <c r="O385" s="630">
        <f t="shared" si="30"/>
        <v>0</v>
      </c>
      <c r="P385" s="629">
        <f t="shared" si="34"/>
        <v>0</v>
      </c>
      <c r="Q385" s="629">
        <f t="shared" si="35"/>
        <v>0</v>
      </c>
      <c r="R385" s="630">
        <f t="shared" si="31"/>
        <v>0</v>
      </c>
    </row>
    <row r="386" spans="2:18" outlineLevel="1" x14ac:dyDescent="0.2">
      <c r="B386" s="59"/>
      <c r="C386" s="59"/>
      <c r="D386" s="59"/>
      <c r="E386" s="541"/>
      <c r="F386" s="541"/>
      <c r="G386" s="541"/>
      <c r="H386" s="541"/>
      <c r="I386" s="59"/>
      <c r="J386" s="59"/>
      <c r="K386" s="621"/>
      <c r="L386" s="621"/>
      <c r="M386" s="629">
        <f t="shared" si="32"/>
        <v>0</v>
      </c>
      <c r="N386" s="629">
        <f t="shared" si="33"/>
        <v>0</v>
      </c>
      <c r="O386" s="630">
        <f t="shared" si="30"/>
        <v>0</v>
      </c>
      <c r="P386" s="629">
        <f t="shared" si="34"/>
        <v>0</v>
      </c>
      <c r="Q386" s="629">
        <f t="shared" si="35"/>
        <v>0</v>
      </c>
      <c r="R386" s="630">
        <f t="shared" si="31"/>
        <v>0</v>
      </c>
    </row>
    <row r="387" spans="2:18" outlineLevel="1" x14ac:dyDescent="0.2">
      <c r="B387" s="59"/>
      <c r="C387" s="59"/>
      <c r="D387" s="59"/>
      <c r="E387" s="541"/>
      <c r="F387" s="541"/>
      <c r="G387" s="541"/>
      <c r="H387" s="541"/>
      <c r="I387" s="59"/>
      <c r="J387" s="59"/>
      <c r="K387" s="621"/>
      <c r="L387" s="621"/>
      <c r="M387" s="629">
        <f t="shared" si="32"/>
        <v>0</v>
      </c>
      <c r="N387" s="629">
        <f t="shared" si="33"/>
        <v>0</v>
      </c>
      <c r="O387" s="630">
        <f t="shared" si="30"/>
        <v>0</v>
      </c>
      <c r="P387" s="629">
        <f t="shared" si="34"/>
        <v>0</v>
      </c>
      <c r="Q387" s="629">
        <f t="shared" si="35"/>
        <v>0</v>
      </c>
      <c r="R387" s="630">
        <f t="shared" si="31"/>
        <v>0</v>
      </c>
    </row>
    <row r="388" spans="2:18" outlineLevel="1" x14ac:dyDescent="0.2">
      <c r="B388" s="59"/>
      <c r="C388" s="59"/>
      <c r="D388" s="59"/>
      <c r="E388" s="541"/>
      <c r="F388" s="541"/>
      <c r="G388" s="541"/>
      <c r="H388" s="541"/>
      <c r="I388" s="59"/>
      <c r="J388" s="59"/>
      <c r="K388" s="621"/>
      <c r="L388" s="621"/>
      <c r="M388" s="629">
        <f t="shared" si="32"/>
        <v>0</v>
      </c>
      <c r="N388" s="629">
        <f t="shared" si="33"/>
        <v>0</v>
      </c>
      <c r="O388" s="630">
        <f t="shared" si="30"/>
        <v>0</v>
      </c>
      <c r="P388" s="629">
        <f t="shared" si="34"/>
        <v>0</v>
      </c>
      <c r="Q388" s="629">
        <f t="shared" si="35"/>
        <v>0</v>
      </c>
      <c r="R388" s="630">
        <f t="shared" si="31"/>
        <v>0</v>
      </c>
    </row>
    <row r="389" spans="2:18" outlineLevel="1" x14ac:dyDescent="0.2">
      <c r="B389" s="59"/>
      <c r="C389" s="59"/>
      <c r="D389" s="59"/>
      <c r="E389" s="541"/>
      <c r="F389" s="541"/>
      <c r="G389" s="541"/>
      <c r="H389" s="541"/>
      <c r="I389" s="59"/>
      <c r="J389" s="59"/>
      <c r="K389" s="621"/>
      <c r="L389" s="621"/>
      <c r="M389" s="629">
        <f t="shared" si="32"/>
        <v>0</v>
      </c>
      <c r="N389" s="629">
        <f t="shared" si="33"/>
        <v>0</v>
      </c>
      <c r="O389" s="630">
        <f t="shared" ref="O389:O452" si="36">M389+N389</f>
        <v>0</v>
      </c>
      <c r="P389" s="629">
        <f t="shared" si="34"/>
        <v>0</v>
      </c>
      <c r="Q389" s="629">
        <f t="shared" si="35"/>
        <v>0</v>
      </c>
      <c r="R389" s="630">
        <f t="shared" ref="R389:R452" si="37">P389+Q389</f>
        <v>0</v>
      </c>
    </row>
    <row r="390" spans="2:18" outlineLevel="1" x14ac:dyDescent="0.2">
      <c r="B390" s="59"/>
      <c r="C390" s="59"/>
      <c r="D390" s="59"/>
      <c r="E390" s="541"/>
      <c r="F390" s="541"/>
      <c r="G390" s="541"/>
      <c r="H390" s="541"/>
      <c r="I390" s="59"/>
      <c r="J390" s="59"/>
      <c r="K390" s="621"/>
      <c r="L390" s="621"/>
      <c r="M390" s="629">
        <f t="shared" ref="M390:M453" si="38">G390*(-1)</f>
        <v>0</v>
      </c>
      <c r="N390" s="629">
        <f t="shared" ref="N390:N453" si="39">H390*(-1)</f>
        <v>0</v>
      </c>
      <c r="O390" s="630">
        <f t="shared" si="36"/>
        <v>0</v>
      </c>
      <c r="P390" s="629">
        <f t="shared" ref="P390:P453" si="40">+IF(AND(I390="NO",E390&gt;G390),(E390-G390)*K390*(-1),0)</f>
        <v>0</v>
      </c>
      <c r="Q390" s="629">
        <f t="shared" ref="Q390:Q453" si="41">+IF(AND(J390="NO",F390&gt;H390),(F390-H390)*L390*(-1),0)</f>
        <v>0</v>
      </c>
      <c r="R390" s="630">
        <f t="shared" si="37"/>
        <v>0</v>
      </c>
    </row>
    <row r="391" spans="2:18" outlineLevel="1" x14ac:dyDescent="0.2">
      <c r="B391" s="59"/>
      <c r="C391" s="59"/>
      <c r="D391" s="59"/>
      <c r="E391" s="541"/>
      <c r="F391" s="541"/>
      <c r="G391" s="541"/>
      <c r="H391" s="541"/>
      <c r="I391" s="59"/>
      <c r="J391" s="59"/>
      <c r="K391" s="621"/>
      <c r="L391" s="621"/>
      <c r="M391" s="629">
        <f t="shared" si="38"/>
        <v>0</v>
      </c>
      <c r="N391" s="629">
        <f t="shared" si="39"/>
        <v>0</v>
      </c>
      <c r="O391" s="630">
        <f t="shared" si="36"/>
        <v>0</v>
      </c>
      <c r="P391" s="629">
        <f t="shared" si="40"/>
        <v>0</v>
      </c>
      <c r="Q391" s="629">
        <f t="shared" si="41"/>
        <v>0</v>
      </c>
      <c r="R391" s="630">
        <f t="shared" si="37"/>
        <v>0</v>
      </c>
    </row>
    <row r="392" spans="2:18" outlineLevel="1" x14ac:dyDescent="0.2">
      <c r="B392" s="59"/>
      <c r="C392" s="59"/>
      <c r="D392" s="59"/>
      <c r="E392" s="541"/>
      <c r="F392" s="541"/>
      <c r="G392" s="541"/>
      <c r="H392" s="541"/>
      <c r="I392" s="59"/>
      <c r="J392" s="59"/>
      <c r="K392" s="621"/>
      <c r="L392" s="621"/>
      <c r="M392" s="629">
        <f t="shared" si="38"/>
        <v>0</v>
      </c>
      <c r="N392" s="629">
        <f t="shared" si="39"/>
        <v>0</v>
      </c>
      <c r="O392" s="630">
        <f t="shared" si="36"/>
        <v>0</v>
      </c>
      <c r="P392" s="629">
        <f t="shared" si="40"/>
        <v>0</v>
      </c>
      <c r="Q392" s="629">
        <f t="shared" si="41"/>
        <v>0</v>
      </c>
      <c r="R392" s="630">
        <f t="shared" si="37"/>
        <v>0</v>
      </c>
    </row>
    <row r="393" spans="2:18" outlineLevel="1" x14ac:dyDescent="0.2">
      <c r="B393" s="59"/>
      <c r="C393" s="59"/>
      <c r="D393" s="59"/>
      <c r="E393" s="541"/>
      <c r="F393" s="541"/>
      <c r="G393" s="541"/>
      <c r="H393" s="541"/>
      <c r="I393" s="59"/>
      <c r="J393" s="59"/>
      <c r="K393" s="621"/>
      <c r="L393" s="621"/>
      <c r="M393" s="629">
        <f t="shared" si="38"/>
        <v>0</v>
      </c>
      <c r="N393" s="629">
        <f t="shared" si="39"/>
        <v>0</v>
      </c>
      <c r="O393" s="630">
        <f t="shared" si="36"/>
        <v>0</v>
      </c>
      <c r="P393" s="629">
        <f t="shared" si="40"/>
        <v>0</v>
      </c>
      <c r="Q393" s="629">
        <f t="shared" si="41"/>
        <v>0</v>
      </c>
      <c r="R393" s="630">
        <f t="shared" si="37"/>
        <v>0</v>
      </c>
    </row>
    <row r="394" spans="2:18" outlineLevel="1" x14ac:dyDescent="0.2">
      <c r="B394" s="59"/>
      <c r="C394" s="59"/>
      <c r="D394" s="59"/>
      <c r="E394" s="541"/>
      <c r="F394" s="541"/>
      <c r="G394" s="541"/>
      <c r="H394" s="541"/>
      <c r="I394" s="59"/>
      <c r="J394" s="59"/>
      <c r="K394" s="621"/>
      <c r="L394" s="621"/>
      <c r="M394" s="629">
        <f t="shared" si="38"/>
        <v>0</v>
      </c>
      <c r="N394" s="629">
        <f t="shared" si="39"/>
        <v>0</v>
      </c>
      <c r="O394" s="630">
        <f t="shared" si="36"/>
        <v>0</v>
      </c>
      <c r="P394" s="629">
        <f t="shared" si="40"/>
        <v>0</v>
      </c>
      <c r="Q394" s="629">
        <f t="shared" si="41"/>
        <v>0</v>
      </c>
      <c r="R394" s="630">
        <f t="shared" si="37"/>
        <v>0</v>
      </c>
    </row>
    <row r="395" spans="2:18" outlineLevel="1" x14ac:dyDescent="0.2">
      <c r="B395" s="59"/>
      <c r="C395" s="59"/>
      <c r="D395" s="59"/>
      <c r="E395" s="541"/>
      <c r="F395" s="541"/>
      <c r="G395" s="541"/>
      <c r="H395" s="541"/>
      <c r="I395" s="59"/>
      <c r="J395" s="59"/>
      <c r="K395" s="621"/>
      <c r="L395" s="621"/>
      <c r="M395" s="629">
        <f t="shared" si="38"/>
        <v>0</v>
      </c>
      <c r="N395" s="629">
        <f t="shared" si="39"/>
        <v>0</v>
      </c>
      <c r="O395" s="630">
        <f t="shared" si="36"/>
        <v>0</v>
      </c>
      <c r="P395" s="629">
        <f t="shared" si="40"/>
        <v>0</v>
      </c>
      <c r="Q395" s="629">
        <f t="shared" si="41"/>
        <v>0</v>
      </c>
      <c r="R395" s="630">
        <f t="shared" si="37"/>
        <v>0</v>
      </c>
    </row>
    <row r="396" spans="2:18" outlineLevel="1" x14ac:dyDescent="0.2">
      <c r="B396" s="59"/>
      <c r="C396" s="59"/>
      <c r="D396" s="59"/>
      <c r="E396" s="541"/>
      <c r="F396" s="541"/>
      <c r="G396" s="541"/>
      <c r="H396" s="541"/>
      <c r="I396" s="59"/>
      <c r="J396" s="59"/>
      <c r="K396" s="621"/>
      <c r="L396" s="621"/>
      <c r="M396" s="629">
        <f t="shared" si="38"/>
        <v>0</v>
      </c>
      <c r="N396" s="629">
        <f t="shared" si="39"/>
        <v>0</v>
      </c>
      <c r="O396" s="630">
        <f t="shared" si="36"/>
        <v>0</v>
      </c>
      <c r="P396" s="629">
        <f t="shared" si="40"/>
        <v>0</v>
      </c>
      <c r="Q396" s="629">
        <f t="shared" si="41"/>
        <v>0</v>
      </c>
      <c r="R396" s="630">
        <f t="shared" si="37"/>
        <v>0</v>
      </c>
    </row>
    <row r="397" spans="2:18" outlineLevel="1" x14ac:dyDescent="0.2">
      <c r="B397" s="59"/>
      <c r="C397" s="59"/>
      <c r="D397" s="59"/>
      <c r="E397" s="541"/>
      <c r="F397" s="541"/>
      <c r="G397" s="541"/>
      <c r="H397" s="541"/>
      <c r="I397" s="59"/>
      <c r="J397" s="59"/>
      <c r="K397" s="621"/>
      <c r="L397" s="621"/>
      <c r="M397" s="629">
        <f t="shared" si="38"/>
        <v>0</v>
      </c>
      <c r="N397" s="629">
        <f t="shared" si="39"/>
        <v>0</v>
      </c>
      <c r="O397" s="630">
        <f t="shared" si="36"/>
        <v>0</v>
      </c>
      <c r="P397" s="629">
        <f t="shared" si="40"/>
        <v>0</v>
      </c>
      <c r="Q397" s="629">
        <f t="shared" si="41"/>
        <v>0</v>
      </c>
      <c r="R397" s="630">
        <f t="shared" si="37"/>
        <v>0</v>
      </c>
    </row>
    <row r="398" spans="2:18" outlineLevel="1" x14ac:dyDescent="0.2">
      <c r="B398" s="59"/>
      <c r="C398" s="59"/>
      <c r="D398" s="59"/>
      <c r="E398" s="541"/>
      <c r="F398" s="541"/>
      <c r="G398" s="541"/>
      <c r="H398" s="541"/>
      <c r="I398" s="59"/>
      <c r="J398" s="59"/>
      <c r="K398" s="621"/>
      <c r="L398" s="621"/>
      <c r="M398" s="629">
        <f t="shared" si="38"/>
        <v>0</v>
      </c>
      <c r="N398" s="629">
        <f t="shared" si="39"/>
        <v>0</v>
      </c>
      <c r="O398" s="630">
        <f t="shared" si="36"/>
        <v>0</v>
      </c>
      <c r="P398" s="629">
        <f t="shared" si="40"/>
        <v>0</v>
      </c>
      <c r="Q398" s="629">
        <f t="shared" si="41"/>
        <v>0</v>
      </c>
      <c r="R398" s="630">
        <f t="shared" si="37"/>
        <v>0</v>
      </c>
    </row>
    <row r="399" spans="2:18" outlineLevel="1" x14ac:dyDescent="0.2">
      <c r="B399" s="59"/>
      <c r="C399" s="59"/>
      <c r="D399" s="59"/>
      <c r="E399" s="541"/>
      <c r="F399" s="541"/>
      <c r="G399" s="541"/>
      <c r="H399" s="541"/>
      <c r="I399" s="59"/>
      <c r="J399" s="59"/>
      <c r="K399" s="621"/>
      <c r="L399" s="621"/>
      <c r="M399" s="629">
        <f t="shared" si="38"/>
        <v>0</v>
      </c>
      <c r="N399" s="629">
        <f t="shared" si="39"/>
        <v>0</v>
      </c>
      <c r="O399" s="630">
        <f t="shared" si="36"/>
        <v>0</v>
      </c>
      <c r="P399" s="629">
        <f t="shared" si="40"/>
        <v>0</v>
      </c>
      <c r="Q399" s="629">
        <f t="shared" si="41"/>
        <v>0</v>
      </c>
      <c r="R399" s="630">
        <f t="shared" si="37"/>
        <v>0</v>
      </c>
    </row>
    <row r="400" spans="2:18" outlineLevel="1" x14ac:dyDescent="0.2">
      <c r="B400" s="59"/>
      <c r="C400" s="59"/>
      <c r="D400" s="59"/>
      <c r="E400" s="541"/>
      <c r="F400" s="541"/>
      <c r="G400" s="541"/>
      <c r="H400" s="541"/>
      <c r="I400" s="59"/>
      <c r="J400" s="59"/>
      <c r="K400" s="621"/>
      <c r="L400" s="621"/>
      <c r="M400" s="629">
        <f t="shared" si="38"/>
        <v>0</v>
      </c>
      <c r="N400" s="629">
        <f t="shared" si="39"/>
        <v>0</v>
      </c>
      <c r="O400" s="630">
        <f t="shared" si="36"/>
        <v>0</v>
      </c>
      <c r="P400" s="629">
        <f t="shared" si="40"/>
        <v>0</v>
      </c>
      <c r="Q400" s="629">
        <f t="shared" si="41"/>
        <v>0</v>
      </c>
      <c r="R400" s="630">
        <f t="shared" si="37"/>
        <v>0</v>
      </c>
    </row>
    <row r="401" spans="2:18" outlineLevel="1" x14ac:dyDescent="0.2">
      <c r="B401" s="59"/>
      <c r="C401" s="59"/>
      <c r="D401" s="59"/>
      <c r="E401" s="541"/>
      <c r="F401" s="541"/>
      <c r="G401" s="541"/>
      <c r="H401" s="541"/>
      <c r="I401" s="59"/>
      <c r="J401" s="59"/>
      <c r="K401" s="621"/>
      <c r="L401" s="621"/>
      <c r="M401" s="629">
        <f t="shared" si="38"/>
        <v>0</v>
      </c>
      <c r="N401" s="629">
        <f t="shared" si="39"/>
        <v>0</v>
      </c>
      <c r="O401" s="630">
        <f t="shared" si="36"/>
        <v>0</v>
      </c>
      <c r="P401" s="629">
        <f t="shared" si="40"/>
        <v>0</v>
      </c>
      <c r="Q401" s="629">
        <f t="shared" si="41"/>
        <v>0</v>
      </c>
      <c r="R401" s="630">
        <f t="shared" si="37"/>
        <v>0</v>
      </c>
    </row>
    <row r="402" spans="2:18" outlineLevel="1" x14ac:dyDescent="0.2">
      <c r="B402" s="59"/>
      <c r="C402" s="59"/>
      <c r="D402" s="59"/>
      <c r="E402" s="541"/>
      <c r="F402" s="541"/>
      <c r="G402" s="541"/>
      <c r="H402" s="541"/>
      <c r="I402" s="59"/>
      <c r="J402" s="59"/>
      <c r="K402" s="621"/>
      <c r="L402" s="621"/>
      <c r="M402" s="629">
        <f t="shared" si="38"/>
        <v>0</v>
      </c>
      <c r="N402" s="629">
        <f t="shared" si="39"/>
        <v>0</v>
      </c>
      <c r="O402" s="630">
        <f t="shared" si="36"/>
        <v>0</v>
      </c>
      <c r="P402" s="629">
        <f t="shared" si="40"/>
        <v>0</v>
      </c>
      <c r="Q402" s="629">
        <f t="shared" si="41"/>
        <v>0</v>
      </c>
      <c r="R402" s="630">
        <f t="shared" si="37"/>
        <v>0</v>
      </c>
    </row>
    <row r="403" spans="2:18" outlineLevel="1" x14ac:dyDescent="0.2">
      <c r="B403" s="59"/>
      <c r="C403" s="59"/>
      <c r="D403" s="59"/>
      <c r="E403" s="541"/>
      <c r="F403" s="541"/>
      <c r="G403" s="541"/>
      <c r="H403" s="541"/>
      <c r="I403" s="59"/>
      <c r="J403" s="59"/>
      <c r="K403" s="621"/>
      <c r="L403" s="621"/>
      <c r="M403" s="629">
        <f t="shared" si="38"/>
        <v>0</v>
      </c>
      <c r="N403" s="629">
        <f t="shared" si="39"/>
        <v>0</v>
      </c>
      <c r="O403" s="630">
        <f t="shared" si="36"/>
        <v>0</v>
      </c>
      <c r="P403" s="629">
        <f t="shared" si="40"/>
        <v>0</v>
      </c>
      <c r="Q403" s="629">
        <f t="shared" si="41"/>
        <v>0</v>
      </c>
      <c r="R403" s="630">
        <f t="shared" si="37"/>
        <v>0</v>
      </c>
    </row>
    <row r="404" spans="2:18" outlineLevel="1" x14ac:dyDescent="0.2">
      <c r="B404" s="59"/>
      <c r="C404" s="59"/>
      <c r="D404" s="59"/>
      <c r="E404" s="541"/>
      <c r="F404" s="541"/>
      <c r="G404" s="541"/>
      <c r="H404" s="541"/>
      <c r="I404" s="59"/>
      <c r="J404" s="59"/>
      <c r="K404" s="621"/>
      <c r="L404" s="621"/>
      <c r="M404" s="629">
        <f t="shared" si="38"/>
        <v>0</v>
      </c>
      <c r="N404" s="629">
        <f t="shared" si="39"/>
        <v>0</v>
      </c>
      <c r="O404" s="630">
        <f t="shared" si="36"/>
        <v>0</v>
      </c>
      <c r="P404" s="629">
        <f t="shared" si="40"/>
        <v>0</v>
      </c>
      <c r="Q404" s="629">
        <f t="shared" si="41"/>
        <v>0</v>
      </c>
      <c r="R404" s="630">
        <f t="shared" si="37"/>
        <v>0</v>
      </c>
    </row>
    <row r="405" spans="2:18" outlineLevel="1" x14ac:dyDescent="0.2">
      <c r="B405" s="59"/>
      <c r="C405" s="59"/>
      <c r="D405" s="59"/>
      <c r="E405" s="541"/>
      <c r="F405" s="541"/>
      <c r="G405" s="541"/>
      <c r="H405" s="541"/>
      <c r="I405" s="59"/>
      <c r="J405" s="59"/>
      <c r="K405" s="621"/>
      <c r="L405" s="621"/>
      <c r="M405" s="629">
        <f t="shared" si="38"/>
        <v>0</v>
      </c>
      <c r="N405" s="629">
        <f t="shared" si="39"/>
        <v>0</v>
      </c>
      <c r="O405" s="630">
        <f t="shared" si="36"/>
        <v>0</v>
      </c>
      <c r="P405" s="629">
        <f t="shared" si="40"/>
        <v>0</v>
      </c>
      <c r="Q405" s="629">
        <f t="shared" si="41"/>
        <v>0</v>
      </c>
      <c r="R405" s="630">
        <f t="shared" si="37"/>
        <v>0</v>
      </c>
    </row>
    <row r="406" spans="2:18" outlineLevel="1" x14ac:dyDescent="0.2">
      <c r="B406" s="59"/>
      <c r="C406" s="59"/>
      <c r="D406" s="59"/>
      <c r="E406" s="541"/>
      <c r="F406" s="541"/>
      <c r="G406" s="541"/>
      <c r="H406" s="541"/>
      <c r="I406" s="59"/>
      <c r="J406" s="59"/>
      <c r="K406" s="621"/>
      <c r="L406" s="621"/>
      <c r="M406" s="629">
        <f t="shared" si="38"/>
        <v>0</v>
      </c>
      <c r="N406" s="629">
        <f t="shared" si="39"/>
        <v>0</v>
      </c>
      <c r="O406" s="630">
        <f t="shared" si="36"/>
        <v>0</v>
      </c>
      <c r="P406" s="629">
        <f t="shared" si="40"/>
        <v>0</v>
      </c>
      <c r="Q406" s="629">
        <f t="shared" si="41"/>
        <v>0</v>
      </c>
      <c r="R406" s="630">
        <f t="shared" si="37"/>
        <v>0</v>
      </c>
    </row>
    <row r="407" spans="2:18" outlineLevel="1" x14ac:dyDescent="0.2">
      <c r="B407" s="59"/>
      <c r="C407" s="59"/>
      <c r="D407" s="59"/>
      <c r="E407" s="541"/>
      <c r="F407" s="541"/>
      <c r="G407" s="541"/>
      <c r="H407" s="541"/>
      <c r="I407" s="59"/>
      <c r="J407" s="59"/>
      <c r="K407" s="621"/>
      <c r="L407" s="621"/>
      <c r="M407" s="629">
        <f t="shared" si="38"/>
        <v>0</v>
      </c>
      <c r="N407" s="629">
        <f t="shared" si="39"/>
        <v>0</v>
      </c>
      <c r="O407" s="630">
        <f t="shared" si="36"/>
        <v>0</v>
      </c>
      <c r="P407" s="629">
        <f t="shared" si="40"/>
        <v>0</v>
      </c>
      <c r="Q407" s="629">
        <f t="shared" si="41"/>
        <v>0</v>
      </c>
      <c r="R407" s="630">
        <f t="shared" si="37"/>
        <v>0</v>
      </c>
    </row>
    <row r="408" spans="2:18" outlineLevel="1" x14ac:dyDescent="0.2">
      <c r="B408" s="59"/>
      <c r="C408" s="59"/>
      <c r="D408" s="59"/>
      <c r="E408" s="541"/>
      <c r="F408" s="541"/>
      <c r="G408" s="541"/>
      <c r="H408" s="541"/>
      <c r="I408" s="59"/>
      <c r="J408" s="59"/>
      <c r="K408" s="621"/>
      <c r="L408" s="621"/>
      <c r="M408" s="629">
        <f t="shared" si="38"/>
        <v>0</v>
      </c>
      <c r="N408" s="629">
        <f t="shared" si="39"/>
        <v>0</v>
      </c>
      <c r="O408" s="630">
        <f t="shared" si="36"/>
        <v>0</v>
      </c>
      <c r="P408" s="629">
        <f t="shared" si="40"/>
        <v>0</v>
      </c>
      <c r="Q408" s="629">
        <f t="shared" si="41"/>
        <v>0</v>
      </c>
      <c r="R408" s="630">
        <f t="shared" si="37"/>
        <v>0</v>
      </c>
    </row>
    <row r="409" spans="2:18" outlineLevel="1" x14ac:dyDescent="0.2">
      <c r="B409" s="59"/>
      <c r="C409" s="59"/>
      <c r="D409" s="59"/>
      <c r="E409" s="541"/>
      <c r="F409" s="541"/>
      <c r="G409" s="541"/>
      <c r="H409" s="541"/>
      <c r="I409" s="59"/>
      <c r="J409" s="59"/>
      <c r="K409" s="621"/>
      <c r="L409" s="621"/>
      <c r="M409" s="629">
        <f t="shared" si="38"/>
        <v>0</v>
      </c>
      <c r="N409" s="629">
        <f t="shared" si="39"/>
        <v>0</v>
      </c>
      <c r="O409" s="630">
        <f t="shared" si="36"/>
        <v>0</v>
      </c>
      <c r="P409" s="629">
        <f t="shared" si="40"/>
        <v>0</v>
      </c>
      <c r="Q409" s="629">
        <f t="shared" si="41"/>
        <v>0</v>
      </c>
      <c r="R409" s="630">
        <f t="shared" si="37"/>
        <v>0</v>
      </c>
    </row>
    <row r="410" spans="2:18" outlineLevel="1" x14ac:dyDescent="0.2">
      <c r="B410" s="59"/>
      <c r="C410" s="59"/>
      <c r="D410" s="59"/>
      <c r="E410" s="541"/>
      <c r="F410" s="541"/>
      <c r="G410" s="541"/>
      <c r="H410" s="541"/>
      <c r="I410" s="59"/>
      <c r="J410" s="59"/>
      <c r="K410" s="621"/>
      <c r="L410" s="621"/>
      <c r="M410" s="629">
        <f t="shared" si="38"/>
        <v>0</v>
      </c>
      <c r="N410" s="629">
        <f t="shared" si="39"/>
        <v>0</v>
      </c>
      <c r="O410" s="630">
        <f t="shared" si="36"/>
        <v>0</v>
      </c>
      <c r="P410" s="629">
        <f t="shared" si="40"/>
        <v>0</v>
      </c>
      <c r="Q410" s="629">
        <f t="shared" si="41"/>
        <v>0</v>
      </c>
      <c r="R410" s="630">
        <f t="shared" si="37"/>
        <v>0</v>
      </c>
    </row>
    <row r="411" spans="2:18" outlineLevel="1" x14ac:dyDescent="0.2">
      <c r="B411" s="59"/>
      <c r="C411" s="59"/>
      <c r="D411" s="59"/>
      <c r="E411" s="541"/>
      <c r="F411" s="541"/>
      <c r="G411" s="541"/>
      <c r="H411" s="541"/>
      <c r="I411" s="59"/>
      <c r="J411" s="59"/>
      <c r="K411" s="621"/>
      <c r="L411" s="621"/>
      <c r="M411" s="629">
        <f t="shared" si="38"/>
        <v>0</v>
      </c>
      <c r="N411" s="629">
        <f t="shared" si="39"/>
        <v>0</v>
      </c>
      <c r="O411" s="630">
        <f t="shared" si="36"/>
        <v>0</v>
      </c>
      <c r="P411" s="629">
        <f t="shared" si="40"/>
        <v>0</v>
      </c>
      <c r="Q411" s="629">
        <f t="shared" si="41"/>
        <v>0</v>
      </c>
      <c r="R411" s="630">
        <f t="shared" si="37"/>
        <v>0</v>
      </c>
    </row>
    <row r="412" spans="2:18" outlineLevel="1" x14ac:dyDescent="0.2">
      <c r="B412" s="59"/>
      <c r="C412" s="59"/>
      <c r="D412" s="59"/>
      <c r="E412" s="541"/>
      <c r="F412" s="541"/>
      <c r="G412" s="541"/>
      <c r="H412" s="541"/>
      <c r="I412" s="59"/>
      <c r="J412" s="59"/>
      <c r="K412" s="621"/>
      <c r="L412" s="621"/>
      <c r="M412" s="629">
        <f t="shared" si="38"/>
        <v>0</v>
      </c>
      <c r="N412" s="629">
        <f t="shared" si="39"/>
        <v>0</v>
      </c>
      <c r="O412" s="630">
        <f t="shared" si="36"/>
        <v>0</v>
      </c>
      <c r="P412" s="629">
        <f t="shared" si="40"/>
        <v>0</v>
      </c>
      <c r="Q412" s="629">
        <f t="shared" si="41"/>
        <v>0</v>
      </c>
      <c r="R412" s="630">
        <f t="shared" si="37"/>
        <v>0</v>
      </c>
    </row>
    <row r="413" spans="2:18" outlineLevel="1" x14ac:dyDescent="0.2">
      <c r="B413" s="59"/>
      <c r="C413" s="59"/>
      <c r="D413" s="59"/>
      <c r="E413" s="541"/>
      <c r="F413" s="541"/>
      <c r="G413" s="541"/>
      <c r="H413" s="541"/>
      <c r="I413" s="59"/>
      <c r="J413" s="59"/>
      <c r="K413" s="621"/>
      <c r="L413" s="621"/>
      <c r="M413" s="629">
        <f t="shared" si="38"/>
        <v>0</v>
      </c>
      <c r="N413" s="629">
        <f t="shared" si="39"/>
        <v>0</v>
      </c>
      <c r="O413" s="630">
        <f t="shared" si="36"/>
        <v>0</v>
      </c>
      <c r="P413" s="629">
        <f t="shared" si="40"/>
        <v>0</v>
      </c>
      <c r="Q413" s="629">
        <f t="shared" si="41"/>
        <v>0</v>
      </c>
      <c r="R413" s="630">
        <f t="shared" si="37"/>
        <v>0</v>
      </c>
    </row>
    <row r="414" spans="2:18" outlineLevel="1" x14ac:dyDescent="0.2">
      <c r="B414" s="59"/>
      <c r="C414" s="59"/>
      <c r="D414" s="59"/>
      <c r="E414" s="541"/>
      <c r="F414" s="541"/>
      <c r="G414" s="541"/>
      <c r="H414" s="541"/>
      <c r="I414" s="59"/>
      <c r="J414" s="59"/>
      <c r="K414" s="621"/>
      <c r="L414" s="621"/>
      <c r="M414" s="629">
        <f t="shared" si="38"/>
        <v>0</v>
      </c>
      <c r="N414" s="629">
        <f t="shared" si="39"/>
        <v>0</v>
      </c>
      <c r="O414" s="630">
        <f t="shared" si="36"/>
        <v>0</v>
      </c>
      <c r="P414" s="629">
        <f t="shared" si="40"/>
        <v>0</v>
      </c>
      <c r="Q414" s="629">
        <f t="shared" si="41"/>
        <v>0</v>
      </c>
      <c r="R414" s="630">
        <f t="shared" si="37"/>
        <v>0</v>
      </c>
    </row>
    <row r="415" spans="2:18" outlineLevel="1" x14ac:dyDescent="0.2">
      <c r="B415" s="59"/>
      <c r="C415" s="59"/>
      <c r="D415" s="59"/>
      <c r="E415" s="541"/>
      <c r="F415" s="541"/>
      <c r="G415" s="541"/>
      <c r="H415" s="541"/>
      <c r="I415" s="59"/>
      <c r="J415" s="59"/>
      <c r="K415" s="621"/>
      <c r="L415" s="621"/>
      <c r="M415" s="629">
        <f t="shared" si="38"/>
        <v>0</v>
      </c>
      <c r="N415" s="629">
        <f t="shared" si="39"/>
        <v>0</v>
      </c>
      <c r="O415" s="630">
        <f t="shared" si="36"/>
        <v>0</v>
      </c>
      <c r="P415" s="629">
        <f t="shared" si="40"/>
        <v>0</v>
      </c>
      <c r="Q415" s="629">
        <f t="shared" si="41"/>
        <v>0</v>
      </c>
      <c r="R415" s="630">
        <f t="shared" si="37"/>
        <v>0</v>
      </c>
    </row>
    <row r="416" spans="2:18" outlineLevel="1" x14ac:dyDescent="0.2">
      <c r="B416" s="59"/>
      <c r="C416" s="59"/>
      <c r="D416" s="59"/>
      <c r="E416" s="541"/>
      <c r="F416" s="541"/>
      <c r="G416" s="541"/>
      <c r="H416" s="541"/>
      <c r="I416" s="59"/>
      <c r="J416" s="59"/>
      <c r="K416" s="621"/>
      <c r="L416" s="621"/>
      <c r="M416" s="629">
        <f t="shared" si="38"/>
        <v>0</v>
      </c>
      <c r="N416" s="629">
        <f t="shared" si="39"/>
        <v>0</v>
      </c>
      <c r="O416" s="630">
        <f t="shared" si="36"/>
        <v>0</v>
      </c>
      <c r="P416" s="629">
        <f t="shared" si="40"/>
        <v>0</v>
      </c>
      <c r="Q416" s="629">
        <f t="shared" si="41"/>
        <v>0</v>
      </c>
      <c r="R416" s="630">
        <f t="shared" si="37"/>
        <v>0</v>
      </c>
    </row>
    <row r="417" spans="2:18" outlineLevel="1" x14ac:dyDescent="0.2">
      <c r="B417" s="59"/>
      <c r="C417" s="59"/>
      <c r="D417" s="59"/>
      <c r="E417" s="541"/>
      <c r="F417" s="541"/>
      <c r="G417" s="541"/>
      <c r="H417" s="541"/>
      <c r="I417" s="59"/>
      <c r="J417" s="59"/>
      <c r="K417" s="621"/>
      <c r="L417" s="621"/>
      <c r="M417" s="629">
        <f t="shared" si="38"/>
        <v>0</v>
      </c>
      <c r="N417" s="629">
        <f t="shared" si="39"/>
        <v>0</v>
      </c>
      <c r="O417" s="630">
        <f t="shared" si="36"/>
        <v>0</v>
      </c>
      <c r="P417" s="629">
        <f t="shared" si="40"/>
        <v>0</v>
      </c>
      <c r="Q417" s="629">
        <f t="shared" si="41"/>
        <v>0</v>
      </c>
      <c r="R417" s="630">
        <f t="shared" si="37"/>
        <v>0</v>
      </c>
    </row>
    <row r="418" spans="2:18" outlineLevel="1" x14ac:dyDescent="0.2">
      <c r="B418" s="59"/>
      <c r="C418" s="59"/>
      <c r="D418" s="59"/>
      <c r="E418" s="541"/>
      <c r="F418" s="541"/>
      <c r="G418" s="541"/>
      <c r="H418" s="541"/>
      <c r="I418" s="59"/>
      <c r="J418" s="59"/>
      <c r="K418" s="621"/>
      <c r="L418" s="621"/>
      <c r="M418" s="629">
        <f t="shared" si="38"/>
        <v>0</v>
      </c>
      <c r="N418" s="629">
        <f t="shared" si="39"/>
        <v>0</v>
      </c>
      <c r="O418" s="630">
        <f t="shared" si="36"/>
        <v>0</v>
      </c>
      <c r="P418" s="629">
        <f t="shared" si="40"/>
        <v>0</v>
      </c>
      <c r="Q418" s="629">
        <f t="shared" si="41"/>
        <v>0</v>
      </c>
      <c r="R418" s="630">
        <f t="shared" si="37"/>
        <v>0</v>
      </c>
    </row>
    <row r="419" spans="2:18" outlineLevel="1" x14ac:dyDescent="0.2">
      <c r="B419" s="59"/>
      <c r="C419" s="59"/>
      <c r="D419" s="59"/>
      <c r="E419" s="541"/>
      <c r="F419" s="541"/>
      <c r="G419" s="541"/>
      <c r="H419" s="541"/>
      <c r="I419" s="59"/>
      <c r="J419" s="59"/>
      <c r="K419" s="621"/>
      <c r="L419" s="621"/>
      <c r="M419" s="629">
        <f t="shared" si="38"/>
        <v>0</v>
      </c>
      <c r="N419" s="629">
        <f t="shared" si="39"/>
        <v>0</v>
      </c>
      <c r="O419" s="630">
        <f t="shared" si="36"/>
        <v>0</v>
      </c>
      <c r="P419" s="629">
        <f t="shared" si="40"/>
        <v>0</v>
      </c>
      <c r="Q419" s="629">
        <f t="shared" si="41"/>
        <v>0</v>
      </c>
      <c r="R419" s="630">
        <f t="shared" si="37"/>
        <v>0</v>
      </c>
    </row>
    <row r="420" spans="2:18" outlineLevel="1" x14ac:dyDescent="0.2">
      <c r="B420" s="59"/>
      <c r="C420" s="59"/>
      <c r="D420" s="59"/>
      <c r="E420" s="541"/>
      <c r="F420" s="541"/>
      <c r="G420" s="541"/>
      <c r="H420" s="541"/>
      <c r="I420" s="59"/>
      <c r="J420" s="59"/>
      <c r="K420" s="621"/>
      <c r="L420" s="621"/>
      <c r="M420" s="629">
        <f t="shared" si="38"/>
        <v>0</v>
      </c>
      <c r="N420" s="629">
        <f t="shared" si="39"/>
        <v>0</v>
      </c>
      <c r="O420" s="630">
        <f t="shared" si="36"/>
        <v>0</v>
      </c>
      <c r="P420" s="629">
        <f t="shared" si="40"/>
        <v>0</v>
      </c>
      <c r="Q420" s="629">
        <f t="shared" si="41"/>
        <v>0</v>
      </c>
      <c r="R420" s="630">
        <f t="shared" si="37"/>
        <v>0</v>
      </c>
    </row>
    <row r="421" spans="2:18" outlineLevel="1" x14ac:dyDescent="0.2">
      <c r="B421" s="59"/>
      <c r="C421" s="59"/>
      <c r="D421" s="59"/>
      <c r="E421" s="541"/>
      <c r="F421" s="541"/>
      <c r="G421" s="541"/>
      <c r="H421" s="541"/>
      <c r="I421" s="59"/>
      <c r="J421" s="59"/>
      <c r="K421" s="621"/>
      <c r="L421" s="621"/>
      <c r="M421" s="629">
        <f t="shared" si="38"/>
        <v>0</v>
      </c>
      <c r="N421" s="629">
        <f t="shared" si="39"/>
        <v>0</v>
      </c>
      <c r="O421" s="630">
        <f t="shared" si="36"/>
        <v>0</v>
      </c>
      <c r="P421" s="629">
        <f t="shared" si="40"/>
        <v>0</v>
      </c>
      <c r="Q421" s="629">
        <f t="shared" si="41"/>
        <v>0</v>
      </c>
      <c r="R421" s="630">
        <f t="shared" si="37"/>
        <v>0</v>
      </c>
    </row>
    <row r="422" spans="2:18" outlineLevel="1" x14ac:dyDescent="0.2">
      <c r="B422" s="59"/>
      <c r="C422" s="59"/>
      <c r="D422" s="59"/>
      <c r="E422" s="541"/>
      <c r="F422" s="541"/>
      <c r="G422" s="541"/>
      <c r="H422" s="541"/>
      <c r="I422" s="59"/>
      <c r="J422" s="59"/>
      <c r="K422" s="621"/>
      <c r="L422" s="621"/>
      <c r="M422" s="629">
        <f t="shared" si="38"/>
        <v>0</v>
      </c>
      <c r="N422" s="629">
        <f t="shared" si="39"/>
        <v>0</v>
      </c>
      <c r="O422" s="630">
        <f t="shared" si="36"/>
        <v>0</v>
      </c>
      <c r="P422" s="629">
        <f t="shared" si="40"/>
        <v>0</v>
      </c>
      <c r="Q422" s="629">
        <f t="shared" si="41"/>
        <v>0</v>
      </c>
      <c r="R422" s="630">
        <f t="shared" si="37"/>
        <v>0</v>
      </c>
    </row>
    <row r="423" spans="2:18" outlineLevel="1" x14ac:dyDescent="0.2">
      <c r="B423" s="59"/>
      <c r="C423" s="59"/>
      <c r="D423" s="59"/>
      <c r="E423" s="541"/>
      <c r="F423" s="541"/>
      <c r="G423" s="541"/>
      <c r="H423" s="541"/>
      <c r="I423" s="59"/>
      <c r="J423" s="59"/>
      <c r="K423" s="621"/>
      <c r="L423" s="621"/>
      <c r="M423" s="629">
        <f t="shared" si="38"/>
        <v>0</v>
      </c>
      <c r="N423" s="629">
        <f t="shared" si="39"/>
        <v>0</v>
      </c>
      <c r="O423" s="630">
        <f t="shared" si="36"/>
        <v>0</v>
      </c>
      <c r="P423" s="629">
        <f t="shared" si="40"/>
        <v>0</v>
      </c>
      <c r="Q423" s="629">
        <f t="shared" si="41"/>
        <v>0</v>
      </c>
      <c r="R423" s="630">
        <f t="shared" si="37"/>
        <v>0</v>
      </c>
    </row>
    <row r="424" spans="2:18" outlineLevel="1" x14ac:dyDescent="0.2">
      <c r="B424" s="59"/>
      <c r="C424" s="59"/>
      <c r="D424" s="59"/>
      <c r="E424" s="541"/>
      <c r="F424" s="541"/>
      <c r="G424" s="541"/>
      <c r="H424" s="541"/>
      <c r="I424" s="59"/>
      <c r="J424" s="59"/>
      <c r="K424" s="621"/>
      <c r="L424" s="621"/>
      <c r="M424" s="629">
        <f t="shared" si="38"/>
        <v>0</v>
      </c>
      <c r="N424" s="629">
        <f t="shared" si="39"/>
        <v>0</v>
      </c>
      <c r="O424" s="630">
        <f t="shared" si="36"/>
        <v>0</v>
      </c>
      <c r="P424" s="629">
        <f t="shared" si="40"/>
        <v>0</v>
      </c>
      <c r="Q424" s="629">
        <f t="shared" si="41"/>
        <v>0</v>
      </c>
      <c r="R424" s="630">
        <f t="shared" si="37"/>
        <v>0</v>
      </c>
    </row>
    <row r="425" spans="2:18" outlineLevel="1" x14ac:dyDescent="0.2">
      <c r="B425" s="59"/>
      <c r="C425" s="59"/>
      <c r="D425" s="59"/>
      <c r="E425" s="541"/>
      <c r="F425" s="541"/>
      <c r="G425" s="541"/>
      <c r="H425" s="541"/>
      <c r="I425" s="59"/>
      <c r="J425" s="59"/>
      <c r="K425" s="621"/>
      <c r="L425" s="621"/>
      <c r="M425" s="629">
        <f t="shared" si="38"/>
        <v>0</v>
      </c>
      <c r="N425" s="629">
        <f t="shared" si="39"/>
        <v>0</v>
      </c>
      <c r="O425" s="630">
        <f t="shared" si="36"/>
        <v>0</v>
      </c>
      <c r="P425" s="629">
        <f t="shared" si="40"/>
        <v>0</v>
      </c>
      <c r="Q425" s="629">
        <f t="shared" si="41"/>
        <v>0</v>
      </c>
      <c r="R425" s="630">
        <f t="shared" si="37"/>
        <v>0</v>
      </c>
    </row>
    <row r="426" spans="2:18" outlineLevel="1" x14ac:dyDescent="0.2">
      <c r="B426" s="59"/>
      <c r="C426" s="59"/>
      <c r="D426" s="59"/>
      <c r="E426" s="541"/>
      <c r="F426" s="541"/>
      <c r="G426" s="541"/>
      <c r="H426" s="541"/>
      <c r="I426" s="59"/>
      <c r="J426" s="59"/>
      <c r="K426" s="621"/>
      <c r="L426" s="621"/>
      <c r="M426" s="629">
        <f t="shared" si="38"/>
        <v>0</v>
      </c>
      <c r="N426" s="629">
        <f t="shared" si="39"/>
        <v>0</v>
      </c>
      <c r="O426" s="630">
        <f t="shared" si="36"/>
        <v>0</v>
      </c>
      <c r="P426" s="629">
        <f t="shared" si="40"/>
        <v>0</v>
      </c>
      <c r="Q426" s="629">
        <f t="shared" si="41"/>
        <v>0</v>
      </c>
      <c r="R426" s="630">
        <f t="shared" si="37"/>
        <v>0</v>
      </c>
    </row>
    <row r="427" spans="2:18" outlineLevel="1" x14ac:dyDescent="0.2">
      <c r="B427" s="59"/>
      <c r="C427" s="59"/>
      <c r="D427" s="59"/>
      <c r="E427" s="541"/>
      <c r="F427" s="541"/>
      <c r="G427" s="541"/>
      <c r="H427" s="541"/>
      <c r="I427" s="59"/>
      <c r="J427" s="59"/>
      <c r="K427" s="621"/>
      <c r="L427" s="621"/>
      <c r="M427" s="629">
        <f t="shared" si="38"/>
        <v>0</v>
      </c>
      <c r="N427" s="629">
        <f t="shared" si="39"/>
        <v>0</v>
      </c>
      <c r="O427" s="630">
        <f t="shared" si="36"/>
        <v>0</v>
      </c>
      <c r="P427" s="629">
        <f t="shared" si="40"/>
        <v>0</v>
      </c>
      <c r="Q427" s="629">
        <f t="shared" si="41"/>
        <v>0</v>
      </c>
      <c r="R427" s="630">
        <f t="shared" si="37"/>
        <v>0</v>
      </c>
    </row>
    <row r="428" spans="2:18" outlineLevel="1" x14ac:dyDescent="0.2">
      <c r="B428" s="59"/>
      <c r="C428" s="59"/>
      <c r="D428" s="59"/>
      <c r="E428" s="541"/>
      <c r="F428" s="541"/>
      <c r="G428" s="541"/>
      <c r="H428" s="541"/>
      <c r="I428" s="59"/>
      <c r="J428" s="59"/>
      <c r="K428" s="621"/>
      <c r="L428" s="621"/>
      <c r="M428" s="629">
        <f t="shared" si="38"/>
        <v>0</v>
      </c>
      <c r="N428" s="629">
        <f t="shared" si="39"/>
        <v>0</v>
      </c>
      <c r="O428" s="630">
        <f t="shared" si="36"/>
        <v>0</v>
      </c>
      <c r="P428" s="629">
        <f t="shared" si="40"/>
        <v>0</v>
      </c>
      <c r="Q428" s="629">
        <f t="shared" si="41"/>
        <v>0</v>
      </c>
      <c r="R428" s="630">
        <f t="shared" si="37"/>
        <v>0</v>
      </c>
    </row>
    <row r="429" spans="2:18" outlineLevel="1" x14ac:dyDescent="0.2">
      <c r="B429" s="59"/>
      <c r="C429" s="59"/>
      <c r="D429" s="59"/>
      <c r="E429" s="541"/>
      <c r="F429" s="541"/>
      <c r="G429" s="541"/>
      <c r="H429" s="541"/>
      <c r="I429" s="59"/>
      <c r="J429" s="59"/>
      <c r="K429" s="621"/>
      <c r="L429" s="621"/>
      <c r="M429" s="629">
        <f t="shared" si="38"/>
        <v>0</v>
      </c>
      <c r="N429" s="629">
        <f t="shared" si="39"/>
        <v>0</v>
      </c>
      <c r="O429" s="630">
        <f t="shared" si="36"/>
        <v>0</v>
      </c>
      <c r="P429" s="629">
        <f t="shared" si="40"/>
        <v>0</v>
      </c>
      <c r="Q429" s="629">
        <f t="shared" si="41"/>
        <v>0</v>
      </c>
      <c r="R429" s="630">
        <f t="shared" si="37"/>
        <v>0</v>
      </c>
    </row>
    <row r="430" spans="2:18" outlineLevel="1" x14ac:dyDescent="0.2">
      <c r="B430" s="59"/>
      <c r="C430" s="59"/>
      <c r="D430" s="59"/>
      <c r="E430" s="541"/>
      <c r="F430" s="541"/>
      <c r="G430" s="541"/>
      <c r="H430" s="541"/>
      <c r="I430" s="59"/>
      <c r="J430" s="59"/>
      <c r="K430" s="621"/>
      <c r="L430" s="621"/>
      <c r="M430" s="629">
        <f t="shared" si="38"/>
        <v>0</v>
      </c>
      <c r="N430" s="629">
        <f t="shared" si="39"/>
        <v>0</v>
      </c>
      <c r="O430" s="630">
        <f t="shared" si="36"/>
        <v>0</v>
      </c>
      <c r="P430" s="629">
        <f t="shared" si="40"/>
        <v>0</v>
      </c>
      <c r="Q430" s="629">
        <f t="shared" si="41"/>
        <v>0</v>
      </c>
      <c r="R430" s="630">
        <f t="shared" si="37"/>
        <v>0</v>
      </c>
    </row>
    <row r="431" spans="2:18" outlineLevel="1" x14ac:dyDescent="0.2">
      <c r="B431" s="59"/>
      <c r="C431" s="59"/>
      <c r="D431" s="59"/>
      <c r="E431" s="541"/>
      <c r="F431" s="541"/>
      <c r="G431" s="541"/>
      <c r="H431" s="541"/>
      <c r="I431" s="59"/>
      <c r="J431" s="59"/>
      <c r="K431" s="621"/>
      <c r="L431" s="621"/>
      <c r="M431" s="629">
        <f t="shared" si="38"/>
        <v>0</v>
      </c>
      <c r="N431" s="629">
        <f t="shared" si="39"/>
        <v>0</v>
      </c>
      <c r="O431" s="630">
        <f t="shared" si="36"/>
        <v>0</v>
      </c>
      <c r="P431" s="629">
        <f t="shared" si="40"/>
        <v>0</v>
      </c>
      <c r="Q431" s="629">
        <f t="shared" si="41"/>
        <v>0</v>
      </c>
      <c r="R431" s="630">
        <f t="shared" si="37"/>
        <v>0</v>
      </c>
    </row>
    <row r="432" spans="2:18" outlineLevel="1" x14ac:dyDescent="0.2">
      <c r="B432" s="59"/>
      <c r="C432" s="59"/>
      <c r="D432" s="59"/>
      <c r="E432" s="541"/>
      <c r="F432" s="541"/>
      <c r="G432" s="541"/>
      <c r="H432" s="541"/>
      <c r="I432" s="59"/>
      <c r="J432" s="59"/>
      <c r="K432" s="621"/>
      <c r="L432" s="621"/>
      <c r="M432" s="629">
        <f t="shared" si="38"/>
        <v>0</v>
      </c>
      <c r="N432" s="629">
        <f t="shared" si="39"/>
        <v>0</v>
      </c>
      <c r="O432" s="630">
        <f t="shared" si="36"/>
        <v>0</v>
      </c>
      <c r="P432" s="629">
        <f t="shared" si="40"/>
        <v>0</v>
      </c>
      <c r="Q432" s="629">
        <f t="shared" si="41"/>
        <v>0</v>
      </c>
      <c r="R432" s="630">
        <f t="shared" si="37"/>
        <v>0</v>
      </c>
    </row>
    <row r="433" spans="2:18" outlineLevel="1" x14ac:dyDescent="0.2">
      <c r="B433" s="59"/>
      <c r="C433" s="59"/>
      <c r="D433" s="59"/>
      <c r="E433" s="541"/>
      <c r="F433" s="541"/>
      <c r="G433" s="541"/>
      <c r="H433" s="541"/>
      <c r="I433" s="59"/>
      <c r="J433" s="59"/>
      <c r="K433" s="621"/>
      <c r="L433" s="621"/>
      <c r="M433" s="629">
        <f t="shared" si="38"/>
        <v>0</v>
      </c>
      <c r="N433" s="629">
        <f t="shared" si="39"/>
        <v>0</v>
      </c>
      <c r="O433" s="630">
        <f t="shared" si="36"/>
        <v>0</v>
      </c>
      <c r="P433" s="629">
        <f t="shared" si="40"/>
        <v>0</v>
      </c>
      <c r="Q433" s="629">
        <f t="shared" si="41"/>
        <v>0</v>
      </c>
      <c r="R433" s="630">
        <f t="shared" si="37"/>
        <v>0</v>
      </c>
    </row>
    <row r="434" spans="2:18" outlineLevel="1" x14ac:dyDescent="0.2">
      <c r="B434" s="59"/>
      <c r="C434" s="59"/>
      <c r="D434" s="59"/>
      <c r="E434" s="541"/>
      <c r="F434" s="541"/>
      <c r="G434" s="541"/>
      <c r="H434" s="541"/>
      <c r="I434" s="59"/>
      <c r="J434" s="59"/>
      <c r="K434" s="621"/>
      <c r="L434" s="621"/>
      <c r="M434" s="629">
        <f t="shared" si="38"/>
        <v>0</v>
      </c>
      <c r="N434" s="629">
        <f t="shared" si="39"/>
        <v>0</v>
      </c>
      <c r="O434" s="630">
        <f t="shared" si="36"/>
        <v>0</v>
      </c>
      <c r="P434" s="629">
        <f t="shared" si="40"/>
        <v>0</v>
      </c>
      <c r="Q434" s="629">
        <f t="shared" si="41"/>
        <v>0</v>
      </c>
      <c r="R434" s="630">
        <f t="shared" si="37"/>
        <v>0</v>
      </c>
    </row>
    <row r="435" spans="2:18" outlineLevel="1" x14ac:dyDescent="0.2">
      <c r="B435" s="59"/>
      <c r="C435" s="59"/>
      <c r="D435" s="59"/>
      <c r="E435" s="541"/>
      <c r="F435" s="541"/>
      <c r="G435" s="541"/>
      <c r="H435" s="541"/>
      <c r="I435" s="59"/>
      <c r="J435" s="59"/>
      <c r="K435" s="621"/>
      <c r="L435" s="621"/>
      <c r="M435" s="629">
        <f t="shared" si="38"/>
        <v>0</v>
      </c>
      <c r="N435" s="629">
        <f t="shared" si="39"/>
        <v>0</v>
      </c>
      <c r="O435" s="630">
        <f t="shared" si="36"/>
        <v>0</v>
      </c>
      <c r="P435" s="629">
        <f t="shared" si="40"/>
        <v>0</v>
      </c>
      <c r="Q435" s="629">
        <f t="shared" si="41"/>
        <v>0</v>
      </c>
      <c r="R435" s="630">
        <f t="shared" si="37"/>
        <v>0</v>
      </c>
    </row>
    <row r="436" spans="2:18" outlineLevel="1" x14ac:dyDescent="0.2">
      <c r="B436" s="59"/>
      <c r="C436" s="59"/>
      <c r="D436" s="59"/>
      <c r="E436" s="541"/>
      <c r="F436" s="541"/>
      <c r="G436" s="541"/>
      <c r="H436" s="541"/>
      <c r="I436" s="59"/>
      <c r="J436" s="59"/>
      <c r="K436" s="621"/>
      <c r="L436" s="621"/>
      <c r="M436" s="629">
        <f t="shared" si="38"/>
        <v>0</v>
      </c>
      <c r="N436" s="629">
        <f t="shared" si="39"/>
        <v>0</v>
      </c>
      <c r="O436" s="630">
        <f t="shared" si="36"/>
        <v>0</v>
      </c>
      <c r="P436" s="629">
        <f t="shared" si="40"/>
        <v>0</v>
      </c>
      <c r="Q436" s="629">
        <f t="shared" si="41"/>
        <v>0</v>
      </c>
      <c r="R436" s="630">
        <f t="shared" si="37"/>
        <v>0</v>
      </c>
    </row>
    <row r="437" spans="2:18" outlineLevel="1" x14ac:dyDescent="0.2">
      <c r="B437" s="59"/>
      <c r="C437" s="59"/>
      <c r="D437" s="59"/>
      <c r="E437" s="541"/>
      <c r="F437" s="541"/>
      <c r="G437" s="541"/>
      <c r="H437" s="541"/>
      <c r="I437" s="59"/>
      <c r="J437" s="59"/>
      <c r="K437" s="621"/>
      <c r="L437" s="621"/>
      <c r="M437" s="629">
        <f t="shared" si="38"/>
        <v>0</v>
      </c>
      <c r="N437" s="629">
        <f t="shared" si="39"/>
        <v>0</v>
      </c>
      <c r="O437" s="630">
        <f t="shared" si="36"/>
        <v>0</v>
      </c>
      <c r="P437" s="629">
        <f t="shared" si="40"/>
        <v>0</v>
      </c>
      <c r="Q437" s="629">
        <f t="shared" si="41"/>
        <v>0</v>
      </c>
      <c r="R437" s="630">
        <f t="shared" si="37"/>
        <v>0</v>
      </c>
    </row>
    <row r="438" spans="2:18" outlineLevel="1" x14ac:dyDescent="0.2">
      <c r="B438" s="59"/>
      <c r="C438" s="59"/>
      <c r="D438" s="59"/>
      <c r="E438" s="541"/>
      <c r="F438" s="541"/>
      <c r="G438" s="541"/>
      <c r="H438" s="541"/>
      <c r="I438" s="59"/>
      <c r="J438" s="59"/>
      <c r="K438" s="621"/>
      <c r="L438" s="621"/>
      <c r="M438" s="629">
        <f t="shared" si="38"/>
        <v>0</v>
      </c>
      <c r="N438" s="629">
        <f t="shared" si="39"/>
        <v>0</v>
      </c>
      <c r="O438" s="630">
        <f t="shared" si="36"/>
        <v>0</v>
      </c>
      <c r="P438" s="629">
        <f t="shared" si="40"/>
        <v>0</v>
      </c>
      <c r="Q438" s="629">
        <f t="shared" si="41"/>
        <v>0</v>
      </c>
      <c r="R438" s="630">
        <f t="shared" si="37"/>
        <v>0</v>
      </c>
    </row>
    <row r="439" spans="2:18" outlineLevel="1" x14ac:dyDescent="0.2">
      <c r="B439" s="59"/>
      <c r="C439" s="59"/>
      <c r="D439" s="59"/>
      <c r="E439" s="541"/>
      <c r="F439" s="541"/>
      <c r="G439" s="541"/>
      <c r="H439" s="541"/>
      <c r="I439" s="59"/>
      <c r="J439" s="59"/>
      <c r="K439" s="621"/>
      <c r="L439" s="621"/>
      <c r="M439" s="629">
        <f t="shared" si="38"/>
        <v>0</v>
      </c>
      <c r="N439" s="629">
        <f t="shared" si="39"/>
        <v>0</v>
      </c>
      <c r="O439" s="630">
        <f t="shared" si="36"/>
        <v>0</v>
      </c>
      <c r="P439" s="629">
        <f t="shared" si="40"/>
        <v>0</v>
      </c>
      <c r="Q439" s="629">
        <f t="shared" si="41"/>
        <v>0</v>
      </c>
      <c r="R439" s="630">
        <f t="shared" si="37"/>
        <v>0</v>
      </c>
    </row>
    <row r="440" spans="2:18" outlineLevel="1" x14ac:dyDescent="0.2">
      <c r="B440" s="59"/>
      <c r="C440" s="59"/>
      <c r="D440" s="59"/>
      <c r="E440" s="541"/>
      <c r="F440" s="541"/>
      <c r="G440" s="541"/>
      <c r="H440" s="541"/>
      <c r="I440" s="59"/>
      <c r="J440" s="59"/>
      <c r="K440" s="621"/>
      <c r="L440" s="621"/>
      <c r="M440" s="629">
        <f t="shared" si="38"/>
        <v>0</v>
      </c>
      <c r="N440" s="629">
        <f t="shared" si="39"/>
        <v>0</v>
      </c>
      <c r="O440" s="630">
        <f t="shared" si="36"/>
        <v>0</v>
      </c>
      <c r="P440" s="629">
        <f t="shared" si="40"/>
        <v>0</v>
      </c>
      <c r="Q440" s="629">
        <f t="shared" si="41"/>
        <v>0</v>
      </c>
      <c r="R440" s="630">
        <f t="shared" si="37"/>
        <v>0</v>
      </c>
    </row>
    <row r="441" spans="2:18" outlineLevel="1" x14ac:dyDescent="0.2">
      <c r="B441" s="59"/>
      <c r="C441" s="59"/>
      <c r="D441" s="59"/>
      <c r="E441" s="541"/>
      <c r="F441" s="541"/>
      <c r="G441" s="541"/>
      <c r="H441" s="541"/>
      <c r="I441" s="59"/>
      <c r="J441" s="59"/>
      <c r="K441" s="621"/>
      <c r="L441" s="621"/>
      <c r="M441" s="629">
        <f t="shared" si="38"/>
        <v>0</v>
      </c>
      <c r="N441" s="629">
        <f t="shared" si="39"/>
        <v>0</v>
      </c>
      <c r="O441" s="630">
        <f t="shared" si="36"/>
        <v>0</v>
      </c>
      <c r="P441" s="629">
        <f t="shared" si="40"/>
        <v>0</v>
      </c>
      <c r="Q441" s="629">
        <f t="shared" si="41"/>
        <v>0</v>
      </c>
      <c r="R441" s="630">
        <f t="shared" si="37"/>
        <v>0</v>
      </c>
    </row>
    <row r="442" spans="2:18" outlineLevel="1" x14ac:dyDescent="0.2">
      <c r="B442" s="59"/>
      <c r="C442" s="59"/>
      <c r="D442" s="59"/>
      <c r="E442" s="541"/>
      <c r="F442" s="541"/>
      <c r="G442" s="541"/>
      <c r="H442" s="541"/>
      <c r="I442" s="59"/>
      <c r="J442" s="59"/>
      <c r="K442" s="621"/>
      <c r="L442" s="621"/>
      <c r="M442" s="629">
        <f t="shared" si="38"/>
        <v>0</v>
      </c>
      <c r="N442" s="629">
        <f t="shared" si="39"/>
        <v>0</v>
      </c>
      <c r="O442" s="630">
        <f t="shared" si="36"/>
        <v>0</v>
      </c>
      <c r="P442" s="629">
        <f t="shared" si="40"/>
        <v>0</v>
      </c>
      <c r="Q442" s="629">
        <f t="shared" si="41"/>
        <v>0</v>
      </c>
      <c r="R442" s="630">
        <f t="shared" si="37"/>
        <v>0</v>
      </c>
    </row>
    <row r="443" spans="2:18" outlineLevel="1" x14ac:dyDescent="0.2">
      <c r="B443" s="59"/>
      <c r="C443" s="59"/>
      <c r="D443" s="59"/>
      <c r="E443" s="541"/>
      <c r="F443" s="541"/>
      <c r="G443" s="541"/>
      <c r="H443" s="541"/>
      <c r="I443" s="59"/>
      <c r="J443" s="59"/>
      <c r="K443" s="621"/>
      <c r="L443" s="621"/>
      <c r="M443" s="629">
        <f t="shared" si="38"/>
        <v>0</v>
      </c>
      <c r="N443" s="629">
        <f t="shared" si="39"/>
        <v>0</v>
      </c>
      <c r="O443" s="630">
        <f t="shared" si="36"/>
        <v>0</v>
      </c>
      <c r="P443" s="629">
        <f t="shared" si="40"/>
        <v>0</v>
      </c>
      <c r="Q443" s="629">
        <f t="shared" si="41"/>
        <v>0</v>
      </c>
      <c r="R443" s="630">
        <f t="shared" si="37"/>
        <v>0</v>
      </c>
    </row>
    <row r="444" spans="2:18" outlineLevel="1" x14ac:dyDescent="0.2">
      <c r="B444" s="59"/>
      <c r="C444" s="59"/>
      <c r="D444" s="59"/>
      <c r="E444" s="541"/>
      <c r="F444" s="541"/>
      <c r="G444" s="541"/>
      <c r="H444" s="541"/>
      <c r="I444" s="59"/>
      <c r="J444" s="59"/>
      <c r="K444" s="621"/>
      <c r="L444" s="621"/>
      <c r="M444" s="629">
        <f t="shared" si="38"/>
        <v>0</v>
      </c>
      <c r="N444" s="629">
        <f t="shared" si="39"/>
        <v>0</v>
      </c>
      <c r="O444" s="630">
        <f t="shared" si="36"/>
        <v>0</v>
      </c>
      <c r="P444" s="629">
        <f t="shared" si="40"/>
        <v>0</v>
      </c>
      <c r="Q444" s="629">
        <f t="shared" si="41"/>
        <v>0</v>
      </c>
      <c r="R444" s="630">
        <f t="shared" si="37"/>
        <v>0</v>
      </c>
    </row>
    <row r="445" spans="2:18" outlineLevel="1" x14ac:dyDescent="0.2">
      <c r="B445" s="59"/>
      <c r="C445" s="59"/>
      <c r="D445" s="59"/>
      <c r="E445" s="541"/>
      <c r="F445" s="541"/>
      <c r="G445" s="541"/>
      <c r="H445" s="541"/>
      <c r="I445" s="59"/>
      <c r="J445" s="59"/>
      <c r="K445" s="621"/>
      <c r="L445" s="621"/>
      <c r="M445" s="629">
        <f t="shared" si="38"/>
        <v>0</v>
      </c>
      <c r="N445" s="629">
        <f t="shared" si="39"/>
        <v>0</v>
      </c>
      <c r="O445" s="630">
        <f t="shared" si="36"/>
        <v>0</v>
      </c>
      <c r="P445" s="629">
        <f t="shared" si="40"/>
        <v>0</v>
      </c>
      <c r="Q445" s="629">
        <f t="shared" si="41"/>
        <v>0</v>
      </c>
      <c r="R445" s="630">
        <f t="shared" si="37"/>
        <v>0</v>
      </c>
    </row>
    <row r="446" spans="2:18" outlineLevel="1" x14ac:dyDescent="0.2">
      <c r="B446" s="59"/>
      <c r="C446" s="59"/>
      <c r="D446" s="59"/>
      <c r="E446" s="541"/>
      <c r="F446" s="541"/>
      <c r="G446" s="541"/>
      <c r="H446" s="541"/>
      <c r="I446" s="59"/>
      <c r="J446" s="59"/>
      <c r="K446" s="621"/>
      <c r="L446" s="621"/>
      <c r="M446" s="629">
        <f t="shared" si="38"/>
        <v>0</v>
      </c>
      <c r="N446" s="629">
        <f t="shared" si="39"/>
        <v>0</v>
      </c>
      <c r="O446" s="630">
        <f t="shared" si="36"/>
        <v>0</v>
      </c>
      <c r="P446" s="629">
        <f t="shared" si="40"/>
        <v>0</v>
      </c>
      <c r="Q446" s="629">
        <f t="shared" si="41"/>
        <v>0</v>
      </c>
      <c r="R446" s="630">
        <f t="shared" si="37"/>
        <v>0</v>
      </c>
    </row>
    <row r="447" spans="2:18" outlineLevel="1" x14ac:dyDescent="0.2">
      <c r="B447" s="59"/>
      <c r="C447" s="59"/>
      <c r="D447" s="59"/>
      <c r="E447" s="541"/>
      <c r="F447" s="541"/>
      <c r="G447" s="541"/>
      <c r="H447" s="541"/>
      <c r="I447" s="59"/>
      <c r="J447" s="59"/>
      <c r="K447" s="621"/>
      <c r="L447" s="621"/>
      <c r="M447" s="629">
        <f t="shared" si="38"/>
        <v>0</v>
      </c>
      <c r="N447" s="629">
        <f t="shared" si="39"/>
        <v>0</v>
      </c>
      <c r="O447" s="630">
        <f t="shared" si="36"/>
        <v>0</v>
      </c>
      <c r="P447" s="629">
        <f t="shared" si="40"/>
        <v>0</v>
      </c>
      <c r="Q447" s="629">
        <f t="shared" si="41"/>
        <v>0</v>
      </c>
      <c r="R447" s="630">
        <f t="shared" si="37"/>
        <v>0</v>
      </c>
    </row>
    <row r="448" spans="2:18" outlineLevel="1" x14ac:dyDescent="0.2">
      <c r="B448" s="59"/>
      <c r="C448" s="59"/>
      <c r="D448" s="59"/>
      <c r="E448" s="541"/>
      <c r="F448" s="541"/>
      <c r="G448" s="541"/>
      <c r="H448" s="541"/>
      <c r="I448" s="59"/>
      <c r="J448" s="59"/>
      <c r="K448" s="621"/>
      <c r="L448" s="621"/>
      <c r="M448" s="629">
        <f t="shared" si="38"/>
        <v>0</v>
      </c>
      <c r="N448" s="629">
        <f t="shared" si="39"/>
        <v>0</v>
      </c>
      <c r="O448" s="630">
        <f t="shared" si="36"/>
        <v>0</v>
      </c>
      <c r="P448" s="629">
        <f t="shared" si="40"/>
        <v>0</v>
      </c>
      <c r="Q448" s="629">
        <f t="shared" si="41"/>
        <v>0</v>
      </c>
      <c r="R448" s="630">
        <f t="shared" si="37"/>
        <v>0</v>
      </c>
    </row>
    <row r="449" spans="2:18" outlineLevel="1" x14ac:dyDescent="0.2">
      <c r="B449" s="59"/>
      <c r="C449" s="59"/>
      <c r="D449" s="59"/>
      <c r="E449" s="541"/>
      <c r="F449" s="541"/>
      <c r="G449" s="541"/>
      <c r="H449" s="541"/>
      <c r="I449" s="59"/>
      <c r="J449" s="59"/>
      <c r="K449" s="621"/>
      <c r="L449" s="621"/>
      <c r="M449" s="629">
        <f t="shared" si="38"/>
        <v>0</v>
      </c>
      <c r="N449" s="629">
        <f t="shared" si="39"/>
        <v>0</v>
      </c>
      <c r="O449" s="630">
        <f t="shared" si="36"/>
        <v>0</v>
      </c>
      <c r="P449" s="629">
        <f t="shared" si="40"/>
        <v>0</v>
      </c>
      <c r="Q449" s="629">
        <f t="shared" si="41"/>
        <v>0</v>
      </c>
      <c r="R449" s="630">
        <f t="shared" si="37"/>
        <v>0</v>
      </c>
    </row>
    <row r="450" spans="2:18" outlineLevel="1" x14ac:dyDescent="0.2">
      <c r="B450" s="59"/>
      <c r="C450" s="59"/>
      <c r="D450" s="59"/>
      <c r="E450" s="541"/>
      <c r="F450" s="541"/>
      <c r="G450" s="541"/>
      <c r="H450" s="541"/>
      <c r="I450" s="59"/>
      <c r="J450" s="59"/>
      <c r="K450" s="621"/>
      <c r="L450" s="621"/>
      <c r="M450" s="629">
        <f t="shared" si="38"/>
        <v>0</v>
      </c>
      <c r="N450" s="629">
        <f t="shared" si="39"/>
        <v>0</v>
      </c>
      <c r="O450" s="630">
        <f t="shared" si="36"/>
        <v>0</v>
      </c>
      <c r="P450" s="629">
        <f t="shared" si="40"/>
        <v>0</v>
      </c>
      <c r="Q450" s="629">
        <f t="shared" si="41"/>
        <v>0</v>
      </c>
      <c r="R450" s="630">
        <f t="shared" si="37"/>
        <v>0</v>
      </c>
    </row>
    <row r="451" spans="2:18" outlineLevel="1" x14ac:dyDescent="0.2">
      <c r="B451" s="59"/>
      <c r="C451" s="59"/>
      <c r="D451" s="59"/>
      <c r="E451" s="541"/>
      <c r="F451" s="541"/>
      <c r="G451" s="541"/>
      <c r="H451" s="541"/>
      <c r="I451" s="59"/>
      <c r="J451" s="59"/>
      <c r="K451" s="621"/>
      <c r="L451" s="621"/>
      <c r="M451" s="629">
        <f t="shared" si="38"/>
        <v>0</v>
      </c>
      <c r="N451" s="629">
        <f t="shared" si="39"/>
        <v>0</v>
      </c>
      <c r="O451" s="630">
        <f t="shared" si="36"/>
        <v>0</v>
      </c>
      <c r="P451" s="629">
        <f t="shared" si="40"/>
        <v>0</v>
      </c>
      <c r="Q451" s="629">
        <f t="shared" si="41"/>
        <v>0</v>
      </c>
      <c r="R451" s="630">
        <f t="shared" si="37"/>
        <v>0</v>
      </c>
    </row>
    <row r="452" spans="2:18" outlineLevel="1" x14ac:dyDescent="0.2">
      <c r="B452" s="59"/>
      <c r="C452" s="59"/>
      <c r="D452" s="59"/>
      <c r="E452" s="541"/>
      <c r="F452" s="541"/>
      <c r="G452" s="541"/>
      <c r="H452" s="541"/>
      <c r="I452" s="59"/>
      <c r="J452" s="59"/>
      <c r="K452" s="621"/>
      <c r="L452" s="621"/>
      <c r="M452" s="629">
        <f t="shared" si="38"/>
        <v>0</v>
      </c>
      <c r="N452" s="629">
        <f t="shared" si="39"/>
        <v>0</v>
      </c>
      <c r="O452" s="630">
        <f t="shared" si="36"/>
        <v>0</v>
      </c>
      <c r="P452" s="629">
        <f t="shared" si="40"/>
        <v>0</v>
      </c>
      <c r="Q452" s="629">
        <f t="shared" si="41"/>
        <v>0</v>
      </c>
      <c r="R452" s="630">
        <f t="shared" si="37"/>
        <v>0</v>
      </c>
    </row>
    <row r="453" spans="2:18" outlineLevel="1" x14ac:dyDescent="0.2">
      <c r="B453" s="59"/>
      <c r="C453" s="59"/>
      <c r="D453" s="59"/>
      <c r="E453" s="541"/>
      <c r="F453" s="541"/>
      <c r="G453" s="541"/>
      <c r="H453" s="541"/>
      <c r="I453" s="59"/>
      <c r="J453" s="59"/>
      <c r="K453" s="621"/>
      <c r="L453" s="621"/>
      <c r="M453" s="629">
        <f t="shared" si="38"/>
        <v>0</v>
      </c>
      <c r="N453" s="629">
        <f t="shared" si="39"/>
        <v>0</v>
      </c>
      <c r="O453" s="630">
        <f t="shared" ref="O453:O516" si="42">M453+N453</f>
        <v>0</v>
      </c>
      <c r="P453" s="629">
        <f t="shared" si="40"/>
        <v>0</v>
      </c>
      <c r="Q453" s="629">
        <f t="shared" si="41"/>
        <v>0</v>
      </c>
      <c r="R453" s="630">
        <f t="shared" ref="R453:R516" si="43">P453+Q453</f>
        <v>0</v>
      </c>
    </row>
    <row r="454" spans="2:18" outlineLevel="1" x14ac:dyDescent="0.2">
      <c r="B454" s="59"/>
      <c r="C454" s="59"/>
      <c r="D454" s="59"/>
      <c r="E454" s="541"/>
      <c r="F454" s="541"/>
      <c r="G454" s="541"/>
      <c r="H454" s="541"/>
      <c r="I454" s="59"/>
      <c r="J454" s="59"/>
      <c r="K454" s="621"/>
      <c r="L454" s="621"/>
      <c r="M454" s="629">
        <f t="shared" ref="M454:M517" si="44">G454*(-1)</f>
        <v>0</v>
      </c>
      <c r="N454" s="629">
        <f t="shared" ref="N454:N517" si="45">H454*(-1)</f>
        <v>0</v>
      </c>
      <c r="O454" s="630">
        <f t="shared" si="42"/>
        <v>0</v>
      </c>
      <c r="P454" s="629">
        <f t="shared" ref="P454:P517" si="46">+IF(AND(I454="NO",E454&gt;G454),(E454-G454)*K454*(-1),0)</f>
        <v>0</v>
      </c>
      <c r="Q454" s="629">
        <f t="shared" ref="Q454:Q517" si="47">+IF(AND(J454="NO",F454&gt;H454),(F454-H454)*L454*(-1),0)</f>
        <v>0</v>
      </c>
      <c r="R454" s="630">
        <f t="shared" si="43"/>
        <v>0</v>
      </c>
    </row>
    <row r="455" spans="2:18" outlineLevel="1" x14ac:dyDescent="0.2">
      <c r="B455" s="59"/>
      <c r="C455" s="59"/>
      <c r="D455" s="59"/>
      <c r="E455" s="541"/>
      <c r="F455" s="541"/>
      <c r="G455" s="541"/>
      <c r="H455" s="541"/>
      <c r="I455" s="59"/>
      <c r="J455" s="59"/>
      <c r="K455" s="621"/>
      <c r="L455" s="621"/>
      <c r="M455" s="629">
        <f t="shared" si="44"/>
        <v>0</v>
      </c>
      <c r="N455" s="629">
        <f t="shared" si="45"/>
        <v>0</v>
      </c>
      <c r="O455" s="630">
        <f t="shared" si="42"/>
        <v>0</v>
      </c>
      <c r="P455" s="629">
        <f t="shared" si="46"/>
        <v>0</v>
      </c>
      <c r="Q455" s="629">
        <f t="shared" si="47"/>
        <v>0</v>
      </c>
      <c r="R455" s="630">
        <f t="shared" si="43"/>
        <v>0</v>
      </c>
    </row>
    <row r="456" spans="2:18" outlineLevel="1" x14ac:dyDescent="0.2">
      <c r="B456" s="59"/>
      <c r="C456" s="59"/>
      <c r="D456" s="59"/>
      <c r="E456" s="541"/>
      <c r="F456" s="541"/>
      <c r="G456" s="541"/>
      <c r="H456" s="541"/>
      <c r="I456" s="59"/>
      <c r="J456" s="59"/>
      <c r="K456" s="621"/>
      <c r="L456" s="621"/>
      <c r="M456" s="629">
        <f t="shared" si="44"/>
        <v>0</v>
      </c>
      <c r="N456" s="629">
        <f t="shared" si="45"/>
        <v>0</v>
      </c>
      <c r="O456" s="630">
        <f t="shared" si="42"/>
        <v>0</v>
      </c>
      <c r="P456" s="629">
        <f t="shared" si="46"/>
        <v>0</v>
      </c>
      <c r="Q456" s="629">
        <f t="shared" si="47"/>
        <v>0</v>
      </c>
      <c r="R456" s="630">
        <f t="shared" si="43"/>
        <v>0</v>
      </c>
    </row>
    <row r="457" spans="2:18" outlineLevel="1" x14ac:dyDescent="0.2">
      <c r="B457" s="59"/>
      <c r="C457" s="59"/>
      <c r="D457" s="59"/>
      <c r="E457" s="541"/>
      <c r="F457" s="541"/>
      <c r="G457" s="541"/>
      <c r="H457" s="541"/>
      <c r="I457" s="59"/>
      <c r="J457" s="59"/>
      <c r="K457" s="621"/>
      <c r="L457" s="621"/>
      <c r="M457" s="629">
        <f t="shared" si="44"/>
        <v>0</v>
      </c>
      <c r="N457" s="629">
        <f t="shared" si="45"/>
        <v>0</v>
      </c>
      <c r="O457" s="630">
        <f t="shared" si="42"/>
        <v>0</v>
      </c>
      <c r="P457" s="629">
        <f t="shared" si="46"/>
        <v>0</v>
      </c>
      <c r="Q457" s="629">
        <f t="shared" si="47"/>
        <v>0</v>
      </c>
      <c r="R457" s="630">
        <f t="shared" si="43"/>
        <v>0</v>
      </c>
    </row>
    <row r="458" spans="2:18" outlineLevel="1" x14ac:dyDescent="0.2">
      <c r="B458" s="59"/>
      <c r="C458" s="59"/>
      <c r="D458" s="59"/>
      <c r="E458" s="541"/>
      <c r="F458" s="541"/>
      <c r="G458" s="541"/>
      <c r="H458" s="541"/>
      <c r="I458" s="59"/>
      <c r="J458" s="59"/>
      <c r="K458" s="621"/>
      <c r="L458" s="621"/>
      <c r="M458" s="629">
        <f t="shared" si="44"/>
        <v>0</v>
      </c>
      <c r="N458" s="629">
        <f t="shared" si="45"/>
        <v>0</v>
      </c>
      <c r="O458" s="630">
        <f t="shared" si="42"/>
        <v>0</v>
      </c>
      <c r="P458" s="629">
        <f t="shared" si="46"/>
        <v>0</v>
      </c>
      <c r="Q458" s="629">
        <f t="shared" si="47"/>
        <v>0</v>
      </c>
      <c r="R458" s="630">
        <f t="shared" si="43"/>
        <v>0</v>
      </c>
    </row>
    <row r="459" spans="2:18" outlineLevel="1" x14ac:dyDescent="0.2">
      <c r="B459" s="59"/>
      <c r="C459" s="59"/>
      <c r="D459" s="59"/>
      <c r="E459" s="541"/>
      <c r="F459" s="541"/>
      <c r="G459" s="541"/>
      <c r="H459" s="541"/>
      <c r="I459" s="59"/>
      <c r="J459" s="59"/>
      <c r="K459" s="621"/>
      <c r="L459" s="621"/>
      <c r="M459" s="629">
        <f t="shared" si="44"/>
        <v>0</v>
      </c>
      <c r="N459" s="629">
        <f t="shared" si="45"/>
        <v>0</v>
      </c>
      <c r="O459" s="630">
        <f t="shared" si="42"/>
        <v>0</v>
      </c>
      <c r="P459" s="629">
        <f t="shared" si="46"/>
        <v>0</v>
      </c>
      <c r="Q459" s="629">
        <f t="shared" si="47"/>
        <v>0</v>
      </c>
      <c r="R459" s="630">
        <f t="shared" si="43"/>
        <v>0</v>
      </c>
    </row>
    <row r="460" spans="2:18" outlineLevel="1" x14ac:dyDescent="0.2">
      <c r="B460" s="59"/>
      <c r="C460" s="59"/>
      <c r="D460" s="59"/>
      <c r="E460" s="541"/>
      <c r="F460" s="541"/>
      <c r="G460" s="541"/>
      <c r="H460" s="541"/>
      <c r="I460" s="59"/>
      <c r="J460" s="59"/>
      <c r="K460" s="621"/>
      <c r="L460" s="621"/>
      <c r="M460" s="629">
        <f t="shared" si="44"/>
        <v>0</v>
      </c>
      <c r="N460" s="629">
        <f t="shared" si="45"/>
        <v>0</v>
      </c>
      <c r="O460" s="630">
        <f t="shared" si="42"/>
        <v>0</v>
      </c>
      <c r="P460" s="629">
        <f t="shared" si="46"/>
        <v>0</v>
      </c>
      <c r="Q460" s="629">
        <f t="shared" si="47"/>
        <v>0</v>
      </c>
      <c r="R460" s="630">
        <f t="shared" si="43"/>
        <v>0</v>
      </c>
    </row>
    <row r="461" spans="2:18" outlineLevel="1" x14ac:dyDescent="0.2">
      <c r="B461" s="59"/>
      <c r="C461" s="59"/>
      <c r="D461" s="59"/>
      <c r="E461" s="541"/>
      <c r="F461" s="541"/>
      <c r="G461" s="541"/>
      <c r="H461" s="541"/>
      <c r="I461" s="59"/>
      <c r="J461" s="59"/>
      <c r="K461" s="621"/>
      <c r="L461" s="621"/>
      <c r="M461" s="629">
        <f t="shared" si="44"/>
        <v>0</v>
      </c>
      <c r="N461" s="629">
        <f t="shared" si="45"/>
        <v>0</v>
      </c>
      <c r="O461" s="630">
        <f t="shared" si="42"/>
        <v>0</v>
      </c>
      <c r="P461" s="629">
        <f t="shared" si="46"/>
        <v>0</v>
      </c>
      <c r="Q461" s="629">
        <f t="shared" si="47"/>
        <v>0</v>
      </c>
      <c r="R461" s="630">
        <f t="shared" si="43"/>
        <v>0</v>
      </c>
    </row>
    <row r="462" spans="2:18" outlineLevel="1" x14ac:dyDescent="0.2">
      <c r="B462" s="59"/>
      <c r="C462" s="59"/>
      <c r="D462" s="59"/>
      <c r="E462" s="541"/>
      <c r="F462" s="541"/>
      <c r="G462" s="541"/>
      <c r="H462" s="541"/>
      <c r="I462" s="59"/>
      <c r="J462" s="59"/>
      <c r="K462" s="621"/>
      <c r="L462" s="621"/>
      <c r="M462" s="629">
        <f t="shared" si="44"/>
        <v>0</v>
      </c>
      <c r="N462" s="629">
        <f t="shared" si="45"/>
        <v>0</v>
      </c>
      <c r="O462" s="630">
        <f t="shared" si="42"/>
        <v>0</v>
      </c>
      <c r="P462" s="629">
        <f t="shared" si="46"/>
        <v>0</v>
      </c>
      <c r="Q462" s="629">
        <f t="shared" si="47"/>
        <v>0</v>
      </c>
      <c r="R462" s="630">
        <f t="shared" si="43"/>
        <v>0</v>
      </c>
    </row>
    <row r="463" spans="2:18" outlineLevel="1" x14ac:dyDescent="0.2">
      <c r="B463" s="59"/>
      <c r="C463" s="59"/>
      <c r="D463" s="59"/>
      <c r="E463" s="541"/>
      <c r="F463" s="541"/>
      <c r="G463" s="541"/>
      <c r="H463" s="541"/>
      <c r="I463" s="59"/>
      <c r="J463" s="59"/>
      <c r="K463" s="621"/>
      <c r="L463" s="621"/>
      <c r="M463" s="629">
        <f t="shared" si="44"/>
        <v>0</v>
      </c>
      <c r="N463" s="629">
        <f t="shared" si="45"/>
        <v>0</v>
      </c>
      <c r="O463" s="630">
        <f t="shared" si="42"/>
        <v>0</v>
      </c>
      <c r="P463" s="629">
        <f t="shared" si="46"/>
        <v>0</v>
      </c>
      <c r="Q463" s="629">
        <f t="shared" si="47"/>
        <v>0</v>
      </c>
      <c r="R463" s="630">
        <f t="shared" si="43"/>
        <v>0</v>
      </c>
    </row>
    <row r="464" spans="2:18" outlineLevel="1" x14ac:dyDescent="0.2">
      <c r="B464" s="59"/>
      <c r="C464" s="59"/>
      <c r="D464" s="59"/>
      <c r="E464" s="541"/>
      <c r="F464" s="541"/>
      <c r="G464" s="541"/>
      <c r="H464" s="541"/>
      <c r="I464" s="59"/>
      <c r="J464" s="59"/>
      <c r="K464" s="621"/>
      <c r="L464" s="621"/>
      <c r="M464" s="629">
        <f t="shared" si="44"/>
        <v>0</v>
      </c>
      <c r="N464" s="629">
        <f t="shared" si="45"/>
        <v>0</v>
      </c>
      <c r="O464" s="630">
        <f t="shared" si="42"/>
        <v>0</v>
      </c>
      <c r="P464" s="629">
        <f t="shared" si="46"/>
        <v>0</v>
      </c>
      <c r="Q464" s="629">
        <f t="shared" si="47"/>
        <v>0</v>
      </c>
      <c r="R464" s="630">
        <f t="shared" si="43"/>
        <v>0</v>
      </c>
    </row>
    <row r="465" spans="2:18" outlineLevel="1" x14ac:dyDescent="0.2">
      <c r="B465" s="59"/>
      <c r="C465" s="59"/>
      <c r="D465" s="59"/>
      <c r="E465" s="541"/>
      <c r="F465" s="541"/>
      <c r="G465" s="541"/>
      <c r="H465" s="541"/>
      <c r="I465" s="59"/>
      <c r="J465" s="59"/>
      <c r="K465" s="621"/>
      <c r="L465" s="621"/>
      <c r="M465" s="629">
        <f t="shared" si="44"/>
        <v>0</v>
      </c>
      <c r="N465" s="629">
        <f t="shared" si="45"/>
        <v>0</v>
      </c>
      <c r="O465" s="630">
        <f t="shared" si="42"/>
        <v>0</v>
      </c>
      <c r="P465" s="629">
        <f t="shared" si="46"/>
        <v>0</v>
      </c>
      <c r="Q465" s="629">
        <f t="shared" si="47"/>
        <v>0</v>
      </c>
      <c r="R465" s="630">
        <f t="shared" si="43"/>
        <v>0</v>
      </c>
    </row>
    <row r="466" spans="2:18" outlineLevel="1" x14ac:dyDescent="0.2">
      <c r="B466" s="59"/>
      <c r="C466" s="59"/>
      <c r="D466" s="59"/>
      <c r="E466" s="541"/>
      <c r="F466" s="541"/>
      <c r="G466" s="541"/>
      <c r="H466" s="541"/>
      <c r="I466" s="59"/>
      <c r="J466" s="59"/>
      <c r="K466" s="621"/>
      <c r="L466" s="621"/>
      <c r="M466" s="629">
        <f t="shared" si="44"/>
        <v>0</v>
      </c>
      <c r="N466" s="629">
        <f t="shared" si="45"/>
        <v>0</v>
      </c>
      <c r="O466" s="630">
        <f t="shared" si="42"/>
        <v>0</v>
      </c>
      <c r="P466" s="629">
        <f t="shared" si="46"/>
        <v>0</v>
      </c>
      <c r="Q466" s="629">
        <f t="shared" si="47"/>
        <v>0</v>
      </c>
      <c r="R466" s="630">
        <f t="shared" si="43"/>
        <v>0</v>
      </c>
    </row>
    <row r="467" spans="2:18" outlineLevel="1" x14ac:dyDescent="0.2">
      <c r="B467" s="59"/>
      <c r="C467" s="59"/>
      <c r="D467" s="59"/>
      <c r="E467" s="541"/>
      <c r="F467" s="541"/>
      <c r="G467" s="541"/>
      <c r="H467" s="541"/>
      <c r="I467" s="59"/>
      <c r="J467" s="59"/>
      <c r="K467" s="621"/>
      <c r="L467" s="621"/>
      <c r="M467" s="629">
        <f t="shared" si="44"/>
        <v>0</v>
      </c>
      <c r="N467" s="629">
        <f t="shared" si="45"/>
        <v>0</v>
      </c>
      <c r="O467" s="630">
        <f t="shared" si="42"/>
        <v>0</v>
      </c>
      <c r="P467" s="629">
        <f t="shared" si="46"/>
        <v>0</v>
      </c>
      <c r="Q467" s="629">
        <f t="shared" si="47"/>
        <v>0</v>
      </c>
      <c r="R467" s="630">
        <f t="shared" si="43"/>
        <v>0</v>
      </c>
    </row>
    <row r="468" spans="2:18" outlineLevel="1" x14ac:dyDescent="0.2">
      <c r="B468" s="59"/>
      <c r="C468" s="59"/>
      <c r="D468" s="59"/>
      <c r="E468" s="541"/>
      <c r="F468" s="541"/>
      <c r="G468" s="541"/>
      <c r="H468" s="541"/>
      <c r="I468" s="59"/>
      <c r="J468" s="59"/>
      <c r="K468" s="621"/>
      <c r="L468" s="621"/>
      <c r="M468" s="629">
        <f t="shared" si="44"/>
        <v>0</v>
      </c>
      <c r="N468" s="629">
        <f t="shared" si="45"/>
        <v>0</v>
      </c>
      <c r="O468" s="630">
        <f t="shared" si="42"/>
        <v>0</v>
      </c>
      <c r="P468" s="629">
        <f t="shared" si="46"/>
        <v>0</v>
      </c>
      <c r="Q468" s="629">
        <f t="shared" si="47"/>
        <v>0</v>
      </c>
      <c r="R468" s="630">
        <f t="shared" si="43"/>
        <v>0</v>
      </c>
    </row>
    <row r="469" spans="2:18" outlineLevel="1" x14ac:dyDescent="0.2">
      <c r="B469" s="59"/>
      <c r="C469" s="59"/>
      <c r="D469" s="59"/>
      <c r="E469" s="541"/>
      <c r="F469" s="541"/>
      <c r="G469" s="541"/>
      <c r="H469" s="541"/>
      <c r="I469" s="59"/>
      <c r="J469" s="59"/>
      <c r="K469" s="621"/>
      <c r="L469" s="621"/>
      <c r="M469" s="629">
        <f t="shared" si="44"/>
        <v>0</v>
      </c>
      <c r="N469" s="629">
        <f t="shared" si="45"/>
        <v>0</v>
      </c>
      <c r="O469" s="630">
        <f t="shared" si="42"/>
        <v>0</v>
      </c>
      <c r="P469" s="629">
        <f t="shared" si="46"/>
        <v>0</v>
      </c>
      <c r="Q469" s="629">
        <f t="shared" si="47"/>
        <v>0</v>
      </c>
      <c r="R469" s="630">
        <f t="shared" si="43"/>
        <v>0</v>
      </c>
    </row>
    <row r="470" spans="2:18" outlineLevel="1" x14ac:dyDescent="0.2">
      <c r="B470" s="59"/>
      <c r="C470" s="59"/>
      <c r="D470" s="59"/>
      <c r="E470" s="541"/>
      <c r="F470" s="541"/>
      <c r="G470" s="541"/>
      <c r="H470" s="541"/>
      <c r="I470" s="59"/>
      <c r="J470" s="59"/>
      <c r="K470" s="621"/>
      <c r="L470" s="621"/>
      <c r="M470" s="629">
        <f t="shared" si="44"/>
        <v>0</v>
      </c>
      <c r="N470" s="629">
        <f t="shared" si="45"/>
        <v>0</v>
      </c>
      <c r="O470" s="630">
        <f t="shared" si="42"/>
        <v>0</v>
      </c>
      <c r="P470" s="629">
        <f t="shared" si="46"/>
        <v>0</v>
      </c>
      <c r="Q470" s="629">
        <f t="shared" si="47"/>
        <v>0</v>
      </c>
      <c r="R470" s="630">
        <f t="shared" si="43"/>
        <v>0</v>
      </c>
    </row>
    <row r="471" spans="2:18" outlineLevel="1" x14ac:dyDescent="0.2">
      <c r="B471" s="59"/>
      <c r="C471" s="59"/>
      <c r="D471" s="59"/>
      <c r="E471" s="541"/>
      <c r="F471" s="541"/>
      <c r="G471" s="541"/>
      <c r="H471" s="541"/>
      <c r="I471" s="59"/>
      <c r="J471" s="59"/>
      <c r="K471" s="621"/>
      <c r="L471" s="621"/>
      <c r="M471" s="629">
        <f t="shared" si="44"/>
        <v>0</v>
      </c>
      <c r="N471" s="629">
        <f t="shared" si="45"/>
        <v>0</v>
      </c>
      <c r="O471" s="630">
        <f t="shared" si="42"/>
        <v>0</v>
      </c>
      <c r="P471" s="629">
        <f t="shared" si="46"/>
        <v>0</v>
      </c>
      <c r="Q471" s="629">
        <f t="shared" si="47"/>
        <v>0</v>
      </c>
      <c r="R471" s="630">
        <f t="shared" si="43"/>
        <v>0</v>
      </c>
    </row>
    <row r="472" spans="2:18" outlineLevel="1" x14ac:dyDescent="0.2">
      <c r="B472" s="59"/>
      <c r="C472" s="59"/>
      <c r="D472" s="59"/>
      <c r="E472" s="541"/>
      <c r="F472" s="541"/>
      <c r="G472" s="541"/>
      <c r="H472" s="541"/>
      <c r="I472" s="59"/>
      <c r="J472" s="59"/>
      <c r="K472" s="621"/>
      <c r="L472" s="621"/>
      <c r="M472" s="629">
        <f t="shared" si="44"/>
        <v>0</v>
      </c>
      <c r="N472" s="629">
        <f t="shared" si="45"/>
        <v>0</v>
      </c>
      <c r="O472" s="630">
        <f t="shared" si="42"/>
        <v>0</v>
      </c>
      <c r="P472" s="629">
        <f t="shared" si="46"/>
        <v>0</v>
      </c>
      <c r="Q472" s="629">
        <f t="shared" si="47"/>
        <v>0</v>
      </c>
      <c r="R472" s="630">
        <f t="shared" si="43"/>
        <v>0</v>
      </c>
    </row>
    <row r="473" spans="2:18" outlineLevel="1" x14ac:dyDescent="0.2">
      <c r="B473" s="59"/>
      <c r="C473" s="59"/>
      <c r="D473" s="59"/>
      <c r="E473" s="541"/>
      <c r="F473" s="541"/>
      <c r="G473" s="541"/>
      <c r="H473" s="541"/>
      <c r="I473" s="59"/>
      <c r="J473" s="59"/>
      <c r="K473" s="621"/>
      <c r="L473" s="621"/>
      <c r="M473" s="629">
        <f t="shared" si="44"/>
        <v>0</v>
      </c>
      <c r="N473" s="629">
        <f t="shared" si="45"/>
        <v>0</v>
      </c>
      <c r="O473" s="630">
        <f t="shared" si="42"/>
        <v>0</v>
      </c>
      <c r="P473" s="629">
        <f t="shared" si="46"/>
        <v>0</v>
      </c>
      <c r="Q473" s="629">
        <f t="shared" si="47"/>
        <v>0</v>
      </c>
      <c r="R473" s="630">
        <f t="shared" si="43"/>
        <v>0</v>
      </c>
    </row>
    <row r="474" spans="2:18" outlineLevel="1" x14ac:dyDescent="0.2">
      <c r="B474" s="59"/>
      <c r="C474" s="59"/>
      <c r="D474" s="59"/>
      <c r="E474" s="541"/>
      <c r="F474" s="541"/>
      <c r="G474" s="541"/>
      <c r="H474" s="541"/>
      <c r="I474" s="59"/>
      <c r="J474" s="59"/>
      <c r="K474" s="621"/>
      <c r="L474" s="621"/>
      <c r="M474" s="629">
        <f t="shared" si="44"/>
        <v>0</v>
      </c>
      <c r="N474" s="629">
        <f t="shared" si="45"/>
        <v>0</v>
      </c>
      <c r="O474" s="630">
        <f t="shared" si="42"/>
        <v>0</v>
      </c>
      <c r="P474" s="629">
        <f t="shared" si="46"/>
        <v>0</v>
      </c>
      <c r="Q474" s="629">
        <f t="shared" si="47"/>
        <v>0</v>
      </c>
      <c r="R474" s="630">
        <f t="shared" si="43"/>
        <v>0</v>
      </c>
    </row>
    <row r="475" spans="2:18" outlineLevel="1" x14ac:dyDescent="0.2">
      <c r="B475" s="59"/>
      <c r="C475" s="59"/>
      <c r="D475" s="59"/>
      <c r="E475" s="541"/>
      <c r="F475" s="541"/>
      <c r="G475" s="541"/>
      <c r="H475" s="541"/>
      <c r="I475" s="59"/>
      <c r="J475" s="59"/>
      <c r="K475" s="621"/>
      <c r="L475" s="621"/>
      <c r="M475" s="629">
        <f t="shared" si="44"/>
        <v>0</v>
      </c>
      <c r="N475" s="629">
        <f t="shared" si="45"/>
        <v>0</v>
      </c>
      <c r="O475" s="630">
        <f t="shared" si="42"/>
        <v>0</v>
      </c>
      <c r="P475" s="629">
        <f t="shared" si="46"/>
        <v>0</v>
      </c>
      <c r="Q475" s="629">
        <f t="shared" si="47"/>
        <v>0</v>
      </c>
      <c r="R475" s="630">
        <f t="shared" si="43"/>
        <v>0</v>
      </c>
    </row>
    <row r="476" spans="2:18" outlineLevel="1" x14ac:dyDescent="0.2">
      <c r="B476" s="59"/>
      <c r="C476" s="59"/>
      <c r="D476" s="59"/>
      <c r="E476" s="541"/>
      <c r="F476" s="541"/>
      <c r="G476" s="541"/>
      <c r="H476" s="541"/>
      <c r="I476" s="59"/>
      <c r="J476" s="59"/>
      <c r="K476" s="621"/>
      <c r="L476" s="621"/>
      <c r="M476" s="629">
        <f t="shared" si="44"/>
        <v>0</v>
      </c>
      <c r="N476" s="629">
        <f t="shared" si="45"/>
        <v>0</v>
      </c>
      <c r="O476" s="630">
        <f t="shared" si="42"/>
        <v>0</v>
      </c>
      <c r="P476" s="629">
        <f t="shared" si="46"/>
        <v>0</v>
      </c>
      <c r="Q476" s="629">
        <f t="shared" si="47"/>
        <v>0</v>
      </c>
      <c r="R476" s="630">
        <f t="shared" si="43"/>
        <v>0</v>
      </c>
    </row>
    <row r="477" spans="2:18" outlineLevel="1" x14ac:dyDescent="0.2">
      <c r="B477" s="59"/>
      <c r="C477" s="59"/>
      <c r="D477" s="59"/>
      <c r="E477" s="541"/>
      <c r="F477" s="541"/>
      <c r="G477" s="541"/>
      <c r="H477" s="541"/>
      <c r="I477" s="59"/>
      <c r="J477" s="59"/>
      <c r="K477" s="621"/>
      <c r="L477" s="621"/>
      <c r="M477" s="629">
        <f t="shared" si="44"/>
        <v>0</v>
      </c>
      <c r="N477" s="629">
        <f t="shared" si="45"/>
        <v>0</v>
      </c>
      <c r="O477" s="630">
        <f t="shared" si="42"/>
        <v>0</v>
      </c>
      <c r="P477" s="629">
        <f t="shared" si="46"/>
        <v>0</v>
      </c>
      <c r="Q477" s="629">
        <f t="shared" si="47"/>
        <v>0</v>
      </c>
      <c r="R477" s="630">
        <f t="shared" si="43"/>
        <v>0</v>
      </c>
    </row>
    <row r="478" spans="2:18" outlineLevel="1" x14ac:dyDescent="0.2">
      <c r="B478" s="59"/>
      <c r="C478" s="59"/>
      <c r="D478" s="59"/>
      <c r="E478" s="541"/>
      <c r="F478" s="541"/>
      <c r="G478" s="541"/>
      <c r="H478" s="541"/>
      <c r="I478" s="59"/>
      <c r="J478" s="59"/>
      <c r="K478" s="621"/>
      <c r="L478" s="621"/>
      <c r="M478" s="629">
        <f t="shared" si="44"/>
        <v>0</v>
      </c>
      <c r="N478" s="629">
        <f t="shared" si="45"/>
        <v>0</v>
      </c>
      <c r="O478" s="630">
        <f t="shared" si="42"/>
        <v>0</v>
      </c>
      <c r="P478" s="629">
        <f t="shared" si="46"/>
        <v>0</v>
      </c>
      <c r="Q478" s="629">
        <f t="shared" si="47"/>
        <v>0</v>
      </c>
      <c r="R478" s="630">
        <f t="shared" si="43"/>
        <v>0</v>
      </c>
    </row>
    <row r="479" spans="2:18" outlineLevel="1" x14ac:dyDescent="0.2">
      <c r="B479" s="59"/>
      <c r="C479" s="59"/>
      <c r="D479" s="59"/>
      <c r="E479" s="541"/>
      <c r="F479" s="541"/>
      <c r="G479" s="541"/>
      <c r="H479" s="541"/>
      <c r="I479" s="59"/>
      <c r="J479" s="59"/>
      <c r="K479" s="621"/>
      <c r="L479" s="621"/>
      <c r="M479" s="629">
        <f t="shared" si="44"/>
        <v>0</v>
      </c>
      <c r="N479" s="629">
        <f t="shared" si="45"/>
        <v>0</v>
      </c>
      <c r="O479" s="630">
        <f t="shared" si="42"/>
        <v>0</v>
      </c>
      <c r="P479" s="629">
        <f t="shared" si="46"/>
        <v>0</v>
      </c>
      <c r="Q479" s="629">
        <f t="shared" si="47"/>
        <v>0</v>
      </c>
      <c r="R479" s="630">
        <f t="shared" si="43"/>
        <v>0</v>
      </c>
    </row>
    <row r="480" spans="2:18" outlineLevel="1" x14ac:dyDescent="0.2">
      <c r="B480" s="59"/>
      <c r="C480" s="59"/>
      <c r="D480" s="59"/>
      <c r="E480" s="541"/>
      <c r="F480" s="541"/>
      <c r="G480" s="541"/>
      <c r="H480" s="541"/>
      <c r="I480" s="59"/>
      <c r="J480" s="59"/>
      <c r="K480" s="621"/>
      <c r="L480" s="621"/>
      <c r="M480" s="629">
        <f t="shared" si="44"/>
        <v>0</v>
      </c>
      <c r="N480" s="629">
        <f t="shared" si="45"/>
        <v>0</v>
      </c>
      <c r="O480" s="630">
        <f t="shared" si="42"/>
        <v>0</v>
      </c>
      <c r="P480" s="629">
        <f t="shared" si="46"/>
        <v>0</v>
      </c>
      <c r="Q480" s="629">
        <f t="shared" si="47"/>
        <v>0</v>
      </c>
      <c r="R480" s="630">
        <f t="shared" si="43"/>
        <v>0</v>
      </c>
    </row>
    <row r="481" spans="2:18" outlineLevel="1" x14ac:dyDescent="0.2">
      <c r="B481" s="59"/>
      <c r="C481" s="59"/>
      <c r="D481" s="59"/>
      <c r="E481" s="541"/>
      <c r="F481" s="541"/>
      <c r="G481" s="541"/>
      <c r="H481" s="541"/>
      <c r="I481" s="59"/>
      <c r="J481" s="59"/>
      <c r="K481" s="621"/>
      <c r="L481" s="621"/>
      <c r="M481" s="629">
        <f t="shared" si="44"/>
        <v>0</v>
      </c>
      <c r="N481" s="629">
        <f t="shared" si="45"/>
        <v>0</v>
      </c>
      <c r="O481" s="630">
        <f t="shared" si="42"/>
        <v>0</v>
      </c>
      <c r="P481" s="629">
        <f t="shared" si="46"/>
        <v>0</v>
      </c>
      <c r="Q481" s="629">
        <f t="shared" si="47"/>
        <v>0</v>
      </c>
      <c r="R481" s="630">
        <f t="shared" si="43"/>
        <v>0</v>
      </c>
    </row>
    <row r="482" spans="2:18" outlineLevel="1" x14ac:dyDescent="0.2">
      <c r="B482" s="59"/>
      <c r="C482" s="59"/>
      <c r="D482" s="59"/>
      <c r="E482" s="541"/>
      <c r="F482" s="541"/>
      <c r="G482" s="541"/>
      <c r="H482" s="541"/>
      <c r="I482" s="59"/>
      <c r="J482" s="59"/>
      <c r="K482" s="621"/>
      <c r="L482" s="621"/>
      <c r="M482" s="629">
        <f t="shared" si="44"/>
        <v>0</v>
      </c>
      <c r="N482" s="629">
        <f t="shared" si="45"/>
        <v>0</v>
      </c>
      <c r="O482" s="630">
        <f t="shared" si="42"/>
        <v>0</v>
      </c>
      <c r="P482" s="629">
        <f t="shared" si="46"/>
        <v>0</v>
      </c>
      <c r="Q482" s="629">
        <f t="shared" si="47"/>
        <v>0</v>
      </c>
      <c r="R482" s="630">
        <f t="shared" si="43"/>
        <v>0</v>
      </c>
    </row>
    <row r="483" spans="2:18" outlineLevel="1" x14ac:dyDescent="0.2">
      <c r="B483" s="59"/>
      <c r="C483" s="59"/>
      <c r="D483" s="59"/>
      <c r="E483" s="541"/>
      <c r="F483" s="541"/>
      <c r="G483" s="541"/>
      <c r="H483" s="541"/>
      <c r="I483" s="59"/>
      <c r="J483" s="59"/>
      <c r="K483" s="621"/>
      <c r="L483" s="621"/>
      <c r="M483" s="629">
        <f t="shared" si="44"/>
        <v>0</v>
      </c>
      <c r="N483" s="629">
        <f t="shared" si="45"/>
        <v>0</v>
      </c>
      <c r="O483" s="630">
        <f t="shared" si="42"/>
        <v>0</v>
      </c>
      <c r="P483" s="629">
        <f t="shared" si="46"/>
        <v>0</v>
      </c>
      <c r="Q483" s="629">
        <f t="shared" si="47"/>
        <v>0</v>
      </c>
      <c r="R483" s="630">
        <f t="shared" si="43"/>
        <v>0</v>
      </c>
    </row>
    <row r="484" spans="2:18" outlineLevel="1" x14ac:dyDescent="0.2">
      <c r="B484" s="59"/>
      <c r="C484" s="59"/>
      <c r="D484" s="59"/>
      <c r="E484" s="541"/>
      <c r="F484" s="541"/>
      <c r="G484" s="541"/>
      <c r="H484" s="541"/>
      <c r="I484" s="59"/>
      <c r="J484" s="59"/>
      <c r="K484" s="621"/>
      <c r="L484" s="621"/>
      <c r="M484" s="629">
        <f t="shared" si="44"/>
        <v>0</v>
      </c>
      <c r="N484" s="629">
        <f t="shared" si="45"/>
        <v>0</v>
      </c>
      <c r="O484" s="630">
        <f t="shared" si="42"/>
        <v>0</v>
      </c>
      <c r="P484" s="629">
        <f t="shared" si="46"/>
        <v>0</v>
      </c>
      <c r="Q484" s="629">
        <f t="shared" si="47"/>
        <v>0</v>
      </c>
      <c r="R484" s="630">
        <f t="shared" si="43"/>
        <v>0</v>
      </c>
    </row>
    <row r="485" spans="2:18" outlineLevel="1" x14ac:dyDescent="0.2">
      <c r="B485" s="59"/>
      <c r="C485" s="59"/>
      <c r="D485" s="59"/>
      <c r="E485" s="541"/>
      <c r="F485" s="541"/>
      <c r="G485" s="541"/>
      <c r="H485" s="541"/>
      <c r="I485" s="59"/>
      <c r="J485" s="59"/>
      <c r="K485" s="621"/>
      <c r="L485" s="621"/>
      <c r="M485" s="629">
        <f t="shared" si="44"/>
        <v>0</v>
      </c>
      <c r="N485" s="629">
        <f t="shared" si="45"/>
        <v>0</v>
      </c>
      <c r="O485" s="630">
        <f t="shared" si="42"/>
        <v>0</v>
      </c>
      <c r="P485" s="629">
        <f t="shared" si="46"/>
        <v>0</v>
      </c>
      <c r="Q485" s="629">
        <f t="shared" si="47"/>
        <v>0</v>
      </c>
      <c r="R485" s="630">
        <f t="shared" si="43"/>
        <v>0</v>
      </c>
    </row>
    <row r="486" spans="2:18" outlineLevel="1" x14ac:dyDescent="0.2">
      <c r="B486" s="59"/>
      <c r="C486" s="59"/>
      <c r="D486" s="59"/>
      <c r="E486" s="541"/>
      <c r="F486" s="541"/>
      <c r="G486" s="541"/>
      <c r="H486" s="541"/>
      <c r="I486" s="59"/>
      <c r="J486" s="59"/>
      <c r="K486" s="621"/>
      <c r="L486" s="621"/>
      <c r="M486" s="629">
        <f t="shared" si="44"/>
        <v>0</v>
      </c>
      <c r="N486" s="629">
        <f t="shared" si="45"/>
        <v>0</v>
      </c>
      <c r="O486" s="630">
        <f t="shared" si="42"/>
        <v>0</v>
      </c>
      <c r="P486" s="629">
        <f t="shared" si="46"/>
        <v>0</v>
      </c>
      <c r="Q486" s="629">
        <f t="shared" si="47"/>
        <v>0</v>
      </c>
      <c r="R486" s="630">
        <f t="shared" si="43"/>
        <v>0</v>
      </c>
    </row>
    <row r="487" spans="2:18" outlineLevel="1" x14ac:dyDescent="0.2">
      <c r="B487" s="59"/>
      <c r="C487" s="59"/>
      <c r="D487" s="59"/>
      <c r="E487" s="541"/>
      <c r="F487" s="541"/>
      <c r="G487" s="541"/>
      <c r="H487" s="541"/>
      <c r="I487" s="59"/>
      <c r="J487" s="59"/>
      <c r="K487" s="621"/>
      <c r="L487" s="621"/>
      <c r="M487" s="629">
        <f t="shared" si="44"/>
        <v>0</v>
      </c>
      <c r="N487" s="629">
        <f t="shared" si="45"/>
        <v>0</v>
      </c>
      <c r="O487" s="630">
        <f t="shared" si="42"/>
        <v>0</v>
      </c>
      <c r="P487" s="629">
        <f t="shared" si="46"/>
        <v>0</v>
      </c>
      <c r="Q487" s="629">
        <f t="shared" si="47"/>
        <v>0</v>
      </c>
      <c r="R487" s="630">
        <f t="shared" si="43"/>
        <v>0</v>
      </c>
    </row>
    <row r="488" spans="2:18" outlineLevel="1" x14ac:dyDescent="0.2">
      <c r="B488" s="59"/>
      <c r="C488" s="59"/>
      <c r="D488" s="59"/>
      <c r="E488" s="541"/>
      <c r="F488" s="541"/>
      <c r="G488" s="541"/>
      <c r="H488" s="541"/>
      <c r="I488" s="59"/>
      <c r="J488" s="59"/>
      <c r="K488" s="621"/>
      <c r="L488" s="621"/>
      <c r="M488" s="629">
        <f t="shared" si="44"/>
        <v>0</v>
      </c>
      <c r="N488" s="629">
        <f t="shared" si="45"/>
        <v>0</v>
      </c>
      <c r="O488" s="630">
        <f t="shared" si="42"/>
        <v>0</v>
      </c>
      <c r="P488" s="629">
        <f t="shared" si="46"/>
        <v>0</v>
      </c>
      <c r="Q488" s="629">
        <f t="shared" si="47"/>
        <v>0</v>
      </c>
      <c r="R488" s="630">
        <f t="shared" si="43"/>
        <v>0</v>
      </c>
    </row>
    <row r="489" spans="2:18" outlineLevel="1" x14ac:dyDescent="0.2">
      <c r="B489" s="59"/>
      <c r="C489" s="59"/>
      <c r="D489" s="59"/>
      <c r="E489" s="541"/>
      <c r="F489" s="541"/>
      <c r="G489" s="541"/>
      <c r="H489" s="541"/>
      <c r="I489" s="59"/>
      <c r="J489" s="59"/>
      <c r="K489" s="621"/>
      <c r="L489" s="621"/>
      <c r="M489" s="629">
        <f t="shared" si="44"/>
        <v>0</v>
      </c>
      <c r="N489" s="629">
        <f t="shared" si="45"/>
        <v>0</v>
      </c>
      <c r="O489" s="630">
        <f t="shared" si="42"/>
        <v>0</v>
      </c>
      <c r="P489" s="629">
        <f t="shared" si="46"/>
        <v>0</v>
      </c>
      <c r="Q489" s="629">
        <f t="shared" si="47"/>
        <v>0</v>
      </c>
      <c r="R489" s="630">
        <f t="shared" si="43"/>
        <v>0</v>
      </c>
    </row>
    <row r="490" spans="2:18" outlineLevel="1" x14ac:dyDescent="0.2">
      <c r="B490" s="59"/>
      <c r="C490" s="59"/>
      <c r="D490" s="59"/>
      <c r="E490" s="541"/>
      <c r="F490" s="541"/>
      <c r="G490" s="541"/>
      <c r="H490" s="541"/>
      <c r="I490" s="59"/>
      <c r="J490" s="59"/>
      <c r="K490" s="621"/>
      <c r="L490" s="621"/>
      <c r="M490" s="629">
        <f t="shared" si="44"/>
        <v>0</v>
      </c>
      <c r="N490" s="629">
        <f t="shared" si="45"/>
        <v>0</v>
      </c>
      <c r="O490" s="630">
        <f t="shared" si="42"/>
        <v>0</v>
      </c>
      <c r="P490" s="629">
        <f t="shared" si="46"/>
        <v>0</v>
      </c>
      <c r="Q490" s="629">
        <f t="shared" si="47"/>
        <v>0</v>
      </c>
      <c r="R490" s="630">
        <f t="shared" si="43"/>
        <v>0</v>
      </c>
    </row>
    <row r="491" spans="2:18" outlineLevel="1" x14ac:dyDescent="0.2">
      <c r="B491" s="59"/>
      <c r="C491" s="59"/>
      <c r="D491" s="59"/>
      <c r="E491" s="541"/>
      <c r="F491" s="541"/>
      <c r="G491" s="541"/>
      <c r="H491" s="541"/>
      <c r="I491" s="59"/>
      <c r="J491" s="59"/>
      <c r="K491" s="621"/>
      <c r="L491" s="621"/>
      <c r="M491" s="629">
        <f t="shared" si="44"/>
        <v>0</v>
      </c>
      <c r="N491" s="629">
        <f t="shared" si="45"/>
        <v>0</v>
      </c>
      <c r="O491" s="630">
        <f t="shared" si="42"/>
        <v>0</v>
      </c>
      <c r="P491" s="629">
        <f t="shared" si="46"/>
        <v>0</v>
      </c>
      <c r="Q491" s="629">
        <f t="shared" si="47"/>
        <v>0</v>
      </c>
      <c r="R491" s="630">
        <f t="shared" si="43"/>
        <v>0</v>
      </c>
    </row>
    <row r="492" spans="2:18" outlineLevel="1" x14ac:dyDescent="0.2">
      <c r="B492" s="59"/>
      <c r="C492" s="59"/>
      <c r="D492" s="59"/>
      <c r="E492" s="541"/>
      <c r="F492" s="541"/>
      <c r="G492" s="541"/>
      <c r="H492" s="541"/>
      <c r="I492" s="59"/>
      <c r="J492" s="59"/>
      <c r="K492" s="621"/>
      <c r="L492" s="621"/>
      <c r="M492" s="629">
        <f t="shared" si="44"/>
        <v>0</v>
      </c>
      <c r="N492" s="629">
        <f t="shared" si="45"/>
        <v>0</v>
      </c>
      <c r="O492" s="630">
        <f t="shared" si="42"/>
        <v>0</v>
      </c>
      <c r="P492" s="629">
        <f t="shared" si="46"/>
        <v>0</v>
      </c>
      <c r="Q492" s="629">
        <f t="shared" si="47"/>
        <v>0</v>
      </c>
      <c r="R492" s="630">
        <f t="shared" si="43"/>
        <v>0</v>
      </c>
    </row>
    <row r="493" spans="2:18" outlineLevel="1" x14ac:dyDescent="0.2">
      <c r="B493" s="59"/>
      <c r="C493" s="59"/>
      <c r="D493" s="59"/>
      <c r="E493" s="541"/>
      <c r="F493" s="541"/>
      <c r="G493" s="541"/>
      <c r="H493" s="541"/>
      <c r="I493" s="59"/>
      <c r="J493" s="59"/>
      <c r="K493" s="621"/>
      <c r="L493" s="621"/>
      <c r="M493" s="629">
        <f t="shared" si="44"/>
        <v>0</v>
      </c>
      <c r="N493" s="629">
        <f t="shared" si="45"/>
        <v>0</v>
      </c>
      <c r="O493" s="630">
        <f t="shared" si="42"/>
        <v>0</v>
      </c>
      <c r="P493" s="629">
        <f t="shared" si="46"/>
        <v>0</v>
      </c>
      <c r="Q493" s="629">
        <f t="shared" si="47"/>
        <v>0</v>
      </c>
      <c r="R493" s="630">
        <f t="shared" si="43"/>
        <v>0</v>
      </c>
    </row>
    <row r="494" spans="2:18" outlineLevel="1" x14ac:dyDescent="0.2">
      <c r="B494" s="59"/>
      <c r="C494" s="59"/>
      <c r="D494" s="59"/>
      <c r="E494" s="541"/>
      <c r="F494" s="541"/>
      <c r="G494" s="541"/>
      <c r="H494" s="541"/>
      <c r="I494" s="59"/>
      <c r="J494" s="59"/>
      <c r="K494" s="621"/>
      <c r="L494" s="621"/>
      <c r="M494" s="629">
        <f t="shared" si="44"/>
        <v>0</v>
      </c>
      <c r="N494" s="629">
        <f t="shared" si="45"/>
        <v>0</v>
      </c>
      <c r="O494" s="630">
        <f t="shared" si="42"/>
        <v>0</v>
      </c>
      <c r="P494" s="629">
        <f t="shared" si="46"/>
        <v>0</v>
      </c>
      <c r="Q494" s="629">
        <f t="shared" si="47"/>
        <v>0</v>
      </c>
      <c r="R494" s="630">
        <f t="shared" si="43"/>
        <v>0</v>
      </c>
    </row>
    <row r="495" spans="2:18" outlineLevel="1" x14ac:dyDescent="0.2">
      <c r="B495" s="59"/>
      <c r="C495" s="59"/>
      <c r="D495" s="59"/>
      <c r="E495" s="541"/>
      <c r="F495" s="541"/>
      <c r="G495" s="541"/>
      <c r="H495" s="541"/>
      <c r="I495" s="59"/>
      <c r="J495" s="59"/>
      <c r="K495" s="621"/>
      <c r="L495" s="621"/>
      <c r="M495" s="629">
        <f t="shared" si="44"/>
        <v>0</v>
      </c>
      <c r="N495" s="629">
        <f t="shared" si="45"/>
        <v>0</v>
      </c>
      <c r="O495" s="630">
        <f t="shared" si="42"/>
        <v>0</v>
      </c>
      <c r="P495" s="629">
        <f t="shared" si="46"/>
        <v>0</v>
      </c>
      <c r="Q495" s="629">
        <f t="shared" si="47"/>
        <v>0</v>
      </c>
      <c r="R495" s="630">
        <f t="shared" si="43"/>
        <v>0</v>
      </c>
    </row>
    <row r="496" spans="2:18" outlineLevel="1" x14ac:dyDescent="0.2">
      <c r="B496" s="59"/>
      <c r="C496" s="59"/>
      <c r="D496" s="59"/>
      <c r="E496" s="541"/>
      <c r="F496" s="541"/>
      <c r="G496" s="541"/>
      <c r="H496" s="541"/>
      <c r="I496" s="59"/>
      <c r="J496" s="59"/>
      <c r="K496" s="621"/>
      <c r="L496" s="621"/>
      <c r="M496" s="629">
        <f t="shared" si="44"/>
        <v>0</v>
      </c>
      <c r="N496" s="629">
        <f t="shared" si="45"/>
        <v>0</v>
      </c>
      <c r="O496" s="630">
        <f t="shared" si="42"/>
        <v>0</v>
      </c>
      <c r="P496" s="629">
        <f t="shared" si="46"/>
        <v>0</v>
      </c>
      <c r="Q496" s="629">
        <f t="shared" si="47"/>
        <v>0</v>
      </c>
      <c r="R496" s="630">
        <f t="shared" si="43"/>
        <v>0</v>
      </c>
    </row>
    <row r="497" spans="2:18" outlineLevel="1" x14ac:dyDescent="0.2">
      <c r="B497" s="59"/>
      <c r="C497" s="59"/>
      <c r="D497" s="59"/>
      <c r="E497" s="541"/>
      <c r="F497" s="541"/>
      <c r="G497" s="541"/>
      <c r="H497" s="541"/>
      <c r="I497" s="59"/>
      <c r="J497" s="59"/>
      <c r="K497" s="621"/>
      <c r="L497" s="621"/>
      <c r="M497" s="629">
        <f t="shared" si="44"/>
        <v>0</v>
      </c>
      <c r="N497" s="629">
        <f t="shared" si="45"/>
        <v>0</v>
      </c>
      <c r="O497" s="630">
        <f t="shared" si="42"/>
        <v>0</v>
      </c>
      <c r="P497" s="629">
        <f t="shared" si="46"/>
        <v>0</v>
      </c>
      <c r="Q497" s="629">
        <f t="shared" si="47"/>
        <v>0</v>
      </c>
      <c r="R497" s="630">
        <f t="shared" si="43"/>
        <v>0</v>
      </c>
    </row>
    <row r="498" spans="2:18" outlineLevel="1" x14ac:dyDescent="0.2">
      <c r="B498" s="59"/>
      <c r="C498" s="59"/>
      <c r="D498" s="59"/>
      <c r="E498" s="541"/>
      <c r="F498" s="541"/>
      <c r="G498" s="541"/>
      <c r="H498" s="541"/>
      <c r="I498" s="59"/>
      <c r="J498" s="59"/>
      <c r="K498" s="621"/>
      <c r="L498" s="621"/>
      <c r="M498" s="629">
        <f t="shared" si="44"/>
        <v>0</v>
      </c>
      <c r="N498" s="629">
        <f t="shared" si="45"/>
        <v>0</v>
      </c>
      <c r="O498" s="630">
        <f t="shared" si="42"/>
        <v>0</v>
      </c>
      <c r="P498" s="629">
        <f t="shared" si="46"/>
        <v>0</v>
      </c>
      <c r="Q498" s="629">
        <f t="shared" si="47"/>
        <v>0</v>
      </c>
      <c r="R498" s="630">
        <f t="shared" si="43"/>
        <v>0</v>
      </c>
    </row>
    <row r="499" spans="2:18" outlineLevel="1" x14ac:dyDescent="0.2">
      <c r="B499" s="59"/>
      <c r="C499" s="59"/>
      <c r="D499" s="59"/>
      <c r="E499" s="541"/>
      <c r="F499" s="541"/>
      <c r="G499" s="541"/>
      <c r="H499" s="541"/>
      <c r="I499" s="59"/>
      <c r="J499" s="59"/>
      <c r="K499" s="621"/>
      <c r="L499" s="621"/>
      <c r="M499" s="629">
        <f t="shared" si="44"/>
        <v>0</v>
      </c>
      <c r="N499" s="629">
        <f t="shared" si="45"/>
        <v>0</v>
      </c>
      <c r="O499" s="630">
        <f t="shared" si="42"/>
        <v>0</v>
      </c>
      <c r="P499" s="629">
        <f t="shared" si="46"/>
        <v>0</v>
      </c>
      <c r="Q499" s="629">
        <f t="shared" si="47"/>
        <v>0</v>
      </c>
      <c r="R499" s="630">
        <f t="shared" si="43"/>
        <v>0</v>
      </c>
    </row>
    <row r="500" spans="2:18" outlineLevel="1" x14ac:dyDescent="0.2">
      <c r="B500" s="59"/>
      <c r="C500" s="59"/>
      <c r="D500" s="59"/>
      <c r="E500" s="541"/>
      <c r="F500" s="541"/>
      <c r="G500" s="541"/>
      <c r="H500" s="541"/>
      <c r="I500" s="59"/>
      <c r="J500" s="59"/>
      <c r="K500" s="621"/>
      <c r="L500" s="621"/>
      <c r="M500" s="629">
        <f t="shared" si="44"/>
        <v>0</v>
      </c>
      <c r="N500" s="629">
        <f t="shared" si="45"/>
        <v>0</v>
      </c>
      <c r="O500" s="630">
        <f t="shared" si="42"/>
        <v>0</v>
      </c>
      <c r="P500" s="629">
        <f t="shared" si="46"/>
        <v>0</v>
      </c>
      <c r="Q500" s="629">
        <f t="shared" si="47"/>
        <v>0</v>
      </c>
      <c r="R500" s="630">
        <f t="shared" si="43"/>
        <v>0</v>
      </c>
    </row>
    <row r="501" spans="2:18" outlineLevel="1" x14ac:dyDescent="0.2">
      <c r="B501" s="59"/>
      <c r="C501" s="59"/>
      <c r="D501" s="59"/>
      <c r="E501" s="541"/>
      <c r="F501" s="541"/>
      <c r="G501" s="541"/>
      <c r="H501" s="541"/>
      <c r="I501" s="59"/>
      <c r="J501" s="59"/>
      <c r="K501" s="621"/>
      <c r="L501" s="621"/>
      <c r="M501" s="629">
        <f t="shared" si="44"/>
        <v>0</v>
      </c>
      <c r="N501" s="629">
        <f t="shared" si="45"/>
        <v>0</v>
      </c>
      <c r="O501" s="630">
        <f t="shared" si="42"/>
        <v>0</v>
      </c>
      <c r="P501" s="629">
        <f t="shared" si="46"/>
        <v>0</v>
      </c>
      <c r="Q501" s="629">
        <f t="shared" si="47"/>
        <v>0</v>
      </c>
      <c r="R501" s="630">
        <f t="shared" si="43"/>
        <v>0</v>
      </c>
    </row>
    <row r="502" spans="2:18" outlineLevel="1" x14ac:dyDescent="0.2">
      <c r="B502" s="59"/>
      <c r="C502" s="59"/>
      <c r="D502" s="59"/>
      <c r="E502" s="541"/>
      <c r="F502" s="541"/>
      <c r="G502" s="541"/>
      <c r="H502" s="541"/>
      <c r="I502" s="59"/>
      <c r="J502" s="59"/>
      <c r="K502" s="621"/>
      <c r="L502" s="621"/>
      <c r="M502" s="629">
        <f t="shared" si="44"/>
        <v>0</v>
      </c>
      <c r="N502" s="629">
        <f t="shared" si="45"/>
        <v>0</v>
      </c>
      <c r="O502" s="630">
        <f t="shared" si="42"/>
        <v>0</v>
      </c>
      <c r="P502" s="629">
        <f t="shared" si="46"/>
        <v>0</v>
      </c>
      <c r="Q502" s="629">
        <f t="shared" si="47"/>
        <v>0</v>
      </c>
      <c r="R502" s="630">
        <f t="shared" si="43"/>
        <v>0</v>
      </c>
    </row>
    <row r="503" spans="2:18" outlineLevel="1" x14ac:dyDescent="0.2">
      <c r="B503" s="59"/>
      <c r="C503" s="59"/>
      <c r="D503" s="59"/>
      <c r="E503" s="541"/>
      <c r="F503" s="541"/>
      <c r="G503" s="541"/>
      <c r="H503" s="541"/>
      <c r="I503" s="59"/>
      <c r="J503" s="59"/>
      <c r="K503" s="621"/>
      <c r="L503" s="621"/>
      <c r="M503" s="629">
        <f t="shared" si="44"/>
        <v>0</v>
      </c>
      <c r="N503" s="629">
        <f t="shared" si="45"/>
        <v>0</v>
      </c>
      <c r="O503" s="630">
        <f t="shared" si="42"/>
        <v>0</v>
      </c>
      <c r="P503" s="629">
        <f t="shared" si="46"/>
        <v>0</v>
      </c>
      <c r="Q503" s="629">
        <f t="shared" si="47"/>
        <v>0</v>
      </c>
      <c r="R503" s="630">
        <f t="shared" si="43"/>
        <v>0</v>
      </c>
    </row>
    <row r="504" spans="2:18" outlineLevel="1" x14ac:dyDescent="0.2">
      <c r="B504" s="59"/>
      <c r="C504" s="59"/>
      <c r="D504" s="59"/>
      <c r="E504" s="541"/>
      <c r="F504" s="541"/>
      <c r="G504" s="541"/>
      <c r="H504" s="541"/>
      <c r="I504" s="59"/>
      <c r="J504" s="59"/>
      <c r="K504" s="621"/>
      <c r="L504" s="621"/>
      <c r="M504" s="629">
        <f t="shared" si="44"/>
        <v>0</v>
      </c>
      <c r="N504" s="629">
        <f t="shared" si="45"/>
        <v>0</v>
      </c>
      <c r="O504" s="630">
        <f t="shared" si="42"/>
        <v>0</v>
      </c>
      <c r="P504" s="629">
        <f t="shared" si="46"/>
        <v>0</v>
      </c>
      <c r="Q504" s="629">
        <f t="shared" si="47"/>
        <v>0</v>
      </c>
      <c r="R504" s="630">
        <f t="shared" si="43"/>
        <v>0</v>
      </c>
    </row>
    <row r="505" spans="2:18" outlineLevel="1" x14ac:dyDescent="0.2">
      <c r="B505" s="59"/>
      <c r="C505" s="59"/>
      <c r="D505" s="59"/>
      <c r="E505" s="541"/>
      <c r="F505" s="541"/>
      <c r="G505" s="541"/>
      <c r="H505" s="541"/>
      <c r="I505" s="59"/>
      <c r="J505" s="59"/>
      <c r="K505" s="621"/>
      <c r="L505" s="621"/>
      <c r="M505" s="629">
        <f t="shared" si="44"/>
        <v>0</v>
      </c>
      <c r="N505" s="629">
        <f t="shared" si="45"/>
        <v>0</v>
      </c>
      <c r="O505" s="630">
        <f t="shared" si="42"/>
        <v>0</v>
      </c>
      <c r="P505" s="629">
        <f t="shared" si="46"/>
        <v>0</v>
      </c>
      <c r="Q505" s="629">
        <f t="shared" si="47"/>
        <v>0</v>
      </c>
      <c r="R505" s="630">
        <f t="shared" si="43"/>
        <v>0</v>
      </c>
    </row>
    <row r="506" spans="2:18" outlineLevel="1" x14ac:dyDescent="0.2">
      <c r="B506" s="59"/>
      <c r="C506" s="59"/>
      <c r="D506" s="59"/>
      <c r="E506" s="541"/>
      <c r="F506" s="541"/>
      <c r="G506" s="541"/>
      <c r="H506" s="541"/>
      <c r="I506" s="59"/>
      <c r="J506" s="59"/>
      <c r="K506" s="621"/>
      <c r="L506" s="621"/>
      <c r="M506" s="629">
        <f t="shared" si="44"/>
        <v>0</v>
      </c>
      <c r="N506" s="629">
        <f t="shared" si="45"/>
        <v>0</v>
      </c>
      <c r="O506" s="630">
        <f t="shared" si="42"/>
        <v>0</v>
      </c>
      <c r="P506" s="629">
        <f t="shared" si="46"/>
        <v>0</v>
      </c>
      <c r="Q506" s="629">
        <f t="shared" si="47"/>
        <v>0</v>
      </c>
      <c r="R506" s="630">
        <f t="shared" si="43"/>
        <v>0</v>
      </c>
    </row>
    <row r="507" spans="2:18" outlineLevel="1" x14ac:dyDescent="0.2">
      <c r="B507" s="59"/>
      <c r="C507" s="59"/>
      <c r="D507" s="59"/>
      <c r="E507" s="541"/>
      <c r="F507" s="541"/>
      <c r="G507" s="541"/>
      <c r="H507" s="541"/>
      <c r="I507" s="59"/>
      <c r="J507" s="59"/>
      <c r="K507" s="621"/>
      <c r="L507" s="621"/>
      <c r="M507" s="629">
        <f t="shared" si="44"/>
        <v>0</v>
      </c>
      <c r="N507" s="629">
        <f t="shared" si="45"/>
        <v>0</v>
      </c>
      <c r="O507" s="630">
        <f t="shared" si="42"/>
        <v>0</v>
      </c>
      <c r="P507" s="629">
        <f t="shared" si="46"/>
        <v>0</v>
      </c>
      <c r="Q507" s="629">
        <f t="shared" si="47"/>
        <v>0</v>
      </c>
      <c r="R507" s="630">
        <f t="shared" si="43"/>
        <v>0</v>
      </c>
    </row>
    <row r="508" spans="2:18" outlineLevel="1" x14ac:dyDescent="0.2">
      <c r="B508" s="59"/>
      <c r="C508" s="59"/>
      <c r="D508" s="59"/>
      <c r="E508" s="541"/>
      <c r="F508" s="541"/>
      <c r="G508" s="541"/>
      <c r="H508" s="541"/>
      <c r="I508" s="59"/>
      <c r="J508" s="59"/>
      <c r="K508" s="621"/>
      <c r="L508" s="621"/>
      <c r="M508" s="629">
        <f t="shared" si="44"/>
        <v>0</v>
      </c>
      <c r="N508" s="629">
        <f t="shared" si="45"/>
        <v>0</v>
      </c>
      <c r="O508" s="630">
        <f t="shared" si="42"/>
        <v>0</v>
      </c>
      <c r="P508" s="629">
        <f t="shared" si="46"/>
        <v>0</v>
      </c>
      <c r="Q508" s="629">
        <f t="shared" si="47"/>
        <v>0</v>
      </c>
      <c r="R508" s="630">
        <f t="shared" si="43"/>
        <v>0</v>
      </c>
    </row>
    <row r="509" spans="2:18" outlineLevel="1" x14ac:dyDescent="0.2">
      <c r="B509" s="59"/>
      <c r="C509" s="59"/>
      <c r="D509" s="59"/>
      <c r="E509" s="541"/>
      <c r="F509" s="541"/>
      <c r="G509" s="541"/>
      <c r="H509" s="541"/>
      <c r="I509" s="59"/>
      <c r="J509" s="59"/>
      <c r="K509" s="621"/>
      <c r="L509" s="621"/>
      <c r="M509" s="629">
        <f t="shared" si="44"/>
        <v>0</v>
      </c>
      <c r="N509" s="629">
        <f t="shared" si="45"/>
        <v>0</v>
      </c>
      <c r="O509" s="630">
        <f t="shared" si="42"/>
        <v>0</v>
      </c>
      <c r="P509" s="629">
        <f t="shared" si="46"/>
        <v>0</v>
      </c>
      <c r="Q509" s="629">
        <f t="shared" si="47"/>
        <v>0</v>
      </c>
      <c r="R509" s="630">
        <f t="shared" si="43"/>
        <v>0</v>
      </c>
    </row>
    <row r="510" spans="2:18" outlineLevel="1" x14ac:dyDescent="0.2">
      <c r="B510" s="59"/>
      <c r="C510" s="59"/>
      <c r="D510" s="59"/>
      <c r="E510" s="541"/>
      <c r="F510" s="541"/>
      <c r="G510" s="541"/>
      <c r="H510" s="541"/>
      <c r="I510" s="59"/>
      <c r="J510" s="59"/>
      <c r="K510" s="621"/>
      <c r="L510" s="621"/>
      <c r="M510" s="629">
        <f t="shared" si="44"/>
        <v>0</v>
      </c>
      <c r="N510" s="629">
        <f t="shared" si="45"/>
        <v>0</v>
      </c>
      <c r="O510" s="630">
        <f t="shared" si="42"/>
        <v>0</v>
      </c>
      <c r="P510" s="629">
        <f t="shared" si="46"/>
        <v>0</v>
      </c>
      <c r="Q510" s="629">
        <f t="shared" si="47"/>
        <v>0</v>
      </c>
      <c r="R510" s="630">
        <f t="shared" si="43"/>
        <v>0</v>
      </c>
    </row>
    <row r="511" spans="2:18" outlineLevel="1" x14ac:dyDescent="0.2">
      <c r="B511" s="59"/>
      <c r="C511" s="59"/>
      <c r="D511" s="59"/>
      <c r="E511" s="541"/>
      <c r="F511" s="541"/>
      <c r="G511" s="541"/>
      <c r="H511" s="541"/>
      <c r="I511" s="59"/>
      <c r="J511" s="59"/>
      <c r="K511" s="621"/>
      <c r="L511" s="621"/>
      <c r="M511" s="629">
        <f t="shared" si="44"/>
        <v>0</v>
      </c>
      <c r="N511" s="629">
        <f t="shared" si="45"/>
        <v>0</v>
      </c>
      <c r="O511" s="630">
        <f t="shared" si="42"/>
        <v>0</v>
      </c>
      <c r="P511" s="629">
        <f t="shared" si="46"/>
        <v>0</v>
      </c>
      <c r="Q511" s="629">
        <f t="shared" si="47"/>
        <v>0</v>
      </c>
      <c r="R511" s="630">
        <f t="shared" si="43"/>
        <v>0</v>
      </c>
    </row>
    <row r="512" spans="2:18" outlineLevel="1" x14ac:dyDescent="0.2">
      <c r="B512" s="59"/>
      <c r="C512" s="59"/>
      <c r="D512" s="59"/>
      <c r="E512" s="541"/>
      <c r="F512" s="541"/>
      <c r="G512" s="541"/>
      <c r="H512" s="541"/>
      <c r="I512" s="59"/>
      <c r="J512" s="59"/>
      <c r="K512" s="621"/>
      <c r="L512" s="621"/>
      <c r="M512" s="629">
        <f t="shared" si="44"/>
        <v>0</v>
      </c>
      <c r="N512" s="629">
        <f t="shared" si="45"/>
        <v>0</v>
      </c>
      <c r="O512" s="630">
        <f t="shared" si="42"/>
        <v>0</v>
      </c>
      <c r="P512" s="629">
        <f t="shared" si="46"/>
        <v>0</v>
      </c>
      <c r="Q512" s="629">
        <f t="shared" si="47"/>
        <v>0</v>
      </c>
      <c r="R512" s="630">
        <f t="shared" si="43"/>
        <v>0</v>
      </c>
    </row>
    <row r="513" spans="2:18" outlineLevel="1" x14ac:dyDescent="0.2">
      <c r="B513" s="59"/>
      <c r="C513" s="59"/>
      <c r="D513" s="59"/>
      <c r="E513" s="541"/>
      <c r="F513" s="541"/>
      <c r="G513" s="541"/>
      <c r="H513" s="541"/>
      <c r="I513" s="59"/>
      <c r="J513" s="59"/>
      <c r="K513" s="621"/>
      <c r="L513" s="621"/>
      <c r="M513" s="629">
        <f t="shared" si="44"/>
        <v>0</v>
      </c>
      <c r="N513" s="629">
        <f t="shared" si="45"/>
        <v>0</v>
      </c>
      <c r="O513" s="630">
        <f t="shared" si="42"/>
        <v>0</v>
      </c>
      <c r="P513" s="629">
        <f t="shared" si="46"/>
        <v>0</v>
      </c>
      <c r="Q513" s="629">
        <f t="shared" si="47"/>
        <v>0</v>
      </c>
      <c r="R513" s="630">
        <f t="shared" si="43"/>
        <v>0</v>
      </c>
    </row>
    <row r="514" spans="2:18" outlineLevel="1" x14ac:dyDescent="0.2">
      <c r="B514" s="59"/>
      <c r="C514" s="59"/>
      <c r="D514" s="59"/>
      <c r="E514" s="541"/>
      <c r="F514" s="541"/>
      <c r="G514" s="541"/>
      <c r="H514" s="541"/>
      <c r="I514" s="59"/>
      <c r="J514" s="59"/>
      <c r="K514" s="621"/>
      <c r="L514" s="621"/>
      <c r="M514" s="629">
        <f t="shared" si="44"/>
        <v>0</v>
      </c>
      <c r="N514" s="629">
        <f t="shared" si="45"/>
        <v>0</v>
      </c>
      <c r="O514" s="630">
        <f t="shared" si="42"/>
        <v>0</v>
      </c>
      <c r="P514" s="629">
        <f t="shared" si="46"/>
        <v>0</v>
      </c>
      <c r="Q514" s="629">
        <f t="shared" si="47"/>
        <v>0</v>
      </c>
      <c r="R514" s="630">
        <f t="shared" si="43"/>
        <v>0</v>
      </c>
    </row>
    <row r="515" spans="2:18" outlineLevel="1" x14ac:dyDescent="0.2">
      <c r="B515" s="59"/>
      <c r="C515" s="59"/>
      <c r="D515" s="59"/>
      <c r="E515" s="541"/>
      <c r="F515" s="541"/>
      <c r="G515" s="541"/>
      <c r="H515" s="541"/>
      <c r="I515" s="59"/>
      <c r="J515" s="59"/>
      <c r="K515" s="621"/>
      <c r="L515" s="621"/>
      <c r="M515" s="629">
        <f t="shared" si="44"/>
        <v>0</v>
      </c>
      <c r="N515" s="629">
        <f t="shared" si="45"/>
        <v>0</v>
      </c>
      <c r="O515" s="630">
        <f t="shared" si="42"/>
        <v>0</v>
      </c>
      <c r="P515" s="629">
        <f t="shared" si="46"/>
        <v>0</v>
      </c>
      <c r="Q515" s="629">
        <f t="shared" si="47"/>
        <v>0</v>
      </c>
      <c r="R515" s="630">
        <f t="shared" si="43"/>
        <v>0</v>
      </c>
    </row>
    <row r="516" spans="2:18" outlineLevel="1" x14ac:dyDescent="0.2">
      <c r="B516" s="59"/>
      <c r="C516" s="59"/>
      <c r="D516" s="59"/>
      <c r="E516" s="541"/>
      <c r="F516" s="541"/>
      <c r="G516" s="541"/>
      <c r="H516" s="541"/>
      <c r="I516" s="59"/>
      <c r="J516" s="59"/>
      <c r="K516" s="621"/>
      <c r="L516" s="621"/>
      <c r="M516" s="629">
        <f t="shared" si="44"/>
        <v>0</v>
      </c>
      <c r="N516" s="629">
        <f t="shared" si="45"/>
        <v>0</v>
      </c>
      <c r="O516" s="630">
        <f t="shared" si="42"/>
        <v>0</v>
      </c>
      <c r="P516" s="629">
        <f t="shared" si="46"/>
        <v>0</v>
      </c>
      <c r="Q516" s="629">
        <f t="shared" si="47"/>
        <v>0</v>
      </c>
      <c r="R516" s="630">
        <f t="shared" si="43"/>
        <v>0</v>
      </c>
    </row>
    <row r="517" spans="2:18" outlineLevel="1" x14ac:dyDescent="0.2">
      <c r="B517" s="59"/>
      <c r="C517" s="59"/>
      <c r="D517" s="59"/>
      <c r="E517" s="541"/>
      <c r="F517" s="541"/>
      <c r="G517" s="541"/>
      <c r="H517" s="541"/>
      <c r="I517" s="59"/>
      <c r="J517" s="59"/>
      <c r="K517" s="621"/>
      <c r="L517" s="621"/>
      <c r="M517" s="629">
        <f t="shared" si="44"/>
        <v>0</v>
      </c>
      <c r="N517" s="629">
        <f t="shared" si="45"/>
        <v>0</v>
      </c>
      <c r="O517" s="630">
        <f t="shared" ref="O517:O580" si="48">M517+N517</f>
        <v>0</v>
      </c>
      <c r="P517" s="629">
        <f t="shared" si="46"/>
        <v>0</v>
      </c>
      <c r="Q517" s="629">
        <f t="shared" si="47"/>
        <v>0</v>
      </c>
      <c r="R517" s="630">
        <f t="shared" ref="R517:R580" si="49">P517+Q517</f>
        <v>0</v>
      </c>
    </row>
    <row r="518" spans="2:18" outlineLevel="1" x14ac:dyDescent="0.2">
      <c r="B518" s="59"/>
      <c r="C518" s="59"/>
      <c r="D518" s="59"/>
      <c r="E518" s="541"/>
      <c r="F518" s="541"/>
      <c r="G518" s="541"/>
      <c r="H518" s="541"/>
      <c r="I518" s="59"/>
      <c r="J518" s="59"/>
      <c r="K518" s="621"/>
      <c r="L518" s="621"/>
      <c r="M518" s="629">
        <f t="shared" ref="M518:M581" si="50">G518*(-1)</f>
        <v>0</v>
      </c>
      <c r="N518" s="629">
        <f t="shared" ref="N518:N581" si="51">H518*(-1)</f>
        <v>0</v>
      </c>
      <c r="O518" s="630">
        <f t="shared" si="48"/>
        <v>0</v>
      </c>
      <c r="P518" s="629">
        <f t="shared" ref="P518:P581" si="52">+IF(AND(I518="NO",E518&gt;G518),(E518-G518)*K518*(-1),0)</f>
        <v>0</v>
      </c>
      <c r="Q518" s="629">
        <f t="shared" ref="Q518:Q581" si="53">+IF(AND(J518="NO",F518&gt;H518),(F518-H518)*L518*(-1),0)</f>
        <v>0</v>
      </c>
      <c r="R518" s="630">
        <f t="shared" si="49"/>
        <v>0</v>
      </c>
    </row>
    <row r="519" spans="2:18" outlineLevel="1" x14ac:dyDescent="0.2">
      <c r="B519" s="59"/>
      <c r="C519" s="59"/>
      <c r="D519" s="59"/>
      <c r="E519" s="541"/>
      <c r="F519" s="541"/>
      <c r="G519" s="541"/>
      <c r="H519" s="541"/>
      <c r="I519" s="59"/>
      <c r="J519" s="59"/>
      <c r="K519" s="621"/>
      <c r="L519" s="621"/>
      <c r="M519" s="629">
        <f t="shared" si="50"/>
        <v>0</v>
      </c>
      <c r="N519" s="629">
        <f t="shared" si="51"/>
        <v>0</v>
      </c>
      <c r="O519" s="630">
        <f t="shared" si="48"/>
        <v>0</v>
      </c>
      <c r="P519" s="629">
        <f t="shared" si="52"/>
        <v>0</v>
      </c>
      <c r="Q519" s="629">
        <f t="shared" si="53"/>
        <v>0</v>
      </c>
      <c r="R519" s="630">
        <f t="shared" si="49"/>
        <v>0</v>
      </c>
    </row>
    <row r="520" spans="2:18" outlineLevel="1" x14ac:dyDescent="0.2">
      <c r="B520" s="59"/>
      <c r="C520" s="59"/>
      <c r="D520" s="59"/>
      <c r="E520" s="541"/>
      <c r="F520" s="541"/>
      <c r="G520" s="541"/>
      <c r="H520" s="541"/>
      <c r="I520" s="59"/>
      <c r="J520" s="59"/>
      <c r="K520" s="621"/>
      <c r="L520" s="621"/>
      <c r="M520" s="629">
        <f t="shared" si="50"/>
        <v>0</v>
      </c>
      <c r="N520" s="629">
        <f t="shared" si="51"/>
        <v>0</v>
      </c>
      <c r="O520" s="630">
        <f t="shared" si="48"/>
        <v>0</v>
      </c>
      <c r="P520" s="629">
        <f t="shared" si="52"/>
        <v>0</v>
      </c>
      <c r="Q520" s="629">
        <f t="shared" si="53"/>
        <v>0</v>
      </c>
      <c r="R520" s="630">
        <f t="shared" si="49"/>
        <v>0</v>
      </c>
    </row>
    <row r="521" spans="2:18" outlineLevel="1" x14ac:dyDescent="0.2">
      <c r="B521" s="59"/>
      <c r="C521" s="59"/>
      <c r="D521" s="59"/>
      <c r="E521" s="541"/>
      <c r="F521" s="541"/>
      <c r="G521" s="541"/>
      <c r="H521" s="541"/>
      <c r="I521" s="59"/>
      <c r="J521" s="59"/>
      <c r="K521" s="621"/>
      <c r="L521" s="621"/>
      <c r="M521" s="629">
        <f t="shared" si="50"/>
        <v>0</v>
      </c>
      <c r="N521" s="629">
        <f t="shared" si="51"/>
        <v>0</v>
      </c>
      <c r="O521" s="630">
        <f t="shared" si="48"/>
        <v>0</v>
      </c>
      <c r="P521" s="629">
        <f t="shared" si="52"/>
        <v>0</v>
      </c>
      <c r="Q521" s="629">
        <f t="shared" si="53"/>
        <v>0</v>
      </c>
      <c r="R521" s="630">
        <f t="shared" si="49"/>
        <v>0</v>
      </c>
    </row>
    <row r="522" spans="2:18" outlineLevel="1" x14ac:dyDescent="0.2">
      <c r="B522" s="59"/>
      <c r="C522" s="59"/>
      <c r="D522" s="59"/>
      <c r="E522" s="541"/>
      <c r="F522" s="541"/>
      <c r="G522" s="541"/>
      <c r="H522" s="541"/>
      <c r="I522" s="59"/>
      <c r="J522" s="59"/>
      <c r="K522" s="621"/>
      <c r="L522" s="621"/>
      <c r="M522" s="629">
        <f t="shared" si="50"/>
        <v>0</v>
      </c>
      <c r="N522" s="629">
        <f t="shared" si="51"/>
        <v>0</v>
      </c>
      <c r="O522" s="630">
        <f t="shared" si="48"/>
        <v>0</v>
      </c>
      <c r="P522" s="629">
        <f t="shared" si="52"/>
        <v>0</v>
      </c>
      <c r="Q522" s="629">
        <f t="shared" si="53"/>
        <v>0</v>
      </c>
      <c r="R522" s="630">
        <f t="shared" si="49"/>
        <v>0</v>
      </c>
    </row>
    <row r="523" spans="2:18" outlineLevel="1" x14ac:dyDescent="0.2">
      <c r="B523" s="59"/>
      <c r="C523" s="59"/>
      <c r="D523" s="59"/>
      <c r="E523" s="541"/>
      <c r="F523" s="541"/>
      <c r="G523" s="541"/>
      <c r="H523" s="541"/>
      <c r="I523" s="59"/>
      <c r="J523" s="59"/>
      <c r="K523" s="621"/>
      <c r="L523" s="621"/>
      <c r="M523" s="629">
        <f t="shared" si="50"/>
        <v>0</v>
      </c>
      <c r="N523" s="629">
        <f t="shared" si="51"/>
        <v>0</v>
      </c>
      <c r="O523" s="630">
        <f t="shared" si="48"/>
        <v>0</v>
      </c>
      <c r="P523" s="629">
        <f t="shared" si="52"/>
        <v>0</v>
      </c>
      <c r="Q523" s="629">
        <f t="shared" si="53"/>
        <v>0</v>
      </c>
      <c r="R523" s="630">
        <f t="shared" si="49"/>
        <v>0</v>
      </c>
    </row>
    <row r="524" spans="2:18" outlineLevel="1" x14ac:dyDescent="0.2">
      <c r="B524" s="59"/>
      <c r="C524" s="59"/>
      <c r="D524" s="59"/>
      <c r="E524" s="541"/>
      <c r="F524" s="541"/>
      <c r="G524" s="541"/>
      <c r="H524" s="541"/>
      <c r="I524" s="59"/>
      <c r="J524" s="59"/>
      <c r="K524" s="621"/>
      <c r="L524" s="621"/>
      <c r="M524" s="629">
        <f t="shared" si="50"/>
        <v>0</v>
      </c>
      <c r="N524" s="629">
        <f t="shared" si="51"/>
        <v>0</v>
      </c>
      <c r="O524" s="630">
        <f t="shared" si="48"/>
        <v>0</v>
      </c>
      <c r="P524" s="629">
        <f t="shared" si="52"/>
        <v>0</v>
      </c>
      <c r="Q524" s="629">
        <f t="shared" si="53"/>
        <v>0</v>
      </c>
      <c r="R524" s="630">
        <f t="shared" si="49"/>
        <v>0</v>
      </c>
    </row>
    <row r="525" spans="2:18" outlineLevel="1" x14ac:dyDescent="0.2">
      <c r="B525" s="59"/>
      <c r="C525" s="59"/>
      <c r="D525" s="59"/>
      <c r="E525" s="541"/>
      <c r="F525" s="541"/>
      <c r="G525" s="541"/>
      <c r="H525" s="541"/>
      <c r="I525" s="59"/>
      <c r="J525" s="59"/>
      <c r="K525" s="621"/>
      <c r="L525" s="621"/>
      <c r="M525" s="629">
        <f t="shared" si="50"/>
        <v>0</v>
      </c>
      <c r="N525" s="629">
        <f t="shared" si="51"/>
        <v>0</v>
      </c>
      <c r="O525" s="630">
        <f t="shared" si="48"/>
        <v>0</v>
      </c>
      <c r="P525" s="629">
        <f t="shared" si="52"/>
        <v>0</v>
      </c>
      <c r="Q525" s="629">
        <f t="shared" si="53"/>
        <v>0</v>
      </c>
      <c r="R525" s="630">
        <f t="shared" si="49"/>
        <v>0</v>
      </c>
    </row>
    <row r="526" spans="2:18" outlineLevel="1" x14ac:dyDescent="0.2">
      <c r="B526" s="59"/>
      <c r="C526" s="59"/>
      <c r="D526" s="59"/>
      <c r="E526" s="541"/>
      <c r="F526" s="541"/>
      <c r="G526" s="541"/>
      <c r="H526" s="541"/>
      <c r="I526" s="59"/>
      <c r="J526" s="59"/>
      <c r="K526" s="621"/>
      <c r="L526" s="621"/>
      <c r="M526" s="629">
        <f t="shared" si="50"/>
        <v>0</v>
      </c>
      <c r="N526" s="629">
        <f t="shared" si="51"/>
        <v>0</v>
      </c>
      <c r="O526" s="630">
        <f t="shared" si="48"/>
        <v>0</v>
      </c>
      <c r="P526" s="629">
        <f t="shared" si="52"/>
        <v>0</v>
      </c>
      <c r="Q526" s="629">
        <f t="shared" si="53"/>
        <v>0</v>
      </c>
      <c r="R526" s="630">
        <f t="shared" si="49"/>
        <v>0</v>
      </c>
    </row>
    <row r="527" spans="2:18" outlineLevel="1" x14ac:dyDescent="0.2">
      <c r="B527" s="59"/>
      <c r="C527" s="59"/>
      <c r="D527" s="59"/>
      <c r="E527" s="541"/>
      <c r="F527" s="541"/>
      <c r="G527" s="541"/>
      <c r="H527" s="541"/>
      <c r="I527" s="59"/>
      <c r="J527" s="59"/>
      <c r="K527" s="621"/>
      <c r="L527" s="621"/>
      <c r="M527" s="629">
        <f t="shared" si="50"/>
        <v>0</v>
      </c>
      <c r="N527" s="629">
        <f t="shared" si="51"/>
        <v>0</v>
      </c>
      <c r="O527" s="630">
        <f t="shared" si="48"/>
        <v>0</v>
      </c>
      <c r="P527" s="629">
        <f t="shared" si="52"/>
        <v>0</v>
      </c>
      <c r="Q527" s="629">
        <f t="shared" si="53"/>
        <v>0</v>
      </c>
      <c r="R527" s="630">
        <f t="shared" si="49"/>
        <v>0</v>
      </c>
    </row>
    <row r="528" spans="2:18" outlineLevel="1" x14ac:dyDescent="0.2">
      <c r="B528" s="59"/>
      <c r="C528" s="59"/>
      <c r="D528" s="59"/>
      <c r="E528" s="541"/>
      <c r="F528" s="541"/>
      <c r="G528" s="541"/>
      <c r="H528" s="541"/>
      <c r="I528" s="59"/>
      <c r="J528" s="59"/>
      <c r="K528" s="621"/>
      <c r="L528" s="621"/>
      <c r="M528" s="629">
        <f t="shared" si="50"/>
        <v>0</v>
      </c>
      <c r="N528" s="629">
        <f t="shared" si="51"/>
        <v>0</v>
      </c>
      <c r="O528" s="630">
        <f t="shared" si="48"/>
        <v>0</v>
      </c>
      <c r="P528" s="629">
        <f t="shared" si="52"/>
        <v>0</v>
      </c>
      <c r="Q528" s="629">
        <f t="shared" si="53"/>
        <v>0</v>
      </c>
      <c r="R528" s="630">
        <f t="shared" si="49"/>
        <v>0</v>
      </c>
    </row>
    <row r="529" spans="2:18" outlineLevel="1" x14ac:dyDescent="0.2">
      <c r="B529" s="59"/>
      <c r="C529" s="59"/>
      <c r="D529" s="59"/>
      <c r="E529" s="541"/>
      <c r="F529" s="541"/>
      <c r="G529" s="541"/>
      <c r="H529" s="541"/>
      <c r="I529" s="59"/>
      <c r="J529" s="59"/>
      <c r="K529" s="621"/>
      <c r="L529" s="621"/>
      <c r="M529" s="629">
        <f t="shared" si="50"/>
        <v>0</v>
      </c>
      <c r="N529" s="629">
        <f t="shared" si="51"/>
        <v>0</v>
      </c>
      <c r="O529" s="630">
        <f t="shared" si="48"/>
        <v>0</v>
      </c>
      <c r="P529" s="629">
        <f t="shared" si="52"/>
        <v>0</v>
      </c>
      <c r="Q529" s="629">
        <f t="shared" si="53"/>
        <v>0</v>
      </c>
      <c r="R529" s="630">
        <f t="shared" si="49"/>
        <v>0</v>
      </c>
    </row>
    <row r="530" spans="2:18" outlineLevel="1" x14ac:dyDescent="0.2">
      <c r="B530" s="59"/>
      <c r="C530" s="59"/>
      <c r="D530" s="59"/>
      <c r="E530" s="541"/>
      <c r="F530" s="541"/>
      <c r="G530" s="541"/>
      <c r="H530" s="541"/>
      <c r="I530" s="59"/>
      <c r="J530" s="59"/>
      <c r="K530" s="621"/>
      <c r="L530" s="621"/>
      <c r="M530" s="629">
        <f t="shared" si="50"/>
        <v>0</v>
      </c>
      <c r="N530" s="629">
        <f t="shared" si="51"/>
        <v>0</v>
      </c>
      <c r="O530" s="630">
        <f t="shared" si="48"/>
        <v>0</v>
      </c>
      <c r="P530" s="629">
        <f t="shared" si="52"/>
        <v>0</v>
      </c>
      <c r="Q530" s="629">
        <f t="shared" si="53"/>
        <v>0</v>
      </c>
      <c r="R530" s="630">
        <f t="shared" si="49"/>
        <v>0</v>
      </c>
    </row>
    <row r="531" spans="2:18" outlineLevel="1" x14ac:dyDescent="0.2">
      <c r="B531" s="59"/>
      <c r="C531" s="59"/>
      <c r="D531" s="59"/>
      <c r="E531" s="541"/>
      <c r="F531" s="541"/>
      <c r="G531" s="541"/>
      <c r="H531" s="541"/>
      <c r="I531" s="59"/>
      <c r="J531" s="59"/>
      <c r="K531" s="621"/>
      <c r="L531" s="621"/>
      <c r="M531" s="629">
        <f t="shared" si="50"/>
        <v>0</v>
      </c>
      <c r="N531" s="629">
        <f t="shared" si="51"/>
        <v>0</v>
      </c>
      <c r="O531" s="630">
        <f t="shared" si="48"/>
        <v>0</v>
      </c>
      <c r="P531" s="629">
        <f t="shared" si="52"/>
        <v>0</v>
      </c>
      <c r="Q531" s="629">
        <f t="shared" si="53"/>
        <v>0</v>
      </c>
      <c r="R531" s="630">
        <f t="shared" si="49"/>
        <v>0</v>
      </c>
    </row>
    <row r="532" spans="2:18" outlineLevel="1" x14ac:dyDescent="0.2">
      <c r="B532" s="59"/>
      <c r="C532" s="59"/>
      <c r="D532" s="59"/>
      <c r="E532" s="541"/>
      <c r="F532" s="541"/>
      <c r="G532" s="541"/>
      <c r="H532" s="541"/>
      <c r="I532" s="59"/>
      <c r="J532" s="59"/>
      <c r="K532" s="621"/>
      <c r="L532" s="621"/>
      <c r="M532" s="629">
        <f t="shared" si="50"/>
        <v>0</v>
      </c>
      <c r="N532" s="629">
        <f t="shared" si="51"/>
        <v>0</v>
      </c>
      <c r="O532" s="630">
        <f t="shared" si="48"/>
        <v>0</v>
      </c>
      <c r="P532" s="629">
        <f t="shared" si="52"/>
        <v>0</v>
      </c>
      <c r="Q532" s="629">
        <f t="shared" si="53"/>
        <v>0</v>
      </c>
      <c r="R532" s="630">
        <f t="shared" si="49"/>
        <v>0</v>
      </c>
    </row>
    <row r="533" spans="2:18" outlineLevel="1" x14ac:dyDescent="0.2">
      <c r="B533" s="59"/>
      <c r="C533" s="59"/>
      <c r="D533" s="59"/>
      <c r="E533" s="541"/>
      <c r="F533" s="541"/>
      <c r="G533" s="541"/>
      <c r="H533" s="541"/>
      <c r="I533" s="59"/>
      <c r="J533" s="59"/>
      <c r="K533" s="621"/>
      <c r="L533" s="621"/>
      <c r="M533" s="629">
        <f t="shared" si="50"/>
        <v>0</v>
      </c>
      <c r="N533" s="629">
        <f t="shared" si="51"/>
        <v>0</v>
      </c>
      <c r="O533" s="630">
        <f t="shared" si="48"/>
        <v>0</v>
      </c>
      <c r="P533" s="629">
        <f t="shared" si="52"/>
        <v>0</v>
      </c>
      <c r="Q533" s="629">
        <f t="shared" si="53"/>
        <v>0</v>
      </c>
      <c r="R533" s="630">
        <f t="shared" si="49"/>
        <v>0</v>
      </c>
    </row>
    <row r="534" spans="2:18" outlineLevel="1" x14ac:dyDescent="0.2">
      <c r="B534" s="59"/>
      <c r="C534" s="59"/>
      <c r="D534" s="59"/>
      <c r="E534" s="541"/>
      <c r="F534" s="541"/>
      <c r="G534" s="541"/>
      <c r="H534" s="541"/>
      <c r="I534" s="59"/>
      <c r="J534" s="59"/>
      <c r="K534" s="621"/>
      <c r="L534" s="621"/>
      <c r="M534" s="629">
        <f t="shared" si="50"/>
        <v>0</v>
      </c>
      <c r="N534" s="629">
        <f t="shared" si="51"/>
        <v>0</v>
      </c>
      <c r="O534" s="630">
        <f t="shared" si="48"/>
        <v>0</v>
      </c>
      <c r="P534" s="629">
        <f t="shared" si="52"/>
        <v>0</v>
      </c>
      <c r="Q534" s="629">
        <f t="shared" si="53"/>
        <v>0</v>
      </c>
      <c r="R534" s="630">
        <f t="shared" si="49"/>
        <v>0</v>
      </c>
    </row>
    <row r="535" spans="2:18" outlineLevel="1" x14ac:dyDescent="0.2">
      <c r="B535" s="59"/>
      <c r="C535" s="59"/>
      <c r="D535" s="59"/>
      <c r="E535" s="541"/>
      <c r="F535" s="541"/>
      <c r="G535" s="541"/>
      <c r="H535" s="541"/>
      <c r="I535" s="59"/>
      <c r="J535" s="59"/>
      <c r="K535" s="621"/>
      <c r="L535" s="621"/>
      <c r="M535" s="629">
        <f t="shared" si="50"/>
        <v>0</v>
      </c>
      <c r="N535" s="629">
        <f t="shared" si="51"/>
        <v>0</v>
      </c>
      <c r="O535" s="630">
        <f t="shared" si="48"/>
        <v>0</v>
      </c>
      <c r="P535" s="629">
        <f t="shared" si="52"/>
        <v>0</v>
      </c>
      <c r="Q535" s="629">
        <f t="shared" si="53"/>
        <v>0</v>
      </c>
      <c r="R535" s="630">
        <f t="shared" si="49"/>
        <v>0</v>
      </c>
    </row>
    <row r="536" spans="2:18" outlineLevel="1" x14ac:dyDescent="0.2">
      <c r="B536" s="59"/>
      <c r="C536" s="59"/>
      <c r="D536" s="59"/>
      <c r="E536" s="541"/>
      <c r="F536" s="541"/>
      <c r="G536" s="541"/>
      <c r="H536" s="541"/>
      <c r="I536" s="59"/>
      <c r="J536" s="59"/>
      <c r="K536" s="621"/>
      <c r="L536" s="621"/>
      <c r="M536" s="629">
        <f t="shared" si="50"/>
        <v>0</v>
      </c>
      <c r="N536" s="629">
        <f t="shared" si="51"/>
        <v>0</v>
      </c>
      <c r="O536" s="630">
        <f t="shared" si="48"/>
        <v>0</v>
      </c>
      <c r="P536" s="629">
        <f t="shared" si="52"/>
        <v>0</v>
      </c>
      <c r="Q536" s="629">
        <f t="shared" si="53"/>
        <v>0</v>
      </c>
      <c r="R536" s="630">
        <f t="shared" si="49"/>
        <v>0</v>
      </c>
    </row>
    <row r="537" spans="2:18" outlineLevel="1" x14ac:dyDescent="0.2">
      <c r="B537" s="59"/>
      <c r="C537" s="59"/>
      <c r="D537" s="59"/>
      <c r="E537" s="541"/>
      <c r="F537" s="541"/>
      <c r="G537" s="541"/>
      <c r="H537" s="541"/>
      <c r="I537" s="59"/>
      <c r="J537" s="59"/>
      <c r="K537" s="621"/>
      <c r="L537" s="621"/>
      <c r="M537" s="629">
        <f t="shared" si="50"/>
        <v>0</v>
      </c>
      <c r="N537" s="629">
        <f t="shared" si="51"/>
        <v>0</v>
      </c>
      <c r="O537" s="630">
        <f t="shared" si="48"/>
        <v>0</v>
      </c>
      <c r="P537" s="629">
        <f t="shared" si="52"/>
        <v>0</v>
      </c>
      <c r="Q537" s="629">
        <f t="shared" si="53"/>
        <v>0</v>
      </c>
      <c r="R537" s="630">
        <f t="shared" si="49"/>
        <v>0</v>
      </c>
    </row>
    <row r="538" spans="2:18" outlineLevel="1" x14ac:dyDescent="0.2">
      <c r="B538" s="59"/>
      <c r="C538" s="59"/>
      <c r="D538" s="59"/>
      <c r="E538" s="541"/>
      <c r="F538" s="541"/>
      <c r="G538" s="541"/>
      <c r="H538" s="541"/>
      <c r="I538" s="59"/>
      <c r="J538" s="59"/>
      <c r="K538" s="621"/>
      <c r="L538" s="621"/>
      <c r="M538" s="629">
        <f t="shared" si="50"/>
        <v>0</v>
      </c>
      <c r="N538" s="629">
        <f t="shared" si="51"/>
        <v>0</v>
      </c>
      <c r="O538" s="630">
        <f t="shared" si="48"/>
        <v>0</v>
      </c>
      <c r="P538" s="629">
        <f t="shared" si="52"/>
        <v>0</v>
      </c>
      <c r="Q538" s="629">
        <f t="shared" si="53"/>
        <v>0</v>
      </c>
      <c r="R538" s="630">
        <f t="shared" si="49"/>
        <v>0</v>
      </c>
    </row>
    <row r="539" spans="2:18" outlineLevel="1" x14ac:dyDescent="0.2">
      <c r="B539" s="59"/>
      <c r="C539" s="59"/>
      <c r="D539" s="59"/>
      <c r="E539" s="541"/>
      <c r="F539" s="541"/>
      <c r="G539" s="541"/>
      <c r="H539" s="541"/>
      <c r="I539" s="59"/>
      <c r="J539" s="59"/>
      <c r="K539" s="621"/>
      <c r="L539" s="621"/>
      <c r="M539" s="629">
        <f t="shared" si="50"/>
        <v>0</v>
      </c>
      <c r="N539" s="629">
        <f t="shared" si="51"/>
        <v>0</v>
      </c>
      <c r="O539" s="630">
        <f t="shared" si="48"/>
        <v>0</v>
      </c>
      <c r="P539" s="629">
        <f t="shared" si="52"/>
        <v>0</v>
      </c>
      <c r="Q539" s="629">
        <f t="shared" si="53"/>
        <v>0</v>
      </c>
      <c r="R539" s="630">
        <f t="shared" si="49"/>
        <v>0</v>
      </c>
    </row>
    <row r="540" spans="2:18" outlineLevel="1" x14ac:dyDescent="0.2">
      <c r="B540" s="59"/>
      <c r="C540" s="59"/>
      <c r="D540" s="59"/>
      <c r="E540" s="541"/>
      <c r="F540" s="541"/>
      <c r="G540" s="541"/>
      <c r="H540" s="541"/>
      <c r="I540" s="59"/>
      <c r="J540" s="59"/>
      <c r="K540" s="621"/>
      <c r="L540" s="621"/>
      <c r="M540" s="629">
        <f t="shared" si="50"/>
        <v>0</v>
      </c>
      <c r="N540" s="629">
        <f t="shared" si="51"/>
        <v>0</v>
      </c>
      <c r="O540" s="630">
        <f t="shared" si="48"/>
        <v>0</v>
      </c>
      <c r="P540" s="629">
        <f t="shared" si="52"/>
        <v>0</v>
      </c>
      <c r="Q540" s="629">
        <f t="shared" si="53"/>
        <v>0</v>
      </c>
      <c r="R540" s="630">
        <f t="shared" si="49"/>
        <v>0</v>
      </c>
    </row>
    <row r="541" spans="2:18" outlineLevel="1" x14ac:dyDescent="0.2">
      <c r="B541" s="59"/>
      <c r="C541" s="59"/>
      <c r="D541" s="59"/>
      <c r="E541" s="541"/>
      <c r="F541" s="541"/>
      <c r="G541" s="541"/>
      <c r="H541" s="541"/>
      <c r="I541" s="59"/>
      <c r="J541" s="59"/>
      <c r="K541" s="621"/>
      <c r="L541" s="621"/>
      <c r="M541" s="629">
        <f t="shared" si="50"/>
        <v>0</v>
      </c>
      <c r="N541" s="629">
        <f t="shared" si="51"/>
        <v>0</v>
      </c>
      <c r="O541" s="630">
        <f t="shared" si="48"/>
        <v>0</v>
      </c>
      <c r="P541" s="629">
        <f t="shared" si="52"/>
        <v>0</v>
      </c>
      <c r="Q541" s="629">
        <f t="shared" si="53"/>
        <v>0</v>
      </c>
      <c r="R541" s="630">
        <f t="shared" si="49"/>
        <v>0</v>
      </c>
    </row>
    <row r="542" spans="2:18" outlineLevel="1" x14ac:dyDescent="0.2">
      <c r="B542" s="59"/>
      <c r="C542" s="59"/>
      <c r="D542" s="59"/>
      <c r="E542" s="541"/>
      <c r="F542" s="541"/>
      <c r="G542" s="541"/>
      <c r="H542" s="541"/>
      <c r="I542" s="59"/>
      <c r="J542" s="59"/>
      <c r="K542" s="621"/>
      <c r="L542" s="621"/>
      <c r="M542" s="629">
        <f t="shared" si="50"/>
        <v>0</v>
      </c>
      <c r="N542" s="629">
        <f t="shared" si="51"/>
        <v>0</v>
      </c>
      <c r="O542" s="630">
        <f t="shared" si="48"/>
        <v>0</v>
      </c>
      <c r="P542" s="629">
        <f t="shared" si="52"/>
        <v>0</v>
      </c>
      <c r="Q542" s="629">
        <f t="shared" si="53"/>
        <v>0</v>
      </c>
      <c r="R542" s="630">
        <f t="shared" si="49"/>
        <v>0</v>
      </c>
    </row>
    <row r="543" spans="2:18" outlineLevel="1" x14ac:dyDescent="0.2">
      <c r="B543" s="59"/>
      <c r="C543" s="59"/>
      <c r="D543" s="59"/>
      <c r="E543" s="541"/>
      <c r="F543" s="541"/>
      <c r="G543" s="541"/>
      <c r="H543" s="541"/>
      <c r="I543" s="59"/>
      <c r="J543" s="59"/>
      <c r="K543" s="621"/>
      <c r="L543" s="621"/>
      <c r="M543" s="629">
        <f t="shared" si="50"/>
        <v>0</v>
      </c>
      <c r="N543" s="629">
        <f t="shared" si="51"/>
        <v>0</v>
      </c>
      <c r="O543" s="630">
        <f t="shared" si="48"/>
        <v>0</v>
      </c>
      <c r="P543" s="629">
        <f t="shared" si="52"/>
        <v>0</v>
      </c>
      <c r="Q543" s="629">
        <f t="shared" si="53"/>
        <v>0</v>
      </c>
      <c r="R543" s="630">
        <f t="shared" si="49"/>
        <v>0</v>
      </c>
    </row>
    <row r="544" spans="2:18" outlineLevel="1" x14ac:dyDescent="0.2">
      <c r="B544" s="59"/>
      <c r="C544" s="59"/>
      <c r="D544" s="59"/>
      <c r="E544" s="541"/>
      <c r="F544" s="541"/>
      <c r="G544" s="541"/>
      <c r="H544" s="541"/>
      <c r="I544" s="59"/>
      <c r="J544" s="59"/>
      <c r="K544" s="621"/>
      <c r="L544" s="621"/>
      <c r="M544" s="629">
        <f t="shared" si="50"/>
        <v>0</v>
      </c>
      <c r="N544" s="629">
        <f t="shared" si="51"/>
        <v>0</v>
      </c>
      <c r="O544" s="630">
        <f t="shared" si="48"/>
        <v>0</v>
      </c>
      <c r="P544" s="629">
        <f t="shared" si="52"/>
        <v>0</v>
      </c>
      <c r="Q544" s="629">
        <f t="shared" si="53"/>
        <v>0</v>
      </c>
      <c r="R544" s="630">
        <f t="shared" si="49"/>
        <v>0</v>
      </c>
    </row>
    <row r="545" spans="2:18" outlineLevel="1" x14ac:dyDescent="0.2">
      <c r="B545" s="59"/>
      <c r="C545" s="59"/>
      <c r="D545" s="59"/>
      <c r="E545" s="541"/>
      <c r="F545" s="541"/>
      <c r="G545" s="541"/>
      <c r="H545" s="541"/>
      <c r="I545" s="59"/>
      <c r="J545" s="59"/>
      <c r="K545" s="621"/>
      <c r="L545" s="621"/>
      <c r="M545" s="629">
        <f t="shared" si="50"/>
        <v>0</v>
      </c>
      <c r="N545" s="629">
        <f t="shared" si="51"/>
        <v>0</v>
      </c>
      <c r="O545" s="630">
        <f t="shared" si="48"/>
        <v>0</v>
      </c>
      <c r="P545" s="629">
        <f t="shared" si="52"/>
        <v>0</v>
      </c>
      <c r="Q545" s="629">
        <f t="shared" si="53"/>
        <v>0</v>
      </c>
      <c r="R545" s="630">
        <f t="shared" si="49"/>
        <v>0</v>
      </c>
    </row>
    <row r="546" spans="2:18" outlineLevel="1" x14ac:dyDescent="0.2">
      <c r="B546" s="59"/>
      <c r="C546" s="59"/>
      <c r="D546" s="59"/>
      <c r="E546" s="541"/>
      <c r="F546" s="541"/>
      <c r="G546" s="541"/>
      <c r="H546" s="541"/>
      <c r="I546" s="59"/>
      <c r="J546" s="59"/>
      <c r="K546" s="621"/>
      <c r="L546" s="621"/>
      <c r="M546" s="629">
        <f t="shared" si="50"/>
        <v>0</v>
      </c>
      <c r="N546" s="629">
        <f t="shared" si="51"/>
        <v>0</v>
      </c>
      <c r="O546" s="630">
        <f t="shared" si="48"/>
        <v>0</v>
      </c>
      <c r="P546" s="629">
        <f t="shared" si="52"/>
        <v>0</v>
      </c>
      <c r="Q546" s="629">
        <f t="shared" si="53"/>
        <v>0</v>
      </c>
      <c r="R546" s="630">
        <f t="shared" si="49"/>
        <v>0</v>
      </c>
    </row>
    <row r="547" spans="2:18" outlineLevel="1" x14ac:dyDescent="0.2">
      <c r="B547" s="59"/>
      <c r="C547" s="59"/>
      <c r="D547" s="59"/>
      <c r="E547" s="541"/>
      <c r="F547" s="541"/>
      <c r="G547" s="541"/>
      <c r="H547" s="541"/>
      <c r="I547" s="59"/>
      <c r="J547" s="59"/>
      <c r="K547" s="621"/>
      <c r="L547" s="621"/>
      <c r="M547" s="629">
        <f t="shared" si="50"/>
        <v>0</v>
      </c>
      <c r="N547" s="629">
        <f t="shared" si="51"/>
        <v>0</v>
      </c>
      <c r="O547" s="630">
        <f t="shared" si="48"/>
        <v>0</v>
      </c>
      <c r="P547" s="629">
        <f t="shared" si="52"/>
        <v>0</v>
      </c>
      <c r="Q547" s="629">
        <f t="shared" si="53"/>
        <v>0</v>
      </c>
      <c r="R547" s="630">
        <f t="shared" si="49"/>
        <v>0</v>
      </c>
    </row>
    <row r="548" spans="2:18" outlineLevel="1" x14ac:dyDescent="0.2">
      <c r="B548" s="59"/>
      <c r="C548" s="59"/>
      <c r="D548" s="59"/>
      <c r="E548" s="541"/>
      <c r="F548" s="541"/>
      <c r="G548" s="541"/>
      <c r="H548" s="541"/>
      <c r="I548" s="59"/>
      <c r="J548" s="59"/>
      <c r="K548" s="621"/>
      <c r="L548" s="621"/>
      <c r="M548" s="629">
        <f t="shared" si="50"/>
        <v>0</v>
      </c>
      <c r="N548" s="629">
        <f t="shared" si="51"/>
        <v>0</v>
      </c>
      <c r="O548" s="630">
        <f t="shared" si="48"/>
        <v>0</v>
      </c>
      <c r="P548" s="629">
        <f t="shared" si="52"/>
        <v>0</v>
      </c>
      <c r="Q548" s="629">
        <f t="shared" si="53"/>
        <v>0</v>
      </c>
      <c r="R548" s="630">
        <f t="shared" si="49"/>
        <v>0</v>
      </c>
    </row>
    <row r="549" spans="2:18" outlineLevel="1" x14ac:dyDescent="0.2">
      <c r="B549" s="59"/>
      <c r="C549" s="59"/>
      <c r="D549" s="59"/>
      <c r="E549" s="541"/>
      <c r="F549" s="541"/>
      <c r="G549" s="541"/>
      <c r="H549" s="541"/>
      <c r="I549" s="59"/>
      <c r="J549" s="59"/>
      <c r="K549" s="621"/>
      <c r="L549" s="621"/>
      <c r="M549" s="629">
        <f t="shared" si="50"/>
        <v>0</v>
      </c>
      <c r="N549" s="629">
        <f t="shared" si="51"/>
        <v>0</v>
      </c>
      <c r="O549" s="630">
        <f t="shared" si="48"/>
        <v>0</v>
      </c>
      <c r="P549" s="629">
        <f t="shared" si="52"/>
        <v>0</v>
      </c>
      <c r="Q549" s="629">
        <f t="shared" si="53"/>
        <v>0</v>
      </c>
      <c r="R549" s="630">
        <f t="shared" si="49"/>
        <v>0</v>
      </c>
    </row>
    <row r="550" spans="2:18" outlineLevel="1" x14ac:dyDescent="0.2">
      <c r="B550" s="59"/>
      <c r="C550" s="59"/>
      <c r="D550" s="59"/>
      <c r="E550" s="541"/>
      <c r="F550" s="541"/>
      <c r="G550" s="541"/>
      <c r="H550" s="541"/>
      <c r="I550" s="59"/>
      <c r="J550" s="59"/>
      <c r="K550" s="621"/>
      <c r="L550" s="621"/>
      <c r="M550" s="629">
        <f t="shared" si="50"/>
        <v>0</v>
      </c>
      <c r="N550" s="629">
        <f t="shared" si="51"/>
        <v>0</v>
      </c>
      <c r="O550" s="630">
        <f t="shared" si="48"/>
        <v>0</v>
      </c>
      <c r="P550" s="629">
        <f t="shared" si="52"/>
        <v>0</v>
      </c>
      <c r="Q550" s="629">
        <f t="shared" si="53"/>
        <v>0</v>
      </c>
      <c r="R550" s="630">
        <f t="shared" si="49"/>
        <v>0</v>
      </c>
    </row>
    <row r="551" spans="2:18" outlineLevel="1" x14ac:dyDescent="0.2">
      <c r="B551" s="59"/>
      <c r="C551" s="59"/>
      <c r="D551" s="59"/>
      <c r="E551" s="541"/>
      <c r="F551" s="541"/>
      <c r="G551" s="541"/>
      <c r="H551" s="541"/>
      <c r="I551" s="59"/>
      <c r="J551" s="59"/>
      <c r="K551" s="621"/>
      <c r="L551" s="621"/>
      <c r="M551" s="629">
        <f t="shared" si="50"/>
        <v>0</v>
      </c>
      <c r="N551" s="629">
        <f t="shared" si="51"/>
        <v>0</v>
      </c>
      <c r="O551" s="630">
        <f t="shared" si="48"/>
        <v>0</v>
      </c>
      <c r="P551" s="629">
        <f t="shared" si="52"/>
        <v>0</v>
      </c>
      <c r="Q551" s="629">
        <f t="shared" si="53"/>
        <v>0</v>
      </c>
      <c r="R551" s="630">
        <f t="shared" si="49"/>
        <v>0</v>
      </c>
    </row>
    <row r="552" spans="2:18" outlineLevel="1" x14ac:dyDescent="0.2">
      <c r="B552" s="59"/>
      <c r="C552" s="59"/>
      <c r="D552" s="59"/>
      <c r="E552" s="541"/>
      <c r="F552" s="541"/>
      <c r="G552" s="541"/>
      <c r="H552" s="541"/>
      <c r="I552" s="59"/>
      <c r="J552" s="59"/>
      <c r="K552" s="621"/>
      <c r="L552" s="621"/>
      <c r="M552" s="629">
        <f t="shared" si="50"/>
        <v>0</v>
      </c>
      <c r="N552" s="629">
        <f t="shared" si="51"/>
        <v>0</v>
      </c>
      <c r="O552" s="630">
        <f t="shared" si="48"/>
        <v>0</v>
      </c>
      <c r="P552" s="629">
        <f t="shared" si="52"/>
        <v>0</v>
      </c>
      <c r="Q552" s="629">
        <f t="shared" si="53"/>
        <v>0</v>
      </c>
      <c r="R552" s="630">
        <f t="shared" si="49"/>
        <v>0</v>
      </c>
    </row>
    <row r="553" spans="2:18" outlineLevel="1" x14ac:dyDescent="0.2">
      <c r="B553" s="59"/>
      <c r="C553" s="59"/>
      <c r="D553" s="59"/>
      <c r="E553" s="541"/>
      <c r="F553" s="541"/>
      <c r="G553" s="541"/>
      <c r="H553" s="541"/>
      <c r="I553" s="59"/>
      <c r="J553" s="59"/>
      <c r="K553" s="621"/>
      <c r="L553" s="621"/>
      <c r="M553" s="629">
        <f t="shared" si="50"/>
        <v>0</v>
      </c>
      <c r="N553" s="629">
        <f t="shared" si="51"/>
        <v>0</v>
      </c>
      <c r="O553" s="630">
        <f t="shared" si="48"/>
        <v>0</v>
      </c>
      <c r="P553" s="629">
        <f t="shared" si="52"/>
        <v>0</v>
      </c>
      <c r="Q553" s="629">
        <f t="shared" si="53"/>
        <v>0</v>
      </c>
      <c r="R553" s="630">
        <f t="shared" si="49"/>
        <v>0</v>
      </c>
    </row>
    <row r="554" spans="2:18" outlineLevel="1" x14ac:dyDescent="0.2">
      <c r="B554" s="59"/>
      <c r="C554" s="59"/>
      <c r="D554" s="59"/>
      <c r="E554" s="541"/>
      <c r="F554" s="541"/>
      <c r="G554" s="541"/>
      <c r="H554" s="541"/>
      <c r="I554" s="59"/>
      <c r="J554" s="59"/>
      <c r="K554" s="621"/>
      <c r="L554" s="621"/>
      <c r="M554" s="629">
        <f t="shared" si="50"/>
        <v>0</v>
      </c>
      <c r="N554" s="629">
        <f t="shared" si="51"/>
        <v>0</v>
      </c>
      <c r="O554" s="630">
        <f t="shared" si="48"/>
        <v>0</v>
      </c>
      <c r="P554" s="629">
        <f t="shared" si="52"/>
        <v>0</v>
      </c>
      <c r="Q554" s="629">
        <f t="shared" si="53"/>
        <v>0</v>
      </c>
      <c r="R554" s="630">
        <f t="shared" si="49"/>
        <v>0</v>
      </c>
    </row>
    <row r="555" spans="2:18" outlineLevel="1" x14ac:dyDescent="0.2">
      <c r="B555" s="59"/>
      <c r="C555" s="59"/>
      <c r="D555" s="59"/>
      <c r="E555" s="541"/>
      <c r="F555" s="541"/>
      <c r="G555" s="541"/>
      <c r="H555" s="541"/>
      <c r="I555" s="59"/>
      <c r="J555" s="59"/>
      <c r="K555" s="621"/>
      <c r="L555" s="621"/>
      <c r="M555" s="629">
        <f t="shared" si="50"/>
        <v>0</v>
      </c>
      <c r="N555" s="629">
        <f t="shared" si="51"/>
        <v>0</v>
      </c>
      <c r="O555" s="630">
        <f t="shared" si="48"/>
        <v>0</v>
      </c>
      <c r="P555" s="629">
        <f t="shared" si="52"/>
        <v>0</v>
      </c>
      <c r="Q555" s="629">
        <f t="shared" si="53"/>
        <v>0</v>
      </c>
      <c r="R555" s="630">
        <f t="shared" si="49"/>
        <v>0</v>
      </c>
    </row>
    <row r="556" spans="2:18" outlineLevel="1" x14ac:dyDescent="0.2">
      <c r="B556" s="59"/>
      <c r="C556" s="59"/>
      <c r="D556" s="59"/>
      <c r="E556" s="541"/>
      <c r="F556" s="541"/>
      <c r="G556" s="541"/>
      <c r="H556" s="541"/>
      <c r="I556" s="59"/>
      <c r="J556" s="59"/>
      <c r="K556" s="621"/>
      <c r="L556" s="621"/>
      <c r="M556" s="629">
        <f t="shared" si="50"/>
        <v>0</v>
      </c>
      <c r="N556" s="629">
        <f t="shared" si="51"/>
        <v>0</v>
      </c>
      <c r="O556" s="630">
        <f t="shared" si="48"/>
        <v>0</v>
      </c>
      <c r="P556" s="629">
        <f t="shared" si="52"/>
        <v>0</v>
      </c>
      <c r="Q556" s="629">
        <f t="shared" si="53"/>
        <v>0</v>
      </c>
      <c r="R556" s="630">
        <f t="shared" si="49"/>
        <v>0</v>
      </c>
    </row>
    <row r="557" spans="2:18" outlineLevel="1" x14ac:dyDescent="0.2">
      <c r="B557" s="59"/>
      <c r="C557" s="59"/>
      <c r="D557" s="59"/>
      <c r="E557" s="541"/>
      <c r="F557" s="541"/>
      <c r="G557" s="541"/>
      <c r="H557" s="541"/>
      <c r="I557" s="59"/>
      <c r="J557" s="59"/>
      <c r="K557" s="621"/>
      <c r="L557" s="621"/>
      <c r="M557" s="629">
        <f t="shared" si="50"/>
        <v>0</v>
      </c>
      <c r="N557" s="629">
        <f t="shared" si="51"/>
        <v>0</v>
      </c>
      <c r="O557" s="630">
        <f t="shared" si="48"/>
        <v>0</v>
      </c>
      <c r="P557" s="629">
        <f t="shared" si="52"/>
        <v>0</v>
      </c>
      <c r="Q557" s="629">
        <f t="shared" si="53"/>
        <v>0</v>
      </c>
      <c r="R557" s="630">
        <f t="shared" si="49"/>
        <v>0</v>
      </c>
    </row>
    <row r="558" spans="2:18" outlineLevel="1" x14ac:dyDescent="0.2">
      <c r="B558" s="59"/>
      <c r="C558" s="59"/>
      <c r="D558" s="59"/>
      <c r="E558" s="541"/>
      <c r="F558" s="541"/>
      <c r="G558" s="541"/>
      <c r="H558" s="541"/>
      <c r="I558" s="59"/>
      <c r="J558" s="59"/>
      <c r="K558" s="621"/>
      <c r="L558" s="621"/>
      <c r="M558" s="629">
        <f t="shared" si="50"/>
        <v>0</v>
      </c>
      <c r="N558" s="629">
        <f t="shared" si="51"/>
        <v>0</v>
      </c>
      <c r="O558" s="630">
        <f t="shared" si="48"/>
        <v>0</v>
      </c>
      <c r="P558" s="629">
        <f t="shared" si="52"/>
        <v>0</v>
      </c>
      <c r="Q558" s="629">
        <f t="shared" si="53"/>
        <v>0</v>
      </c>
      <c r="R558" s="630">
        <f t="shared" si="49"/>
        <v>0</v>
      </c>
    </row>
    <row r="559" spans="2:18" outlineLevel="1" x14ac:dyDescent="0.2">
      <c r="B559" s="59"/>
      <c r="C559" s="59"/>
      <c r="D559" s="59"/>
      <c r="E559" s="541"/>
      <c r="F559" s="541"/>
      <c r="G559" s="541"/>
      <c r="H559" s="541"/>
      <c r="I559" s="59"/>
      <c r="J559" s="59"/>
      <c r="K559" s="621"/>
      <c r="L559" s="621"/>
      <c r="M559" s="629">
        <f t="shared" si="50"/>
        <v>0</v>
      </c>
      <c r="N559" s="629">
        <f t="shared" si="51"/>
        <v>0</v>
      </c>
      <c r="O559" s="630">
        <f t="shared" si="48"/>
        <v>0</v>
      </c>
      <c r="P559" s="629">
        <f t="shared" si="52"/>
        <v>0</v>
      </c>
      <c r="Q559" s="629">
        <f t="shared" si="53"/>
        <v>0</v>
      </c>
      <c r="R559" s="630">
        <f t="shared" si="49"/>
        <v>0</v>
      </c>
    </row>
    <row r="560" spans="2:18" outlineLevel="1" x14ac:dyDescent="0.2">
      <c r="B560" s="59"/>
      <c r="C560" s="59"/>
      <c r="D560" s="59"/>
      <c r="E560" s="541"/>
      <c r="F560" s="541"/>
      <c r="G560" s="541"/>
      <c r="H560" s="541"/>
      <c r="I560" s="59"/>
      <c r="J560" s="59"/>
      <c r="K560" s="621"/>
      <c r="L560" s="621"/>
      <c r="M560" s="629">
        <f t="shared" si="50"/>
        <v>0</v>
      </c>
      <c r="N560" s="629">
        <f t="shared" si="51"/>
        <v>0</v>
      </c>
      <c r="O560" s="630">
        <f t="shared" si="48"/>
        <v>0</v>
      </c>
      <c r="P560" s="629">
        <f t="shared" si="52"/>
        <v>0</v>
      </c>
      <c r="Q560" s="629">
        <f t="shared" si="53"/>
        <v>0</v>
      </c>
      <c r="R560" s="630">
        <f t="shared" si="49"/>
        <v>0</v>
      </c>
    </row>
    <row r="561" spans="2:18" outlineLevel="1" x14ac:dyDescent="0.2">
      <c r="B561" s="59"/>
      <c r="C561" s="59"/>
      <c r="D561" s="59"/>
      <c r="E561" s="541"/>
      <c r="F561" s="541"/>
      <c r="G561" s="541"/>
      <c r="H561" s="541"/>
      <c r="I561" s="59"/>
      <c r="J561" s="59"/>
      <c r="K561" s="621"/>
      <c r="L561" s="621"/>
      <c r="M561" s="629">
        <f t="shared" si="50"/>
        <v>0</v>
      </c>
      <c r="N561" s="629">
        <f t="shared" si="51"/>
        <v>0</v>
      </c>
      <c r="O561" s="630">
        <f t="shared" si="48"/>
        <v>0</v>
      </c>
      <c r="P561" s="629">
        <f t="shared" si="52"/>
        <v>0</v>
      </c>
      <c r="Q561" s="629">
        <f t="shared" si="53"/>
        <v>0</v>
      </c>
      <c r="R561" s="630">
        <f t="shared" si="49"/>
        <v>0</v>
      </c>
    </row>
    <row r="562" spans="2:18" outlineLevel="1" x14ac:dyDescent="0.2">
      <c r="B562" s="59"/>
      <c r="C562" s="59"/>
      <c r="D562" s="59"/>
      <c r="E562" s="541"/>
      <c r="F562" s="541"/>
      <c r="G562" s="541"/>
      <c r="H562" s="541"/>
      <c r="I562" s="59"/>
      <c r="J562" s="59"/>
      <c r="K562" s="621"/>
      <c r="L562" s="621"/>
      <c r="M562" s="629">
        <f t="shared" si="50"/>
        <v>0</v>
      </c>
      <c r="N562" s="629">
        <f t="shared" si="51"/>
        <v>0</v>
      </c>
      <c r="O562" s="630">
        <f t="shared" si="48"/>
        <v>0</v>
      </c>
      <c r="P562" s="629">
        <f t="shared" si="52"/>
        <v>0</v>
      </c>
      <c r="Q562" s="629">
        <f t="shared" si="53"/>
        <v>0</v>
      </c>
      <c r="R562" s="630">
        <f t="shared" si="49"/>
        <v>0</v>
      </c>
    </row>
    <row r="563" spans="2:18" outlineLevel="1" x14ac:dyDescent="0.2">
      <c r="B563" s="59"/>
      <c r="C563" s="59"/>
      <c r="D563" s="59"/>
      <c r="E563" s="541"/>
      <c r="F563" s="541"/>
      <c r="G563" s="541"/>
      <c r="H563" s="541"/>
      <c r="I563" s="59"/>
      <c r="J563" s="59"/>
      <c r="K563" s="621"/>
      <c r="L563" s="621"/>
      <c r="M563" s="629">
        <f t="shared" si="50"/>
        <v>0</v>
      </c>
      <c r="N563" s="629">
        <f t="shared" si="51"/>
        <v>0</v>
      </c>
      <c r="O563" s="630">
        <f t="shared" si="48"/>
        <v>0</v>
      </c>
      <c r="P563" s="629">
        <f t="shared" si="52"/>
        <v>0</v>
      </c>
      <c r="Q563" s="629">
        <f t="shared" si="53"/>
        <v>0</v>
      </c>
      <c r="R563" s="630">
        <f t="shared" si="49"/>
        <v>0</v>
      </c>
    </row>
    <row r="564" spans="2:18" outlineLevel="1" x14ac:dyDescent="0.2">
      <c r="B564" s="59"/>
      <c r="C564" s="59"/>
      <c r="D564" s="59"/>
      <c r="E564" s="541"/>
      <c r="F564" s="541"/>
      <c r="G564" s="541"/>
      <c r="H564" s="541"/>
      <c r="I564" s="59"/>
      <c r="J564" s="59"/>
      <c r="K564" s="621"/>
      <c r="L564" s="621"/>
      <c r="M564" s="629">
        <f t="shared" si="50"/>
        <v>0</v>
      </c>
      <c r="N564" s="629">
        <f t="shared" si="51"/>
        <v>0</v>
      </c>
      <c r="O564" s="630">
        <f t="shared" si="48"/>
        <v>0</v>
      </c>
      <c r="P564" s="629">
        <f t="shared" si="52"/>
        <v>0</v>
      </c>
      <c r="Q564" s="629">
        <f t="shared" si="53"/>
        <v>0</v>
      </c>
      <c r="R564" s="630">
        <f t="shared" si="49"/>
        <v>0</v>
      </c>
    </row>
    <row r="565" spans="2:18" outlineLevel="1" x14ac:dyDescent="0.2">
      <c r="B565" s="59"/>
      <c r="C565" s="59"/>
      <c r="D565" s="59"/>
      <c r="E565" s="541"/>
      <c r="F565" s="541"/>
      <c r="G565" s="541"/>
      <c r="H565" s="541"/>
      <c r="I565" s="59"/>
      <c r="J565" s="59"/>
      <c r="K565" s="621"/>
      <c r="L565" s="621"/>
      <c r="M565" s="629">
        <f t="shared" si="50"/>
        <v>0</v>
      </c>
      <c r="N565" s="629">
        <f t="shared" si="51"/>
        <v>0</v>
      </c>
      <c r="O565" s="630">
        <f t="shared" si="48"/>
        <v>0</v>
      </c>
      <c r="P565" s="629">
        <f t="shared" si="52"/>
        <v>0</v>
      </c>
      <c r="Q565" s="629">
        <f t="shared" si="53"/>
        <v>0</v>
      </c>
      <c r="R565" s="630">
        <f t="shared" si="49"/>
        <v>0</v>
      </c>
    </row>
    <row r="566" spans="2:18" outlineLevel="1" x14ac:dyDescent="0.2">
      <c r="B566" s="59"/>
      <c r="C566" s="59"/>
      <c r="D566" s="59"/>
      <c r="E566" s="541"/>
      <c r="F566" s="541"/>
      <c r="G566" s="541"/>
      <c r="H566" s="541"/>
      <c r="I566" s="59"/>
      <c r="J566" s="59"/>
      <c r="K566" s="621"/>
      <c r="L566" s="621"/>
      <c r="M566" s="629">
        <f t="shared" si="50"/>
        <v>0</v>
      </c>
      <c r="N566" s="629">
        <f t="shared" si="51"/>
        <v>0</v>
      </c>
      <c r="O566" s="630">
        <f t="shared" si="48"/>
        <v>0</v>
      </c>
      <c r="P566" s="629">
        <f t="shared" si="52"/>
        <v>0</v>
      </c>
      <c r="Q566" s="629">
        <f t="shared" si="53"/>
        <v>0</v>
      </c>
      <c r="R566" s="630">
        <f t="shared" si="49"/>
        <v>0</v>
      </c>
    </row>
    <row r="567" spans="2:18" outlineLevel="1" x14ac:dyDescent="0.2">
      <c r="B567" s="59"/>
      <c r="C567" s="59"/>
      <c r="D567" s="59"/>
      <c r="E567" s="541"/>
      <c r="F567" s="541"/>
      <c r="G567" s="541"/>
      <c r="H567" s="541"/>
      <c r="I567" s="59"/>
      <c r="J567" s="59"/>
      <c r="K567" s="621"/>
      <c r="L567" s="621"/>
      <c r="M567" s="629">
        <f t="shared" si="50"/>
        <v>0</v>
      </c>
      <c r="N567" s="629">
        <f t="shared" si="51"/>
        <v>0</v>
      </c>
      <c r="O567" s="630">
        <f t="shared" si="48"/>
        <v>0</v>
      </c>
      <c r="P567" s="629">
        <f t="shared" si="52"/>
        <v>0</v>
      </c>
      <c r="Q567" s="629">
        <f t="shared" si="53"/>
        <v>0</v>
      </c>
      <c r="R567" s="630">
        <f t="shared" si="49"/>
        <v>0</v>
      </c>
    </row>
    <row r="568" spans="2:18" outlineLevel="1" x14ac:dyDescent="0.2">
      <c r="B568" s="59"/>
      <c r="C568" s="59"/>
      <c r="D568" s="59"/>
      <c r="E568" s="541"/>
      <c r="F568" s="541"/>
      <c r="G568" s="541"/>
      <c r="H568" s="541"/>
      <c r="I568" s="59"/>
      <c r="J568" s="59"/>
      <c r="K568" s="621"/>
      <c r="L568" s="621"/>
      <c r="M568" s="629">
        <f t="shared" si="50"/>
        <v>0</v>
      </c>
      <c r="N568" s="629">
        <f t="shared" si="51"/>
        <v>0</v>
      </c>
      <c r="O568" s="630">
        <f t="shared" si="48"/>
        <v>0</v>
      </c>
      <c r="P568" s="629">
        <f t="shared" si="52"/>
        <v>0</v>
      </c>
      <c r="Q568" s="629">
        <f t="shared" si="53"/>
        <v>0</v>
      </c>
      <c r="R568" s="630">
        <f t="shared" si="49"/>
        <v>0</v>
      </c>
    </row>
    <row r="569" spans="2:18" outlineLevel="1" x14ac:dyDescent="0.2">
      <c r="B569" s="59"/>
      <c r="C569" s="59"/>
      <c r="D569" s="59"/>
      <c r="E569" s="541"/>
      <c r="F569" s="541"/>
      <c r="G569" s="541"/>
      <c r="H569" s="541"/>
      <c r="I569" s="59"/>
      <c r="J569" s="59"/>
      <c r="K569" s="621"/>
      <c r="L569" s="621"/>
      <c r="M569" s="629">
        <f t="shared" si="50"/>
        <v>0</v>
      </c>
      <c r="N569" s="629">
        <f t="shared" si="51"/>
        <v>0</v>
      </c>
      <c r="O569" s="630">
        <f t="shared" si="48"/>
        <v>0</v>
      </c>
      <c r="P569" s="629">
        <f t="shared" si="52"/>
        <v>0</v>
      </c>
      <c r="Q569" s="629">
        <f t="shared" si="53"/>
        <v>0</v>
      </c>
      <c r="R569" s="630">
        <f t="shared" si="49"/>
        <v>0</v>
      </c>
    </row>
    <row r="570" spans="2:18" outlineLevel="1" x14ac:dyDescent="0.2">
      <c r="B570" s="59"/>
      <c r="C570" s="59"/>
      <c r="D570" s="59"/>
      <c r="E570" s="541"/>
      <c r="F570" s="541"/>
      <c r="G570" s="541"/>
      <c r="H570" s="541"/>
      <c r="I570" s="59"/>
      <c r="J570" s="59"/>
      <c r="K570" s="621"/>
      <c r="L570" s="621"/>
      <c r="M570" s="629">
        <f t="shared" si="50"/>
        <v>0</v>
      </c>
      <c r="N570" s="629">
        <f t="shared" si="51"/>
        <v>0</v>
      </c>
      <c r="O570" s="630">
        <f t="shared" si="48"/>
        <v>0</v>
      </c>
      <c r="P570" s="629">
        <f t="shared" si="52"/>
        <v>0</v>
      </c>
      <c r="Q570" s="629">
        <f t="shared" si="53"/>
        <v>0</v>
      </c>
      <c r="R570" s="630">
        <f t="shared" si="49"/>
        <v>0</v>
      </c>
    </row>
    <row r="571" spans="2:18" outlineLevel="1" x14ac:dyDescent="0.2">
      <c r="B571" s="59"/>
      <c r="C571" s="59"/>
      <c r="D571" s="59"/>
      <c r="E571" s="541"/>
      <c r="F571" s="541"/>
      <c r="G571" s="541"/>
      <c r="H571" s="541"/>
      <c r="I571" s="59"/>
      <c r="J571" s="59"/>
      <c r="K571" s="621"/>
      <c r="L571" s="621"/>
      <c r="M571" s="629">
        <f t="shared" si="50"/>
        <v>0</v>
      </c>
      <c r="N571" s="629">
        <f t="shared" si="51"/>
        <v>0</v>
      </c>
      <c r="O571" s="630">
        <f t="shared" si="48"/>
        <v>0</v>
      </c>
      <c r="P571" s="629">
        <f t="shared" si="52"/>
        <v>0</v>
      </c>
      <c r="Q571" s="629">
        <f t="shared" si="53"/>
        <v>0</v>
      </c>
      <c r="R571" s="630">
        <f t="shared" si="49"/>
        <v>0</v>
      </c>
    </row>
    <row r="572" spans="2:18" outlineLevel="1" x14ac:dyDescent="0.2">
      <c r="B572" s="59"/>
      <c r="C572" s="59"/>
      <c r="D572" s="59"/>
      <c r="E572" s="541"/>
      <c r="F572" s="541"/>
      <c r="G572" s="541"/>
      <c r="H572" s="541"/>
      <c r="I572" s="59"/>
      <c r="J572" s="59"/>
      <c r="K572" s="621"/>
      <c r="L572" s="621"/>
      <c r="M572" s="629">
        <f t="shared" si="50"/>
        <v>0</v>
      </c>
      <c r="N572" s="629">
        <f t="shared" si="51"/>
        <v>0</v>
      </c>
      <c r="O572" s="630">
        <f t="shared" si="48"/>
        <v>0</v>
      </c>
      <c r="P572" s="629">
        <f t="shared" si="52"/>
        <v>0</v>
      </c>
      <c r="Q572" s="629">
        <f t="shared" si="53"/>
        <v>0</v>
      </c>
      <c r="R572" s="630">
        <f t="shared" si="49"/>
        <v>0</v>
      </c>
    </row>
    <row r="573" spans="2:18" outlineLevel="1" x14ac:dyDescent="0.2">
      <c r="B573" s="59"/>
      <c r="C573" s="59"/>
      <c r="D573" s="59"/>
      <c r="E573" s="541"/>
      <c r="F573" s="541"/>
      <c r="G573" s="541"/>
      <c r="H573" s="541"/>
      <c r="I573" s="59"/>
      <c r="J573" s="59"/>
      <c r="K573" s="621"/>
      <c r="L573" s="621"/>
      <c r="M573" s="629">
        <f t="shared" si="50"/>
        <v>0</v>
      </c>
      <c r="N573" s="629">
        <f t="shared" si="51"/>
        <v>0</v>
      </c>
      <c r="O573" s="630">
        <f t="shared" si="48"/>
        <v>0</v>
      </c>
      <c r="P573" s="629">
        <f t="shared" si="52"/>
        <v>0</v>
      </c>
      <c r="Q573" s="629">
        <f t="shared" si="53"/>
        <v>0</v>
      </c>
      <c r="R573" s="630">
        <f t="shared" si="49"/>
        <v>0</v>
      </c>
    </row>
    <row r="574" spans="2:18" outlineLevel="1" x14ac:dyDescent="0.2">
      <c r="B574" s="59"/>
      <c r="C574" s="59"/>
      <c r="D574" s="59"/>
      <c r="E574" s="541"/>
      <c r="F574" s="541"/>
      <c r="G574" s="541"/>
      <c r="H574" s="541"/>
      <c r="I574" s="59"/>
      <c r="J574" s="59"/>
      <c r="K574" s="621"/>
      <c r="L574" s="621"/>
      <c r="M574" s="629">
        <f t="shared" si="50"/>
        <v>0</v>
      </c>
      <c r="N574" s="629">
        <f t="shared" si="51"/>
        <v>0</v>
      </c>
      <c r="O574" s="630">
        <f t="shared" si="48"/>
        <v>0</v>
      </c>
      <c r="P574" s="629">
        <f t="shared" si="52"/>
        <v>0</v>
      </c>
      <c r="Q574" s="629">
        <f t="shared" si="53"/>
        <v>0</v>
      </c>
      <c r="R574" s="630">
        <f t="shared" si="49"/>
        <v>0</v>
      </c>
    </row>
    <row r="575" spans="2:18" outlineLevel="1" x14ac:dyDescent="0.2">
      <c r="B575" s="59"/>
      <c r="C575" s="59"/>
      <c r="D575" s="59"/>
      <c r="E575" s="541"/>
      <c r="F575" s="541"/>
      <c r="G575" s="541"/>
      <c r="H575" s="541"/>
      <c r="I575" s="59"/>
      <c r="J575" s="59"/>
      <c r="K575" s="621"/>
      <c r="L575" s="621"/>
      <c r="M575" s="629">
        <f t="shared" si="50"/>
        <v>0</v>
      </c>
      <c r="N575" s="629">
        <f t="shared" si="51"/>
        <v>0</v>
      </c>
      <c r="O575" s="630">
        <f t="shared" si="48"/>
        <v>0</v>
      </c>
      <c r="P575" s="629">
        <f t="shared" si="52"/>
        <v>0</v>
      </c>
      <c r="Q575" s="629">
        <f t="shared" si="53"/>
        <v>0</v>
      </c>
      <c r="R575" s="630">
        <f t="shared" si="49"/>
        <v>0</v>
      </c>
    </row>
    <row r="576" spans="2:18" outlineLevel="1" x14ac:dyDescent="0.2">
      <c r="B576" s="59"/>
      <c r="C576" s="59"/>
      <c r="D576" s="59"/>
      <c r="E576" s="541"/>
      <c r="F576" s="541"/>
      <c r="G576" s="541"/>
      <c r="H576" s="541"/>
      <c r="I576" s="59"/>
      <c r="J576" s="59"/>
      <c r="K576" s="621"/>
      <c r="L576" s="621"/>
      <c r="M576" s="629">
        <f t="shared" si="50"/>
        <v>0</v>
      </c>
      <c r="N576" s="629">
        <f t="shared" si="51"/>
        <v>0</v>
      </c>
      <c r="O576" s="630">
        <f t="shared" si="48"/>
        <v>0</v>
      </c>
      <c r="P576" s="629">
        <f t="shared" si="52"/>
        <v>0</v>
      </c>
      <c r="Q576" s="629">
        <f t="shared" si="53"/>
        <v>0</v>
      </c>
      <c r="R576" s="630">
        <f t="shared" si="49"/>
        <v>0</v>
      </c>
    </row>
    <row r="577" spans="2:18" outlineLevel="1" x14ac:dyDescent="0.2">
      <c r="B577" s="59"/>
      <c r="C577" s="59"/>
      <c r="D577" s="59"/>
      <c r="E577" s="541"/>
      <c r="F577" s="541"/>
      <c r="G577" s="541"/>
      <c r="H577" s="541"/>
      <c r="I577" s="59"/>
      <c r="J577" s="59"/>
      <c r="K577" s="621"/>
      <c r="L577" s="621"/>
      <c r="M577" s="629">
        <f t="shared" si="50"/>
        <v>0</v>
      </c>
      <c r="N577" s="629">
        <f t="shared" si="51"/>
        <v>0</v>
      </c>
      <c r="O577" s="630">
        <f t="shared" si="48"/>
        <v>0</v>
      </c>
      <c r="P577" s="629">
        <f t="shared" si="52"/>
        <v>0</v>
      </c>
      <c r="Q577" s="629">
        <f t="shared" si="53"/>
        <v>0</v>
      </c>
      <c r="R577" s="630">
        <f t="shared" si="49"/>
        <v>0</v>
      </c>
    </row>
    <row r="578" spans="2:18" outlineLevel="1" x14ac:dyDescent="0.2">
      <c r="B578" s="59"/>
      <c r="C578" s="59"/>
      <c r="D578" s="59"/>
      <c r="E578" s="541"/>
      <c r="F578" s="541"/>
      <c r="G578" s="541"/>
      <c r="H578" s="541"/>
      <c r="I578" s="59"/>
      <c r="J578" s="59"/>
      <c r="K578" s="621"/>
      <c r="L578" s="621"/>
      <c r="M578" s="629">
        <f t="shared" si="50"/>
        <v>0</v>
      </c>
      <c r="N578" s="629">
        <f t="shared" si="51"/>
        <v>0</v>
      </c>
      <c r="O578" s="630">
        <f t="shared" si="48"/>
        <v>0</v>
      </c>
      <c r="P578" s="629">
        <f t="shared" si="52"/>
        <v>0</v>
      </c>
      <c r="Q578" s="629">
        <f t="shared" si="53"/>
        <v>0</v>
      </c>
      <c r="R578" s="630">
        <f t="shared" si="49"/>
        <v>0</v>
      </c>
    </row>
    <row r="579" spans="2:18" outlineLevel="1" x14ac:dyDescent="0.2">
      <c r="B579" s="59"/>
      <c r="C579" s="59"/>
      <c r="D579" s="59"/>
      <c r="E579" s="541"/>
      <c r="F579" s="541"/>
      <c r="G579" s="541"/>
      <c r="H579" s="541"/>
      <c r="I579" s="59"/>
      <c r="J579" s="59"/>
      <c r="K579" s="621"/>
      <c r="L579" s="621"/>
      <c r="M579" s="629">
        <f t="shared" si="50"/>
        <v>0</v>
      </c>
      <c r="N579" s="629">
        <f t="shared" si="51"/>
        <v>0</v>
      </c>
      <c r="O579" s="630">
        <f t="shared" si="48"/>
        <v>0</v>
      </c>
      <c r="P579" s="629">
        <f t="shared" si="52"/>
        <v>0</v>
      </c>
      <c r="Q579" s="629">
        <f t="shared" si="53"/>
        <v>0</v>
      </c>
      <c r="R579" s="630">
        <f t="shared" si="49"/>
        <v>0</v>
      </c>
    </row>
    <row r="580" spans="2:18" outlineLevel="1" x14ac:dyDescent="0.2">
      <c r="B580" s="59"/>
      <c r="C580" s="59"/>
      <c r="D580" s="59"/>
      <c r="E580" s="541"/>
      <c r="F580" s="541"/>
      <c r="G580" s="541"/>
      <c r="H580" s="541"/>
      <c r="I580" s="59"/>
      <c r="J580" s="59"/>
      <c r="K580" s="621"/>
      <c r="L580" s="621"/>
      <c r="M580" s="629">
        <f t="shared" si="50"/>
        <v>0</v>
      </c>
      <c r="N580" s="629">
        <f t="shared" si="51"/>
        <v>0</v>
      </c>
      <c r="O580" s="630">
        <f t="shared" si="48"/>
        <v>0</v>
      </c>
      <c r="P580" s="629">
        <f t="shared" si="52"/>
        <v>0</v>
      </c>
      <c r="Q580" s="629">
        <f t="shared" si="53"/>
        <v>0</v>
      </c>
      <c r="R580" s="630">
        <f t="shared" si="49"/>
        <v>0</v>
      </c>
    </row>
    <row r="581" spans="2:18" outlineLevel="1" x14ac:dyDescent="0.2">
      <c r="B581" s="59"/>
      <c r="C581" s="59"/>
      <c r="D581" s="59"/>
      <c r="E581" s="541"/>
      <c r="F581" s="541"/>
      <c r="G581" s="541"/>
      <c r="H581" s="541"/>
      <c r="I581" s="59"/>
      <c r="J581" s="59"/>
      <c r="K581" s="621"/>
      <c r="L581" s="621"/>
      <c r="M581" s="629">
        <f t="shared" si="50"/>
        <v>0</v>
      </c>
      <c r="N581" s="629">
        <f t="shared" si="51"/>
        <v>0</v>
      </c>
      <c r="O581" s="630">
        <f t="shared" ref="O581:O644" si="54">M581+N581</f>
        <v>0</v>
      </c>
      <c r="P581" s="629">
        <f t="shared" si="52"/>
        <v>0</v>
      </c>
      <c r="Q581" s="629">
        <f t="shared" si="53"/>
        <v>0</v>
      </c>
      <c r="R581" s="630">
        <f t="shared" ref="R581:R644" si="55">P581+Q581</f>
        <v>0</v>
      </c>
    </row>
    <row r="582" spans="2:18" outlineLevel="1" x14ac:dyDescent="0.2">
      <c r="B582" s="59"/>
      <c r="C582" s="59"/>
      <c r="D582" s="59"/>
      <c r="E582" s="541"/>
      <c r="F582" s="541"/>
      <c r="G582" s="541"/>
      <c r="H582" s="541"/>
      <c r="I582" s="59"/>
      <c r="J582" s="59"/>
      <c r="K582" s="621"/>
      <c r="L582" s="621"/>
      <c r="M582" s="629">
        <f t="shared" ref="M582:M645" si="56">G582*(-1)</f>
        <v>0</v>
      </c>
      <c r="N582" s="629">
        <f t="shared" ref="N582:N645" si="57">H582*(-1)</f>
        <v>0</v>
      </c>
      <c r="O582" s="630">
        <f t="shared" si="54"/>
        <v>0</v>
      </c>
      <c r="P582" s="629">
        <f t="shared" ref="P582:P645" si="58">+IF(AND(I582="NO",E582&gt;G582),(E582-G582)*K582*(-1),0)</f>
        <v>0</v>
      </c>
      <c r="Q582" s="629">
        <f t="shared" ref="Q582:Q645" si="59">+IF(AND(J582="NO",F582&gt;H582),(F582-H582)*L582*(-1),0)</f>
        <v>0</v>
      </c>
      <c r="R582" s="630">
        <f t="shared" si="55"/>
        <v>0</v>
      </c>
    </row>
    <row r="583" spans="2:18" outlineLevel="1" x14ac:dyDescent="0.2">
      <c r="B583" s="59"/>
      <c r="C583" s="59"/>
      <c r="D583" s="59"/>
      <c r="E583" s="541"/>
      <c r="F583" s="541"/>
      <c r="G583" s="541"/>
      <c r="H583" s="541"/>
      <c r="I583" s="59"/>
      <c r="J583" s="59"/>
      <c r="K583" s="621"/>
      <c r="L583" s="621"/>
      <c r="M583" s="629">
        <f t="shared" si="56"/>
        <v>0</v>
      </c>
      <c r="N583" s="629">
        <f t="shared" si="57"/>
        <v>0</v>
      </c>
      <c r="O583" s="630">
        <f t="shared" si="54"/>
        <v>0</v>
      </c>
      <c r="P583" s="629">
        <f t="shared" si="58"/>
        <v>0</v>
      </c>
      <c r="Q583" s="629">
        <f t="shared" si="59"/>
        <v>0</v>
      </c>
      <c r="R583" s="630">
        <f t="shared" si="55"/>
        <v>0</v>
      </c>
    </row>
    <row r="584" spans="2:18" outlineLevel="1" x14ac:dyDescent="0.2">
      <c r="B584" s="59"/>
      <c r="C584" s="59"/>
      <c r="D584" s="59"/>
      <c r="E584" s="541"/>
      <c r="F584" s="541"/>
      <c r="G584" s="541"/>
      <c r="H584" s="541"/>
      <c r="I584" s="59"/>
      <c r="J584" s="59"/>
      <c r="K584" s="621"/>
      <c r="L584" s="621"/>
      <c r="M584" s="629">
        <f t="shared" si="56"/>
        <v>0</v>
      </c>
      <c r="N584" s="629">
        <f t="shared" si="57"/>
        <v>0</v>
      </c>
      <c r="O584" s="630">
        <f t="shared" si="54"/>
        <v>0</v>
      </c>
      <c r="P584" s="629">
        <f t="shared" si="58"/>
        <v>0</v>
      </c>
      <c r="Q584" s="629">
        <f t="shared" si="59"/>
        <v>0</v>
      </c>
      <c r="R584" s="630">
        <f t="shared" si="55"/>
        <v>0</v>
      </c>
    </row>
    <row r="585" spans="2:18" outlineLevel="1" x14ac:dyDescent="0.2">
      <c r="B585" s="59"/>
      <c r="C585" s="59"/>
      <c r="D585" s="59"/>
      <c r="E585" s="541"/>
      <c r="F585" s="541"/>
      <c r="G585" s="541"/>
      <c r="H585" s="541"/>
      <c r="I585" s="59"/>
      <c r="J585" s="59"/>
      <c r="K585" s="621"/>
      <c r="L585" s="621"/>
      <c r="M585" s="629">
        <f t="shared" si="56"/>
        <v>0</v>
      </c>
      <c r="N585" s="629">
        <f t="shared" si="57"/>
        <v>0</v>
      </c>
      <c r="O585" s="630">
        <f t="shared" si="54"/>
        <v>0</v>
      </c>
      <c r="P585" s="629">
        <f t="shared" si="58"/>
        <v>0</v>
      </c>
      <c r="Q585" s="629">
        <f t="shared" si="59"/>
        <v>0</v>
      </c>
      <c r="R585" s="630">
        <f t="shared" si="55"/>
        <v>0</v>
      </c>
    </row>
    <row r="586" spans="2:18" outlineLevel="1" x14ac:dyDescent="0.2">
      <c r="B586" s="59"/>
      <c r="C586" s="59"/>
      <c r="D586" s="59"/>
      <c r="E586" s="541"/>
      <c r="F586" s="541"/>
      <c r="G586" s="541"/>
      <c r="H586" s="541"/>
      <c r="I586" s="59"/>
      <c r="J586" s="59"/>
      <c r="K586" s="621"/>
      <c r="L586" s="621"/>
      <c r="M586" s="629">
        <f t="shared" si="56"/>
        <v>0</v>
      </c>
      <c r="N586" s="629">
        <f t="shared" si="57"/>
        <v>0</v>
      </c>
      <c r="O586" s="630">
        <f t="shared" si="54"/>
        <v>0</v>
      </c>
      <c r="P586" s="629">
        <f t="shared" si="58"/>
        <v>0</v>
      </c>
      <c r="Q586" s="629">
        <f t="shared" si="59"/>
        <v>0</v>
      </c>
      <c r="R586" s="630">
        <f t="shared" si="55"/>
        <v>0</v>
      </c>
    </row>
    <row r="587" spans="2:18" outlineLevel="1" x14ac:dyDescent="0.2">
      <c r="B587" s="59"/>
      <c r="C587" s="59"/>
      <c r="D587" s="59"/>
      <c r="E587" s="541"/>
      <c r="F587" s="541"/>
      <c r="G587" s="541"/>
      <c r="H587" s="541"/>
      <c r="I587" s="59"/>
      <c r="J587" s="59"/>
      <c r="K587" s="621"/>
      <c r="L587" s="621"/>
      <c r="M587" s="629">
        <f t="shared" si="56"/>
        <v>0</v>
      </c>
      <c r="N587" s="629">
        <f t="shared" si="57"/>
        <v>0</v>
      </c>
      <c r="O587" s="630">
        <f t="shared" si="54"/>
        <v>0</v>
      </c>
      <c r="P587" s="629">
        <f t="shared" si="58"/>
        <v>0</v>
      </c>
      <c r="Q587" s="629">
        <f t="shared" si="59"/>
        <v>0</v>
      </c>
      <c r="R587" s="630">
        <f t="shared" si="55"/>
        <v>0</v>
      </c>
    </row>
    <row r="588" spans="2:18" outlineLevel="1" x14ac:dyDescent="0.2">
      <c r="B588" s="59"/>
      <c r="C588" s="59"/>
      <c r="D588" s="59"/>
      <c r="E588" s="541"/>
      <c r="F588" s="541"/>
      <c r="G588" s="541"/>
      <c r="H588" s="541"/>
      <c r="I588" s="59"/>
      <c r="J588" s="59"/>
      <c r="K588" s="621"/>
      <c r="L588" s="621"/>
      <c r="M588" s="629">
        <f t="shared" si="56"/>
        <v>0</v>
      </c>
      <c r="N588" s="629">
        <f t="shared" si="57"/>
        <v>0</v>
      </c>
      <c r="O588" s="630">
        <f t="shared" si="54"/>
        <v>0</v>
      </c>
      <c r="P588" s="629">
        <f t="shared" si="58"/>
        <v>0</v>
      </c>
      <c r="Q588" s="629">
        <f t="shared" si="59"/>
        <v>0</v>
      </c>
      <c r="R588" s="630">
        <f t="shared" si="55"/>
        <v>0</v>
      </c>
    </row>
    <row r="589" spans="2:18" outlineLevel="1" x14ac:dyDescent="0.2">
      <c r="B589" s="59"/>
      <c r="C589" s="59"/>
      <c r="D589" s="59"/>
      <c r="E589" s="541"/>
      <c r="F589" s="541"/>
      <c r="G589" s="541"/>
      <c r="H589" s="541"/>
      <c r="I589" s="59"/>
      <c r="J589" s="59"/>
      <c r="K589" s="621"/>
      <c r="L589" s="621"/>
      <c r="M589" s="629">
        <f t="shared" si="56"/>
        <v>0</v>
      </c>
      <c r="N589" s="629">
        <f t="shared" si="57"/>
        <v>0</v>
      </c>
      <c r="O589" s="630">
        <f t="shared" si="54"/>
        <v>0</v>
      </c>
      <c r="P589" s="629">
        <f t="shared" si="58"/>
        <v>0</v>
      </c>
      <c r="Q589" s="629">
        <f t="shared" si="59"/>
        <v>0</v>
      </c>
      <c r="R589" s="630">
        <f t="shared" si="55"/>
        <v>0</v>
      </c>
    </row>
    <row r="590" spans="2:18" outlineLevel="1" x14ac:dyDescent="0.2">
      <c r="B590" s="59"/>
      <c r="C590" s="59"/>
      <c r="D590" s="59"/>
      <c r="E590" s="541"/>
      <c r="F590" s="541"/>
      <c r="G590" s="541"/>
      <c r="H590" s="541"/>
      <c r="I590" s="59"/>
      <c r="J590" s="59"/>
      <c r="K590" s="621"/>
      <c r="L590" s="621"/>
      <c r="M590" s="629">
        <f t="shared" si="56"/>
        <v>0</v>
      </c>
      <c r="N590" s="629">
        <f t="shared" si="57"/>
        <v>0</v>
      </c>
      <c r="O590" s="630">
        <f t="shared" si="54"/>
        <v>0</v>
      </c>
      <c r="P590" s="629">
        <f t="shared" si="58"/>
        <v>0</v>
      </c>
      <c r="Q590" s="629">
        <f t="shared" si="59"/>
        <v>0</v>
      </c>
      <c r="R590" s="630">
        <f t="shared" si="55"/>
        <v>0</v>
      </c>
    </row>
    <row r="591" spans="2:18" outlineLevel="1" x14ac:dyDescent="0.2">
      <c r="B591" s="59"/>
      <c r="C591" s="59"/>
      <c r="D591" s="59"/>
      <c r="E591" s="541"/>
      <c r="F591" s="541"/>
      <c r="G591" s="541"/>
      <c r="H591" s="541"/>
      <c r="I591" s="59"/>
      <c r="J591" s="59"/>
      <c r="K591" s="621"/>
      <c r="L591" s="621"/>
      <c r="M591" s="629">
        <f t="shared" si="56"/>
        <v>0</v>
      </c>
      <c r="N591" s="629">
        <f t="shared" si="57"/>
        <v>0</v>
      </c>
      <c r="O591" s="630">
        <f t="shared" si="54"/>
        <v>0</v>
      </c>
      <c r="P591" s="629">
        <f t="shared" si="58"/>
        <v>0</v>
      </c>
      <c r="Q591" s="629">
        <f t="shared" si="59"/>
        <v>0</v>
      </c>
      <c r="R591" s="630">
        <f t="shared" si="55"/>
        <v>0</v>
      </c>
    </row>
    <row r="592" spans="2:18" outlineLevel="1" x14ac:dyDescent="0.2">
      <c r="B592" s="59"/>
      <c r="C592" s="59"/>
      <c r="D592" s="59"/>
      <c r="E592" s="541"/>
      <c r="F592" s="541"/>
      <c r="G592" s="541"/>
      <c r="H592" s="541"/>
      <c r="I592" s="59"/>
      <c r="J592" s="59"/>
      <c r="K592" s="621"/>
      <c r="L592" s="621"/>
      <c r="M592" s="629">
        <f t="shared" si="56"/>
        <v>0</v>
      </c>
      <c r="N592" s="629">
        <f t="shared" si="57"/>
        <v>0</v>
      </c>
      <c r="O592" s="630">
        <f t="shared" si="54"/>
        <v>0</v>
      </c>
      <c r="P592" s="629">
        <f t="shared" si="58"/>
        <v>0</v>
      </c>
      <c r="Q592" s="629">
        <f t="shared" si="59"/>
        <v>0</v>
      </c>
      <c r="R592" s="630">
        <f t="shared" si="55"/>
        <v>0</v>
      </c>
    </row>
    <row r="593" spans="2:18" outlineLevel="1" x14ac:dyDescent="0.2">
      <c r="B593" s="59"/>
      <c r="C593" s="59"/>
      <c r="D593" s="59"/>
      <c r="E593" s="541"/>
      <c r="F593" s="541"/>
      <c r="G593" s="541"/>
      <c r="H593" s="541"/>
      <c r="I593" s="59"/>
      <c r="J593" s="59"/>
      <c r="K593" s="621"/>
      <c r="L593" s="621"/>
      <c r="M593" s="629">
        <f t="shared" si="56"/>
        <v>0</v>
      </c>
      <c r="N593" s="629">
        <f t="shared" si="57"/>
        <v>0</v>
      </c>
      <c r="O593" s="630">
        <f t="shared" si="54"/>
        <v>0</v>
      </c>
      <c r="P593" s="629">
        <f t="shared" si="58"/>
        <v>0</v>
      </c>
      <c r="Q593" s="629">
        <f t="shared" si="59"/>
        <v>0</v>
      </c>
      <c r="R593" s="630">
        <f t="shared" si="55"/>
        <v>0</v>
      </c>
    </row>
    <row r="594" spans="2:18" outlineLevel="1" x14ac:dyDescent="0.2">
      <c r="B594" s="59"/>
      <c r="C594" s="59"/>
      <c r="D594" s="59"/>
      <c r="E594" s="541"/>
      <c r="F594" s="541"/>
      <c r="G594" s="541"/>
      <c r="H594" s="541"/>
      <c r="I594" s="59"/>
      <c r="J594" s="59"/>
      <c r="K594" s="621"/>
      <c r="L594" s="621"/>
      <c r="M594" s="629">
        <f t="shared" si="56"/>
        <v>0</v>
      </c>
      <c r="N594" s="629">
        <f t="shared" si="57"/>
        <v>0</v>
      </c>
      <c r="O594" s="630">
        <f t="shared" si="54"/>
        <v>0</v>
      </c>
      <c r="P594" s="629">
        <f t="shared" si="58"/>
        <v>0</v>
      </c>
      <c r="Q594" s="629">
        <f t="shared" si="59"/>
        <v>0</v>
      </c>
      <c r="R594" s="630">
        <f t="shared" si="55"/>
        <v>0</v>
      </c>
    </row>
    <row r="595" spans="2:18" outlineLevel="1" x14ac:dyDescent="0.2">
      <c r="B595" s="59"/>
      <c r="C595" s="59"/>
      <c r="D595" s="59"/>
      <c r="E595" s="541"/>
      <c r="F595" s="541"/>
      <c r="G595" s="541"/>
      <c r="H595" s="541"/>
      <c r="I595" s="59"/>
      <c r="J595" s="59"/>
      <c r="K595" s="621"/>
      <c r="L595" s="621"/>
      <c r="M595" s="629">
        <f t="shared" si="56"/>
        <v>0</v>
      </c>
      <c r="N595" s="629">
        <f t="shared" si="57"/>
        <v>0</v>
      </c>
      <c r="O595" s="630">
        <f t="shared" si="54"/>
        <v>0</v>
      </c>
      <c r="P595" s="629">
        <f t="shared" si="58"/>
        <v>0</v>
      </c>
      <c r="Q595" s="629">
        <f t="shared" si="59"/>
        <v>0</v>
      </c>
      <c r="R595" s="630">
        <f t="shared" si="55"/>
        <v>0</v>
      </c>
    </row>
    <row r="596" spans="2:18" outlineLevel="1" x14ac:dyDescent="0.2">
      <c r="B596" s="59"/>
      <c r="C596" s="59"/>
      <c r="D596" s="59"/>
      <c r="E596" s="541"/>
      <c r="F596" s="541"/>
      <c r="G596" s="541"/>
      <c r="H596" s="541"/>
      <c r="I596" s="59"/>
      <c r="J596" s="59"/>
      <c r="K596" s="621"/>
      <c r="L596" s="621"/>
      <c r="M596" s="629">
        <f t="shared" si="56"/>
        <v>0</v>
      </c>
      <c r="N596" s="629">
        <f t="shared" si="57"/>
        <v>0</v>
      </c>
      <c r="O596" s="630">
        <f t="shared" si="54"/>
        <v>0</v>
      </c>
      <c r="P596" s="629">
        <f t="shared" si="58"/>
        <v>0</v>
      </c>
      <c r="Q596" s="629">
        <f t="shared" si="59"/>
        <v>0</v>
      </c>
      <c r="R596" s="630">
        <f t="shared" si="55"/>
        <v>0</v>
      </c>
    </row>
    <row r="597" spans="2:18" outlineLevel="1" x14ac:dyDescent="0.2">
      <c r="B597" s="59"/>
      <c r="C597" s="59"/>
      <c r="D597" s="59"/>
      <c r="E597" s="541"/>
      <c r="F597" s="541"/>
      <c r="G597" s="541"/>
      <c r="H597" s="541"/>
      <c r="I597" s="59"/>
      <c r="J597" s="59"/>
      <c r="K597" s="621"/>
      <c r="L597" s="621"/>
      <c r="M597" s="629">
        <f t="shared" si="56"/>
        <v>0</v>
      </c>
      <c r="N597" s="629">
        <f t="shared" si="57"/>
        <v>0</v>
      </c>
      <c r="O597" s="630">
        <f t="shared" si="54"/>
        <v>0</v>
      </c>
      <c r="P597" s="629">
        <f t="shared" si="58"/>
        <v>0</v>
      </c>
      <c r="Q597" s="629">
        <f t="shared" si="59"/>
        <v>0</v>
      </c>
      <c r="R597" s="630">
        <f t="shared" si="55"/>
        <v>0</v>
      </c>
    </row>
    <row r="598" spans="2:18" outlineLevel="1" x14ac:dyDescent="0.2">
      <c r="B598" s="59"/>
      <c r="C598" s="59"/>
      <c r="D598" s="59"/>
      <c r="E598" s="541"/>
      <c r="F598" s="541"/>
      <c r="G598" s="541"/>
      <c r="H598" s="541"/>
      <c r="I598" s="59"/>
      <c r="J598" s="59"/>
      <c r="K598" s="621"/>
      <c r="L598" s="621"/>
      <c r="M598" s="629">
        <f t="shared" si="56"/>
        <v>0</v>
      </c>
      <c r="N598" s="629">
        <f t="shared" si="57"/>
        <v>0</v>
      </c>
      <c r="O598" s="630">
        <f t="shared" si="54"/>
        <v>0</v>
      </c>
      <c r="P598" s="629">
        <f t="shared" si="58"/>
        <v>0</v>
      </c>
      <c r="Q598" s="629">
        <f t="shared" si="59"/>
        <v>0</v>
      </c>
      <c r="R598" s="630">
        <f t="shared" si="55"/>
        <v>0</v>
      </c>
    </row>
    <row r="599" spans="2:18" outlineLevel="1" x14ac:dyDescent="0.2">
      <c r="B599" s="59"/>
      <c r="C599" s="59"/>
      <c r="D599" s="59"/>
      <c r="E599" s="541"/>
      <c r="F599" s="541"/>
      <c r="G599" s="541"/>
      <c r="H599" s="541"/>
      <c r="I599" s="59"/>
      <c r="J599" s="59"/>
      <c r="K599" s="621"/>
      <c r="L599" s="621"/>
      <c r="M599" s="629">
        <f t="shared" si="56"/>
        <v>0</v>
      </c>
      <c r="N599" s="629">
        <f t="shared" si="57"/>
        <v>0</v>
      </c>
      <c r="O599" s="630">
        <f t="shared" si="54"/>
        <v>0</v>
      </c>
      <c r="P599" s="629">
        <f t="shared" si="58"/>
        <v>0</v>
      </c>
      <c r="Q599" s="629">
        <f t="shared" si="59"/>
        <v>0</v>
      </c>
      <c r="R599" s="630">
        <f t="shared" si="55"/>
        <v>0</v>
      </c>
    </row>
    <row r="600" spans="2:18" outlineLevel="1" x14ac:dyDescent="0.2">
      <c r="B600" s="59"/>
      <c r="C600" s="59"/>
      <c r="D600" s="59"/>
      <c r="E600" s="541"/>
      <c r="F600" s="541"/>
      <c r="G600" s="541"/>
      <c r="H600" s="541"/>
      <c r="I600" s="59"/>
      <c r="J600" s="59"/>
      <c r="K600" s="621"/>
      <c r="L600" s="621"/>
      <c r="M600" s="629">
        <f t="shared" si="56"/>
        <v>0</v>
      </c>
      <c r="N600" s="629">
        <f t="shared" si="57"/>
        <v>0</v>
      </c>
      <c r="O600" s="630">
        <f t="shared" si="54"/>
        <v>0</v>
      </c>
      <c r="P600" s="629">
        <f t="shared" si="58"/>
        <v>0</v>
      </c>
      <c r="Q600" s="629">
        <f t="shared" si="59"/>
        <v>0</v>
      </c>
      <c r="R600" s="630">
        <f t="shared" si="55"/>
        <v>0</v>
      </c>
    </row>
    <row r="601" spans="2:18" outlineLevel="1" x14ac:dyDescent="0.2">
      <c r="B601" s="59"/>
      <c r="C601" s="59"/>
      <c r="D601" s="59"/>
      <c r="E601" s="541"/>
      <c r="F601" s="541"/>
      <c r="G601" s="541"/>
      <c r="H601" s="541"/>
      <c r="I601" s="59"/>
      <c r="J601" s="59"/>
      <c r="K601" s="621"/>
      <c r="L601" s="621"/>
      <c r="M601" s="629">
        <f t="shared" si="56"/>
        <v>0</v>
      </c>
      <c r="N601" s="629">
        <f t="shared" si="57"/>
        <v>0</v>
      </c>
      <c r="O601" s="630">
        <f t="shared" si="54"/>
        <v>0</v>
      </c>
      <c r="P601" s="629">
        <f t="shared" si="58"/>
        <v>0</v>
      </c>
      <c r="Q601" s="629">
        <f t="shared" si="59"/>
        <v>0</v>
      </c>
      <c r="R601" s="630">
        <f t="shared" si="55"/>
        <v>0</v>
      </c>
    </row>
    <row r="602" spans="2:18" outlineLevel="1" x14ac:dyDescent="0.2">
      <c r="B602" s="59"/>
      <c r="C602" s="59"/>
      <c r="D602" s="59"/>
      <c r="E602" s="541"/>
      <c r="F602" s="541"/>
      <c r="G602" s="541"/>
      <c r="H602" s="541"/>
      <c r="I602" s="59"/>
      <c r="J602" s="59"/>
      <c r="K602" s="621"/>
      <c r="L602" s="621"/>
      <c r="M602" s="629">
        <f t="shared" si="56"/>
        <v>0</v>
      </c>
      <c r="N602" s="629">
        <f t="shared" si="57"/>
        <v>0</v>
      </c>
      <c r="O602" s="630">
        <f t="shared" si="54"/>
        <v>0</v>
      </c>
      <c r="P602" s="629">
        <f t="shared" si="58"/>
        <v>0</v>
      </c>
      <c r="Q602" s="629">
        <f t="shared" si="59"/>
        <v>0</v>
      </c>
      <c r="R602" s="630">
        <f t="shared" si="55"/>
        <v>0</v>
      </c>
    </row>
    <row r="603" spans="2:18" outlineLevel="1" x14ac:dyDescent="0.2">
      <c r="B603" s="59"/>
      <c r="C603" s="59"/>
      <c r="D603" s="59"/>
      <c r="E603" s="541"/>
      <c r="F603" s="541"/>
      <c r="G603" s="541"/>
      <c r="H603" s="541"/>
      <c r="I603" s="59"/>
      <c r="J603" s="59"/>
      <c r="K603" s="621"/>
      <c r="L603" s="621"/>
      <c r="M603" s="629">
        <f t="shared" si="56"/>
        <v>0</v>
      </c>
      <c r="N603" s="629">
        <f t="shared" si="57"/>
        <v>0</v>
      </c>
      <c r="O603" s="630">
        <f t="shared" si="54"/>
        <v>0</v>
      </c>
      <c r="P603" s="629">
        <f t="shared" si="58"/>
        <v>0</v>
      </c>
      <c r="Q603" s="629">
        <f t="shared" si="59"/>
        <v>0</v>
      </c>
      <c r="R603" s="630">
        <f t="shared" si="55"/>
        <v>0</v>
      </c>
    </row>
    <row r="604" spans="2:18" outlineLevel="1" x14ac:dyDescent="0.2">
      <c r="B604" s="59"/>
      <c r="C604" s="59"/>
      <c r="D604" s="59"/>
      <c r="E604" s="541"/>
      <c r="F604" s="541"/>
      <c r="G604" s="541"/>
      <c r="H604" s="541"/>
      <c r="I604" s="59"/>
      <c r="J604" s="59"/>
      <c r="K604" s="621"/>
      <c r="L604" s="621"/>
      <c r="M604" s="629">
        <f t="shared" si="56"/>
        <v>0</v>
      </c>
      <c r="N604" s="629">
        <f t="shared" si="57"/>
        <v>0</v>
      </c>
      <c r="O604" s="630">
        <f t="shared" si="54"/>
        <v>0</v>
      </c>
      <c r="P604" s="629">
        <f t="shared" si="58"/>
        <v>0</v>
      </c>
      <c r="Q604" s="629">
        <f t="shared" si="59"/>
        <v>0</v>
      </c>
      <c r="R604" s="630">
        <f t="shared" si="55"/>
        <v>0</v>
      </c>
    </row>
    <row r="605" spans="2:18" outlineLevel="1" x14ac:dyDescent="0.2">
      <c r="B605" s="59"/>
      <c r="C605" s="59"/>
      <c r="D605" s="59"/>
      <c r="E605" s="541"/>
      <c r="F605" s="541"/>
      <c r="G605" s="541"/>
      <c r="H605" s="541"/>
      <c r="I605" s="59"/>
      <c r="J605" s="59"/>
      <c r="K605" s="621"/>
      <c r="L605" s="621"/>
      <c r="M605" s="629">
        <f t="shared" si="56"/>
        <v>0</v>
      </c>
      <c r="N605" s="629">
        <f t="shared" si="57"/>
        <v>0</v>
      </c>
      <c r="O605" s="630">
        <f t="shared" si="54"/>
        <v>0</v>
      </c>
      <c r="P605" s="629">
        <f t="shared" si="58"/>
        <v>0</v>
      </c>
      <c r="Q605" s="629">
        <f t="shared" si="59"/>
        <v>0</v>
      </c>
      <c r="R605" s="630">
        <f t="shared" si="55"/>
        <v>0</v>
      </c>
    </row>
    <row r="606" spans="2:18" outlineLevel="1" x14ac:dyDescent="0.2">
      <c r="B606" s="59"/>
      <c r="C606" s="59"/>
      <c r="D606" s="59"/>
      <c r="E606" s="541"/>
      <c r="F606" s="541"/>
      <c r="G606" s="541"/>
      <c r="H606" s="541"/>
      <c r="I606" s="59"/>
      <c r="J606" s="59"/>
      <c r="K606" s="621"/>
      <c r="L606" s="621"/>
      <c r="M606" s="629">
        <f t="shared" si="56"/>
        <v>0</v>
      </c>
      <c r="N606" s="629">
        <f t="shared" si="57"/>
        <v>0</v>
      </c>
      <c r="O606" s="630">
        <f t="shared" si="54"/>
        <v>0</v>
      </c>
      <c r="P606" s="629">
        <f t="shared" si="58"/>
        <v>0</v>
      </c>
      <c r="Q606" s="629">
        <f t="shared" si="59"/>
        <v>0</v>
      </c>
      <c r="R606" s="630">
        <f t="shared" si="55"/>
        <v>0</v>
      </c>
    </row>
    <row r="607" spans="2:18" outlineLevel="1" x14ac:dyDescent="0.2">
      <c r="B607" s="59"/>
      <c r="C607" s="59"/>
      <c r="D607" s="59"/>
      <c r="E607" s="541"/>
      <c r="F607" s="541"/>
      <c r="G607" s="541"/>
      <c r="H607" s="541"/>
      <c r="I607" s="59"/>
      <c r="J607" s="59"/>
      <c r="K607" s="621"/>
      <c r="L607" s="621"/>
      <c r="M607" s="629">
        <f t="shared" si="56"/>
        <v>0</v>
      </c>
      <c r="N607" s="629">
        <f t="shared" si="57"/>
        <v>0</v>
      </c>
      <c r="O607" s="630">
        <f t="shared" si="54"/>
        <v>0</v>
      </c>
      <c r="P607" s="629">
        <f t="shared" si="58"/>
        <v>0</v>
      </c>
      <c r="Q607" s="629">
        <f t="shared" si="59"/>
        <v>0</v>
      </c>
      <c r="R607" s="630">
        <f t="shared" si="55"/>
        <v>0</v>
      </c>
    </row>
    <row r="608" spans="2:18" outlineLevel="1" x14ac:dyDescent="0.2">
      <c r="B608" s="59"/>
      <c r="C608" s="59"/>
      <c r="D608" s="59"/>
      <c r="E608" s="541"/>
      <c r="F608" s="541"/>
      <c r="G608" s="541"/>
      <c r="H608" s="541"/>
      <c r="I608" s="59"/>
      <c r="J608" s="59"/>
      <c r="K608" s="621"/>
      <c r="L608" s="621"/>
      <c r="M608" s="629">
        <f t="shared" si="56"/>
        <v>0</v>
      </c>
      <c r="N608" s="629">
        <f t="shared" si="57"/>
        <v>0</v>
      </c>
      <c r="O608" s="630">
        <f t="shared" si="54"/>
        <v>0</v>
      </c>
      <c r="P608" s="629">
        <f t="shared" si="58"/>
        <v>0</v>
      </c>
      <c r="Q608" s="629">
        <f t="shared" si="59"/>
        <v>0</v>
      </c>
      <c r="R608" s="630">
        <f t="shared" si="55"/>
        <v>0</v>
      </c>
    </row>
    <row r="609" spans="2:18" outlineLevel="1" x14ac:dyDescent="0.2">
      <c r="B609" s="59"/>
      <c r="C609" s="59"/>
      <c r="D609" s="59"/>
      <c r="E609" s="541"/>
      <c r="F609" s="541"/>
      <c r="G609" s="541"/>
      <c r="H609" s="541"/>
      <c r="I609" s="59"/>
      <c r="J609" s="59"/>
      <c r="K609" s="621"/>
      <c r="L609" s="621"/>
      <c r="M609" s="629">
        <f t="shared" si="56"/>
        <v>0</v>
      </c>
      <c r="N609" s="629">
        <f t="shared" si="57"/>
        <v>0</v>
      </c>
      <c r="O609" s="630">
        <f t="shared" si="54"/>
        <v>0</v>
      </c>
      <c r="P609" s="629">
        <f t="shared" si="58"/>
        <v>0</v>
      </c>
      <c r="Q609" s="629">
        <f t="shared" si="59"/>
        <v>0</v>
      </c>
      <c r="R609" s="630">
        <f t="shared" si="55"/>
        <v>0</v>
      </c>
    </row>
    <row r="610" spans="2:18" outlineLevel="1" x14ac:dyDescent="0.2">
      <c r="B610" s="59"/>
      <c r="C610" s="59"/>
      <c r="D610" s="59"/>
      <c r="E610" s="541"/>
      <c r="F610" s="541"/>
      <c r="G610" s="541"/>
      <c r="H610" s="541"/>
      <c r="I610" s="59"/>
      <c r="J610" s="59"/>
      <c r="K610" s="621"/>
      <c r="L610" s="621"/>
      <c r="M610" s="629">
        <f t="shared" si="56"/>
        <v>0</v>
      </c>
      <c r="N610" s="629">
        <f t="shared" si="57"/>
        <v>0</v>
      </c>
      <c r="O610" s="630">
        <f t="shared" si="54"/>
        <v>0</v>
      </c>
      <c r="P610" s="629">
        <f t="shared" si="58"/>
        <v>0</v>
      </c>
      <c r="Q610" s="629">
        <f t="shared" si="59"/>
        <v>0</v>
      </c>
      <c r="R610" s="630">
        <f t="shared" si="55"/>
        <v>0</v>
      </c>
    </row>
    <row r="611" spans="2:18" outlineLevel="1" x14ac:dyDescent="0.2">
      <c r="B611" s="59"/>
      <c r="C611" s="59"/>
      <c r="D611" s="59"/>
      <c r="E611" s="541"/>
      <c r="F611" s="541"/>
      <c r="G611" s="541"/>
      <c r="H611" s="541"/>
      <c r="I611" s="59"/>
      <c r="J611" s="59"/>
      <c r="K611" s="621"/>
      <c r="L611" s="621"/>
      <c r="M611" s="629">
        <f t="shared" si="56"/>
        <v>0</v>
      </c>
      <c r="N611" s="629">
        <f t="shared" si="57"/>
        <v>0</v>
      </c>
      <c r="O611" s="630">
        <f t="shared" si="54"/>
        <v>0</v>
      </c>
      <c r="P611" s="629">
        <f t="shared" si="58"/>
        <v>0</v>
      </c>
      <c r="Q611" s="629">
        <f t="shared" si="59"/>
        <v>0</v>
      </c>
      <c r="R611" s="630">
        <f t="shared" si="55"/>
        <v>0</v>
      </c>
    </row>
    <row r="612" spans="2:18" outlineLevel="1" x14ac:dyDescent="0.2">
      <c r="B612" s="59"/>
      <c r="C612" s="59"/>
      <c r="D612" s="59"/>
      <c r="E612" s="541"/>
      <c r="F612" s="541"/>
      <c r="G612" s="541"/>
      <c r="H612" s="541"/>
      <c r="I612" s="59"/>
      <c r="J612" s="59"/>
      <c r="K612" s="621"/>
      <c r="L612" s="621"/>
      <c r="M612" s="629">
        <f t="shared" si="56"/>
        <v>0</v>
      </c>
      <c r="N612" s="629">
        <f t="shared" si="57"/>
        <v>0</v>
      </c>
      <c r="O612" s="630">
        <f t="shared" si="54"/>
        <v>0</v>
      </c>
      <c r="P612" s="629">
        <f t="shared" si="58"/>
        <v>0</v>
      </c>
      <c r="Q612" s="629">
        <f t="shared" si="59"/>
        <v>0</v>
      </c>
      <c r="R612" s="630">
        <f t="shared" si="55"/>
        <v>0</v>
      </c>
    </row>
    <row r="613" spans="2:18" outlineLevel="1" x14ac:dyDescent="0.2">
      <c r="B613" s="59"/>
      <c r="C613" s="59"/>
      <c r="D613" s="59"/>
      <c r="E613" s="541"/>
      <c r="F613" s="541"/>
      <c r="G613" s="541"/>
      <c r="H613" s="541"/>
      <c r="I613" s="59"/>
      <c r="J613" s="59"/>
      <c r="K613" s="621"/>
      <c r="L613" s="621"/>
      <c r="M613" s="629">
        <f t="shared" si="56"/>
        <v>0</v>
      </c>
      <c r="N613" s="629">
        <f t="shared" si="57"/>
        <v>0</v>
      </c>
      <c r="O613" s="630">
        <f t="shared" si="54"/>
        <v>0</v>
      </c>
      <c r="P613" s="629">
        <f t="shared" si="58"/>
        <v>0</v>
      </c>
      <c r="Q613" s="629">
        <f t="shared" si="59"/>
        <v>0</v>
      </c>
      <c r="R613" s="630">
        <f t="shared" si="55"/>
        <v>0</v>
      </c>
    </row>
    <row r="614" spans="2:18" outlineLevel="1" x14ac:dyDescent="0.2">
      <c r="B614" s="59"/>
      <c r="C614" s="59"/>
      <c r="D614" s="59"/>
      <c r="E614" s="541"/>
      <c r="F614" s="541"/>
      <c r="G614" s="541"/>
      <c r="H614" s="541"/>
      <c r="I614" s="59"/>
      <c r="J614" s="59"/>
      <c r="K614" s="621"/>
      <c r="L614" s="621"/>
      <c r="M614" s="629">
        <f t="shared" si="56"/>
        <v>0</v>
      </c>
      <c r="N614" s="629">
        <f t="shared" si="57"/>
        <v>0</v>
      </c>
      <c r="O614" s="630">
        <f t="shared" si="54"/>
        <v>0</v>
      </c>
      <c r="P614" s="629">
        <f t="shared" si="58"/>
        <v>0</v>
      </c>
      <c r="Q614" s="629">
        <f t="shared" si="59"/>
        <v>0</v>
      </c>
      <c r="R614" s="630">
        <f t="shared" si="55"/>
        <v>0</v>
      </c>
    </row>
    <row r="615" spans="2:18" outlineLevel="1" x14ac:dyDescent="0.2">
      <c r="B615" s="59"/>
      <c r="C615" s="59"/>
      <c r="D615" s="59"/>
      <c r="E615" s="541"/>
      <c r="F615" s="541"/>
      <c r="G615" s="541"/>
      <c r="H615" s="541"/>
      <c r="I615" s="59"/>
      <c r="J615" s="59"/>
      <c r="K615" s="621"/>
      <c r="L615" s="621"/>
      <c r="M615" s="629">
        <f t="shared" si="56"/>
        <v>0</v>
      </c>
      <c r="N615" s="629">
        <f t="shared" si="57"/>
        <v>0</v>
      </c>
      <c r="O615" s="630">
        <f t="shared" si="54"/>
        <v>0</v>
      </c>
      <c r="P615" s="629">
        <f t="shared" si="58"/>
        <v>0</v>
      </c>
      <c r="Q615" s="629">
        <f t="shared" si="59"/>
        <v>0</v>
      </c>
      <c r="R615" s="630">
        <f t="shared" si="55"/>
        <v>0</v>
      </c>
    </row>
    <row r="616" spans="2:18" outlineLevel="1" x14ac:dyDescent="0.2">
      <c r="B616" s="59"/>
      <c r="C616" s="59"/>
      <c r="D616" s="59"/>
      <c r="E616" s="541"/>
      <c r="F616" s="541"/>
      <c r="G616" s="541"/>
      <c r="H616" s="541"/>
      <c r="I616" s="59"/>
      <c r="J616" s="59"/>
      <c r="K616" s="621"/>
      <c r="L616" s="621"/>
      <c r="M616" s="629">
        <f t="shared" si="56"/>
        <v>0</v>
      </c>
      <c r="N616" s="629">
        <f t="shared" si="57"/>
        <v>0</v>
      </c>
      <c r="O616" s="630">
        <f t="shared" si="54"/>
        <v>0</v>
      </c>
      <c r="P616" s="629">
        <f t="shared" si="58"/>
        <v>0</v>
      </c>
      <c r="Q616" s="629">
        <f t="shared" si="59"/>
        <v>0</v>
      </c>
      <c r="R616" s="630">
        <f t="shared" si="55"/>
        <v>0</v>
      </c>
    </row>
    <row r="617" spans="2:18" outlineLevel="1" x14ac:dyDescent="0.2">
      <c r="B617" s="59"/>
      <c r="C617" s="59"/>
      <c r="D617" s="59"/>
      <c r="E617" s="541"/>
      <c r="F617" s="541"/>
      <c r="G617" s="541"/>
      <c r="H617" s="541"/>
      <c r="I617" s="59"/>
      <c r="J617" s="59"/>
      <c r="K617" s="621"/>
      <c r="L617" s="621"/>
      <c r="M617" s="629">
        <f t="shared" si="56"/>
        <v>0</v>
      </c>
      <c r="N617" s="629">
        <f t="shared" si="57"/>
        <v>0</v>
      </c>
      <c r="O617" s="630">
        <f t="shared" si="54"/>
        <v>0</v>
      </c>
      <c r="P617" s="629">
        <f t="shared" si="58"/>
        <v>0</v>
      </c>
      <c r="Q617" s="629">
        <f t="shared" si="59"/>
        <v>0</v>
      </c>
      <c r="R617" s="630">
        <f t="shared" si="55"/>
        <v>0</v>
      </c>
    </row>
    <row r="618" spans="2:18" outlineLevel="1" x14ac:dyDescent="0.2">
      <c r="B618" s="59"/>
      <c r="C618" s="59"/>
      <c r="D618" s="59"/>
      <c r="E618" s="541"/>
      <c r="F618" s="541"/>
      <c r="G618" s="541"/>
      <c r="H618" s="541"/>
      <c r="I618" s="59"/>
      <c r="J618" s="59"/>
      <c r="K618" s="621"/>
      <c r="L618" s="621"/>
      <c r="M618" s="629">
        <f t="shared" si="56"/>
        <v>0</v>
      </c>
      <c r="N618" s="629">
        <f t="shared" si="57"/>
        <v>0</v>
      </c>
      <c r="O618" s="630">
        <f t="shared" si="54"/>
        <v>0</v>
      </c>
      <c r="P618" s="629">
        <f t="shared" si="58"/>
        <v>0</v>
      </c>
      <c r="Q618" s="629">
        <f t="shared" si="59"/>
        <v>0</v>
      </c>
      <c r="R618" s="630">
        <f t="shared" si="55"/>
        <v>0</v>
      </c>
    </row>
    <row r="619" spans="2:18" outlineLevel="1" x14ac:dyDescent="0.2">
      <c r="B619" s="59"/>
      <c r="C619" s="59"/>
      <c r="D619" s="59"/>
      <c r="E619" s="541"/>
      <c r="F619" s="541"/>
      <c r="G619" s="541"/>
      <c r="H619" s="541"/>
      <c r="I619" s="59"/>
      <c r="J619" s="59"/>
      <c r="K619" s="621"/>
      <c r="L619" s="621"/>
      <c r="M619" s="629">
        <f t="shared" si="56"/>
        <v>0</v>
      </c>
      <c r="N619" s="629">
        <f t="shared" si="57"/>
        <v>0</v>
      </c>
      <c r="O619" s="630">
        <f t="shared" si="54"/>
        <v>0</v>
      </c>
      <c r="P619" s="629">
        <f t="shared" si="58"/>
        <v>0</v>
      </c>
      <c r="Q619" s="629">
        <f t="shared" si="59"/>
        <v>0</v>
      </c>
      <c r="R619" s="630">
        <f t="shared" si="55"/>
        <v>0</v>
      </c>
    </row>
    <row r="620" spans="2:18" outlineLevel="1" x14ac:dyDescent="0.2">
      <c r="B620" s="59"/>
      <c r="C620" s="59"/>
      <c r="D620" s="59"/>
      <c r="E620" s="541"/>
      <c r="F620" s="541"/>
      <c r="G620" s="541"/>
      <c r="H620" s="541"/>
      <c r="I620" s="59"/>
      <c r="J620" s="59"/>
      <c r="K620" s="621"/>
      <c r="L620" s="621"/>
      <c r="M620" s="629">
        <f t="shared" si="56"/>
        <v>0</v>
      </c>
      <c r="N620" s="629">
        <f t="shared" si="57"/>
        <v>0</v>
      </c>
      <c r="O620" s="630">
        <f t="shared" si="54"/>
        <v>0</v>
      </c>
      <c r="P620" s="629">
        <f t="shared" si="58"/>
        <v>0</v>
      </c>
      <c r="Q620" s="629">
        <f t="shared" si="59"/>
        <v>0</v>
      </c>
      <c r="R620" s="630">
        <f t="shared" si="55"/>
        <v>0</v>
      </c>
    </row>
    <row r="621" spans="2:18" outlineLevel="1" x14ac:dyDescent="0.2">
      <c r="B621" s="59"/>
      <c r="C621" s="59"/>
      <c r="D621" s="59"/>
      <c r="E621" s="541"/>
      <c r="F621" s="541"/>
      <c r="G621" s="541"/>
      <c r="H621" s="541"/>
      <c r="I621" s="59"/>
      <c r="J621" s="59"/>
      <c r="K621" s="621"/>
      <c r="L621" s="621"/>
      <c r="M621" s="629">
        <f t="shared" si="56"/>
        <v>0</v>
      </c>
      <c r="N621" s="629">
        <f t="shared" si="57"/>
        <v>0</v>
      </c>
      <c r="O621" s="630">
        <f t="shared" si="54"/>
        <v>0</v>
      </c>
      <c r="P621" s="629">
        <f t="shared" si="58"/>
        <v>0</v>
      </c>
      <c r="Q621" s="629">
        <f t="shared" si="59"/>
        <v>0</v>
      </c>
      <c r="R621" s="630">
        <f t="shared" si="55"/>
        <v>0</v>
      </c>
    </row>
    <row r="622" spans="2:18" outlineLevel="1" x14ac:dyDescent="0.2">
      <c r="B622" s="59"/>
      <c r="C622" s="59"/>
      <c r="D622" s="59"/>
      <c r="E622" s="541"/>
      <c r="F622" s="541"/>
      <c r="G622" s="541"/>
      <c r="H622" s="541"/>
      <c r="I622" s="59"/>
      <c r="J622" s="59"/>
      <c r="K622" s="621"/>
      <c r="L622" s="621"/>
      <c r="M622" s="629">
        <f t="shared" si="56"/>
        <v>0</v>
      </c>
      <c r="N622" s="629">
        <f t="shared" si="57"/>
        <v>0</v>
      </c>
      <c r="O622" s="630">
        <f t="shared" si="54"/>
        <v>0</v>
      </c>
      <c r="P622" s="629">
        <f t="shared" si="58"/>
        <v>0</v>
      </c>
      <c r="Q622" s="629">
        <f t="shared" si="59"/>
        <v>0</v>
      </c>
      <c r="R622" s="630">
        <f t="shared" si="55"/>
        <v>0</v>
      </c>
    </row>
    <row r="623" spans="2:18" outlineLevel="1" x14ac:dyDescent="0.2">
      <c r="B623" s="59"/>
      <c r="C623" s="59"/>
      <c r="D623" s="59"/>
      <c r="E623" s="541"/>
      <c r="F623" s="541"/>
      <c r="G623" s="541"/>
      <c r="H623" s="541"/>
      <c r="I623" s="59"/>
      <c r="J623" s="59"/>
      <c r="K623" s="621"/>
      <c r="L623" s="621"/>
      <c r="M623" s="629">
        <f t="shared" si="56"/>
        <v>0</v>
      </c>
      <c r="N623" s="629">
        <f t="shared" si="57"/>
        <v>0</v>
      </c>
      <c r="O623" s="630">
        <f t="shared" si="54"/>
        <v>0</v>
      </c>
      <c r="P623" s="629">
        <f t="shared" si="58"/>
        <v>0</v>
      </c>
      <c r="Q623" s="629">
        <f t="shared" si="59"/>
        <v>0</v>
      </c>
      <c r="R623" s="630">
        <f t="shared" si="55"/>
        <v>0</v>
      </c>
    </row>
    <row r="624" spans="2:18" outlineLevel="1" x14ac:dyDescent="0.2">
      <c r="B624" s="59"/>
      <c r="C624" s="59"/>
      <c r="D624" s="59"/>
      <c r="E624" s="541"/>
      <c r="F624" s="541"/>
      <c r="G624" s="541"/>
      <c r="H624" s="541"/>
      <c r="I624" s="59"/>
      <c r="J624" s="59"/>
      <c r="K624" s="621"/>
      <c r="L624" s="621"/>
      <c r="M624" s="629">
        <f t="shared" si="56"/>
        <v>0</v>
      </c>
      <c r="N624" s="629">
        <f t="shared" si="57"/>
        <v>0</v>
      </c>
      <c r="O624" s="630">
        <f t="shared" si="54"/>
        <v>0</v>
      </c>
      <c r="P624" s="629">
        <f t="shared" si="58"/>
        <v>0</v>
      </c>
      <c r="Q624" s="629">
        <f t="shared" si="59"/>
        <v>0</v>
      </c>
      <c r="R624" s="630">
        <f t="shared" si="55"/>
        <v>0</v>
      </c>
    </row>
    <row r="625" spans="2:18" outlineLevel="1" x14ac:dyDescent="0.2">
      <c r="B625" s="59"/>
      <c r="C625" s="59"/>
      <c r="D625" s="59"/>
      <c r="E625" s="541"/>
      <c r="F625" s="541"/>
      <c r="G625" s="541"/>
      <c r="H625" s="541"/>
      <c r="I625" s="59"/>
      <c r="J625" s="59"/>
      <c r="K625" s="621"/>
      <c r="L625" s="621"/>
      <c r="M625" s="629">
        <f t="shared" si="56"/>
        <v>0</v>
      </c>
      <c r="N625" s="629">
        <f t="shared" si="57"/>
        <v>0</v>
      </c>
      <c r="O625" s="630">
        <f t="shared" si="54"/>
        <v>0</v>
      </c>
      <c r="P625" s="629">
        <f t="shared" si="58"/>
        <v>0</v>
      </c>
      <c r="Q625" s="629">
        <f t="shared" si="59"/>
        <v>0</v>
      </c>
      <c r="R625" s="630">
        <f t="shared" si="55"/>
        <v>0</v>
      </c>
    </row>
    <row r="626" spans="2:18" outlineLevel="1" x14ac:dyDescent="0.2">
      <c r="B626" s="59"/>
      <c r="C626" s="59"/>
      <c r="D626" s="59"/>
      <c r="E626" s="541"/>
      <c r="F626" s="541"/>
      <c r="G626" s="541"/>
      <c r="H626" s="541"/>
      <c r="I626" s="59"/>
      <c r="J626" s="59"/>
      <c r="K626" s="621"/>
      <c r="L626" s="621"/>
      <c r="M626" s="629">
        <f t="shared" si="56"/>
        <v>0</v>
      </c>
      <c r="N626" s="629">
        <f t="shared" si="57"/>
        <v>0</v>
      </c>
      <c r="O626" s="630">
        <f t="shared" si="54"/>
        <v>0</v>
      </c>
      <c r="P626" s="629">
        <f t="shared" si="58"/>
        <v>0</v>
      </c>
      <c r="Q626" s="629">
        <f t="shared" si="59"/>
        <v>0</v>
      </c>
      <c r="R626" s="630">
        <f t="shared" si="55"/>
        <v>0</v>
      </c>
    </row>
    <row r="627" spans="2:18" outlineLevel="1" x14ac:dyDescent="0.2">
      <c r="B627" s="59"/>
      <c r="C627" s="59"/>
      <c r="D627" s="59"/>
      <c r="E627" s="541"/>
      <c r="F627" s="541"/>
      <c r="G627" s="541"/>
      <c r="H627" s="541"/>
      <c r="I627" s="59"/>
      <c r="J627" s="59"/>
      <c r="K627" s="621"/>
      <c r="L627" s="621"/>
      <c r="M627" s="629">
        <f t="shared" si="56"/>
        <v>0</v>
      </c>
      <c r="N627" s="629">
        <f t="shared" si="57"/>
        <v>0</v>
      </c>
      <c r="O627" s="630">
        <f t="shared" si="54"/>
        <v>0</v>
      </c>
      <c r="P627" s="629">
        <f t="shared" si="58"/>
        <v>0</v>
      </c>
      <c r="Q627" s="629">
        <f t="shared" si="59"/>
        <v>0</v>
      </c>
      <c r="R627" s="630">
        <f t="shared" si="55"/>
        <v>0</v>
      </c>
    </row>
    <row r="628" spans="2:18" outlineLevel="1" x14ac:dyDescent="0.2">
      <c r="B628" s="59"/>
      <c r="C628" s="59"/>
      <c r="D628" s="59"/>
      <c r="E628" s="541"/>
      <c r="F628" s="541"/>
      <c r="G628" s="541"/>
      <c r="H628" s="541"/>
      <c r="I628" s="59"/>
      <c r="J628" s="59"/>
      <c r="K628" s="621"/>
      <c r="L628" s="621"/>
      <c r="M628" s="629">
        <f t="shared" si="56"/>
        <v>0</v>
      </c>
      <c r="N628" s="629">
        <f t="shared" si="57"/>
        <v>0</v>
      </c>
      <c r="O628" s="630">
        <f t="shared" si="54"/>
        <v>0</v>
      </c>
      <c r="P628" s="629">
        <f t="shared" si="58"/>
        <v>0</v>
      </c>
      <c r="Q628" s="629">
        <f t="shared" si="59"/>
        <v>0</v>
      </c>
      <c r="R628" s="630">
        <f t="shared" si="55"/>
        <v>0</v>
      </c>
    </row>
    <row r="629" spans="2:18" outlineLevel="1" x14ac:dyDescent="0.2">
      <c r="B629" s="59"/>
      <c r="C629" s="59"/>
      <c r="D629" s="59"/>
      <c r="E629" s="541"/>
      <c r="F629" s="541"/>
      <c r="G629" s="541"/>
      <c r="H629" s="541"/>
      <c r="I629" s="59"/>
      <c r="J629" s="59"/>
      <c r="K629" s="621"/>
      <c r="L629" s="621"/>
      <c r="M629" s="629">
        <f t="shared" si="56"/>
        <v>0</v>
      </c>
      <c r="N629" s="629">
        <f t="shared" si="57"/>
        <v>0</v>
      </c>
      <c r="O629" s="630">
        <f t="shared" si="54"/>
        <v>0</v>
      </c>
      <c r="P629" s="629">
        <f t="shared" si="58"/>
        <v>0</v>
      </c>
      <c r="Q629" s="629">
        <f t="shared" si="59"/>
        <v>0</v>
      </c>
      <c r="R629" s="630">
        <f t="shared" si="55"/>
        <v>0</v>
      </c>
    </row>
    <row r="630" spans="2:18" outlineLevel="1" x14ac:dyDescent="0.2">
      <c r="B630" s="59"/>
      <c r="C630" s="59"/>
      <c r="D630" s="59"/>
      <c r="E630" s="541"/>
      <c r="F630" s="541"/>
      <c r="G630" s="541"/>
      <c r="H630" s="541"/>
      <c r="I630" s="59"/>
      <c r="J630" s="59"/>
      <c r="K630" s="621"/>
      <c r="L630" s="621"/>
      <c r="M630" s="629">
        <f t="shared" si="56"/>
        <v>0</v>
      </c>
      <c r="N630" s="629">
        <f t="shared" si="57"/>
        <v>0</v>
      </c>
      <c r="O630" s="630">
        <f t="shared" si="54"/>
        <v>0</v>
      </c>
      <c r="P630" s="629">
        <f t="shared" si="58"/>
        <v>0</v>
      </c>
      <c r="Q630" s="629">
        <f t="shared" si="59"/>
        <v>0</v>
      </c>
      <c r="R630" s="630">
        <f t="shared" si="55"/>
        <v>0</v>
      </c>
    </row>
    <row r="631" spans="2:18" outlineLevel="1" x14ac:dyDescent="0.2">
      <c r="B631" s="59"/>
      <c r="C631" s="59"/>
      <c r="D631" s="59"/>
      <c r="E631" s="541"/>
      <c r="F631" s="541"/>
      <c r="G631" s="541"/>
      <c r="H631" s="541"/>
      <c r="I631" s="59"/>
      <c r="J631" s="59"/>
      <c r="K631" s="621"/>
      <c r="L631" s="621"/>
      <c r="M631" s="629">
        <f t="shared" si="56"/>
        <v>0</v>
      </c>
      <c r="N631" s="629">
        <f t="shared" si="57"/>
        <v>0</v>
      </c>
      <c r="O631" s="630">
        <f t="shared" si="54"/>
        <v>0</v>
      </c>
      <c r="P631" s="629">
        <f t="shared" si="58"/>
        <v>0</v>
      </c>
      <c r="Q631" s="629">
        <f t="shared" si="59"/>
        <v>0</v>
      </c>
      <c r="R631" s="630">
        <f t="shared" si="55"/>
        <v>0</v>
      </c>
    </row>
    <row r="632" spans="2:18" outlineLevel="1" x14ac:dyDescent="0.2">
      <c r="B632" s="59"/>
      <c r="C632" s="59"/>
      <c r="D632" s="59"/>
      <c r="E632" s="541"/>
      <c r="F632" s="541"/>
      <c r="G632" s="541"/>
      <c r="H632" s="541"/>
      <c r="I632" s="59"/>
      <c r="J632" s="59"/>
      <c r="K632" s="621"/>
      <c r="L632" s="621"/>
      <c r="M632" s="629">
        <f t="shared" si="56"/>
        <v>0</v>
      </c>
      <c r="N632" s="629">
        <f t="shared" si="57"/>
        <v>0</v>
      </c>
      <c r="O632" s="630">
        <f t="shared" si="54"/>
        <v>0</v>
      </c>
      <c r="P632" s="629">
        <f t="shared" si="58"/>
        <v>0</v>
      </c>
      <c r="Q632" s="629">
        <f t="shared" si="59"/>
        <v>0</v>
      </c>
      <c r="R632" s="630">
        <f t="shared" si="55"/>
        <v>0</v>
      </c>
    </row>
    <row r="633" spans="2:18" outlineLevel="1" x14ac:dyDescent="0.2">
      <c r="B633" s="59"/>
      <c r="C633" s="59"/>
      <c r="D633" s="59"/>
      <c r="E633" s="541"/>
      <c r="F633" s="541"/>
      <c r="G633" s="541"/>
      <c r="H633" s="541"/>
      <c r="I633" s="59"/>
      <c r="J633" s="59"/>
      <c r="K633" s="621"/>
      <c r="L633" s="621"/>
      <c r="M633" s="629">
        <f t="shared" si="56"/>
        <v>0</v>
      </c>
      <c r="N633" s="629">
        <f t="shared" si="57"/>
        <v>0</v>
      </c>
      <c r="O633" s="630">
        <f t="shared" si="54"/>
        <v>0</v>
      </c>
      <c r="P633" s="629">
        <f t="shared" si="58"/>
        <v>0</v>
      </c>
      <c r="Q633" s="629">
        <f t="shared" si="59"/>
        <v>0</v>
      </c>
      <c r="R633" s="630">
        <f t="shared" si="55"/>
        <v>0</v>
      </c>
    </row>
    <row r="634" spans="2:18" outlineLevel="1" x14ac:dyDescent="0.2">
      <c r="B634" s="59"/>
      <c r="C634" s="59"/>
      <c r="D634" s="59"/>
      <c r="E634" s="541"/>
      <c r="F634" s="541"/>
      <c r="G634" s="541"/>
      <c r="H634" s="541"/>
      <c r="I634" s="59"/>
      <c r="J634" s="59"/>
      <c r="K634" s="621"/>
      <c r="L634" s="621"/>
      <c r="M634" s="629">
        <f t="shared" si="56"/>
        <v>0</v>
      </c>
      <c r="N634" s="629">
        <f t="shared" si="57"/>
        <v>0</v>
      </c>
      <c r="O634" s="630">
        <f t="shared" si="54"/>
        <v>0</v>
      </c>
      <c r="P634" s="629">
        <f t="shared" si="58"/>
        <v>0</v>
      </c>
      <c r="Q634" s="629">
        <f t="shared" si="59"/>
        <v>0</v>
      </c>
      <c r="R634" s="630">
        <f t="shared" si="55"/>
        <v>0</v>
      </c>
    </row>
    <row r="635" spans="2:18" outlineLevel="1" x14ac:dyDescent="0.2">
      <c r="B635" s="59"/>
      <c r="C635" s="59"/>
      <c r="D635" s="59"/>
      <c r="E635" s="541"/>
      <c r="F635" s="541"/>
      <c r="G635" s="541"/>
      <c r="H635" s="541"/>
      <c r="I635" s="59"/>
      <c r="J635" s="59"/>
      <c r="K635" s="621"/>
      <c r="L635" s="621"/>
      <c r="M635" s="629">
        <f t="shared" si="56"/>
        <v>0</v>
      </c>
      <c r="N635" s="629">
        <f t="shared" si="57"/>
        <v>0</v>
      </c>
      <c r="O635" s="630">
        <f t="shared" si="54"/>
        <v>0</v>
      </c>
      <c r="P635" s="629">
        <f t="shared" si="58"/>
        <v>0</v>
      </c>
      <c r="Q635" s="629">
        <f t="shared" si="59"/>
        <v>0</v>
      </c>
      <c r="R635" s="630">
        <f t="shared" si="55"/>
        <v>0</v>
      </c>
    </row>
    <row r="636" spans="2:18" outlineLevel="1" x14ac:dyDescent="0.2">
      <c r="B636" s="59"/>
      <c r="C636" s="59"/>
      <c r="D636" s="59"/>
      <c r="E636" s="541"/>
      <c r="F636" s="541"/>
      <c r="G636" s="541"/>
      <c r="H636" s="541"/>
      <c r="I636" s="59"/>
      <c r="J636" s="59"/>
      <c r="K636" s="621"/>
      <c r="L636" s="621"/>
      <c r="M636" s="629">
        <f t="shared" si="56"/>
        <v>0</v>
      </c>
      <c r="N636" s="629">
        <f t="shared" si="57"/>
        <v>0</v>
      </c>
      <c r="O636" s="630">
        <f t="shared" si="54"/>
        <v>0</v>
      </c>
      <c r="P636" s="629">
        <f t="shared" si="58"/>
        <v>0</v>
      </c>
      <c r="Q636" s="629">
        <f t="shared" si="59"/>
        <v>0</v>
      </c>
      <c r="R636" s="630">
        <f t="shared" si="55"/>
        <v>0</v>
      </c>
    </row>
    <row r="637" spans="2:18" outlineLevel="1" x14ac:dyDescent="0.2">
      <c r="B637" s="59"/>
      <c r="C637" s="59"/>
      <c r="D637" s="59"/>
      <c r="E637" s="541"/>
      <c r="F637" s="541"/>
      <c r="G637" s="541"/>
      <c r="H637" s="541"/>
      <c r="I637" s="59"/>
      <c r="J637" s="59"/>
      <c r="K637" s="621"/>
      <c r="L637" s="621"/>
      <c r="M637" s="629">
        <f t="shared" si="56"/>
        <v>0</v>
      </c>
      <c r="N637" s="629">
        <f t="shared" si="57"/>
        <v>0</v>
      </c>
      <c r="O637" s="630">
        <f t="shared" si="54"/>
        <v>0</v>
      </c>
      <c r="P637" s="629">
        <f t="shared" si="58"/>
        <v>0</v>
      </c>
      <c r="Q637" s="629">
        <f t="shared" si="59"/>
        <v>0</v>
      </c>
      <c r="R637" s="630">
        <f t="shared" si="55"/>
        <v>0</v>
      </c>
    </row>
    <row r="638" spans="2:18" outlineLevel="1" x14ac:dyDescent="0.2">
      <c r="B638" s="59"/>
      <c r="C638" s="59"/>
      <c r="D638" s="59"/>
      <c r="E638" s="541"/>
      <c r="F638" s="541"/>
      <c r="G638" s="541"/>
      <c r="H638" s="541"/>
      <c r="I638" s="59"/>
      <c r="J638" s="59"/>
      <c r="K638" s="621"/>
      <c r="L638" s="621"/>
      <c r="M638" s="629">
        <f t="shared" si="56"/>
        <v>0</v>
      </c>
      <c r="N638" s="629">
        <f t="shared" si="57"/>
        <v>0</v>
      </c>
      <c r="O638" s="630">
        <f t="shared" si="54"/>
        <v>0</v>
      </c>
      <c r="P638" s="629">
        <f t="shared" si="58"/>
        <v>0</v>
      </c>
      <c r="Q638" s="629">
        <f t="shared" si="59"/>
        <v>0</v>
      </c>
      <c r="R638" s="630">
        <f t="shared" si="55"/>
        <v>0</v>
      </c>
    </row>
    <row r="639" spans="2:18" outlineLevel="1" x14ac:dyDescent="0.2">
      <c r="B639" s="59"/>
      <c r="C639" s="59"/>
      <c r="D639" s="59"/>
      <c r="E639" s="541"/>
      <c r="F639" s="541"/>
      <c r="G639" s="541"/>
      <c r="H639" s="541"/>
      <c r="I639" s="59"/>
      <c r="J639" s="59"/>
      <c r="K639" s="621"/>
      <c r="L639" s="621"/>
      <c r="M639" s="629">
        <f t="shared" si="56"/>
        <v>0</v>
      </c>
      <c r="N639" s="629">
        <f t="shared" si="57"/>
        <v>0</v>
      </c>
      <c r="O639" s="630">
        <f t="shared" si="54"/>
        <v>0</v>
      </c>
      <c r="P639" s="629">
        <f t="shared" si="58"/>
        <v>0</v>
      </c>
      <c r="Q639" s="629">
        <f t="shared" si="59"/>
        <v>0</v>
      </c>
      <c r="R639" s="630">
        <f t="shared" si="55"/>
        <v>0</v>
      </c>
    </row>
    <row r="640" spans="2:18" outlineLevel="1" x14ac:dyDescent="0.2">
      <c r="B640" s="59"/>
      <c r="C640" s="59"/>
      <c r="D640" s="59"/>
      <c r="E640" s="541"/>
      <c r="F640" s="541"/>
      <c r="G640" s="541"/>
      <c r="H640" s="541"/>
      <c r="I640" s="59"/>
      <c r="J640" s="59"/>
      <c r="K640" s="621"/>
      <c r="L640" s="621"/>
      <c r="M640" s="629">
        <f t="shared" si="56"/>
        <v>0</v>
      </c>
      <c r="N640" s="629">
        <f t="shared" si="57"/>
        <v>0</v>
      </c>
      <c r="O640" s="630">
        <f t="shared" si="54"/>
        <v>0</v>
      </c>
      <c r="P640" s="629">
        <f t="shared" si="58"/>
        <v>0</v>
      </c>
      <c r="Q640" s="629">
        <f t="shared" si="59"/>
        <v>0</v>
      </c>
      <c r="R640" s="630">
        <f t="shared" si="55"/>
        <v>0</v>
      </c>
    </row>
    <row r="641" spans="2:18" outlineLevel="1" x14ac:dyDescent="0.2">
      <c r="B641" s="59"/>
      <c r="C641" s="59"/>
      <c r="D641" s="59"/>
      <c r="E641" s="541"/>
      <c r="F641" s="541"/>
      <c r="G641" s="541"/>
      <c r="H641" s="541"/>
      <c r="I641" s="59"/>
      <c r="J641" s="59"/>
      <c r="K641" s="621"/>
      <c r="L641" s="621"/>
      <c r="M641" s="629">
        <f t="shared" si="56"/>
        <v>0</v>
      </c>
      <c r="N641" s="629">
        <f t="shared" si="57"/>
        <v>0</v>
      </c>
      <c r="O641" s="630">
        <f t="shared" si="54"/>
        <v>0</v>
      </c>
      <c r="P641" s="629">
        <f t="shared" si="58"/>
        <v>0</v>
      </c>
      <c r="Q641" s="629">
        <f t="shared" si="59"/>
        <v>0</v>
      </c>
      <c r="R641" s="630">
        <f t="shared" si="55"/>
        <v>0</v>
      </c>
    </row>
    <row r="642" spans="2:18" outlineLevel="1" x14ac:dyDescent="0.2">
      <c r="B642" s="59"/>
      <c r="C642" s="59"/>
      <c r="D642" s="59"/>
      <c r="E642" s="541"/>
      <c r="F642" s="541"/>
      <c r="G642" s="541"/>
      <c r="H642" s="541"/>
      <c r="I642" s="59"/>
      <c r="J642" s="59"/>
      <c r="K642" s="621"/>
      <c r="L642" s="621"/>
      <c r="M642" s="629">
        <f t="shared" si="56"/>
        <v>0</v>
      </c>
      <c r="N642" s="629">
        <f t="shared" si="57"/>
        <v>0</v>
      </c>
      <c r="O642" s="630">
        <f t="shared" si="54"/>
        <v>0</v>
      </c>
      <c r="P642" s="629">
        <f t="shared" si="58"/>
        <v>0</v>
      </c>
      <c r="Q642" s="629">
        <f t="shared" si="59"/>
        <v>0</v>
      </c>
      <c r="R642" s="630">
        <f t="shared" si="55"/>
        <v>0</v>
      </c>
    </row>
    <row r="643" spans="2:18" outlineLevel="1" x14ac:dyDescent="0.2">
      <c r="B643" s="59"/>
      <c r="C643" s="59"/>
      <c r="D643" s="59"/>
      <c r="E643" s="541"/>
      <c r="F643" s="541"/>
      <c r="G643" s="541"/>
      <c r="H643" s="541"/>
      <c r="I643" s="59"/>
      <c r="J643" s="59"/>
      <c r="K643" s="621"/>
      <c r="L643" s="621"/>
      <c r="M643" s="629">
        <f t="shared" si="56"/>
        <v>0</v>
      </c>
      <c r="N643" s="629">
        <f t="shared" si="57"/>
        <v>0</v>
      </c>
      <c r="O643" s="630">
        <f t="shared" si="54"/>
        <v>0</v>
      </c>
      <c r="P643" s="629">
        <f t="shared" si="58"/>
        <v>0</v>
      </c>
      <c r="Q643" s="629">
        <f t="shared" si="59"/>
        <v>0</v>
      </c>
      <c r="R643" s="630">
        <f t="shared" si="55"/>
        <v>0</v>
      </c>
    </row>
    <row r="644" spans="2:18" outlineLevel="1" x14ac:dyDescent="0.2">
      <c r="B644" s="59"/>
      <c r="C644" s="59"/>
      <c r="D644" s="59"/>
      <c r="E644" s="541"/>
      <c r="F644" s="541"/>
      <c r="G644" s="541"/>
      <c r="H644" s="541"/>
      <c r="I644" s="59"/>
      <c r="J644" s="59"/>
      <c r="K644" s="621"/>
      <c r="L644" s="621"/>
      <c r="M644" s="629">
        <f t="shared" si="56"/>
        <v>0</v>
      </c>
      <c r="N644" s="629">
        <f t="shared" si="57"/>
        <v>0</v>
      </c>
      <c r="O644" s="630">
        <f t="shared" si="54"/>
        <v>0</v>
      </c>
      <c r="P644" s="629">
        <f t="shared" si="58"/>
        <v>0</v>
      </c>
      <c r="Q644" s="629">
        <f t="shared" si="59"/>
        <v>0</v>
      </c>
      <c r="R644" s="630">
        <f t="shared" si="55"/>
        <v>0</v>
      </c>
    </row>
    <row r="645" spans="2:18" outlineLevel="1" x14ac:dyDescent="0.2">
      <c r="B645" s="59"/>
      <c r="C645" s="59"/>
      <c r="D645" s="59"/>
      <c r="E645" s="541"/>
      <c r="F645" s="541"/>
      <c r="G645" s="541"/>
      <c r="H645" s="541"/>
      <c r="I645" s="59"/>
      <c r="J645" s="59"/>
      <c r="K645" s="621"/>
      <c r="L645" s="621"/>
      <c r="M645" s="629">
        <f t="shared" si="56"/>
        <v>0</v>
      </c>
      <c r="N645" s="629">
        <f t="shared" si="57"/>
        <v>0</v>
      </c>
      <c r="O645" s="630">
        <f t="shared" ref="O645:O708" si="60">M645+N645</f>
        <v>0</v>
      </c>
      <c r="P645" s="629">
        <f t="shared" si="58"/>
        <v>0</v>
      </c>
      <c r="Q645" s="629">
        <f t="shared" si="59"/>
        <v>0</v>
      </c>
      <c r="R645" s="630">
        <f t="shared" ref="R645:R708" si="61">P645+Q645</f>
        <v>0</v>
      </c>
    </row>
    <row r="646" spans="2:18" outlineLevel="1" x14ac:dyDescent="0.2">
      <c r="B646" s="59"/>
      <c r="C646" s="59"/>
      <c r="D646" s="59"/>
      <c r="E646" s="541"/>
      <c r="F646" s="541"/>
      <c r="G646" s="541"/>
      <c r="H646" s="541"/>
      <c r="I646" s="59"/>
      <c r="J646" s="59"/>
      <c r="K646" s="621"/>
      <c r="L646" s="621"/>
      <c r="M646" s="629">
        <f t="shared" ref="M646:M709" si="62">G646*(-1)</f>
        <v>0</v>
      </c>
      <c r="N646" s="629">
        <f t="shared" ref="N646:N709" si="63">H646*(-1)</f>
        <v>0</v>
      </c>
      <c r="O646" s="630">
        <f t="shared" si="60"/>
        <v>0</v>
      </c>
      <c r="P646" s="629">
        <f t="shared" ref="P646:P709" si="64">+IF(AND(I646="NO",E646&gt;G646),(E646-G646)*K646*(-1),0)</f>
        <v>0</v>
      </c>
      <c r="Q646" s="629">
        <f t="shared" ref="Q646:Q709" si="65">+IF(AND(J646="NO",F646&gt;H646),(F646-H646)*L646*(-1),0)</f>
        <v>0</v>
      </c>
      <c r="R646" s="630">
        <f t="shared" si="61"/>
        <v>0</v>
      </c>
    </row>
    <row r="647" spans="2:18" outlineLevel="1" x14ac:dyDescent="0.2">
      <c r="B647" s="59"/>
      <c r="C647" s="59"/>
      <c r="D647" s="59"/>
      <c r="E647" s="541"/>
      <c r="F647" s="541"/>
      <c r="G647" s="541"/>
      <c r="H647" s="541"/>
      <c r="I647" s="59"/>
      <c r="J647" s="59"/>
      <c r="K647" s="621"/>
      <c r="L647" s="621"/>
      <c r="M647" s="629">
        <f t="shared" si="62"/>
        <v>0</v>
      </c>
      <c r="N647" s="629">
        <f t="shared" si="63"/>
        <v>0</v>
      </c>
      <c r="O647" s="630">
        <f t="shared" si="60"/>
        <v>0</v>
      </c>
      <c r="P647" s="629">
        <f t="shared" si="64"/>
        <v>0</v>
      </c>
      <c r="Q647" s="629">
        <f t="shared" si="65"/>
        <v>0</v>
      </c>
      <c r="R647" s="630">
        <f t="shared" si="61"/>
        <v>0</v>
      </c>
    </row>
    <row r="648" spans="2:18" outlineLevel="1" x14ac:dyDescent="0.2">
      <c r="B648" s="59"/>
      <c r="C648" s="59"/>
      <c r="D648" s="59"/>
      <c r="E648" s="541"/>
      <c r="F648" s="541"/>
      <c r="G648" s="541"/>
      <c r="H648" s="541"/>
      <c r="I648" s="59"/>
      <c r="J648" s="59"/>
      <c r="K648" s="621"/>
      <c r="L648" s="621"/>
      <c r="M648" s="629">
        <f t="shared" si="62"/>
        <v>0</v>
      </c>
      <c r="N648" s="629">
        <f t="shared" si="63"/>
        <v>0</v>
      </c>
      <c r="O648" s="630">
        <f t="shared" si="60"/>
        <v>0</v>
      </c>
      <c r="P648" s="629">
        <f t="shared" si="64"/>
        <v>0</v>
      </c>
      <c r="Q648" s="629">
        <f t="shared" si="65"/>
        <v>0</v>
      </c>
      <c r="R648" s="630">
        <f t="shared" si="61"/>
        <v>0</v>
      </c>
    </row>
    <row r="649" spans="2:18" outlineLevel="1" x14ac:dyDescent="0.2">
      <c r="B649" s="59"/>
      <c r="C649" s="59"/>
      <c r="D649" s="59"/>
      <c r="E649" s="541"/>
      <c r="F649" s="541"/>
      <c r="G649" s="541"/>
      <c r="H649" s="541"/>
      <c r="I649" s="59"/>
      <c r="J649" s="59"/>
      <c r="K649" s="621"/>
      <c r="L649" s="621"/>
      <c r="M649" s="629">
        <f t="shared" si="62"/>
        <v>0</v>
      </c>
      <c r="N649" s="629">
        <f t="shared" si="63"/>
        <v>0</v>
      </c>
      <c r="O649" s="630">
        <f t="shared" si="60"/>
        <v>0</v>
      </c>
      <c r="P649" s="629">
        <f t="shared" si="64"/>
        <v>0</v>
      </c>
      <c r="Q649" s="629">
        <f t="shared" si="65"/>
        <v>0</v>
      </c>
      <c r="R649" s="630">
        <f t="shared" si="61"/>
        <v>0</v>
      </c>
    </row>
    <row r="650" spans="2:18" outlineLevel="1" x14ac:dyDescent="0.2">
      <c r="B650" s="59"/>
      <c r="C650" s="59"/>
      <c r="D650" s="59"/>
      <c r="E650" s="541"/>
      <c r="F650" s="541"/>
      <c r="G650" s="541"/>
      <c r="H650" s="541"/>
      <c r="I650" s="59"/>
      <c r="J650" s="59"/>
      <c r="K650" s="621"/>
      <c r="L650" s="621"/>
      <c r="M650" s="629">
        <f t="shared" si="62"/>
        <v>0</v>
      </c>
      <c r="N650" s="629">
        <f t="shared" si="63"/>
        <v>0</v>
      </c>
      <c r="O650" s="630">
        <f t="shared" si="60"/>
        <v>0</v>
      </c>
      <c r="P650" s="629">
        <f t="shared" si="64"/>
        <v>0</v>
      </c>
      <c r="Q650" s="629">
        <f t="shared" si="65"/>
        <v>0</v>
      </c>
      <c r="R650" s="630">
        <f t="shared" si="61"/>
        <v>0</v>
      </c>
    </row>
    <row r="651" spans="2:18" outlineLevel="1" x14ac:dyDescent="0.2">
      <c r="B651" s="59"/>
      <c r="C651" s="59"/>
      <c r="D651" s="59"/>
      <c r="E651" s="541"/>
      <c r="F651" s="541"/>
      <c r="G651" s="541"/>
      <c r="H651" s="541"/>
      <c r="I651" s="59"/>
      <c r="J651" s="59"/>
      <c r="K651" s="621"/>
      <c r="L651" s="621"/>
      <c r="M651" s="629">
        <f t="shared" si="62"/>
        <v>0</v>
      </c>
      <c r="N651" s="629">
        <f t="shared" si="63"/>
        <v>0</v>
      </c>
      <c r="O651" s="630">
        <f t="shared" si="60"/>
        <v>0</v>
      </c>
      <c r="P651" s="629">
        <f t="shared" si="64"/>
        <v>0</v>
      </c>
      <c r="Q651" s="629">
        <f t="shared" si="65"/>
        <v>0</v>
      </c>
      <c r="R651" s="630">
        <f t="shared" si="61"/>
        <v>0</v>
      </c>
    </row>
    <row r="652" spans="2:18" outlineLevel="1" x14ac:dyDescent="0.2">
      <c r="B652" s="59"/>
      <c r="C652" s="59"/>
      <c r="D652" s="59"/>
      <c r="E652" s="541"/>
      <c r="F652" s="541"/>
      <c r="G652" s="541"/>
      <c r="H652" s="541"/>
      <c r="I652" s="59"/>
      <c r="J652" s="59"/>
      <c r="K652" s="621"/>
      <c r="L652" s="621"/>
      <c r="M652" s="629">
        <f t="shared" si="62"/>
        <v>0</v>
      </c>
      <c r="N652" s="629">
        <f t="shared" si="63"/>
        <v>0</v>
      </c>
      <c r="O652" s="630">
        <f t="shared" si="60"/>
        <v>0</v>
      </c>
      <c r="P652" s="629">
        <f t="shared" si="64"/>
        <v>0</v>
      </c>
      <c r="Q652" s="629">
        <f t="shared" si="65"/>
        <v>0</v>
      </c>
      <c r="R652" s="630">
        <f t="shared" si="61"/>
        <v>0</v>
      </c>
    </row>
    <row r="653" spans="2:18" outlineLevel="1" x14ac:dyDescent="0.2">
      <c r="B653" s="59"/>
      <c r="C653" s="59"/>
      <c r="D653" s="59"/>
      <c r="E653" s="541"/>
      <c r="F653" s="541"/>
      <c r="G653" s="541"/>
      <c r="H653" s="541"/>
      <c r="I653" s="59"/>
      <c r="J653" s="59"/>
      <c r="K653" s="621"/>
      <c r="L653" s="621"/>
      <c r="M653" s="629">
        <f t="shared" si="62"/>
        <v>0</v>
      </c>
      <c r="N653" s="629">
        <f t="shared" si="63"/>
        <v>0</v>
      </c>
      <c r="O653" s="630">
        <f t="shared" si="60"/>
        <v>0</v>
      </c>
      <c r="P653" s="629">
        <f t="shared" si="64"/>
        <v>0</v>
      </c>
      <c r="Q653" s="629">
        <f t="shared" si="65"/>
        <v>0</v>
      </c>
      <c r="R653" s="630">
        <f t="shared" si="61"/>
        <v>0</v>
      </c>
    </row>
    <row r="654" spans="2:18" outlineLevel="1" x14ac:dyDescent="0.2">
      <c r="B654" s="59"/>
      <c r="C654" s="59"/>
      <c r="D654" s="59"/>
      <c r="E654" s="541"/>
      <c r="F654" s="541"/>
      <c r="G654" s="541"/>
      <c r="H654" s="541"/>
      <c r="I654" s="59"/>
      <c r="J654" s="59"/>
      <c r="K654" s="621"/>
      <c r="L654" s="621"/>
      <c r="M654" s="629">
        <f t="shared" si="62"/>
        <v>0</v>
      </c>
      <c r="N654" s="629">
        <f t="shared" si="63"/>
        <v>0</v>
      </c>
      <c r="O654" s="630">
        <f t="shared" si="60"/>
        <v>0</v>
      </c>
      <c r="P654" s="629">
        <f t="shared" si="64"/>
        <v>0</v>
      </c>
      <c r="Q654" s="629">
        <f t="shared" si="65"/>
        <v>0</v>
      </c>
      <c r="R654" s="630">
        <f t="shared" si="61"/>
        <v>0</v>
      </c>
    </row>
    <row r="655" spans="2:18" outlineLevel="1" x14ac:dyDescent="0.2">
      <c r="B655" s="59"/>
      <c r="C655" s="59"/>
      <c r="D655" s="59"/>
      <c r="E655" s="541"/>
      <c r="F655" s="541"/>
      <c r="G655" s="541"/>
      <c r="H655" s="541"/>
      <c r="I655" s="59"/>
      <c r="J655" s="59"/>
      <c r="K655" s="621"/>
      <c r="L655" s="621"/>
      <c r="M655" s="629">
        <f t="shared" si="62"/>
        <v>0</v>
      </c>
      <c r="N655" s="629">
        <f t="shared" si="63"/>
        <v>0</v>
      </c>
      <c r="O655" s="630">
        <f t="shared" si="60"/>
        <v>0</v>
      </c>
      <c r="P655" s="629">
        <f t="shared" si="64"/>
        <v>0</v>
      </c>
      <c r="Q655" s="629">
        <f t="shared" si="65"/>
        <v>0</v>
      </c>
      <c r="R655" s="630">
        <f t="shared" si="61"/>
        <v>0</v>
      </c>
    </row>
    <row r="656" spans="2:18" outlineLevel="1" x14ac:dyDescent="0.2">
      <c r="B656" s="59"/>
      <c r="C656" s="59"/>
      <c r="D656" s="59"/>
      <c r="E656" s="541"/>
      <c r="F656" s="541"/>
      <c r="G656" s="541"/>
      <c r="H656" s="541"/>
      <c r="I656" s="59"/>
      <c r="J656" s="59"/>
      <c r="K656" s="621"/>
      <c r="L656" s="621"/>
      <c r="M656" s="629">
        <f t="shared" si="62"/>
        <v>0</v>
      </c>
      <c r="N656" s="629">
        <f t="shared" si="63"/>
        <v>0</v>
      </c>
      <c r="O656" s="630">
        <f t="shared" si="60"/>
        <v>0</v>
      </c>
      <c r="P656" s="629">
        <f t="shared" si="64"/>
        <v>0</v>
      </c>
      <c r="Q656" s="629">
        <f t="shared" si="65"/>
        <v>0</v>
      </c>
      <c r="R656" s="630">
        <f t="shared" si="61"/>
        <v>0</v>
      </c>
    </row>
    <row r="657" spans="2:18" outlineLevel="1" x14ac:dyDescent="0.2">
      <c r="B657" s="59"/>
      <c r="C657" s="59"/>
      <c r="D657" s="59"/>
      <c r="E657" s="541"/>
      <c r="F657" s="541"/>
      <c r="G657" s="541"/>
      <c r="H657" s="541"/>
      <c r="I657" s="59"/>
      <c r="J657" s="59"/>
      <c r="K657" s="621"/>
      <c r="L657" s="621"/>
      <c r="M657" s="629">
        <f t="shared" si="62"/>
        <v>0</v>
      </c>
      <c r="N657" s="629">
        <f t="shared" si="63"/>
        <v>0</v>
      </c>
      <c r="O657" s="630">
        <f t="shared" si="60"/>
        <v>0</v>
      </c>
      <c r="P657" s="629">
        <f t="shared" si="64"/>
        <v>0</v>
      </c>
      <c r="Q657" s="629">
        <f t="shared" si="65"/>
        <v>0</v>
      </c>
      <c r="R657" s="630">
        <f t="shared" si="61"/>
        <v>0</v>
      </c>
    </row>
    <row r="658" spans="2:18" outlineLevel="1" x14ac:dyDescent="0.2">
      <c r="B658" s="59"/>
      <c r="C658" s="59"/>
      <c r="D658" s="59"/>
      <c r="E658" s="541"/>
      <c r="F658" s="541"/>
      <c r="G658" s="541"/>
      <c r="H658" s="541"/>
      <c r="I658" s="59"/>
      <c r="J658" s="59"/>
      <c r="K658" s="621"/>
      <c r="L658" s="621"/>
      <c r="M658" s="629">
        <f t="shared" si="62"/>
        <v>0</v>
      </c>
      <c r="N658" s="629">
        <f t="shared" si="63"/>
        <v>0</v>
      </c>
      <c r="O658" s="630">
        <f t="shared" si="60"/>
        <v>0</v>
      </c>
      <c r="P658" s="629">
        <f t="shared" si="64"/>
        <v>0</v>
      </c>
      <c r="Q658" s="629">
        <f t="shared" si="65"/>
        <v>0</v>
      </c>
      <c r="R658" s="630">
        <f t="shared" si="61"/>
        <v>0</v>
      </c>
    </row>
    <row r="659" spans="2:18" outlineLevel="1" x14ac:dyDescent="0.2">
      <c r="B659" s="59"/>
      <c r="C659" s="59"/>
      <c r="D659" s="59"/>
      <c r="E659" s="541"/>
      <c r="F659" s="541"/>
      <c r="G659" s="541"/>
      <c r="H659" s="541"/>
      <c r="I659" s="59"/>
      <c r="J659" s="59"/>
      <c r="K659" s="621"/>
      <c r="L659" s="621"/>
      <c r="M659" s="629">
        <f t="shared" si="62"/>
        <v>0</v>
      </c>
      <c r="N659" s="629">
        <f t="shared" si="63"/>
        <v>0</v>
      </c>
      <c r="O659" s="630">
        <f t="shared" si="60"/>
        <v>0</v>
      </c>
      <c r="P659" s="629">
        <f t="shared" si="64"/>
        <v>0</v>
      </c>
      <c r="Q659" s="629">
        <f t="shared" si="65"/>
        <v>0</v>
      </c>
      <c r="R659" s="630">
        <f t="shared" si="61"/>
        <v>0</v>
      </c>
    </row>
    <row r="660" spans="2:18" outlineLevel="1" x14ac:dyDescent="0.2">
      <c r="B660" s="59"/>
      <c r="C660" s="59"/>
      <c r="D660" s="59"/>
      <c r="E660" s="541"/>
      <c r="F660" s="541"/>
      <c r="G660" s="541"/>
      <c r="H660" s="541"/>
      <c r="I660" s="59"/>
      <c r="J660" s="59"/>
      <c r="K660" s="621"/>
      <c r="L660" s="621"/>
      <c r="M660" s="629">
        <f t="shared" si="62"/>
        <v>0</v>
      </c>
      <c r="N660" s="629">
        <f t="shared" si="63"/>
        <v>0</v>
      </c>
      <c r="O660" s="630">
        <f t="shared" si="60"/>
        <v>0</v>
      </c>
      <c r="P660" s="629">
        <f t="shared" si="64"/>
        <v>0</v>
      </c>
      <c r="Q660" s="629">
        <f t="shared" si="65"/>
        <v>0</v>
      </c>
      <c r="R660" s="630">
        <f t="shared" si="61"/>
        <v>0</v>
      </c>
    </row>
    <row r="661" spans="2:18" outlineLevel="1" x14ac:dyDescent="0.2">
      <c r="B661" s="59"/>
      <c r="C661" s="59"/>
      <c r="D661" s="59"/>
      <c r="E661" s="541"/>
      <c r="F661" s="541"/>
      <c r="G661" s="541"/>
      <c r="H661" s="541"/>
      <c r="I661" s="59"/>
      <c r="J661" s="59"/>
      <c r="K661" s="621"/>
      <c r="L661" s="621"/>
      <c r="M661" s="629">
        <f t="shared" si="62"/>
        <v>0</v>
      </c>
      <c r="N661" s="629">
        <f t="shared" si="63"/>
        <v>0</v>
      </c>
      <c r="O661" s="630">
        <f t="shared" si="60"/>
        <v>0</v>
      </c>
      <c r="P661" s="629">
        <f t="shared" si="64"/>
        <v>0</v>
      </c>
      <c r="Q661" s="629">
        <f t="shared" si="65"/>
        <v>0</v>
      </c>
      <c r="R661" s="630">
        <f t="shared" si="61"/>
        <v>0</v>
      </c>
    </row>
    <row r="662" spans="2:18" outlineLevel="1" x14ac:dyDescent="0.2">
      <c r="B662" s="59"/>
      <c r="C662" s="59"/>
      <c r="D662" s="59"/>
      <c r="E662" s="541"/>
      <c r="F662" s="541"/>
      <c r="G662" s="541"/>
      <c r="H662" s="541"/>
      <c r="I662" s="59"/>
      <c r="J662" s="59"/>
      <c r="K662" s="621"/>
      <c r="L662" s="621"/>
      <c r="M662" s="629">
        <f t="shared" si="62"/>
        <v>0</v>
      </c>
      <c r="N662" s="629">
        <f t="shared" si="63"/>
        <v>0</v>
      </c>
      <c r="O662" s="630">
        <f t="shared" si="60"/>
        <v>0</v>
      </c>
      <c r="P662" s="629">
        <f t="shared" si="64"/>
        <v>0</v>
      </c>
      <c r="Q662" s="629">
        <f t="shared" si="65"/>
        <v>0</v>
      </c>
      <c r="R662" s="630">
        <f t="shared" si="61"/>
        <v>0</v>
      </c>
    </row>
    <row r="663" spans="2:18" outlineLevel="1" x14ac:dyDescent="0.2">
      <c r="B663" s="59"/>
      <c r="C663" s="59"/>
      <c r="D663" s="59"/>
      <c r="E663" s="541"/>
      <c r="F663" s="541"/>
      <c r="G663" s="541"/>
      <c r="H663" s="541"/>
      <c r="I663" s="59"/>
      <c r="J663" s="59"/>
      <c r="K663" s="621"/>
      <c r="L663" s="621"/>
      <c r="M663" s="629">
        <f t="shared" si="62"/>
        <v>0</v>
      </c>
      <c r="N663" s="629">
        <f t="shared" si="63"/>
        <v>0</v>
      </c>
      <c r="O663" s="630">
        <f t="shared" si="60"/>
        <v>0</v>
      </c>
      <c r="P663" s="629">
        <f t="shared" si="64"/>
        <v>0</v>
      </c>
      <c r="Q663" s="629">
        <f t="shared" si="65"/>
        <v>0</v>
      </c>
      <c r="R663" s="630">
        <f t="shared" si="61"/>
        <v>0</v>
      </c>
    </row>
    <row r="664" spans="2:18" outlineLevel="1" x14ac:dyDescent="0.2">
      <c r="B664" s="59"/>
      <c r="C664" s="59"/>
      <c r="D664" s="59"/>
      <c r="E664" s="541"/>
      <c r="F664" s="541"/>
      <c r="G664" s="541"/>
      <c r="H664" s="541"/>
      <c r="I664" s="59"/>
      <c r="J664" s="59"/>
      <c r="K664" s="621"/>
      <c r="L664" s="621"/>
      <c r="M664" s="629">
        <f t="shared" si="62"/>
        <v>0</v>
      </c>
      <c r="N664" s="629">
        <f t="shared" si="63"/>
        <v>0</v>
      </c>
      <c r="O664" s="630">
        <f t="shared" si="60"/>
        <v>0</v>
      </c>
      <c r="P664" s="629">
        <f t="shared" si="64"/>
        <v>0</v>
      </c>
      <c r="Q664" s="629">
        <f t="shared" si="65"/>
        <v>0</v>
      </c>
      <c r="R664" s="630">
        <f t="shared" si="61"/>
        <v>0</v>
      </c>
    </row>
    <row r="665" spans="2:18" outlineLevel="1" x14ac:dyDescent="0.2">
      <c r="B665" s="59"/>
      <c r="C665" s="59"/>
      <c r="D665" s="59"/>
      <c r="E665" s="541"/>
      <c r="F665" s="541"/>
      <c r="G665" s="541"/>
      <c r="H665" s="541"/>
      <c r="I665" s="59"/>
      <c r="J665" s="59"/>
      <c r="K665" s="621"/>
      <c r="L665" s="621"/>
      <c r="M665" s="629">
        <f t="shared" si="62"/>
        <v>0</v>
      </c>
      <c r="N665" s="629">
        <f t="shared" si="63"/>
        <v>0</v>
      </c>
      <c r="O665" s="630">
        <f t="shared" si="60"/>
        <v>0</v>
      </c>
      <c r="P665" s="629">
        <f t="shared" si="64"/>
        <v>0</v>
      </c>
      <c r="Q665" s="629">
        <f t="shared" si="65"/>
        <v>0</v>
      </c>
      <c r="R665" s="630">
        <f t="shared" si="61"/>
        <v>0</v>
      </c>
    </row>
    <row r="666" spans="2:18" outlineLevel="1" x14ac:dyDescent="0.2">
      <c r="B666" s="59"/>
      <c r="C666" s="59"/>
      <c r="D666" s="59"/>
      <c r="E666" s="541"/>
      <c r="F666" s="541"/>
      <c r="G666" s="541"/>
      <c r="H666" s="541"/>
      <c r="I666" s="59"/>
      <c r="J666" s="59"/>
      <c r="K666" s="621"/>
      <c r="L666" s="621"/>
      <c r="M666" s="629">
        <f t="shared" si="62"/>
        <v>0</v>
      </c>
      <c r="N666" s="629">
        <f t="shared" si="63"/>
        <v>0</v>
      </c>
      <c r="O666" s="630">
        <f t="shared" si="60"/>
        <v>0</v>
      </c>
      <c r="P666" s="629">
        <f t="shared" si="64"/>
        <v>0</v>
      </c>
      <c r="Q666" s="629">
        <f t="shared" si="65"/>
        <v>0</v>
      </c>
      <c r="R666" s="630">
        <f t="shared" si="61"/>
        <v>0</v>
      </c>
    </row>
    <row r="667" spans="2:18" outlineLevel="1" x14ac:dyDescent="0.2">
      <c r="B667" s="59"/>
      <c r="C667" s="59"/>
      <c r="D667" s="59"/>
      <c r="E667" s="541"/>
      <c r="F667" s="541"/>
      <c r="G667" s="541"/>
      <c r="H667" s="541"/>
      <c r="I667" s="59"/>
      <c r="J667" s="59"/>
      <c r="K667" s="621"/>
      <c r="L667" s="621"/>
      <c r="M667" s="629">
        <f t="shared" si="62"/>
        <v>0</v>
      </c>
      <c r="N667" s="629">
        <f t="shared" si="63"/>
        <v>0</v>
      </c>
      <c r="O667" s="630">
        <f t="shared" si="60"/>
        <v>0</v>
      </c>
      <c r="P667" s="629">
        <f t="shared" si="64"/>
        <v>0</v>
      </c>
      <c r="Q667" s="629">
        <f t="shared" si="65"/>
        <v>0</v>
      </c>
      <c r="R667" s="630">
        <f t="shared" si="61"/>
        <v>0</v>
      </c>
    </row>
    <row r="668" spans="2:18" outlineLevel="1" x14ac:dyDescent="0.2">
      <c r="B668" s="59"/>
      <c r="C668" s="59"/>
      <c r="D668" s="59"/>
      <c r="E668" s="541"/>
      <c r="F668" s="541"/>
      <c r="G668" s="541"/>
      <c r="H668" s="541"/>
      <c r="I668" s="59"/>
      <c r="J668" s="59"/>
      <c r="K668" s="621"/>
      <c r="L668" s="621"/>
      <c r="M668" s="629">
        <f t="shared" si="62"/>
        <v>0</v>
      </c>
      <c r="N668" s="629">
        <f t="shared" si="63"/>
        <v>0</v>
      </c>
      <c r="O668" s="630">
        <f t="shared" si="60"/>
        <v>0</v>
      </c>
      <c r="P668" s="629">
        <f t="shared" si="64"/>
        <v>0</v>
      </c>
      <c r="Q668" s="629">
        <f t="shared" si="65"/>
        <v>0</v>
      </c>
      <c r="R668" s="630">
        <f t="shared" si="61"/>
        <v>0</v>
      </c>
    </row>
    <row r="669" spans="2:18" outlineLevel="1" x14ac:dyDescent="0.2">
      <c r="B669" s="59"/>
      <c r="C669" s="59"/>
      <c r="D669" s="59"/>
      <c r="E669" s="541"/>
      <c r="F669" s="541"/>
      <c r="G669" s="541"/>
      <c r="H669" s="541"/>
      <c r="I669" s="59"/>
      <c r="J669" s="59"/>
      <c r="K669" s="621"/>
      <c r="L669" s="621"/>
      <c r="M669" s="629">
        <f t="shared" si="62"/>
        <v>0</v>
      </c>
      <c r="N669" s="629">
        <f t="shared" si="63"/>
        <v>0</v>
      </c>
      <c r="O669" s="630">
        <f t="shared" si="60"/>
        <v>0</v>
      </c>
      <c r="P669" s="629">
        <f t="shared" si="64"/>
        <v>0</v>
      </c>
      <c r="Q669" s="629">
        <f t="shared" si="65"/>
        <v>0</v>
      </c>
      <c r="R669" s="630">
        <f t="shared" si="61"/>
        <v>0</v>
      </c>
    </row>
    <row r="670" spans="2:18" outlineLevel="1" x14ac:dyDescent="0.2">
      <c r="B670" s="59"/>
      <c r="C670" s="59"/>
      <c r="D670" s="59"/>
      <c r="E670" s="541"/>
      <c r="F670" s="541"/>
      <c r="G670" s="541"/>
      <c r="H670" s="541"/>
      <c r="I670" s="59"/>
      <c r="J670" s="59"/>
      <c r="K670" s="621"/>
      <c r="L670" s="621"/>
      <c r="M670" s="629">
        <f t="shared" si="62"/>
        <v>0</v>
      </c>
      <c r="N670" s="629">
        <f t="shared" si="63"/>
        <v>0</v>
      </c>
      <c r="O670" s="630">
        <f t="shared" si="60"/>
        <v>0</v>
      </c>
      <c r="P670" s="629">
        <f t="shared" si="64"/>
        <v>0</v>
      </c>
      <c r="Q670" s="629">
        <f t="shared" si="65"/>
        <v>0</v>
      </c>
      <c r="R670" s="630">
        <f t="shared" si="61"/>
        <v>0</v>
      </c>
    </row>
    <row r="671" spans="2:18" outlineLevel="1" x14ac:dyDescent="0.2">
      <c r="B671" s="59"/>
      <c r="C671" s="59"/>
      <c r="D671" s="59"/>
      <c r="E671" s="541"/>
      <c r="F671" s="541"/>
      <c r="G671" s="541"/>
      <c r="H671" s="541"/>
      <c r="I671" s="59"/>
      <c r="J671" s="59"/>
      <c r="K671" s="621"/>
      <c r="L671" s="621"/>
      <c r="M671" s="629">
        <f t="shared" si="62"/>
        <v>0</v>
      </c>
      <c r="N671" s="629">
        <f t="shared" si="63"/>
        <v>0</v>
      </c>
      <c r="O671" s="630">
        <f t="shared" si="60"/>
        <v>0</v>
      </c>
      <c r="P671" s="629">
        <f t="shared" si="64"/>
        <v>0</v>
      </c>
      <c r="Q671" s="629">
        <f t="shared" si="65"/>
        <v>0</v>
      </c>
      <c r="R671" s="630">
        <f t="shared" si="61"/>
        <v>0</v>
      </c>
    </row>
    <row r="672" spans="2:18" outlineLevel="1" x14ac:dyDescent="0.2">
      <c r="B672" s="59"/>
      <c r="C672" s="59"/>
      <c r="D672" s="59"/>
      <c r="E672" s="541"/>
      <c r="F672" s="541"/>
      <c r="G672" s="541"/>
      <c r="H672" s="541"/>
      <c r="I672" s="59"/>
      <c r="J672" s="59"/>
      <c r="K672" s="621"/>
      <c r="L672" s="621"/>
      <c r="M672" s="629">
        <f t="shared" si="62"/>
        <v>0</v>
      </c>
      <c r="N672" s="629">
        <f t="shared" si="63"/>
        <v>0</v>
      </c>
      <c r="O672" s="630">
        <f t="shared" si="60"/>
        <v>0</v>
      </c>
      <c r="P672" s="629">
        <f t="shared" si="64"/>
        <v>0</v>
      </c>
      <c r="Q672" s="629">
        <f t="shared" si="65"/>
        <v>0</v>
      </c>
      <c r="R672" s="630">
        <f t="shared" si="61"/>
        <v>0</v>
      </c>
    </row>
    <row r="673" spans="2:18" outlineLevel="1" x14ac:dyDescent="0.2">
      <c r="B673" s="59"/>
      <c r="C673" s="59"/>
      <c r="D673" s="59"/>
      <c r="E673" s="541"/>
      <c r="F673" s="541"/>
      <c r="G673" s="541"/>
      <c r="H673" s="541"/>
      <c r="I673" s="59"/>
      <c r="J673" s="59"/>
      <c r="K673" s="621"/>
      <c r="L673" s="621"/>
      <c r="M673" s="629">
        <f t="shared" si="62"/>
        <v>0</v>
      </c>
      <c r="N673" s="629">
        <f t="shared" si="63"/>
        <v>0</v>
      </c>
      <c r="O673" s="630">
        <f t="shared" si="60"/>
        <v>0</v>
      </c>
      <c r="P673" s="629">
        <f t="shared" si="64"/>
        <v>0</v>
      </c>
      <c r="Q673" s="629">
        <f t="shared" si="65"/>
        <v>0</v>
      </c>
      <c r="R673" s="630">
        <f t="shared" si="61"/>
        <v>0</v>
      </c>
    </row>
    <row r="674" spans="2:18" outlineLevel="1" x14ac:dyDescent="0.2">
      <c r="B674" s="59"/>
      <c r="C674" s="59"/>
      <c r="D674" s="59"/>
      <c r="E674" s="541"/>
      <c r="F674" s="541"/>
      <c r="G674" s="541"/>
      <c r="H674" s="541"/>
      <c r="I674" s="59"/>
      <c r="J674" s="59"/>
      <c r="K674" s="621"/>
      <c r="L674" s="621"/>
      <c r="M674" s="629">
        <f t="shared" si="62"/>
        <v>0</v>
      </c>
      <c r="N674" s="629">
        <f t="shared" si="63"/>
        <v>0</v>
      </c>
      <c r="O674" s="630">
        <f t="shared" si="60"/>
        <v>0</v>
      </c>
      <c r="P674" s="629">
        <f t="shared" si="64"/>
        <v>0</v>
      </c>
      <c r="Q674" s="629">
        <f t="shared" si="65"/>
        <v>0</v>
      </c>
      <c r="R674" s="630">
        <f t="shared" si="61"/>
        <v>0</v>
      </c>
    </row>
    <row r="675" spans="2:18" outlineLevel="1" x14ac:dyDescent="0.2">
      <c r="B675" s="59"/>
      <c r="C675" s="59"/>
      <c r="D675" s="59"/>
      <c r="E675" s="541"/>
      <c r="F675" s="541"/>
      <c r="G675" s="541"/>
      <c r="H675" s="541"/>
      <c r="I675" s="59"/>
      <c r="J675" s="59"/>
      <c r="K675" s="621"/>
      <c r="L675" s="621"/>
      <c r="M675" s="629">
        <f t="shared" si="62"/>
        <v>0</v>
      </c>
      <c r="N675" s="629">
        <f t="shared" si="63"/>
        <v>0</v>
      </c>
      <c r="O675" s="630">
        <f t="shared" si="60"/>
        <v>0</v>
      </c>
      <c r="P675" s="629">
        <f t="shared" si="64"/>
        <v>0</v>
      </c>
      <c r="Q675" s="629">
        <f t="shared" si="65"/>
        <v>0</v>
      </c>
      <c r="R675" s="630">
        <f t="shared" si="61"/>
        <v>0</v>
      </c>
    </row>
    <row r="676" spans="2:18" outlineLevel="1" x14ac:dyDescent="0.2">
      <c r="B676" s="59"/>
      <c r="C676" s="59"/>
      <c r="D676" s="59"/>
      <c r="E676" s="541"/>
      <c r="F676" s="541"/>
      <c r="G676" s="541"/>
      <c r="H676" s="541"/>
      <c r="I676" s="59"/>
      <c r="J676" s="59"/>
      <c r="K676" s="621"/>
      <c r="L676" s="621"/>
      <c r="M676" s="629">
        <f t="shared" si="62"/>
        <v>0</v>
      </c>
      <c r="N676" s="629">
        <f t="shared" si="63"/>
        <v>0</v>
      </c>
      <c r="O676" s="630">
        <f t="shared" si="60"/>
        <v>0</v>
      </c>
      <c r="P676" s="629">
        <f t="shared" si="64"/>
        <v>0</v>
      </c>
      <c r="Q676" s="629">
        <f t="shared" si="65"/>
        <v>0</v>
      </c>
      <c r="R676" s="630">
        <f t="shared" si="61"/>
        <v>0</v>
      </c>
    </row>
    <row r="677" spans="2:18" outlineLevel="1" x14ac:dyDescent="0.2">
      <c r="B677" s="59"/>
      <c r="C677" s="59"/>
      <c r="D677" s="59"/>
      <c r="E677" s="541"/>
      <c r="F677" s="541"/>
      <c r="G677" s="541"/>
      <c r="H677" s="541"/>
      <c r="I677" s="59"/>
      <c r="J677" s="59"/>
      <c r="K677" s="621"/>
      <c r="L677" s="621"/>
      <c r="M677" s="629">
        <f t="shared" si="62"/>
        <v>0</v>
      </c>
      <c r="N677" s="629">
        <f t="shared" si="63"/>
        <v>0</v>
      </c>
      <c r="O677" s="630">
        <f t="shared" si="60"/>
        <v>0</v>
      </c>
      <c r="P677" s="629">
        <f t="shared" si="64"/>
        <v>0</v>
      </c>
      <c r="Q677" s="629">
        <f t="shared" si="65"/>
        <v>0</v>
      </c>
      <c r="R677" s="630">
        <f t="shared" si="61"/>
        <v>0</v>
      </c>
    </row>
    <row r="678" spans="2:18" outlineLevel="1" x14ac:dyDescent="0.2">
      <c r="B678" s="59"/>
      <c r="C678" s="59"/>
      <c r="D678" s="59"/>
      <c r="E678" s="541"/>
      <c r="F678" s="541"/>
      <c r="G678" s="541"/>
      <c r="H678" s="541"/>
      <c r="I678" s="59"/>
      <c r="J678" s="59"/>
      <c r="K678" s="621"/>
      <c r="L678" s="621"/>
      <c r="M678" s="629">
        <f t="shared" si="62"/>
        <v>0</v>
      </c>
      <c r="N678" s="629">
        <f t="shared" si="63"/>
        <v>0</v>
      </c>
      <c r="O678" s="630">
        <f t="shared" si="60"/>
        <v>0</v>
      </c>
      <c r="P678" s="629">
        <f t="shared" si="64"/>
        <v>0</v>
      </c>
      <c r="Q678" s="629">
        <f t="shared" si="65"/>
        <v>0</v>
      </c>
      <c r="R678" s="630">
        <f t="shared" si="61"/>
        <v>0</v>
      </c>
    </row>
    <row r="679" spans="2:18" outlineLevel="1" x14ac:dyDescent="0.2">
      <c r="B679" s="59"/>
      <c r="C679" s="59"/>
      <c r="D679" s="59"/>
      <c r="E679" s="541"/>
      <c r="F679" s="541"/>
      <c r="G679" s="541"/>
      <c r="H679" s="541"/>
      <c r="I679" s="59"/>
      <c r="J679" s="59"/>
      <c r="K679" s="621"/>
      <c r="L679" s="621"/>
      <c r="M679" s="629">
        <f t="shared" si="62"/>
        <v>0</v>
      </c>
      <c r="N679" s="629">
        <f t="shared" si="63"/>
        <v>0</v>
      </c>
      <c r="O679" s="630">
        <f t="shared" si="60"/>
        <v>0</v>
      </c>
      <c r="P679" s="629">
        <f t="shared" si="64"/>
        <v>0</v>
      </c>
      <c r="Q679" s="629">
        <f t="shared" si="65"/>
        <v>0</v>
      </c>
      <c r="R679" s="630">
        <f t="shared" si="61"/>
        <v>0</v>
      </c>
    </row>
    <row r="680" spans="2:18" outlineLevel="1" x14ac:dyDescent="0.2">
      <c r="B680" s="59"/>
      <c r="C680" s="59"/>
      <c r="D680" s="59"/>
      <c r="E680" s="541"/>
      <c r="F680" s="541"/>
      <c r="G680" s="541"/>
      <c r="H680" s="541"/>
      <c r="I680" s="59"/>
      <c r="J680" s="59"/>
      <c r="K680" s="621"/>
      <c r="L680" s="621"/>
      <c r="M680" s="629">
        <f t="shared" si="62"/>
        <v>0</v>
      </c>
      <c r="N680" s="629">
        <f t="shared" si="63"/>
        <v>0</v>
      </c>
      <c r="O680" s="630">
        <f t="shared" si="60"/>
        <v>0</v>
      </c>
      <c r="P680" s="629">
        <f t="shared" si="64"/>
        <v>0</v>
      </c>
      <c r="Q680" s="629">
        <f t="shared" si="65"/>
        <v>0</v>
      </c>
      <c r="R680" s="630">
        <f t="shared" si="61"/>
        <v>0</v>
      </c>
    </row>
    <row r="681" spans="2:18" outlineLevel="1" x14ac:dyDescent="0.2">
      <c r="B681" s="59"/>
      <c r="C681" s="59"/>
      <c r="D681" s="59"/>
      <c r="E681" s="541"/>
      <c r="F681" s="541"/>
      <c r="G681" s="541"/>
      <c r="H681" s="541"/>
      <c r="I681" s="59"/>
      <c r="J681" s="59"/>
      <c r="K681" s="621"/>
      <c r="L681" s="621"/>
      <c r="M681" s="629">
        <f t="shared" si="62"/>
        <v>0</v>
      </c>
      <c r="N681" s="629">
        <f t="shared" si="63"/>
        <v>0</v>
      </c>
      <c r="O681" s="630">
        <f t="shared" si="60"/>
        <v>0</v>
      </c>
      <c r="P681" s="629">
        <f t="shared" si="64"/>
        <v>0</v>
      </c>
      <c r="Q681" s="629">
        <f t="shared" si="65"/>
        <v>0</v>
      </c>
      <c r="R681" s="630">
        <f t="shared" si="61"/>
        <v>0</v>
      </c>
    </row>
    <row r="682" spans="2:18" outlineLevel="1" x14ac:dyDescent="0.2">
      <c r="B682" s="59"/>
      <c r="C682" s="59"/>
      <c r="D682" s="59"/>
      <c r="E682" s="541"/>
      <c r="F682" s="541"/>
      <c r="G682" s="541"/>
      <c r="H682" s="541"/>
      <c r="I682" s="59"/>
      <c r="J682" s="59"/>
      <c r="K682" s="621"/>
      <c r="L682" s="621"/>
      <c r="M682" s="629">
        <f t="shared" si="62"/>
        <v>0</v>
      </c>
      <c r="N682" s="629">
        <f t="shared" si="63"/>
        <v>0</v>
      </c>
      <c r="O682" s="630">
        <f t="shared" si="60"/>
        <v>0</v>
      </c>
      <c r="P682" s="629">
        <f t="shared" si="64"/>
        <v>0</v>
      </c>
      <c r="Q682" s="629">
        <f t="shared" si="65"/>
        <v>0</v>
      </c>
      <c r="R682" s="630">
        <f t="shared" si="61"/>
        <v>0</v>
      </c>
    </row>
    <row r="683" spans="2:18" outlineLevel="1" x14ac:dyDescent="0.2">
      <c r="B683" s="59"/>
      <c r="C683" s="59"/>
      <c r="D683" s="59"/>
      <c r="E683" s="541"/>
      <c r="F683" s="541"/>
      <c r="G683" s="541"/>
      <c r="H683" s="541"/>
      <c r="I683" s="59"/>
      <c r="J683" s="59"/>
      <c r="K683" s="621"/>
      <c r="L683" s="621"/>
      <c r="M683" s="629">
        <f t="shared" si="62"/>
        <v>0</v>
      </c>
      <c r="N683" s="629">
        <f t="shared" si="63"/>
        <v>0</v>
      </c>
      <c r="O683" s="630">
        <f t="shared" si="60"/>
        <v>0</v>
      </c>
      <c r="P683" s="629">
        <f t="shared" si="64"/>
        <v>0</v>
      </c>
      <c r="Q683" s="629">
        <f t="shared" si="65"/>
        <v>0</v>
      </c>
      <c r="R683" s="630">
        <f t="shared" si="61"/>
        <v>0</v>
      </c>
    </row>
    <row r="684" spans="2:18" outlineLevel="1" x14ac:dyDescent="0.2">
      <c r="B684" s="59"/>
      <c r="C684" s="59"/>
      <c r="D684" s="59"/>
      <c r="E684" s="541"/>
      <c r="F684" s="541"/>
      <c r="G684" s="541"/>
      <c r="H684" s="541"/>
      <c r="I684" s="59"/>
      <c r="J684" s="59"/>
      <c r="K684" s="621"/>
      <c r="L684" s="621"/>
      <c r="M684" s="629">
        <f t="shared" si="62"/>
        <v>0</v>
      </c>
      <c r="N684" s="629">
        <f t="shared" si="63"/>
        <v>0</v>
      </c>
      <c r="O684" s="630">
        <f t="shared" si="60"/>
        <v>0</v>
      </c>
      <c r="P684" s="629">
        <f t="shared" si="64"/>
        <v>0</v>
      </c>
      <c r="Q684" s="629">
        <f t="shared" si="65"/>
        <v>0</v>
      </c>
      <c r="R684" s="630">
        <f t="shared" si="61"/>
        <v>0</v>
      </c>
    </row>
    <row r="685" spans="2:18" outlineLevel="1" x14ac:dyDescent="0.2">
      <c r="B685" s="59"/>
      <c r="C685" s="59"/>
      <c r="D685" s="59"/>
      <c r="E685" s="541"/>
      <c r="F685" s="541"/>
      <c r="G685" s="541"/>
      <c r="H685" s="541"/>
      <c r="I685" s="59"/>
      <c r="J685" s="59"/>
      <c r="K685" s="621"/>
      <c r="L685" s="621"/>
      <c r="M685" s="629">
        <f t="shared" si="62"/>
        <v>0</v>
      </c>
      <c r="N685" s="629">
        <f t="shared" si="63"/>
        <v>0</v>
      </c>
      <c r="O685" s="630">
        <f t="shared" si="60"/>
        <v>0</v>
      </c>
      <c r="P685" s="629">
        <f t="shared" si="64"/>
        <v>0</v>
      </c>
      <c r="Q685" s="629">
        <f t="shared" si="65"/>
        <v>0</v>
      </c>
      <c r="R685" s="630">
        <f t="shared" si="61"/>
        <v>0</v>
      </c>
    </row>
    <row r="686" spans="2:18" outlineLevel="1" x14ac:dyDescent="0.2">
      <c r="B686" s="59"/>
      <c r="C686" s="59"/>
      <c r="D686" s="59"/>
      <c r="E686" s="541"/>
      <c r="F686" s="541"/>
      <c r="G686" s="541"/>
      <c r="H686" s="541"/>
      <c r="I686" s="59"/>
      <c r="J686" s="59"/>
      <c r="K686" s="621"/>
      <c r="L686" s="621"/>
      <c r="M686" s="629">
        <f t="shared" si="62"/>
        <v>0</v>
      </c>
      <c r="N686" s="629">
        <f t="shared" si="63"/>
        <v>0</v>
      </c>
      <c r="O686" s="630">
        <f t="shared" si="60"/>
        <v>0</v>
      </c>
      <c r="P686" s="629">
        <f t="shared" si="64"/>
        <v>0</v>
      </c>
      <c r="Q686" s="629">
        <f t="shared" si="65"/>
        <v>0</v>
      </c>
      <c r="R686" s="630">
        <f t="shared" si="61"/>
        <v>0</v>
      </c>
    </row>
    <row r="687" spans="2:18" outlineLevel="1" x14ac:dyDescent="0.2">
      <c r="B687" s="59"/>
      <c r="C687" s="59"/>
      <c r="D687" s="59"/>
      <c r="E687" s="541"/>
      <c r="F687" s="541"/>
      <c r="G687" s="541"/>
      <c r="H687" s="541"/>
      <c r="I687" s="59"/>
      <c r="J687" s="59"/>
      <c r="K687" s="621"/>
      <c r="L687" s="621"/>
      <c r="M687" s="629">
        <f t="shared" si="62"/>
        <v>0</v>
      </c>
      <c r="N687" s="629">
        <f t="shared" si="63"/>
        <v>0</v>
      </c>
      <c r="O687" s="630">
        <f t="shared" si="60"/>
        <v>0</v>
      </c>
      <c r="P687" s="629">
        <f t="shared" si="64"/>
        <v>0</v>
      </c>
      <c r="Q687" s="629">
        <f t="shared" si="65"/>
        <v>0</v>
      </c>
      <c r="R687" s="630">
        <f t="shared" si="61"/>
        <v>0</v>
      </c>
    </row>
    <row r="688" spans="2:18" outlineLevel="1" x14ac:dyDescent="0.2">
      <c r="B688" s="59"/>
      <c r="C688" s="59"/>
      <c r="D688" s="59"/>
      <c r="E688" s="541"/>
      <c r="F688" s="541"/>
      <c r="G688" s="541"/>
      <c r="H688" s="541"/>
      <c r="I688" s="59"/>
      <c r="J688" s="59"/>
      <c r="K688" s="621"/>
      <c r="L688" s="621"/>
      <c r="M688" s="629">
        <f t="shared" si="62"/>
        <v>0</v>
      </c>
      <c r="N688" s="629">
        <f t="shared" si="63"/>
        <v>0</v>
      </c>
      <c r="O688" s="630">
        <f t="shared" si="60"/>
        <v>0</v>
      </c>
      <c r="P688" s="629">
        <f t="shared" si="64"/>
        <v>0</v>
      </c>
      <c r="Q688" s="629">
        <f t="shared" si="65"/>
        <v>0</v>
      </c>
      <c r="R688" s="630">
        <f t="shared" si="61"/>
        <v>0</v>
      </c>
    </row>
    <row r="689" spans="2:18" outlineLevel="1" x14ac:dyDescent="0.2">
      <c r="B689" s="59"/>
      <c r="C689" s="59"/>
      <c r="D689" s="59"/>
      <c r="E689" s="541"/>
      <c r="F689" s="541"/>
      <c r="G689" s="541"/>
      <c r="H689" s="541"/>
      <c r="I689" s="59"/>
      <c r="J689" s="59"/>
      <c r="K689" s="621"/>
      <c r="L689" s="621"/>
      <c r="M689" s="629">
        <f t="shared" si="62"/>
        <v>0</v>
      </c>
      <c r="N689" s="629">
        <f t="shared" si="63"/>
        <v>0</v>
      </c>
      <c r="O689" s="630">
        <f t="shared" si="60"/>
        <v>0</v>
      </c>
      <c r="P689" s="629">
        <f t="shared" si="64"/>
        <v>0</v>
      </c>
      <c r="Q689" s="629">
        <f t="shared" si="65"/>
        <v>0</v>
      </c>
      <c r="R689" s="630">
        <f t="shared" si="61"/>
        <v>0</v>
      </c>
    </row>
    <row r="690" spans="2:18" outlineLevel="1" x14ac:dyDescent="0.2">
      <c r="B690" s="59"/>
      <c r="C690" s="59"/>
      <c r="D690" s="59"/>
      <c r="E690" s="541"/>
      <c r="F690" s="541"/>
      <c r="G690" s="541"/>
      <c r="H690" s="541"/>
      <c r="I690" s="59"/>
      <c r="J690" s="59"/>
      <c r="K690" s="621"/>
      <c r="L690" s="621"/>
      <c r="M690" s="629">
        <f t="shared" si="62"/>
        <v>0</v>
      </c>
      <c r="N690" s="629">
        <f t="shared" si="63"/>
        <v>0</v>
      </c>
      <c r="O690" s="630">
        <f t="shared" si="60"/>
        <v>0</v>
      </c>
      <c r="P690" s="629">
        <f t="shared" si="64"/>
        <v>0</v>
      </c>
      <c r="Q690" s="629">
        <f t="shared" si="65"/>
        <v>0</v>
      </c>
      <c r="R690" s="630">
        <f t="shared" si="61"/>
        <v>0</v>
      </c>
    </row>
    <row r="691" spans="2:18" outlineLevel="1" x14ac:dyDescent="0.2">
      <c r="B691" s="59"/>
      <c r="C691" s="59"/>
      <c r="D691" s="59"/>
      <c r="E691" s="541"/>
      <c r="F691" s="541"/>
      <c r="G691" s="541"/>
      <c r="H691" s="541"/>
      <c r="I691" s="59"/>
      <c r="J691" s="59"/>
      <c r="K691" s="621"/>
      <c r="L691" s="621"/>
      <c r="M691" s="629">
        <f t="shared" si="62"/>
        <v>0</v>
      </c>
      <c r="N691" s="629">
        <f t="shared" si="63"/>
        <v>0</v>
      </c>
      <c r="O691" s="630">
        <f t="shared" si="60"/>
        <v>0</v>
      </c>
      <c r="P691" s="629">
        <f t="shared" si="64"/>
        <v>0</v>
      </c>
      <c r="Q691" s="629">
        <f t="shared" si="65"/>
        <v>0</v>
      </c>
      <c r="R691" s="630">
        <f t="shared" si="61"/>
        <v>0</v>
      </c>
    </row>
    <row r="692" spans="2:18" outlineLevel="1" x14ac:dyDescent="0.2">
      <c r="B692" s="59"/>
      <c r="C692" s="59"/>
      <c r="D692" s="59"/>
      <c r="E692" s="541"/>
      <c r="F692" s="541"/>
      <c r="G692" s="541"/>
      <c r="H692" s="541"/>
      <c r="I692" s="59"/>
      <c r="J692" s="59"/>
      <c r="K692" s="621"/>
      <c r="L692" s="621"/>
      <c r="M692" s="629">
        <f t="shared" si="62"/>
        <v>0</v>
      </c>
      <c r="N692" s="629">
        <f t="shared" si="63"/>
        <v>0</v>
      </c>
      <c r="O692" s="630">
        <f t="shared" si="60"/>
        <v>0</v>
      </c>
      <c r="P692" s="629">
        <f t="shared" si="64"/>
        <v>0</v>
      </c>
      <c r="Q692" s="629">
        <f t="shared" si="65"/>
        <v>0</v>
      </c>
      <c r="R692" s="630">
        <f t="shared" si="61"/>
        <v>0</v>
      </c>
    </row>
    <row r="693" spans="2:18" outlineLevel="1" x14ac:dyDescent="0.2">
      <c r="B693" s="59"/>
      <c r="C693" s="59"/>
      <c r="D693" s="59"/>
      <c r="E693" s="541"/>
      <c r="F693" s="541"/>
      <c r="G693" s="541"/>
      <c r="H693" s="541"/>
      <c r="I693" s="59"/>
      <c r="J693" s="59"/>
      <c r="K693" s="621"/>
      <c r="L693" s="621"/>
      <c r="M693" s="629">
        <f t="shared" si="62"/>
        <v>0</v>
      </c>
      <c r="N693" s="629">
        <f t="shared" si="63"/>
        <v>0</v>
      </c>
      <c r="O693" s="630">
        <f t="shared" si="60"/>
        <v>0</v>
      </c>
      <c r="P693" s="629">
        <f t="shared" si="64"/>
        <v>0</v>
      </c>
      <c r="Q693" s="629">
        <f t="shared" si="65"/>
        <v>0</v>
      </c>
      <c r="R693" s="630">
        <f t="shared" si="61"/>
        <v>0</v>
      </c>
    </row>
    <row r="694" spans="2:18" outlineLevel="1" x14ac:dyDescent="0.2">
      <c r="B694" s="59"/>
      <c r="C694" s="59"/>
      <c r="D694" s="59"/>
      <c r="E694" s="541"/>
      <c r="F694" s="541"/>
      <c r="G694" s="541"/>
      <c r="H694" s="541"/>
      <c r="I694" s="59"/>
      <c r="J694" s="59"/>
      <c r="K694" s="621"/>
      <c r="L694" s="621"/>
      <c r="M694" s="629">
        <f t="shared" si="62"/>
        <v>0</v>
      </c>
      <c r="N694" s="629">
        <f t="shared" si="63"/>
        <v>0</v>
      </c>
      <c r="O694" s="630">
        <f t="shared" si="60"/>
        <v>0</v>
      </c>
      <c r="P694" s="629">
        <f t="shared" si="64"/>
        <v>0</v>
      </c>
      <c r="Q694" s="629">
        <f t="shared" si="65"/>
        <v>0</v>
      </c>
      <c r="R694" s="630">
        <f t="shared" si="61"/>
        <v>0</v>
      </c>
    </row>
    <row r="695" spans="2:18" outlineLevel="1" x14ac:dyDescent="0.2">
      <c r="B695" s="59"/>
      <c r="C695" s="59"/>
      <c r="D695" s="59"/>
      <c r="E695" s="541"/>
      <c r="F695" s="541"/>
      <c r="G695" s="541"/>
      <c r="H695" s="541"/>
      <c r="I695" s="59"/>
      <c r="J695" s="59"/>
      <c r="K695" s="621"/>
      <c r="L695" s="621"/>
      <c r="M695" s="629">
        <f t="shared" si="62"/>
        <v>0</v>
      </c>
      <c r="N695" s="629">
        <f t="shared" si="63"/>
        <v>0</v>
      </c>
      <c r="O695" s="630">
        <f t="shared" si="60"/>
        <v>0</v>
      </c>
      <c r="P695" s="629">
        <f t="shared" si="64"/>
        <v>0</v>
      </c>
      <c r="Q695" s="629">
        <f t="shared" si="65"/>
        <v>0</v>
      </c>
      <c r="R695" s="630">
        <f t="shared" si="61"/>
        <v>0</v>
      </c>
    </row>
    <row r="696" spans="2:18" outlineLevel="1" x14ac:dyDescent="0.2">
      <c r="B696" s="59"/>
      <c r="C696" s="59"/>
      <c r="D696" s="59"/>
      <c r="E696" s="541"/>
      <c r="F696" s="541"/>
      <c r="G696" s="541"/>
      <c r="H696" s="541"/>
      <c r="I696" s="59"/>
      <c r="J696" s="59"/>
      <c r="K696" s="621"/>
      <c r="L696" s="621"/>
      <c r="M696" s="629">
        <f t="shared" si="62"/>
        <v>0</v>
      </c>
      <c r="N696" s="629">
        <f t="shared" si="63"/>
        <v>0</v>
      </c>
      <c r="O696" s="630">
        <f t="shared" si="60"/>
        <v>0</v>
      </c>
      <c r="P696" s="629">
        <f t="shared" si="64"/>
        <v>0</v>
      </c>
      <c r="Q696" s="629">
        <f t="shared" si="65"/>
        <v>0</v>
      </c>
      <c r="R696" s="630">
        <f t="shared" si="61"/>
        <v>0</v>
      </c>
    </row>
    <row r="697" spans="2:18" outlineLevel="1" x14ac:dyDescent="0.2">
      <c r="B697" s="59"/>
      <c r="C697" s="59"/>
      <c r="D697" s="59"/>
      <c r="E697" s="541"/>
      <c r="F697" s="541"/>
      <c r="G697" s="541"/>
      <c r="H697" s="541"/>
      <c r="I697" s="59"/>
      <c r="J697" s="59"/>
      <c r="K697" s="621"/>
      <c r="L697" s="621"/>
      <c r="M697" s="629">
        <f t="shared" si="62"/>
        <v>0</v>
      </c>
      <c r="N697" s="629">
        <f t="shared" si="63"/>
        <v>0</v>
      </c>
      <c r="O697" s="630">
        <f t="shared" si="60"/>
        <v>0</v>
      </c>
      <c r="P697" s="629">
        <f t="shared" si="64"/>
        <v>0</v>
      </c>
      <c r="Q697" s="629">
        <f t="shared" si="65"/>
        <v>0</v>
      </c>
      <c r="R697" s="630">
        <f t="shared" si="61"/>
        <v>0</v>
      </c>
    </row>
    <row r="698" spans="2:18" outlineLevel="1" x14ac:dyDescent="0.2">
      <c r="B698" s="59"/>
      <c r="C698" s="59"/>
      <c r="D698" s="59"/>
      <c r="E698" s="541"/>
      <c r="F698" s="541"/>
      <c r="G698" s="541"/>
      <c r="H698" s="541"/>
      <c r="I698" s="59"/>
      <c r="J698" s="59"/>
      <c r="K698" s="621"/>
      <c r="L698" s="621"/>
      <c r="M698" s="629">
        <f t="shared" si="62"/>
        <v>0</v>
      </c>
      <c r="N698" s="629">
        <f t="shared" si="63"/>
        <v>0</v>
      </c>
      <c r="O698" s="630">
        <f t="shared" si="60"/>
        <v>0</v>
      </c>
      <c r="P698" s="629">
        <f t="shared" si="64"/>
        <v>0</v>
      </c>
      <c r="Q698" s="629">
        <f t="shared" si="65"/>
        <v>0</v>
      </c>
      <c r="R698" s="630">
        <f t="shared" si="61"/>
        <v>0</v>
      </c>
    </row>
    <row r="699" spans="2:18" outlineLevel="1" x14ac:dyDescent="0.2">
      <c r="B699" s="59"/>
      <c r="C699" s="59"/>
      <c r="D699" s="59"/>
      <c r="E699" s="541"/>
      <c r="F699" s="541"/>
      <c r="G699" s="541"/>
      <c r="H699" s="541"/>
      <c r="I699" s="59"/>
      <c r="J699" s="59"/>
      <c r="K699" s="621"/>
      <c r="L699" s="621"/>
      <c r="M699" s="629">
        <f t="shared" si="62"/>
        <v>0</v>
      </c>
      <c r="N699" s="629">
        <f t="shared" si="63"/>
        <v>0</v>
      </c>
      <c r="O699" s="630">
        <f t="shared" si="60"/>
        <v>0</v>
      </c>
      <c r="P699" s="629">
        <f t="shared" si="64"/>
        <v>0</v>
      </c>
      <c r="Q699" s="629">
        <f t="shared" si="65"/>
        <v>0</v>
      </c>
      <c r="R699" s="630">
        <f t="shared" si="61"/>
        <v>0</v>
      </c>
    </row>
    <row r="700" spans="2:18" outlineLevel="1" x14ac:dyDescent="0.2">
      <c r="B700" s="59"/>
      <c r="C700" s="59"/>
      <c r="D700" s="59"/>
      <c r="E700" s="541"/>
      <c r="F700" s="541"/>
      <c r="G700" s="541"/>
      <c r="H700" s="541"/>
      <c r="I700" s="59"/>
      <c r="J700" s="59"/>
      <c r="K700" s="621"/>
      <c r="L700" s="621"/>
      <c r="M700" s="629">
        <f t="shared" si="62"/>
        <v>0</v>
      </c>
      <c r="N700" s="629">
        <f t="shared" si="63"/>
        <v>0</v>
      </c>
      <c r="O700" s="630">
        <f t="shared" si="60"/>
        <v>0</v>
      </c>
      <c r="P700" s="629">
        <f t="shared" si="64"/>
        <v>0</v>
      </c>
      <c r="Q700" s="629">
        <f t="shared" si="65"/>
        <v>0</v>
      </c>
      <c r="R700" s="630">
        <f t="shared" si="61"/>
        <v>0</v>
      </c>
    </row>
    <row r="701" spans="2:18" outlineLevel="1" x14ac:dyDescent="0.2">
      <c r="B701" s="59"/>
      <c r="C701" s="59"/>
      <c r="D701" s="59"/>
      <c r="E701" s="541"/>
      <c r="F701" s="541"/>
      <c r="G701" s="541"/>
      <c r="H701" s="541"/>
      <c r="I701" s="59"/>
      <c r="J701" s="59"/>
      <c r="K701" s="621"/>
      <c r="L701" s="621"/>
      <c r="M701" s="629">
        <f t="shared" si="62"/>
        <v>0</v>
      </c>
      <c r="N701" s="629">
        <f t="shared" si="63"/>
        <v>0</v>
      </c>
      <c r="O701" s="630">
        <f t="shared" si="60"/>
        <v>0</v>
      </c>
      <c r="P701" s="629">
        <f t="shared" si="64"/>
        <v>0</v>
      </c>
      <c r="Q701" s="629">
        <f t="shared" si="65"/>
        <v>0</v>
      </c>
      <c r="R701" s="630">
        <f t="shared" si="61"/>
        <v>0</v>
      </c>
    </row>
    <row r="702" spans="2:18" outlineLevel="1" x14ac:dyDescent="0.2">
      <c r="B702" s="59"/>
      <c r="C702" s="59"/>
      <c r="D702" s="59"/>
      <c r="E702" s="541"/>
      <c r="F702" s="541"/>
      <c r="G702" s="541"/>
      <c r="H702" s="541"/>
      <c r="I702" s="59"/>
      <c r="J702" s="59"/>
      <c r="K702" s="621"/>
      <c r="L702" s="621"/>
      <c r="M702" s="629">
        <f t="shared" si="62"/>
        <v>0</v>
      </c>
      <c r="N702" s="629">
        <f t="shared" si="63"/>
        <v>0</v>
      </c>
      <c r="O702" s="630">
        <f t="shared" si="60"/>
        <v>0</v>
      </c>
      <c r="P702" s="629">
        <f t="shared" si="64"/>
        <v>0</v>
      </c>
      <c r="Q702" s="629">
        <f t="shared" si="65"/>
        <v>0</v>
      </c>
      <c r="R702" s="630">
        <f t="shared" si="61"/>
        <v>0</v>
      </c>
    </row>
    <row r="703" spans="2:18" outlineLevel="1" x14ac:dyDescent="0.2">
      <c r="B703" s="59"/>
      <c r="C703" s="59"/>
      <c r="D703" s="59"/>
      <c r="E703" s="541"/>
      <c r="F703" s="541"/>
      <c r="G703" s="541"/>
      <c r="H703" s="541"/>
      <c r="I703" s="59"/>
      <c r="J703" s="59"/>
      <c r="K703" s="621"/>
      <c r="L703" s="621"/>
      <c r="M703" s="629">
        <f t="shared" si="62"/>
        <v>0</v>
      </c>
      <c r="N703" s="629">
        <f t="shared" si="63"/>
        <v>0</v>
      </c>
      <c r="O703" s="630">
        <f t="shared" si="60"/>
        <v>0</v>
      </c>
      <c r="P703" s="629">
        <f t="shared" si="64"/>
        <v>0</v>
      </c>
      <c r="Q703" s="629">
        <f t="shared" si="65"/>
        <v>0</v>
      </c>
      <c r="R703" s="630">
        <f t="shared" si="61"/>
        <v>0</v>
      </c>
    </row>
    <row r="704" spans="2:18" outlineLevel="1" x14ac:dyDescent="0.2">
      <c r="B704" s="59"/>
      <c r="C704" s="59"/>
      <c r="D704" s="59"/>
      <c r="E704" s="541"/>
      <c r="F704" s="541"/>
      <c r="G704" s="541"/>
      <c r="H704" s="541"/>
      <c r="I704" s="59"/>
      <c r="J704" s="59"/>
      <c r="K704" s="621"/>
      <c r="L704" s="621"/>
      <c r="M704" s="629">
        <f t="shared" si="62"/>
        <v>0</v>
      </c>
      <c r="N704" s="629">
        <f t="shared" si="63"/>
        <v>0</v>
      </c>
      <c r="O704" s="630">
        <f t="shared" si="60"/>
        <v>0</v>
      </c>
      <c r="P704" s="629">
        <f t="shared" si="64"/>
        <v>0</v>
      </c>
      <c r="Q704" s="629">
        <f t="shared" si="65"/>
        <v>0</v>
      </c>
      <c r="R704" s="630">
        <f t="shared" si="61"/>
        <v>0</v>
      </c>
    </row>
    <row r="705" spans="2:18" outlineLevel="1" x14ac:dyDescent="0.2">
      <c r="B705" s="59"/>
      <c r="C705" s="59"/>
      <c r="D705" s="59"/>
      <c r="E705" s="541"/>
      <c r="F705" s="541"/>
      <c r="G705" s="541"/>
      <c r="H705" s="541"/>
      <c r="I705" s="59"/>
      <c r="J705" s="59"/>
      <c r="K705" s="621"/>
      <c r="L705" s="621"/>
      <c r="M705" s="629">
        <f t="shared" si="62"/>
        <v>0</v>
      </c>
      <c r="N705" s="629">
        <f t="shared" si="63"/>
        <v>0</v>
      </c>
      <c r="O705" s="630">
        <f t="shared" si="60"/>
        <v>0</v>
      </c>
      <c r="P705" s="629">
        <f t="shared" si="64"/>
        <v>0</v>
      </c>
      <c r="Q705" s="629">
        <f t="shared" si="65"/>
        <v>0</v>
      </c>
      <c r="R705" s="630">
        <f t="shared" si="61"/>
        <v>0</v>
      </c>
    </row>
    <row r="706" spans="2:18" outlineLevel="1" x14ac:dyDescent="0.2">
      <c r="B706" s="59"/>
      <c r="C706" s="59"/>
      <c r="D706" s="59"/>
      <c r="E706" s="541"/>
      <c r="F706" s="541"/>
      <c r="G706" s="541"/>
      <c r="H706" s="541"/>
      <c r="I706" s="59"/>
      <c r="J706" s="59"/>
      <c r="K706" s="621"/>
      <c r="L706" s="621"/>
      <c r="M706" s="629">
        <f t="shared" si="62"/>
        <v>0</v>
      </c>
      <c r="N706" s="629">
        <f t="shared" si="63"/>
        <v>0</v>
      </c>
      <c r="O706" s="630">
        <f t="shared" si="60"/>
        <v>0</v>
      </c>
      <c r="P706" s="629">
        <f t="shared" si="64"/>
        <v>0</v>
      </c>
      <c r="Q706" s="629">
        <f t="shared" si="65"/>
        <v>0</v>
      </c>
      <c r="R706" s="630">
        <f t="shared" si="61"/>
        <v>0</v>
      </c>
    </row>
    <row r="707" spans="2:18" outlineLevel="1" x14ac:dyDescent="0.2">
      <c r="B707" s="59"/>
      <c r="C707" s="59"/>
      <c r="D707" s="59"/>
      <c r="E707" s="541"/>
      <c r="F707" s="541"/>
      <c r="G707" s="541"/>
      <c r="H707" s="541"/>
      <c r="I707" s="59"/>
      <c r="J707" s="59"/>
      <c r="K707" s="621"/>
      <c r="L707" s="621"/>
      <c r="M707" s="629">
        <f t="shared" si="62"/>
        <v>0</v>
      </c>
      <c r="N707" s="629">
        <f t="shared" si="63"/>
        <v>0</v>
      </c>
      <c r="O707" s="630">
        <f t="shared" si="60"/>
        <v>0</v>
      </c>
      <c r="P707" s="629">
        <f t="shared" si="64"/>
        <v>0</v>
      </c>
      <c r="Q707" s="629">
        <f t="shared" si="65"/>
        <v>0</v>
      </c>
      <c r="R707" s="630">
        <f t="shared" si="61"/>
        <v>0</v>
      </c>
    </row>
    <row r="708" spans="2:18" outlineLevel="1" x14ac:dyDescent="0.2">
      <c r="B708" s="59"/>
      <c r="C708" s="59"/>
      <c r="D708" s="59"/>
      <c r="E708" s="541"/>
      <c r="F708" s="541"/>
      <c r="G708" s="541"/>
      <c r="H708" s="541"/>
      <c r="I708" s="59"/>
      <c r="J708" s="59"/>
      <c r="K708" s="621"/>
      <c r="L708" s="621"/>
      <c r="M708" s="629">
        <f t="shared" si="62"/>
        <v>0</v>
      </c>
      <c r="N708" s="629">
        <f t="shared" si="63"/>
        <v>0</v>
      </c>
      <c r="O708" s="630">
        <f t="shared" si="60"/>
        <v>0</v>
      </c>
      <c r="P708" s="629">
        <f t="shared" si="64"/>
        <v>0</v>
      </c>
      <c r="Q708" s="629">
        <f t="shared" si="65"/>
        <v>0</v>
      </c>
      <c r="R708" s="630">
        <f t="shared" si="61"/>
        <v>0</v>
      </c>
    </row>
    <row r="709" spans="2:18" outlineLevel="1" x14ac:dyDescent="0.2">
      <c r="B709" s="59"/>
      <c r="C709" s="59"/>
      <c r="D709" s="59"/>
      <c r="E709" s="541"/>
      <c r="F709" s="541"/>
      <c r="G709" s="541"/>
      <c r="H709" s="541"/>
      <c r="I709" s="59"/>
      <c r="J709" s="59"/>
      <c r="K709" s="621"/>
      <c r="L709" s="621"/>
      <c r="M709" s="629">
        <f t="shared" si="62"/>
        <v>0</v>
      </c>
      <c r="N709" s="629">
        <f t="shared" si="63"/>
        <v>0</v>
      </c>
      <c r="O709" s="630">
        <f t="shared" ref="O709:O772" si="66">M709+N709</f>
        <v>0</v>
      </c>
      <c r="P709" s="629">
        <f t="shared" si="64"/>
        <v>0</v>
      </c>
      <c r="Q709" s="629">
        <f t="shared" si="65"/>
        <v>0</v>
      </c>
      <c r="R709" s="630">
        <f t="shared" ref="R709:R772" si="67">P709+Q709</f>
        <v>0</v>
      </c>
    </row>
    <row r="710" spans="2:18" outlineLevel="1" x14ac:dyDescent="0.2">
      <c r="B710" s="59"/>
      <c r="C710" s="59"/>
      <c r="D710" s="59"/>
      <c r="E710" s="541"/>
      <c r="F710" s="541"/>
      <c r="G710" s="541"/>
      <c r="H710" s="541"/>
      <c r="I710" s="59"/>
      <c r="J710" s="59"/>
      <c r="K710" s="621"/>
      <c r="L710" s="621"/>
      <c r="M710" s="629">
        <f t="shared" ref="M710:M773" si="68">G710*(-1)</f>
        <v>0</v>
      </c>
      <c r="N710" s="629">
        <f t="shared" ref="N710:N773" si="69">H710*(-1)</f>
        <v>0</v>
      </c>
      <c r="O710" s="630">
        <f t="shared" si="66"/>
        <v>0</v>
      </c>
      <c r="P710" s="629">
        <f t="shared" ref="P710:P773" si="70">+IF(AND(I710="NO",E710&gt;G710),(E710-G710)*K710*(-1),0)</f>
        <v>0</v>
      </c>
      <c r="Q710" s="629">
        <f t="shared" ref="Q710:Q773" si="71">+IF(AND(J710="NO",F710&gt;H710),(F710-H710)*L710*(-1),0)</f>
        <v>0</v>
      </c>
      <c r="R710" s="630">
        <f t="shared" si="67"/>
        <v>0</v>
      </c>
    </row>
    <row r="711" spans="2:18" outlineLevel="1" x14ac:dyDescent="0.2">
      <c r="B711" s="59"/>
      <c r="C711" s="59"/>
      <c r="D711" s="59"/>
      <c r="E711" s="541"/>
      <c r="F711" s="541"/>
      <c r="G711" s="541"/>
      <c r="H711" s="541"/>
      <c r="I711" s="59"/>
      <c r="J711" s="59"/>
      <c r="K711" s="621"/>
      <c r="L711" s="621"/>
      <c r="M711" s="629">
        <f t="shared" si="68"/>
        <v>0</v>
      </c>
      <c r="N711" s="629">
        <f t="shared" si="69"/>
        <v>0</v>
      </c>
      <c r="O711" s="630">
        <f t="shared" si="66"/>
        <v>0</v>
      </c>
      <c r="P711" s="629">
        <f t="shared" si="70"/>
        <v>0</v>
      </c>
      <c r="Q711" s="629">
        <f t="shared" si="71"/>
        <v>0</v>
      </c>
      <c r="R711" s="630">
        <f t="shared" si="67"/>
        <v>0</v>
      </c>
    </row>
    <row r="712" spans="2:18" outlineLevel="1" x14ac:dyDescent="0.2">
      <c r="B712" s="59"/>
      <c r="C712" s="59"/>
      <c r="D712" s="59"/>
      <c r="E712" s="541"/>
      <c r="F712" s="541"/>
      <c r="G712" s="541"/>
      <c r="H712" s="541"/>
      <c r="I712" s="59"/>
      <c r="J712" s="59"/>
      <c r="K712" s="621"/>
      <c r="L712" s="621"/>
      <c r="M712" s="629">
        <f t="shared" si="68"/>
        <v>0</v>
      </c>
      <c r="N712" s="629">
        <f t="shared" si="69"/>
        <v>0</v>
      </c>
      <c r="O712" s="630">
        <f t="shared" si="66"/>
        <v>0</v>
      </c>
      <c r="P712" s="629">
        <f t="shared" si="70"/>
        <v>0</v>
      </c>
      <c r="Q712" s="629">
        <f t="shared" si="71"/>
        <v>0</v>
      </c>
      <c r="R712" s="630">
        <f t="shared" si="67"/>
        <v>0</v>
      </c>
    </row>
    <row r="713" spans="2:18" outlineLevel="1" x14ac:dyDescent="0.2">
      <c r="B713" s="59"/>
      <c r="C713" s="59"/>
      <c r="D713" s="59"/>
      <c r="E713" s="541"/>
      <c r="F713" s="541"/>
      <c r="G713" s="541"/>
      <c r="H713" s="541"/>
      <c r="I713" s="59"/>
      <c r="J713" s="59"/>
      <c r="K713" s="621"/>
      <c r="L713" s="621"/>
      <c r="M713" s="629">
        <f t="shared" si="68"/>
        <v>0</v>
      </c>
      <c r="N713" s="629">
        <f t="shared" si="69"/>
        <v>0</v>
      </c>
      <c r="O713" s="630">
        <f t="shared" si="66"/>
        <v>0</v>
      </c>
      <c r="P713" s="629">
        <f t="shared" si="70"/>
        <v>0</v>
      </c>
      <c r="Q713" s="629">
        <f t="shared" si="71"/>
        <v>0</v>
      </c>
      <c r="R713" s="630">
        <f t="shared" si="67"/>
        <v>0</v>
      </c>
    </row>
    <row r="714" spans="2:18" outlineLevel="1" x14ac:dyDescent="0.2">
      <c r="B714" s="59"/>
      <c r="C714" s="59"/>
      <c r="D714" s="59"/>
      <c r="E714" s="541"/>
      <c r="F714" s="541"/>
      <c r="G714" s="541"/>
      <c r="H714" s="541"/>
      <c r="I714" s="59"/>
      <c r="J714" s="59"/>
      <c r="K714" s="621"/>
      <c r="L714" s="621"/>
      <c r="M714" s="629">
        <f t="shared" si="68"/>
        <v>0</v>
      </c>
      <c r="N714" s="629">
        <f t="shared" si="69"/>
        <v>0</v>
      </c>
      <c r="O714" s="630">
        <f t="shared" si="66"/>
        <v>0</v>
      </c>
      <c r="P714" s="629">
        <f t="shared" si="70"/>
        <v>0</v>
      </c>
      <c r="Q714" s="629">
        <f t="shared" si="71"/>
        <v>0</v>
      </c>
      <c r="R714" s="630">
        <f t="shared" si="67"/>
        <v>0</v>
      </c>
    </row>
    <row r="715" spans="2:18" outlineLevel="1" x14ac:dyDescent="0.2">
      <c r="B715" s="59"/>
      <c r="C715" s="59"/>
      <c r="D715" s="59"/>
      <c r="E715" s="541"/>
      <c r="F715" s="541"/>
      <c r="G715" s="541"/>
      <c r="H715" s="541"/>
      <c r="I715" s="59"/>
      <c r="J715" s="59"/>
      <c r="K715" s="621"/>
      <c r="L715" s="621"/>
      <c r="M715" s="629">
        <f t="shared" si="68"/>
        <v>0</v>
      </c>
      <c r="N715" s="629">
        <f t="shared" si="69"/>
        <v>0</v>
      </c>
      <c r="O715" s="630">
        <f t="shared" si="66"/>
        <v>0</v>
      </c>
      <c r="P715" s="629">
        <f t="shared" si="70"/>
        <v>0</v>
      </c>
      <c r="Q715" s="629">
        <f t="shared" si="71"/>
        <v>0</v>
      </c>
      <c r="R715" s="630">
        <f t="shared" si="67"/>
        <v>0</v>
      </c>
    </row>
    <row r="716" spans="2:18" outlineLevel="1" x14ac:dyDescent="0.2">
      <c r="B716" s="59"/>
      <c r="C716" s="59"/>
      <c r="D716" s="59"/>
      <c r="E716" s="541"/>
      <c r="F716" s="541"/>
      <c r="G716" s="541"/>
      <c r="H716" s="541"/>
      <c r="I716" s="59"/>
      <c r="J716" s="59"/>
      <c r="K716" s="621"/>
      <c r="L716" s="621"/>
      <c r="M716" s="629">
        <f t="shared" si="68"/>
        <v>0</v>
      </c>
      <c r="N716" s="629">
        <f t="shared" si="69"/>
        <v>0</v>
      </c>
      <c r="O716" s="630">
        <f t="shared" si="66"/>
        <v>0</v>
      </c>
      <c r="P716" s="629">
        <f t="shared" si="70"/>
        <v>0</v>
      </c>
      <c r="Q716" s="629">
        <f t="shared" si="71"/>
        <v>0</v>
      </c>
      <c r="R716" s="630">
        <f t="shared" si="67"/>
        <v>0</v>
      </c>
    </row>
    <row r="717" spans="2:18" outlineLevel="1" x14ac:dyDescent="0.2">
      <c r="B717" s="59"/>
      <c r="C717" s="59"/>
      <c r="D717" s="59"/>
      <c r="E717" s="541"/>
      <c r="F717" s="541"/>
      <c r="G717" s="541"/>
      <c r="H717" s="541"/>
      <c r="I717" s="59"/>
      <c r="J717" s="59"/>
      <c r="K717" s="621"/>
      <c r="L717" s="621"/>
      <c r="M717" s="629">
        <f t="shared" si="68"/>
        <v>0</v>
      </c>
      <c r="N717" s="629">
        <f t="shared" si="69"/>
        <v>0</v>
      </c>
      <c r="O717" s="630">
        <f t="shared" si="66"/>
        <v>0</v>
      </c>
      <c r="P717" s="629">
        <f t="shared" si="70"/>
        <v>0</v>
      </c>
      <c r="Q717" s="629">
        <f t="shared" si="71"/>
        <v>0</v>
      </c>
      <c r="R717" s="630">
        <f t="shared" si="67"/>
        <v>0</v>
      </c>
    </row>
    <row r="718" spans="2:18" outlineLevel="1" x14ac:dyDescent="0.2">
      <c r="B718" s="59"/>
      <c r="C718" s="59"/>
      <c r="D718" s="59"/>
      <c r="E718" s="541"/>
      <c r="F718" s="541"/>
      <c r="G718" s="541"/>
      <c r="H718" s="541"/>
      <c r="I718" s="59"/>
      <c r="J718" s="59"/>
      <c r="K718" s="621"/>
      <c r="L718" s="621"/>
      <c r="M718" s="629">
        <f t="shared" si="68"/>
        <v>0</v>
      </c>
      <c r="N718" s="629">
        <f t="shared" si="69"/>
        <v>0</v>
      </c>
      <c r="O718" s="630">
        <f t="shared" si="66"/>
        <v>0</v>
      </c>
      <c r="P718" s="629">
        <f t="shared" si="70"/>
        <v>0</v>
      </c>
      <c r="Q718" s="629">
        <f t="shared" si="71"/>
        <v>0</v>
      </c>
      <c r="R718" s="630">
        <f t="shared" si="67"/>
        <v>0</v>
      </c>
    </row>
    <row r="719" spans="2:18" outlineLevel="1" x14ac:dyDescent="0.2">
      <c r="B719" s="59"/>
      <c r="C719" s="59"/>
      <c r="D719" s="59"/>
      <c r="E719" s="541"/>
      <c r="F719" s="541"/>
      <c r="G719" s="541"/>
      <c r="H719" s="541"/>
      <c r="I719" s="59"/>
      <c r="J719" s="59"/>
      <c r="K719" s="621"/>
      <c r="L719" s="621"/>
      <c r="M719" s="629">
        <f t="shared" si="68"/>
        <v>0</v>
      </c>
      <c r="N719" s="629">
        <f t="shared" si="69"/>
        <v>0</v>
      </c>
      <c r="O719" s="630">
        <f t="shared" si="66"/>
        <v>0</v>
      </c>
      <c r="P719" s="629">
        <f t="shared" si="70"/>
        <v>0</v>
      </c>
      <c r="Q719" s="629">
        <f t="shared" si="71"/>
        <v>0</v>
      </c>
      <c r="R719" s="630">
        <f t="shared" si="67"/>
        <v>0</v>
      </c>
    </row>
    <row r="720" spans="2:18" outlineLevel="1" x14ac:dyDescent="0.2">
      <c r="B720" s="59"/>
      <c r="C720" s="59"/>
      <c r="D720" s="59"/>
      <c r="E720" s="541"/>
      <c r="F720" s="541"/>
      <c r="G720" s="541"/>
      <c r="H720" s="541"/>
      <c r="I720" s="59"/>
      <c r="J720" s="59"/>
      <c r="K720" s="621"/>
      <c r="L720" s="621"/>
      <c r="M720" s="629">
        <f t="shared" si="68"/>
        <v>0</v>
      </c>
      <c r="N720" s="629">
        <f t="shared" si="69"/>
        <v>0</v>
      </c>
      <c r="O720" s="630">
        <f t="shared" si="66"/>
        <v>0</v>
      </c>
      <c r="P720" s="629">
        <f t="shared" si="70"/>
        <v>0</v>
      </c>
      <c r="Q720" s="629">
        <f t="shared" si="71"/>
        <v>0</v>
      </c>
      <c r="R720" s="630">
        <f t="shared" si="67"/>
        <v>0</v>
      </c>
    </row>
    <row r="721" spans="2:18" outlineLevel="1" x14ac:dyDescent="0.2">
      <c r="B721" s="59"/>
      <c r="C721" s="59"/>
      <c r="D721" s="59"/>
      <c r="E721" s="541"/>
      <c r="F721" s="541"/>
      <c r="G721" s="541"/>
      <c r="H721" s="541"/>
      <c r="I721" s="59"/>
      <c r="J721" s="59"/>
      <c r="K721" s="621"/>
      <c r="L721" s="621"/>
      <c r="M721" s="629">
        <f t="shared" si="68"/>
        <v>0</v>
      </c>
      <c r="N721" s="629">
        <f t="shared" si="69"/>
        <v>0</v>
      </c>
      <c r="O721" s="630">
        <f t="shared" si="66"/>
        <v>0</v>
      </c>
      <c r="P721" s="629">
        <f t="shared" si="70"/>
        <v>0</v>
      </c>
      <c r="Q721" s="629">
        <f t="shared" si="71"/>
        <v>0</v>
      </c>
      <c r="R721" s="630">
        <f t="shared" si="67"/>
        <v>0</v>
      </c>
    </row>
    <row r="722" spans="2:18" outlineLevel="1" x14ac:dyDescent="0.2">
      <c r="B722" s="59"/>
      <c r="C722" s="59"/>
      <c r="D722" s="59"/>
      <c r="E722" s="541"/>
      <c r="F722" s="541"/>
      <c r="G722" s="541"/>
      <c r="H722" s="541"/>
      <c r="I722" s="59"/>
      <c r="J722" s="59"/>
      <c r="K722" s="621"/>
      <c r="L722" s="621"/>
      <c r="M722" s="629">
        <f t="shared" si="68"/>
        <v>0</v>
      </c>
      <c r="N722" s="629">
        <f t="shared" si="69"/>
        <v>0</v>
      </c>
      <c r="O722" s="630">
        <f t="shared" si="66"/>
        <v>0</v>
      </c>
      <c r="P722" s="629">
        <f t="shared" si="70"/>
        <v>0</v>
      </c>
      <c r="Q722" s="629">
        <f t="shared" si="71"/>
        <v>0</v>
      </c>
      <c r="R722" s="630">
        <f t="shared" si="67"/>
        <v>0</v>
      </c>
    </row>
    <row r="723" spans="2:18" outlineLevel="1" x14ac:dyDescent="0.2">
      <c r="B723" s="59"/>
      <c r="C723" s="59"/>
      <c r="D723" s="59"/>
      <c r="E723" s="541"/>
      <c r="F723" s="541"/>
      <c r="G723" s="541"/>
      <c r="H723" s="541"/>
      <c r="I723" s="59"/>
      <c r="J723" s="59"/>
      <c r="K723" s="621"/>
      <c r="L723" s="621"/>
      <c r="M723" s="629">
        <f t="shared" si="68"/>
        <v>0</v>
      </c>
      <c r="N723" s="629">
        <f t="shared" si="69"/>
        <v>0</v>
      </c>
      <c r="O723" s="630">
        <f t="shared" si="66"/>
        <v>0</v>
      </c>
      <c r="P723" s="629">
        <f t="shared" si="70"/>
        <v>0</v>
      </c>
      <c r="Q723" s="629">
        <f t="shared" si="71"/>
        <v>0</v>
      </c>
      <c r="R723" s="630">
        <f t="shared" si="67"/>
        <v>0</v>
      </c>
    </row>
    <row r="724" spans="2:18" outlineLevel="1" x14ac:dyDescent="0.2">
      <c r="B724" s="59"/>
      <c r="C724" s="59"/>
      <c r="D724" s="59"/>
      <c r="E724" s="541"/>
      <c r="F724" s="541"/>
      <c r="G724" s="541"/>
      <c r="H724" s="541"/>
      <c r="I724" s="59"/>
      <c r="J724" s="59"/>
      <c r="K724" s="621"/>
      <c r="L724" s="621"/>
      <c r="M724" s="629">
        <f t="shared" si="68"/>
        <v>0</v>
      </c>
      <c r="N724" s="629">
        <f t="shared" si="69"/>
        <v>0</v>
      </c>
      <c r="O724" s="630">
        <f t="shared" si="66"/>
        <v>0</v>
      </c>
      <c r="P724" s="629">
        <f t="shared" si="70"/>
        <v>0</v>
      </c>
      <c r="Q724" s="629">
        <f t="shared" si="71"/>
        <v>0</v>
      </c>
      <c r="R724" s="630">
        <f t="shared" si="67"/>
        <v>0</v>
      </c>
    </row>
    <row r="725" spans="2:18" outlineLevel="1" x14ac:dyDescent="0.2">
      <c r="B725" s="59"/>
      <c r="C725" s="59"/>
      <c r="D725" s="59"/>
      <c r="E725" s="541"/>
      <c r="F725" s="541"/>
      <c r="G725" s="541"/>
      <c r="H725" s="541"/>
      <c r="I725" s="59"/>
      <c r="J725" s="59"/>
      <c r="K725" s="621"/>
      <c r="L725" s="621"/>
      <c r="M725" s="629">
        <f t="shared" si="68"/>
        <v>0</v>
      </c>
      <c r="N725" s="629">
        <f t="shared" si="69"/>
        <v>0</v>
      </c>
      <c r="O725" s="630">
        <f t="shared" si="66"/>
        <v>0</v>
      </c>
      <c r="P725" s="629">
        <f t="shared" si="70"/>
        <v>0</v>
      </c>
      <c r="Q725" s="629">
        <f t="shared" si="71"/>
        <v>0</v>
      </c>
      <c r="R725" s="630">
        <f t="shared" si="67"/>
        <v>0</v>
      </c>
    </row>
    <row r="726" spans="2:18" outlineLevel="1" x14ac:dyDescent="0.2">
      <c r="B726" s="59"/>
      <c r="C726" s="59"/>
      <c r="D726" s="59"/>
      <c r="E726" s="541"/>
      <c r="F726" s="541"/>
      <c r="G726" s="541"/>
      <c r="H726" s="541"/>
      <c r="I726" s="59"/>
      <c r="J726" s="59"/>
      <c r="K726" s="621"/>
      <c r="L726" s="621"/>
      <c r="M726" s="629">
        <f t="shared" si="68"/>
        <v>0</v>
      </c>
      <c r="N726" s="629">
        <f t="shared" si="69"/>
        <v>0</v>
      </c>
      <c r="O726" s="630">
        <f t="shared" si="66"/>
        <v>0</v>
      </c>
      <c r="P726" s="629">
        <f t="shared" si="70"/>
        <v>0</v>
      </c>
      <c r="Q726" s="629">
        <f t="shared" si="71"/>
        <v>0</v>
      </c>
      <c r="R726" s="630">
        <f t="shared" si="67"/>
        <v>0</v>
      </c>
    </row>
    <row r="727" spans="2:18" outlineLevel="1" x14ac:dyDescent="0.2">
      <c r="B727" s="59"/>
      <c r="C727" s="59"/>
      <c r="D727" s="59"/>
      <c r="E727" s="541"/>
      <c r="F727" s="541"/>
      <c r="G727" s="541"/>
      <c r="H727" s="541"/>
      <c r="I727" s="59"/>
      <c r="J727" s="59"/>
      <c r="K727" s="621"/>
      <c r="L727" s="621"/>
      <c r="M727" s="629">
        <f t="shared" si="68"/>
        <v>0</v>
      </c>
      <c r="N727" s="629">
        <f t="shared" si="69"/>
        <v>0</v>
      </c>
      <c r="O727" s="630">
        <f t="shared" si="66"/>
        <v>0</v>
      </c>
      <c r="P727" s="629">
        <f t="shared" si="70"/>
        <v>0</v>
      </c>
      <c r="Q727" s="629">
        <f t="shared" si="71"/>
        <v>0</v>
      </c>
      <c r="R727" s="630">
        <f t="shared" si="67"/>
        <v>0</v>
      </c>
    </row>
    <row r="728" spans="2:18" outlineLevel="1" x14ac:dyDescent="0.2">
      <c r="B728" s="59"/>
      <c r="C728" s="59"/>
      <c r="D728" s="59"/>
      <c r="E728" s="541"/>
      <c r="F728" s="541"/>
      <c r="G728" s="541"/>
      <c r="H728" s="541"/>
      <c r="I728" s="59"/>
      <c r="J728" s="59"/>
      <c r="K728" s="621"/>
      <c r="L728" s="621"/>
      <c r="M728" s="629">
        <f t="shared" si="68"/>
        <v>0</v>
      </c>
      <c r="N728" s="629">
        <f t="shared" si="69"/>
        <v>0</v>
      </c>
      <c r="O728" s="630">
        <f t="shared" si="66"/>
        <v>0</v>
      </c>
      <c r="P728" s="629">
        <f t="shared" si="70"/>
        <v>0</v>
      </c>
      <c r="Q728" s="629">
        <f t="shared" si="71"/>
        <v>0</v>
      </c>
      <c r="R728" s="630">
        <f t="shared" si="67"/>
        <v>0</v>
      </c>
    </row>
    <row r="729" spans="2:18" outlineLevel="1" x14ac:dyDescent="0.2">
      <c r="B729" s="59"/>
      <c r="C729" s="59"/>
      <c r="D729" s="59"/>
      <c r="E729" s="541"/>
      <c r="F729" s="541"/>
      <c r="G729" s="541"/>
      <c r="H729" s="541"/>
      <c r="I729" s="59"/>
      <c r="J729" s="59"/>
      <c r="K729" s="621"/>
      <c r="L729" s="621"/>
      <c r="M729" s="629">
        <f t="shared" si="68"/>
        <v>0</v>
      </c>
      <c r="N729" s="629">
        <f t="shared" si="69"/>
        <v>0</v>
      </c>
      <c r="O729" s="630">
        <f t="shared" si="66"/>
        <v>0</v>
      </c>
      <c r="P729" s="629">
        <f t="shared" si="70"/>
        <v>0</v>
      </c>
      <c r="Q729" s="629">
        <f t="shared" si="71"/>
        <v>0</v>
      </c>
      <c r="R729" s="630">
        <f t="shared" si="67"/>
        <v>0</v>
      </c>
    </row>
    <row r="730" spans="2:18" outlineLevel="1" x14ac:dyDescent="0.2">
      <c r="B730" s="59"/>
      <c r="C730" s="59"/>
      <c r="D730" s="59"/>
      <c r="E730" s="541"/>
      <c r="F730" s="541"/>
      <c r="G730" s="541"/>
      <c r="H730" s="541"/>
      <c r="I730" s="59"/>
      <c r="J730" s="59"/>
      <c r="K730" s="621"/>
      <c r="L730" s="621"/>
      <c r="M730" s="629">
        <f t="shared" si="68"/>
        <v>0</v>
      </c>
      <c r="N730" s="629">
        <f t="shared" si="69"/>
        <v>0</v>
      </c>
      <c r="O730" s="630">
        <f t="shared" si="66"/>
        <v>0</v>
      </c>
      <c r="P730" s="629">
        <f t="shared" si="70"/>
        <v>0</v>
      </c>
      <c r="Q730" s="629">
        <f t="shared" si="71"/>
        <v>0</v>
      </c>
      <c r="R730" s="630">
        <f t="shared" si="67"/>
        <v>0</v>
      </c>
    </row>
    <row r="731" spans="2:18" outlineLevel="1" x14ac:dyDescent="0.2">
      <c r="B731" s="59"/>
      <c r="C731" s="59"/>
      <c r="D731" s="59"/>
      <c r="E731" s="541"/>
      <c r="F731" s="541"/>
      <c r="G731" s="541"/>
      <c r="H731" s="541"/>
      <c r="I731" s="59"/>
      <c r="J731" s="59"/>
      <c r="K731" s="621"/>
      <c r="L731" s="621"/>
      <c r="M731" s="629">
        <f t="shared" si="68"/>
        <v>0</v>
      </c>
      <c r="N731" s="629">
        <f t="shared" si="69"/>
        <v>0</v>
      </c>
      <c r="O731" s="630">
        <f t="shared" si="66"/>
        <v>0</v>
      </c>
      <c r="P731" s="629">
        <f t="shared" si="70"/>
        <v>0</v>
      </c>
      <c r="Q731" s="629">
        <f t="shared" si="71"/>
        <v>0</v>
      </c>
      <c r="R731" s="630">
        <f t="shared" si="67"/>
        <v>0</v>
      </c>
    </row>
    <row r="732" spans="2:18" outlineLevel="1" x14ac:dyDescent="0.2">
      <c r="B732" s="59"/>
      <c r="C732" s="59"/>
      <c r="D732" s="59"/>
      <c r="E732" s="541"/>
      <c r="F732" s="541"/>
      <c r="G732" s="541"/>
      <c r="H732" s="541"/>
      <c r="I732" s="59"/>
      <c r="J732" s="59"/>
      <c r="K732" s="621"/>
      <c r="L732" s="621"/>
      <c r="M732" s="629">
        <f t="shared" si="68"/>
        <v>0</v>
      </c>
      <c r="N732" s="629">
        <f t="shared" si="69"/>
        <v>0</v>
      </c>
      <c r="O732" s="630">
        <f t="shared" si="66"/>
        <v>0</v>
      </c>
      <c r="P732" s="629">
        <f t="shared" si="70"/>
        <v>0</v>
      </c>
      <c r="Q732" s="629">
        <f t="shared" si="71"/>
        <v>0</v>
      </c>
      <c r="R732" s="630">
        <f t="shared" si="67"/>
        <v>0</v>
      </c>
    </row>
    <row r="733" spans="2:18" outlineLevel="1" x14ac:dyDescent="0.2">
      <c r="B733" s="59"/>
      <c r="C733" s="59"/>
      <c r="D733" s="59"/>
      <c r="E733" s="541"/>
      <c r="F733" s="541"/>
      <c r="G733" s="541"/>
      <c r="H733" s="541"/>
      <c r="I733" s="59"/>
      <c r="J733" s="59"/>
      <c r="K733" s="621"/>
      <c r="L733" s="621"/>
      <c r="M733" s="629">
        <f t="shared" si="68"/>
        <v>0</v>
      </c>
      <c r="N733" s="629">
        <f t="shared" si="69"/>
        <v>0</v>
      </c>
      <c r="O733" s="630">
        <f t="shared" si="66"/>
        <v>0</v>
      </c>
      <c r="P733" s="629">
        <f t="shared" si="70"/>
        <v>0</v>
      </c>
      <c r="Q733" s="629">
        <f t="shared" si="71"/>
        <v>0</v>
      </c>
      <c r="R733" s="630">
        <f t="shared" si="67"/>
        <v>0</v>
      </c>
    </row>
    <row r="734" spans="2:18" outlineLevel="1" x14ac:dyDescent="0.2">
      <c r="B734" s="59"/>
      <c r="C734" s="59"/>
      <c r="D734" s="59"/>
      <c r="E734" s="541"/>
      <c r="F734" s="541"/>
      <c r="G734" s="541"/>
      <c r="H734" s="541"/>
      <c r="I734" s="59"/>
      <c r="J734" s="59"/>
      <c r="K734" s="621"/>
      <c r="L734" s="621"/>
      <c r="M734" s="629">
        <f t="shared" si="68"/>
        <v>0</v>
      </c>
      <c r="N734" s="629">
        <f t="shared" si="69"/>
        <v>0</v>
      </c>
      <c r="O734" s="630">
        <f t="shared" si="66"/>
        <v>0</v>
      </c>
      <c r="P734" s="629">
        <f t="shared" si="70"/>
        <v>0</v>
      </c>
      <c r="Q734" s="629">
        <f t="shared" si="71"/>
        <v>0</v>
      </c>
      <c r="R734" s="630">
        <f t="shared" si="67"/>
        <v>0</v>
      </c>
    </row>
    <row r="735" spans="2:18" outlineLevel="1" x14ac:dyDescent="0.2">
      <c r="B735" s="59"/>
      <c r="C735" s="59"/>
      <c r="D735" s="59"/>
      <c r="E735" s="541"/>
      <c r="F735" s="541"/>
      <c r="G735" s="541"/>
      <c r="H735" s="541"/>
      <c r="I735" s="59"/>
      <c r="J735" s="59"/>
      <c r="K735" s="621"/>
      <c r="L735" s="621"/>
      <c r="M735" s="629">
        <f t="shared" si="68"/>
        <v>0</v>
      </c>
      <c r="N735" s="629">
        <f t="shared" si="69"/>
        <v>0</v>
      </c>
      <c r="O735" s="630">
        <f t="shared" si="66"/>
        <v>0</v>
      </c>
      <c r="P735" s="629">
        <f t="shared" si="70"/>
        <v>0</v>
      </c>
      <c r="Q735" s="629">
        <f t="shared" si="71"/>
        <v>0</v>
      </c>
      <c r="R735" s="630">
        <f t="shared" si="67"/>
        <v>0</v>
      </c>
    </row>
    <row r="736" spans="2:18" outlineLevel="1" x14ac:dyDescent="0.2">
      <c r="B736" s="59"/>
      <c r="C736" s="59"/>
      <c r="D736" s="59"/>
      <c r="E736" s="541"/>
      <c r="F736" s="541"/>
      <c r="G736" s="541"/>
      <c r="H736" s="541"/>
      <c r="I736" s="59"/>
      <c r="J736" s="59"/>
      <c r="K736" s="621"/>
      <c r="L736" s="621"/>
      <c r="M736" s="629">
        <f t="shared" si="68"/>
        <v>0</v>
      </c>
      <c r="N736" s="629">
        <f t="shared" si="69"/>
        <v>0</v>
      </c>
      <c r="O736" s="630">
        <f t="shared" si="66"/>
        <v>0</v>
      </c>
      <c r="P736" s="629">
        <f t="shared" si="70"/>
        <v>0</v>
      </c>
      <c r="Q736" s="629">
        <f t="shared" si="71"/>
        <v>0</v>
      </c>
      <c r="R736" s="630">
        <f t="shared" si="67"/>
        <v>0</v>
      </c>
    </row>
    <row r="737" spans="2:18" outlineLevel="1" x14ac:dyDescent="0.2">
      <c r="B737" s="59"/>
      <c r="C737" s="59"/>
      <c r="D737" s="59"/>
      <c r="E737" s="541"/>
      <c r="F737" s="541"/>
      <c r="G737" s="541"/>
      <c r="H737" s="541"/>
      <c r="I737" s="59"/>
      <c r="J737" s="59"/>
      <c r="K737" s="621"/>
      <c r="L737" s="621"/>
      <c r="M737" s="629">
        <f t="shared" si="68"/>
        <v>0</v>
      </c>
      <c r="N737" s="629">
        <f t="shared" si="69"/>
        <v>0</v>
      </c>
      <c r="O737" s="630">
        <f t="shared" si="66"/>
        <v>0</v>
      </c>
      <c r="P737" s="629">
        <f t="shared" si="70"/>
        <v>0</v>
      </c>
      <c r="Q737" s="629">
        <f t="shared" si="71"/>
        <v>0</v>
      </c>
      <c r="R737" s="630">
        <f t="shared" si="67"/>
        <v>0</v>
      </c>
    </row>
    <row r="738" spans="2:18" outlineLevel="1" x14ac:dyDescent="0.2">
      <c r="B738" s="59"/>
      <c r="C738" s="59"/>
      <c r="D738" s="59"/>
      <c r="E738" s="541"/>
      <c r="F738" s="541"/>
      <c r="G738" s="541"/>
      <c r="H738" s="541"/>
      <c r="I738" s="59"/>
      <c r="J738" s="59"/>
      <c r="K738" s="621"/>
      <c r="L738" s="621"/>
      <c r="M738" s="629">
        <f t="shared" si="68"/>
        <v>0</v>
      </c>
      <c r="N738" s="629">
        <f t="shared" si="69"/>
        <v>0</v>
      </c>
      <c r="O738" s="630">
        <f t="shared" si="66"/>
        <v>0</v>
      </c>
      <c r="P738" s="629">
        <f t="shared" si="70"/>
        <v>0</v>
      </c>
      <c r="Q738" s="629">
        <f t="shared" si="71"/>
        <v>0</v>
      </c>
      <c r="R738" s="630">
        <f t="shared" si="67"/>
        <v>0</v>
      </c>
    </row>
    <row r="739" spans="2:18" outlineLevel="1" x14ac:dyDescent="0.2">
      <c r="B739" s="59"/>
      <c r="C739" s="59"/>
      <c r="D739" s="59"/>
      <c r="E739" s="541"/>
      <c r="F739" s="541"/>
      <c r="G739" s="541"/>
      <c r="H739" s="541"/>
      <c r="I739" s="59"/>
      <c r="J739" s="59"/>
      <c r="K739" s="621"/>
      <c r="L739" s="621"/>
      <c r="M739" s="629">
        <f t="shared" si="68"/>
        <v>0</v>
      </c>
      <c r="N739" s="629">
        <f t="shared" si="69"/>
        <v>0</v>
      </c>
      <c r="O739" s="630">
        <f t="shared" si="66"/>
        <v>0</v>
      </c>
      <c r="P739" s="629">
        <f t="shared" si="70"/>
        <v>0</v>
      </c>
      <c r="Q739" s="629">
        <f t="shared" si="71"/>
        <v>0</v>
      </c>
      <c r="R739" s="630">
        <f t="shared" si="67"/>
        <v>0</v>
      </c>
    </row>
    <row r="740" spans="2:18" outlineLevel="1" x14ac:dyDescent="0.2">
      <c r="B740" s="59"/>
      <c r="C740" s="59"/>
      <c r="D740" s="59"/>
      <c r="E740" s="541"/>
      <c r="F740" s="541"/>
      <c r="G740" s="541"/>
      <c r="H740" s="541"/>
      <c r="I740" s="59"/>
      <c r="J740" s="59"/>
      <c r="K740" s="621"/>
      <c r="L740" s="621"/>
      <c r="M740" s="629">
        <f t="shared" si="68"/>
        <v>0</v>
      </c>
      <c r="N740" s="629">
        <f t="shared" si="69"/>
        <v>0</v>
      </c>
      <c r="O740" s="630">
        <f t="shared" si="66"/>
        <v>0</v>
      </c>
      <c r="P740" s="629">
        <f t="shared" si="70"/>
        <v>0</v>
      </c>
      <c r="Q740" s="629">
        <f t="shared" si="71"/>
        <v>0</v>
      </c>
      <c r="R740" s="630">
        <f t="shared" si="67"/>
        <v>0</v>
      </c>
    </row>
    <row r="741" spans="2:18" outlineLevel="1" x14ac:dyDescent="0.2">
      <c r="B741" s="59"/>
      <c r="C741" s="59"/>
      <c r="D741" s="59"/>
      <c r="E741" s="541"/>
      <c r="F741" s="541"/>
      <c r="G741" s="541"/>
      <c r="H741" s="541"/>
      <c r="I741" s="59"/>
      <c r="J741" s="59"/>
      <c r="K741" s="621"/>
      <c r="L741" s="621"/>
      <c r="M741" s="629">
        <f t="shared" si="68"/>
        <v>0</v>
      </c>
      <c r="N741" s="629">
        <f t="shared" si="69"/>
        <v>0</v>
      </c>
      <c r="O741" s="630">
        <f t="shared" si="66"/>
        <v>0</v>
      </c>
      <c r="P741" s="629">
        <f t="shared" si="70"/>
        <v>0</v>
      </c>
      <c r="Q741" s="629">
        <f t="shared" si="71"/>
        <v>0</v>
      </c>
      <c r="R741" s="630">
        <f t="shared" si="67"/>
        <v>0</v>
      </c>
    </row>
    <row r="742" spans="2:18" outlineLevel="1" x14ac:dyDescent="0.2">
      <c r="B742" s="59"/>
      <c r="C742" s="59"/>
      <c r="D742" s="59"/>
      <c r="E742" s="541"/>
      <c r="F742" s="541"/>
      <c r="G742" s="541"/>
      <c r="H742" s="541"/>
      <c r="I742" s="59"/>
      <c r="J742" s="59"/>
      <c r="K742" s="621"/>
      <c r="L742" s="621"/>
      <c r="M742" s="629">
        <f t="shared" si="68"/>
        <v>0</v>
      </c>
      <c r="N742" s="629">
        <f t="shared" si="69"/>
        <v>0</v>
      </c>
      <c r="O742" s="630">
        <f t="shared" si="66"/>
        <v>0</v>
      </c>
      <c r="P742" s="629">
        <f t="shared" si="70"/>
        <v>0</v>
      </c>
      <c r="Q742" s="629">
        <f t="shared" si="71"/>
        <v>0</v>
      </c>
      <c r="R742" s="630">
        <f t="shared" si="67"/>
        <v>0</v>
      </c>
    </row>
    <row r="743" spans="2:18" outlineLevel="1" x14ac:dyDescent="0.2">
      <c r="B743" s="59"/>
      <c r="C743" s="59"/>
      <c r="D743" s="59"/>
      <c r="E743" s="541"/>
      <c r="F743" s="541"/>
      <c r="G743" s="541"/>
      <c r="H743" s="541"/>
      <c r="I743" s="59"/>
      <c r="J743" s="59"/>
      <c r="K743" s="621"/>
      <c r="L743" s="621"/>
      <c r="M743" s="629">
        <f t="shared" si="68"/>
        <v>0</v>
      </c>
      <c r="N743" s="629">
        <f t="shared" si="69"/>
        <v>0</v>
      </c>
      <c r="O743" s="630">
        <f t="shared" si="66"/>
        <v>0</v>
      </c>
      <c r="P743" s="629">
        <f t="shared" si="70"/>
        <v>0</v>
      </c>
      <c r="Q743" s="629">
        <f t="shared" si="71"/>
        <v>0</v>
      </c>
      <c r="R743" s="630">
        <f t="shared" si="67"/>
        <v>0</v>
      </c>
    </row>
    <row r="744" spans="2:18" outlineLevel="1" x14ac:dyDescent="0.2">
      <c r="B744" s="59"/>
      <c r="C744" s="59"/>
      <c r="D744" s="59"/>
      <c r="E744" s="541"/>
      <c r="F744" s="541"/>
      <c r="G744" s="541"/>
      <c r="H744" s="541"/>
      <c r="I744" s="59"/>
      <c r="J744" s="59"/>
      <c r="K744" s="621"/>
      <c r="L744" s="621"/>
      <c r="M744" s="629">
        <f t="shared" si="68"/>
        <v>0</v>
      </c>
      <c r="N744" s="629">
        <f t="shared" si="69"/>
        <v>0</v>
      </c>
      <c r="O744" s="630">
        <f t="shared" si="66"/>
        <v>0</v>
      </c>
      <c r="P744" s="629">
        <f t="shared" si="70"/>
        <v>0</v>
      </c>
      <c r="Q744" s="629">
        <f t="shared" si="71"/>
        <v>0</v>
      </c>
      <c r="R744" s="630">
        <f t="shared" si="67"/>
        <v>0</v>
      </c>
    </row>
    <row r="745" spans="2:18" outlineLevel="1" x14ac:dyDescent="0.2">
      <c r="B745" s="59"/>
      <c r="C745" s="59"/>
      <c r="D745" s="59"/>
      <c r="E745" s="541"/>
      <c r="F745" s="541"/>
      <c r="G745" s="541"/>
      <c r="H745" s="541"/>
      <c r="I745" s="59"/>
      <c r="J745" s="59"/>
      <c r="K745" s="621"/>
      <c r="L745" s="621"/>
      <c r="M745" s="629">
        <f t="shared" si="68"/>
        <v>0</v>
      </c>
      <c r="N745" s="629">
        <f t="shared" si="69"/>
        <v>0</v>
      </c>
      <c r="O745" s="630">
        <f t="shared" si="66"/>
        <v>0</v>
      </c>
      <c r="P745" s="629">
        <f t="shared" si="70"/>
        <v>0</v>
      </c>
      <c r="Q745" s="629">
        <f t="shared" si="71"/>
        <v>0</v>
      </c>
      <c r="R745" s="630">
        <f t="shared" si="67"/>
        <v>0</v>
      </c>
    </row>
    <row r="746" spans="2:18" outlineLevel="1" x14ac:dyDescent="0.2">
      <c r="B746" s="59"/>
      <c r="C746" s="59"/>
      <c r="D746" s="59"/>
      <c r="E746" s="541"/>
      <c r="F746" s="541"/>
      <c r="G746" s="541"/>
      <c r="H746" s="541"/>
      <c r="I746" s="59"/>
      <c r="J746" s="59"/>
      <c r="K746" s="621"/>
      <c r="L746" s="621"/>
      <c r="M746" s="629">
        <f t="shared" si="68"/>
        <v>0</v>
      </c>
      <c r="N746" s="629">
        <f t="shared" si="69"/>
        <v>0</v>
      </c>
      <c r="O746" s="630">
        <f t="shared" si="66"/>
        <v>0</v>
      </c>
      <c r="P746" s="629">
        <f t="shared" si="70"/>
        <v>0</v>
      </c>
      <c r="Q746" s="629">
        <f t="shared" si="71"/>
        <v>0</v>
      </c>
      <c r="R746" s="630">
        <f t="shared" si="67"/>
        <v>0</v>
      </c>
    </row>
    <row r="747" spans="2:18" outlineLevel="1" x14ac:dyDescent="0.2">
      <c r="B747" s="59"/>
      <c r="C747" s="59"/>
      <c r="D747" s="59"/>
      <c r="E747" s="541"/>
      <c r="F747" s="541"/>
      <c r="G747" s="541"/>
      <c r="H747" s="541"/>
      <c r="I747" s="59"/>
      <c r="J747" s="59"/>
      <c r="K747" s="621"/>
      <c r="L747" s="621"/>
      <c r="M747" s="629">
        <f t="shared" si="68"/>
        <v>0</v>
      </c>
      <c r="N747" s="629">
        <f t="shared" si="69"/>
        <v>0</v>
      </c>
      <c r="O747" s="630">
        <f t="shared" si="66"/>
        <v>0</v>
      </c>
      <c r="P747" s="629">
        <f t="shared" si="70"/>
        <v>0</v>
      </c>
      <c r="Q747" s="629">
        <f t="shared" si="71"/>
        <v>0</v>
      </c>
      <c r="R747" s="630">
        <f t="shared" si="67"/>
        <v>0</v>
      </c>
    </row>
    <row r="748" spans="2:18" outlineLevel="1" x14ac:dyDescent="0.2">
      <c r="B748" s="59"/>
      <c r="C748" s="59"/>
      <c r="D748" s="59"/>
      <c r="E748" s="541"/>
      <c r="F748" s="541"/>
      <c r="G748" s="541"/>
      <c r="H748" s="541"/>
      <c r="I748" s="59"/>
      <c r="J748" s="59"/>
      <c r="K748" s="621"/>
      <c r="L748" s="621"/>
      <c r="M748" s="629">
        <f t="shared" si="68"/>
        <v>0</v>
      </c>
      <c r="N748" s="629">
        <f t="shared" si="69"/>
        <v>0</v>
      </c>
      <c r="O748" s="630">
        <f t="shared" si="66"/>
        <v>0</v>
      </c>
      <c r="P748" s="629">
        <f t="shared" si="70"/>
        <v>0</v>
      </c>
      <c r="Q748" s="629">
        <f t="shared" si="71"/>
        <v>0</v>
      </c>
      <c r="R748" s="630">
        <f t="shared" si="67"/>
        <v>0</v>
      </c>
    </row>
    <row r="749" spans="2:18" outlineLevel="1" x14ac:dyDescent="0.2">
      <c r="B749" s="59"/>
      <c r="C749" s="59"/>
      <c r="D749" s="59"/>
      <c r="E749" s="541"/>
      <c r="F749" s="541"/>
      <c r="G749" s="541"/>
      <c r="H749" s="541"/>
      <c r="I749" s="59"/>
      <c r="J749" s="59"/>
      <c r="K749" s="621"/>
      <c r="L749" s="621"/>
      <c r="M749" s="629">
        <f t="shared" si="68"/>
        <v>0</v>
      </c>
      <c r="N749" s="629">
        <f t="shared" si="69"/>
        <v>0</v>
      </c>
      <c r="O749" s="630">
        <f t="shared" si="66"/>
        <v>0</v>
      </c>
      <c r="P749" s="629">
        <f t="shared" si="70"/>
        <v>0</v>
      </c>
      <c r="Q749" s="629">
        <f t="shared" si="71"/>
        <v>0</v>
      </c>
      <c r="R749" s="630">
        <f t="shared" si="67"/>
        <v>0</v>
      </c>
    </row>
    <row r="750" spans="2:18" outlineLevel="1" x14ac:dyDescent="0.2">
      <c r="B750" s="59"/>
      <c r="C750" s="59"/>
      <c r="D750" s="59"/>
      <c r="E750" s="541"/>
      <c r="F750" s="541"/>
      <c r="G750" s="541"/>
      <c r="H750" s="541"/>
      <c r="I750" s="59"/>
      <c r="J750" s="59"/>
      <c r="K750" s="621"/>
      <c r="L750" s="621"/>
      <c r="M750" s="629">
        <f t="shared" si="68"/>
        <v>0</v>
      </c>
      <c r="N750" s="629">
        <f t="shared" si="69"/>
        <v>0</v>
      </c>
      <c r="O750" s="630">
        <f t="shared" si="66"/>
        <v>0</v>
      </c>
      <c r="P750" s="629">
        <f t="shared" si="70"/>
        <v>0</v>
      </c>
      <c r="Q750" s="629">
        <f t="shared" si="71"/>
        <v>0</v>
      </c>
      <c r="R750" s="630">
        <f t="shared" si="67"/>
        <v>0</v>
      </c>
    </row>
    <row r="751" spans="2:18" outlineLevel="1" x14ac:dyDescent="0.2">
      <c r="B751" s="59"/>
      <c r="C751" s="59"/>
      <c r="D751" s="59"/>
      <c r="E751" s="541"/>
      <c r="F751" s="541"/>
      <c r="G751" s="541"/>
      <c r="H751" s="541"/>
      <c r="I751" s="59"/>
      <c r="J751" s="59"/>
      <c r="K751" s="621"/>
      <c r="L751" s="621"/>
      <c r="M751" s="629">
        <f t="shared" si="68"/>
        <v>0</v>
      </c>
      <c r="N751" s="629">
        <f t="shared" si="69"/>
        <v>0</v>
      </c>
      <c r="O751" s="630">
        <f t="shared" si="66"/>
        <v>0</v>
      </c>
      <c r="P751" s="629">
        <f t="shared" si="70"/>
        <v>0</v>
      </c>
      <c r="Q751" s="629">
        <f t="shared" si="71"/>
        <v>0</v>
      </c>
      <c r="R751" s="630">
        <f t="shared" si="67"/>
        <v>0</v>
      </c>
    </row>
    <row r="752" spans="2:18" outlineLevel="1" x14ac:dyDescent="0.2">
      <c r="B752" s="59"/>
      <c r="C752" s="59"/>
      <c r="D752" s="59"/>
      <c r="E752" s="541"/>
      <c r="F752" s="541"/>
      <c r="G752" s="541"/>
      <c r="H752" s="541"/>
      <c r="I752" s="59"/>
      <c r="J752" s="59"/>
      <c r="K752" s="621"/>
      <c r="L752" s="621"/>
      <c r="M752" s="629">
        <f t="shared" si="68"/>
        <v>0</v>
      </c>
      <c r="N752" s="629">
        <f t="shared" si="69"/>
        <v>0</v>
      </c>
      <c r="O752" s="630">
        <f t="shared" si="66"/>
        <v>0</v>
      </c>
      <c r="P752" s="629">
        <f t="shared" si="70"/>
        <v>0</v>
      </c>
      <c r="Q752" s="629">
        <f t="shared" si="71"/>
        <v>0</v>
      </c>
      <c r="R752" s="630">
        <f t="shared" si="67"/>
        <v>0</v>
      </c>
    </row>
    <row r="753" spans="2:18" outlineLevel="1" x14ac:dyDescent="0.2">
      <c r="B753" s="59"/>
      <c r="C753" s="59"/>
      <c r="D753" s="59"/>
      <c r="E753" s="541"/>
      <c r="F753" s="541"/>
      <c r="G753" s="541"/>
      <c r="H753" s="541"/>
      <c r="I753" s="59"/>
      <c r="J753" s="59"/>
      <c r="K753" s="621"/>
      <c r="L753" s="621"/>
      <c r="M753" s="629">
        <f t="shared" si="68"/>
        <v>0</v>
      </c>
      <c r="N753" s="629">
        <f t="shared" si="69"/>
        <v>0</v>
      </c>
      <c r="O753" s="630">
        <f t="shared" si="66"/>
        <v>0</v>
      </c>
      <c r="P753" s="629">
        <f t="shared" si="70"/>
        <v>0</v>
      </c>
      <c r="Q753" s="629">
        <f t="shared" si="71"/>
        <v>0</v>
      </c>
      <c r="R753" s="630">
        <f t="shared" si="67"/>
        <v>0</v>
      </c>
    </row>
    <row r="754" spans="2:18" outlineLevel="1" x14ac:dyDescent="0.2">
      <c r="B754" s="59"/>
      <c r="C754" s="59"/>
      <c r="D754" s="59"/>
      <c r="E754" s="541"/>
      <c r="F754" s="541"/>
      <c r="G754" s="541"/>
      <c r="H754" s="541"/>
      <c r="I754" s="59"/>
      <c r="J754" s="59"/>
      <c r="K754" s="621"/>
      <c r="L754" s="621"/>
      <c r="M754" s="629">
        <f t="shared" si="68"/>
        <v>0</v>
      </c>
      <c r="N754" s="629">
        <f t="shared" si="69"/>
        <v>0</v>
      </c>
      <c r="O754" s="630">
        <f t="shared" si="66"/>
        <v>0</v>
      </c>
      <c r="P754" s="629">
        <f t="shared" si="70"/>
        <v>0</v>
      </c>
      <c r="Q754" s="629">
        <f t="shared" si="71"/>
        <v>0</v>
      </c>
      <c r="R754" s="630">
        <f t="shared" si="67"/>
        <v>0</v>
      </c>
    </row>
    <row r="755" spans="2:18" outlineLevel="1" x14ac:dyDescent="0.2">
      <c r="B755" s="59"/>
      <c r="C755" s="59"/>
      <c r="D755" s="59"/>
      <c r="E755" s="541"/>
      <c r="F755" s="541"/>
      <c r="G755" s="541"/>
      <c r="H755" s="541"/>
      <c r="I755" s="59"/>
      <c r="J755" s="59"/>
      <c r="K755" s="621"/>
      <c r="L755" s="621"/>
      <c r="M755" s="629">
        <f t="shared" si="68"/>
        <v>0</v>
      </c>
      <c r="N755" s="629">
        <f t="shared" si="69"/>
        <v>0</v>
      </c>
      <c r="O755" s="630">
        <f t="shared" si="66"/>
        <v>0</v>
      </c>
      <c r="P755" s="629">
        <f t="shared" si="70"/>
        <v>0</v>
      </c>
      <c r="Q755" s="629">
        <f t="shared" si="71"/>
        <v>0</v>
      </c>
      <c r="R755" s="630">
        <f t="shared" si="67"/>
        <v>0</v>
      </c>
    </row>
    <row r="756" spans="2:18" outlineLevel="1" x14ac:dyDescent="0.2">
      <c r="B756" s="59"/>
      <c r="C756" s="59"/>
      <c r="D756" s="59"/>
      <c r="E756" s="541"/>
      <c r="F756" s="541"/>
      <c r="G756" s="541"/>
      <c r="H756" s="541"/>
      <c r="I756" s="59"/>
      <c r="J756" s="59"/>
      <c r="K756" s="621"/>
      <c r="L756" s="621"/>
      <c r="M756" s="629">
        <f t="shared" si="68"/>
        <v>0</v>
      </c>
      <c r="N756" s="629">
        <f t="shared" si="69"/>
        <v>0</v>
      </c>
      <c r="O756" s="630">
        <f t="shared" si="66"/>
        <v>0</v>
      </c>
      <c r="P756" s="629">
        <f t="shared" si="70"/>
        <v>0</v>
      </c>
      <c r="Q756" s="629">
        <f t="shared" si="71"/>
        <v>0</v>
      </c>
      <c r="R756" s="630">
        <f t="shared" si="67"/>
        <v>0</v>
      </c>
    </row>
    <row r="757" spans="2:18" outlineLevel="1" x14ac:dyDescent="0.2">
      <c r="B757" s="59"/>
      <c r="C757" s="59"/>
      <c r="D757" s="59"/>
      <c r="E757" s="541"/>
      <c r="F757" s="541"/>
      <c r="G757" s="541"/>
      <c r="H757" s="541"/>
      <c r="I757" s="59"/>
      <c r="J757" s="59"/>
      <c r="K757" s="621"/>
      <c r="L757" s="621"/>
      <c r="M757" s="629">
        <f t="shared" si="68"/>
        <v>0</v>
      </c>
      <c r="N757" s="629">
        <f t="shared" si="69"/>
        <v>0</v>
      </c>
      <c r="O757" s="630">
        <f t="shared" si="66"/>
        <v>0</v>
      </c>
      <c r="P757" s="629">
        <f t="shared" si="70"/>
        <v>0</v>
      </c>
      <c r="Q757" s="629">
        <f t="shared" si="71"/>
        <v>0</v>
      </c>
      <c r="R757" s="630">
        <f t="shared" si="67"/>
        <v>0</v>
      </c>
    </row>
    <row r="758" spans="2:18" outlineLevel="1" x14ac:dyDescent="0.2">
      <c r="B758" s="59"/>
      <c r="C758" s="59"/>
      <c r="D758" s="59"/>
      <c r="E758" s="541"/>
      <c r="F758" s="541"/>
      <c r="G758" s="541"/>
      <c r="H758" s="541"/>
      <c r="I758" s="59"/>
      <c r="J758" s="59"/>
      <c r="K758" s="621"/>
      <c r="L758" s="621"/>
      <c r="M758" s="629">
        <f t="shared" si="68"/>
        <v>0</v>
      </c>
      <c r="N758" s="629">
        <f t="shared" si="69"/>
        <v>0</v>
      </c>
      <c r="O758" s="630">
        <f t="shared" si="66"/>
        <v>0</v>
      </c>
      <c r="P758" s="629">
        <f t="shared" si="70"/>
        <v>0</v>
      </c>
      <c r="Q758" s="629">
        <f t="shared" si="71"/>
        <v>0</v>
      </c>
      <c r="R758" s="630">
        <f t="shared" si="67"/>
        <v>0</v>
      </c>
    </row>
    <row r="759" spans="2:18" outlineLevel="1" x14ac:dyDescent="0.2">
      <c r="B759" s="59"/>
      <c r="C759" s="59"/>
      <c r="D759" s="59"/>
      <c r="E759" s="541"/>
      <c r="F759" s="541"/>
      <c r="G759" s="541"/>
      <c r="H759" s="541"/>
      <c r="I759" s="59"/>
      <c r="J759" s="59"/>
      <c r="K759" s="621"/>
      <c r="L759" s="621"/>
      <c r="M759" s="629">
        <f t="shared" si="68"/>
        <v>0</v>
      </c>
      <c r="N759" s="629">
        <f t="shared" si="69"/>
        <v>0</v>
      </c>
      <c r="O759" s="630">
        <f t="shared" si="66"/>
        <v>0</v>
      </c>
      <c r="P759" s="629">
        <f t="shared" si="70"/>
        <v>0</v>
      </c>
      <c r="Q759" s="629">
        <f t="shared" si="71"/>
        <v>0</v>
      </c>
      <c r="R759" s="630">
        <f t="shared" si="67"/>
        <v>0</v>
      </c>
    </row>
    <row r="760" spans="2:18" outlineLevel="1" x14ac:dyDescent="0.2">
      <c r="B760" s="59"/>
      <c r="C760" s="59"/>
      <c r="D760" s="59"/>
      <c r="E760" s="541"/>
      <c r="F760" s="541"/>
      <c r="G760" s="541"/>
      <c r="H760" s="541"/>
      <c r="I760" s="59"/>
      <c r="J760" s="59"/>
      <c r="K760" s="621"/>
      <c r="L760" s="621"/>
      <c r="M760" s="629">
        <f t="shared" si="68"/>
        <v>0</v>
      </c>
      <c r="N760" s="629">
        <f t="shared" si="69"/>
        <v>0</v>
      </c>
      <c r="O760" s="630">
        <f t="shared" si="66"/>
        <v>0</v>
      </c>
      <c r="P760" s="629">
        <f t="shared" si="70"/>
        <v>0</v>
      </c>
      <c r="Q760" s="629">
        <f t="shared" si="71"/>
        <v>0</v>
      </c>
      <c r="R760" s="630">
        <f t="shared" si="67"/>
        <v>0</v>
      </c>
    </row>
    <row r="761" spans="2:18" outlineLevel="1" x14ac:dyDescent="0.2">
      <c r="B761" s="59"/>
      <c r="C761" s="59"/>
      <c r="D761" s="59"/>
      <c r="E761" s="541"/>
      <c r="F761" s="541"/>
      <c r="G761" s="541"/>
      <c r="H761" s="541"/>
      <c r="I761" s="59"/>
      <c r="J761" s="59"/>
      <c r="K761" s="621"/>
      <c r="L761" s="621"/>
      <c r="M761" s="629">
        <f t="shared" si="68"/>
        <v>0</v>
      </c>
      <c r="N761" s="629">
        <f t="shared" si="69"/>
        <v>0</v>
      </c>
      <c r="O761" s="630">
        <f t="shared" si="66"/>
        <v>0</v>
      </c>
      <c r="P761" s="629">
        <f t="shared" si="70"/>
        <v>0</v>
      </c>
      <c r="Q761" s="629">
        <f t="shared" si="71"/>
        <v>0</v>
      </c>
      <c r="R761" s="630">
        <f t="shared" si="67"/>
        <v>0</v>
      </c>
    </row>
    <row r="762" spans="2:18" outlineLevel="1" x14ac:dyDescent="0.2">
      <c r="B762" s="59"/>
      <c r="C762" s="59"/>
      <c r="D762" s="59"/>
      <c r="E762" s="541"/>
      <c r="F762" s="541"/>
      <c r="G762" s="541"/>
      <c r="H762" s="541"/>
      <c r="I762" s="59"/>
      <c r="J762" s="59"/>
      <c r="K762" s="621"/>
      <c r="L762" s="621"/>
      <c r="M762" s="629">
        <f t="shared" si="68"/>
        <v>0</v>
      </c>
      <c r="N762" s="629">
        <f t="shared" si="69"/>
        <v>0</v>
      </c>
      <c r="O762" s="630">
        <f t="shared" si="66"/>
        <v>0</v>
      </c>
      <c r="P762" s="629">
        <f t="shared" si="70"/>
        <v>0</v>
      </c>
      <c r="Q762" s="629">
        <f t="shared" si="71"/>
        <v>0</v>
      </c>
      <c r="R762" s="630">
        <f t="shared" si="67"/>
        <v>0</v>
      </c>
    </row>
    <row r="763" spans="2:18" outlineLevel="1" x14ac:dyDescent="0.2">
      <c r="B763" s="59"/>
      <c r="C763" s="59"/>
      <c r="D763" s="59"/>
      <c r="E763" s="541"/>
      <c r="F763" s="541"/>
      <c r="G763" s="541"/>
      <c r="H763" s="541"/>
      <c r="I763" s="59"/>
      <c r="J763" s="59"/>
      <c r="K763" s="621"/>
      <c r="L763" s="621"/>
      <c r="M763" s="629">
        <f t="shared" si="68"/>
        <v>0</v>
      </c>
      <c r="N763" s="629">
        <f t="shared" si="69"/>
        <v>0</v>
      </c>
      <c r="O763" s="630">
        <f t="shared" si="66"/>
        <v>0</v>
      </c>
      <c r="P763" s="629">
        <f t="shared" si="70"/>
        <v>0</v>
      </c>
      <c r="Q763" s="629">
        <f t="shared" si="71"/>
        <v>0</v>
      </c>
      <c r="R763" s="630">
        <f t="shared" si="67"/>
        <v>0</v>
      </c>
    </row>
    <row r="764" spans="2:18" outlineLevel="1" x14ac:dyDescent="0.2">
      <c r="B764" s="59"/>
      <c r="C764" s="59"/>
      <c r="D764" s="59"/>
      <c r="E764" s="541"/>
      <c r="F764" s="541"/>
      <c r="G764" s="541"/>
      <c r="H764" s="541"/>
      <c r="I764" s="59"/>
      <c r="J764" s="59"/>
      <c r="K764" s="621"/>
      <c r="L764" s="621"/>
      <c r="M764" s="629">
        <f t="shared" si="68"/>
        <v>0</v>
      </c>
      <c r="N764" s="629">
        <f t="shared" si="69"/>
        <v>0</v>
      </c>
      <c r="O764" s="630">
        <f t="shared" si="66"/>
        <v>0</v>
      </c>
      <c r="P764" s="629">
        <f t="shared" si="70"/>
        <v>0</v>
      </c>
      <c r="Q764" s="629">
        <f t="shared" si="71"/>
        <v>0</v>
      </c>
      <c r="R764" s="630">
        <f t="shared" si="67"/>
        <v>0</v>
      </c>
    </row>
    <row r="765" spans="2:18" outlineLevel="1" x14ac:dyDescent="0.2">
      <c r="B765" s="59"/>
      <c r="C765" s="59"/>
      <c r="D765" s="59"/>
      <c r="E765" s="541"/>
      <c r="F765" s="541"/>
      <c r="G765" s="541"/>
      <c r="H765" s="541"/>
      <c r="I765" s="59"/>
      <c r="J765" s="59"/>
      <c r="K765" s="621"/>
      <c r="L765" s="621"/>
      <c r="M765" s="629">
        <f t="shared" si="68"/>
        <v>0</v>
      </c>
      <c r="N765" s="629">
        <f t="shared" si="69"/>
        <v>0</v>
      </c>
      <c r="O765" s="630">
        <f t="shared" si="66"/>
        <v>0</v>
      </c>
      <c r="P765" s="629">
        <f t="shared" si="70"/>
        <v>0</v>
      </c>
      <c r="Q765" s="629">
        <f t="shared" si="71"/>
        <v>0</v>
      </c>
      <c r="R765" s="630">
        <f t="shared" si="67"/>
        <v>0</v>
      </c>
    </row>
    <row r="766" spans="2:18" outlineLevel="1" x14ac:dyDescent="0.2">
      <c r="B766" s="59"/>
      <c r="C766" s="59"/>
      <c r="D766" s="59"/>
      <c r="E766" s="541"/>
      <c r="F766" s="541"/>
      <c r="G766" s="541"/>
      <c r="H766" s="541"/>
      <c r="I766" s="59"/>
      <c r="J766" s="59"/>
      <c r="K766" s="621"/>
      <c r="L766" s="621"/>
      <c r="M766" s="629">
        <f t="shared" si="68"/>
        <v>0</v>
      </c>
      <c r="N766" s="629">
        <f t="shared" si="69"/>
        <v>0</v>
      </c>
      <c r="O766" s="630">
        <f t="shared" si="66"/>
        <v>0</v>
      </c>
      <c r="P766" s="629">
        <f t="shared" si="70"/>
        <v>0</v>
      </c>
      <c r="Q766" s="629">
        <f t="shared" si="71"/>
        <v>0</v>
      </c>
      <c r="R766" s="630">
        <f t="shared" si="67"/>
        <v>0</v>
      </c>
    </row>
    <row r="767" spans="2:18" outlineLevel="1" x14ac:dyDescent="0.2">
      <c r="B767" s="59"/>
      <c r="C767" s="59"/>
      <c r="D767" s="59"/>
      <c r="E767" s="541"/>
      <c r="F767" s="541"/>
      <c r="G767" s="541"/>
      <c r="H767" s="541"/>
      <c r="I767" s="59"/>
      <c r="J767" s="59"/>
      <c r="K767" s="621"/>
      <c r="L767" s="621"/>
      <c r="M767" s="629">
        <f t="shared" si="68"/>
        <v>0</v>
      </c>
      <c r="N767" s="629">
        <f t="shared" si="69"/>
        <v>0</v>
      </c>
      <c r="O767" s="630">
        <f t="shared" si="66"/>
        <v>0</v>
      </c>
      <c r="P767" s="629">
        <f t="shared" si="70"/>
        <v>0</v>
      </c>
      <c r="Q767" s="629">
        <f t="shared" si="71"/>
        <v>0</v>
      </c>
      <c r="R767" s="630">
        <f t="shared" si="67"/>
        <v>0</v>
      </c>
    </row>
    <row r="768" spans="2:18" outlineLevel="1" x14ac:dyDescent="0.2">
      <c r="B768" s="59"/>
      <c r="C768" s="59"/>
      <c r="D768" s="59"/>
      <c r="E768" s="541"/>
      <c r="F768" s="541"/>
      <c r="G768" s="541"/>
      <c r="H768" s="541"/>
      <c r="I768" s="59"/>
      <c r="J768" s="59"/>
      <c r="K768" s="621"/>
      <c r="L768" s="621"/>
      <c r="M768" s="629">
        <f t="shared" si="68"/>
        <v>0</v>
      </c>
      <c r="N768" s="629">
        <f t="shared" si="69"/>
        <v>0</v>
      </c>
      <c r="O768" s="630">
        <f t="shared" si="66"/>
        <v>0</v>
      </c>
      <c r="P768" s="629">
        <f t="shared" si="70"/>
        <v>0</v>
      </c>
      <c r="Q768" s="629">
        <f t="shared" si="71"/>
        <v>0</v>
      </c>
      <c r="R768" s="630">
        <f t="shared" si="67"/>
        <v>0</v>
      </c>
    </row>
    <row r="769" spans="2:18" outlineLevel="1" x14ac:dyDescent="0.2">
      <c r="B769" s="59"/>
      <c r="C769" s="59"/>
      <c r="D769" s="59"/>
      <c r="E769" s="541"/>
      <c r="F769" s="541"/>
      <c r="G769" s="541"/>
      <c r="H769" s="541"/>
      <c r="I769" s="59"/>
      <c r="J769" s="59"/>
      <c r="K769" s="621"/>
      <c r="L769" s="621"/>
      <c r="M769" s="629">
        <f t="shared" si="68"/>
        <v>0</v>
      </c>
      <c r="N769" s="629">
        <f t="shared" si="69"/>
        <v>0</v>
      </c>
      <c r="O769" s="630">
        <f t="shared" si="66"/>
        <v>0</v>
      </c>
      <c r="P769" s="629">
        <f t="shared" si="70"/>
        <v>0</v>
      </c>
      <c r="Q769" s="629">
        <f t="shared" si="71"/>
        <v>0</v>
      </c>
      <c r="R769" s="630">
        <f t="shared" si="67"/>
        <v>0</v>
      </c>
    </row>
    <row r="770" spans="2:18" outlineLevel="1" x14ac:dyDescent="0.2">
      <c r="B770" s="59"/>
      <c r="C770" s="59"/>
      <c r="D770" s="59"/>
      <c r="E770" s="541"/>
      <c r="F770" s="541"/>
      <c r="G770" s="541"/>
      <c r="H770" s="541"/>
      <c r="I770" s="59"/>
      <c r="J770" s="59"/>
      <c r="K770" s="621"/>
      <c r="L770" s="621"/>
      <c r="M770" s="629">
        <f t="shared" si="68"/>
        <v>0</v>
      </c>
      <c r="N770" s="629">
        <f t="shared" si="69"/>
        <v>0</v>
      </c>
      <c r="O770" s="630">
        <f t="shared" si="66"/>
        <v>0</v>
      </c>
      <c r="P770" s="629">
        <f t="shared" si="70"/>
        <v>0</v>
      </c>
      <c r="Q770" s="629">
        <f t="shared" si="71"/>
        <v>0</v>
      </c>
      <c r="R770" s="630">
        <f t="shared" si="67"/>
        <v>0</v>
      </c>
    </row>
    <row r="771" spans="2:18" outlineLevel="1" x14ac:dyDescent="0.2">
      <c r="B771" s="59"/>
      <c r="C771" s="59"/>
      <c r="D771" s="59"/>
      <c r="E771" s="541"/>
      <c r="F771" s="541"/>
      <c r="G771" s="541"/>
      <c r="H771" s="541"/>
      <c r="I771" s="59"/>
      <c r="J771" s="59"/>
      <c r="K771" s="621"/>
      <c r="L771" s="621"/>
      <c r="M771" s="629">
        <f t="shared" si="68"/>
        <v>0</v>
      </c>
      <c r="N771" s="629">
        <f t="shared" si="69"/>
        <v>0</v>
      </c>
      <c r="O771" s="630">
        <f t="shared" si="66"/>
        <v>0</v>
      </c>
      <c r="P771" s="629">
        <f t="shared" si="70"/>
        <v>0</v>
      </c>
      <c r="Q771" s="629">
        <f t="shared" si="71"/>
        <v>0</v>
      </c>
      <c r="R771" s="630">
        <f t="shared" si="67"/>
        <v>0</v>
      </c>
    </row>
    <row r="772" spans="2:18" outlineLevel="1" x14ac:dyDescent="0.2">
      <c r="B772" s="59"/>
      <c r="C772" s="59"/>
      <c r="D772" s="59"/>
      <c r="E772" s="541"/>
      <c r="F772" s="541"/>
      <c r="G772" s="541"/>
      <c r="H772" s="541"/>
      <c r="I772" s="59"/>
      <c r="J772" s="59"/>
      <c r="K772" s="621"/>
      <c r="L772" s="621"/>
      <c r="M772" s="629">
        <f t="shared" si="68"/>
        <v>0</v>
      </c>
      <c r="N772" s="629">
        <f t="shared" si="69"/>
        <v>0</v>
      </c>
      <c r="O772" s="630">
        <f t="shared" si="66"/>
        <v>0</v>
      </c>
      <c r="P772" s="629">
        <f t="shared" si="70"/>
        <v>0</v>
      </c>
      <c r="Q772" s="629">
        <f t="shared" si="71"/>
        <v>0</v>
      </c>
      <c r="R772" s="630">
        <f t="shared" si="67"/>
        <v>0</v>
      </c>
    </row>
    <row r="773" spans="2:18" outlineLevel="1" x14ac:dyDescent="0.2">
      <c r="B773" s="59"/>
      <c r="C773" s="59"/>
      <c r="D773" s="59"/>
      <c r="E773" s="541"/>
      <c r="F773" s="541"/>
      <c r="G773" s="541"/>
      <c r="H773" s="541"/>
      <c r="I773" s="59"/>
      <c r="J773" s="59"/>
      <c r="K773" s="621"/>
      <c r="L773" s="621"/>
      <c r="M773" s="629">
        <f t="shared" si="68"/>
        <v>0</v>
      </c>
      <c r="N773" s="629">
        <f t="shared" si="69"/>
        <v>0</v>
      </c>
      <c r="O773" s="630">
        <f t="shared" ref="O773:O836" si="72">M773+N773</f>
        <v>0</v>
      </c>
      <c r="P773" s="629">
        <f t="shared" si="70"/>
        <v>0</v>
      </c>
      <c r="Q773" s="629">
        <f t="shared" si="71"/>
        <v>0</v>
      </c>
      <c r="R773" s="630">
        <f t="shared" ref="R773:R836" si="73">P773+Q773</f>
        <v>0</v>
      </c>
    </row>
    <row r="774" spans="2:18" outlineLevel="1" x14ac:dyDescent="0.2">
      <c r="B774" s="59"/>
      <c r="C774" s="59"/>
      <c r="D774" s="59"/>
      <c r="E774" s="541"/>
      <c r="F774" s="541"/>
      <c r="G774" s="541"/>
      <c r="H774" s="541"/>
      <c r="I774" s="59"/>
      <c r="J774" s="59"/>
      <c r="K774" s="621"/>
      <c r="L774" s="621"/>
      <c r="M774" s="629">
        <f t="shared" ref="M774:M837" si="74">G774*(-1)</f>
        <v>0</v>
      </c>
      <c r="N774" s="629">
        <f t="shared" ref="N774:N837" si="75">H774*(-1)</f>
        <v>0</v>
      </c>
      <c r="O774" s="630">
        <f t="shared" si="72"/>
        <v>0</v>
      </c>
      <c r="P774" s="629">
        <f t="shared" ref="P774:P837" si="76">+IF(AND(I774="NO",E774&gt;G774),(E774-G774)*K774*(-1),0)</f>
        <v>0</v>
      </c>
      <c r="Q774" s="629">
        <f t="shared" ref="Q774:Q837" si="77">+IF(AND(J774="NO",F774&gt;H774),(F774-H774)*L774*(-1),0)</f>
        <v>0</v>
      </c>
      <c r="R774" s="630">
        <f t="shared" si="73"/>
        <v>0</v>
      </c>
    </row>
    <row r="775" spans="2:18" outlineLevel="1" x14ac:dyDescent="0.2">
      <c r="B775" s="59"/>
      <c r="C775" s="59"/>
      <c r="D775" s="59"/>
      <c r="E775" s="541"/>
      <c r="F775" s="541"/>
      <c r="G775" s="541"/>
      <c r="H775" s="541"/>
      <c r="I775" s="59"/>
      <c r="J775" s="59"/>
      <c r="K775" s="621"/>
      <c r="L775" s="621"/>
      <c r="M775" s="629">
        <f t="shared" si="74"/>
        <v>0</v>
      </c>
      <c r="N775" s="629">
        <f t="shared" si="75"/>
        <v>0</v>
      </c>
      <c r="O775" s="630">
        <f t="shared" si="72"/>
        <v>0</v>
      </c>
      <c r="P775" s="629">
        <f t="shared" si="76"/>
        <v>0</v>
      </c>
      <c r="Q775" s="629">
        <f t="shared" si="77"/>
        <v>0</v>
      </c>
      <c r="R775" s="630">
        <f t="shared" si="73"/>
        <v>0</v>
      </c>
    </row>
    <row r="776" spans="2:18" outlineLevel="1" x14ac:dyDescent="0.2">
      <c r="B776" s="59"/>
      <c r="C776" s="59"/>
      <c r="D776" s="59"/>
      <c r="E776" s="541"/>
      <c r="F776" s="541"/>
      <c r="G776" s="541"/>
      <c r="H776" s="541"/>
      <c r="I776" s="59"/>
      <c r="J776" s="59"/>
      <c r="K776" s="621"/>
      <c r="L776" s="621"/>
      <c r="M776" s="629">
        <f t="shared" si="74"/>
        <v>0</v>
      </c>
      <c r="N776" s="629">
        <f t="shared" si="75"/>
        <v>0</v>
      </c>
      <c r="O776" s="630">
        <f t="shared" si="72"/>
        <v>0</v>
      </c>
      <c r="P776" s="629">
        <f t="shared" si="76"/>
        <v>0</v>
      </c>
      <c r="Q776" s="629">
        <f t="shared" si="77"/>
        <v>0</v>
      </c>
      <c r="R776" s="630">
        <f t="shared" si="73"/>
        <v>0</v>
      </c>
    </row>
    <row r="777" spans="2:18" outlineLevel="1" x14ac:dyDescent="0.2">
      <c r="B777" s="59"/>
      <c r="C777" s="59"/>
      <c r="D777" s="59"/>
      <c r="E777" s="541"/>
      <c r="F777" s="541"/>
      <c r="G777" s="541"/>
      <c r="H777" s="541"/>
      <c r="I777" s="59"/>
      <c r="J777" s="59"/>
      <c r="K777" s="621"/>
      <c r="L777" s="621"/>
      <c r="M777" s="629">
        <f t="shared" si="74"/>
        <v>0</v>
      </c>
      <c r="N777" s="629">
        <f t="shared" si="75"/>
        <v>0</v>
      </c>
      <c r="O777" s="630">
        <f t="shared" si="72"/>
        <v>0</v>
      </c>
      <c r="P777" s="629">
        <f t="shared" si="76"/>
        <v>0</v>
      </c>
      <c r="Q777" s="629">
        <f t="shared" si="77"/>
        <v>0</v>
      </c>
      <c r="R777" s="630">
        <f t="shared" si="73"/>
        <v>0</v>
      </c>
    </row>
    <row r="778" spans="2:18" outlineLevel="1" x14ac:dyDescent="0.2">
      <c r="B778" s="59"/>
      <c r="C778" s="59"/>
      <c r="D778" s="59"/>
      <c r="E778" s="541"/>
      <c r="F778" s="541"/>
      <c r="G778" s="541"/>
      <c r="H778" s="541"/>
      <c r="I778" s="59"/>
      <c r="J778" s="59"/>
      <c r="K778" s="621"/>
      <c r="L778" s="621"/>
      <c r="M778" s="629">
        <f t="shared" si="74"/>
        <v>0</v>
      </c>
      <c r="N778" s="629">
        <f t="shared" si="75"/>
        <v>0</v>
      </c>
      <c r="O778" s="630">
        <f t="shared" si="72"/>
        <v>0</v>
      </c>
      <c r="P778" s="629">
        <f t="shared" si="76"/>
        <v>0</v>
      </c>
      <c r="Q778" s="629">
        <f t="shared" si="77"/>
        <v>0</v>
      </c>
      <c r="R778" s="630">
        <f t="shared" si="73"/>
        <v>0</v>
      </c>
    </row>
    <row r="779" spans="2:18" outlineLevel="1" x14ac:dyDescent="0.2">
      <c r="B779" s="59"/>
      <c r="C779" s="59"/>
      <c r="D779" s="59"/>
      <c r="E779" s="541"/>
      <c r="F779" s="541"/>
      <c r="G779" s="541"/>
      <c r="H779" s="541"/>
      <c r="I779" s="59"/>
      <c r="J779" s="59"/>
      <c r="K779" s="621"/>
      <c r="L779" s="621"/>
      <c r="M779" s="629">
        <f t="shared" si="74"/>
        <v>0</v>
      </c>
      <c r="N779" s="629">
        <f t="shared" si="75"/>
        <v>0</v>
      </c>
      <c r="O779" s="630">
        <f t="shared" si="72"/>
        <v>0</v>
      </c>
      <c r="P779" s="629">
        <f t="shared" si="76"/>
        <v>0</v>
      </c>
      <c r="Q779" s="629">
        <f t="shared" si="77"/>
        <v>0</v>
      </c>
      <c r="R779" s="630">
        <f t="shared" si="73"/>
        <v>0</v>
      </c>
    </row>
    <row r="780" spans="2:18" outlineLevel="1" x14ac:dyDescent="0.2">
      <c r="B780" s="59"/>
      <c r="C780" s="59"/>
      <c r="D780" s="59"/>
      <c r="E780" s="541"/>
      <c r="F780" s="541"/>
      <c r="G780" s="541"/>
      <c r="H780" s="541"/>
      <c r="I780" s="59"/>
      <c r="J780" s="59"/>
      <c r="K780" s="621"/>
      <c r="L780" s="621"/>
      <c r="M780" s="629">
        <f t="shared" si="74"/>
        <v>0</v>
      </c>
      <c r="N780" s="629">
        <f t="shared" si="75"/>
        <v>0</v>
      </c>
      <c r="O780" s="630">
        <f t="shared" si="72"/>
        <v>0</v>
      </c>
      <c r="P780" s="629">
        <f t="shared" si="76"/>
        <v>0</v>
      </c>
      <c r="Q780" s="629">
        <f t="shared" si="77"/>
        <v>0</v>
      </c>
      <c r="R780" s="630">
        <f t="shared" si="73"/>
        <v>0</v>
      </c>
    </row>
    <row r="781" spans="2:18" outlineLevel="1" x14ac:dyDescent="0.2">
      <c r="B781" s="59"/>
      <c r="C781" s="59"/>
      <c r="D781" s="59"/>
      <c r="E781" s="541"/>
      <c r="F781" s="541"/>
      <c r="G781" s="541"/>
      <c r="H781" s="541"/>
      <c r="I781" s="59"/>
      <c r="J781" s="59"/>
      <c r="K781" s="621"/>
      <c r="L781" s="621"/>
      <c r="M781" s="629">
        <f t="shared" si="74"/>
        <v>0</v>
      </c>
      <c r="N781" s="629">
        <f t="shared" si="75"/>
        <v>0</v>
      </c>
      <c r="O781" s="630">
        <f t="shared" si="72"/>
        <v>0</v>
      </c>
      <c r="P781" s="629">
        <f t="shared" si="76"/>
        <v>0</v>
      </c>
      <c r="Q781" s="629">
        <f t="shared" si="77"/>
        <v>0</v>
      </c>
      <c r="R781" s="630">
        <f t="shared" si="73"/>
        <v>0</v>
      </c>
    </row>
    <row r="782" spans="2:18" outlineLevel="1" x14ac:dyDescent="0.2">
      <c r="B782" s="59"/>
      <c r="C782" s="59"/>
      <c r="D782" s="59"/>
      <c r="E782" s="541"/>
      <c r="F782" s="541"/>
      <c r="G782" s="541"/>
      <c r="H782" s="541"/>
      <c r="I782" s="59"/>
      <c r="J782" s="59"/>
      <c r="K782" s="621"/>
      <c r="L782" s="621"/>
      <c r="M782" s="629">
        <f t="shared" si="74"/>
        <v>0</v>
      </c>
      <c r="N782" s="629">
        <f t="shared" si="75"/>
        <v>0</v>
      </c>
      <c r="O782" s="630">
        <f t="shared" si="72"/>
        <v>0</v>
      </c>
      <c r="P782" s="629">
        <f t="shared" si="76"/>
        <v>0</v>
      </c>
      <c r="Q782" s="629">
        <f t="shared" si="77"/>
        <v>0</v>
      </c>
      <c r="R782" s="630">
        <f t="shared" si="73"/>
        <v>0</v>
      </c>
    </row>
    <row r="783" spans="2:18" outlineLevel="1" x14ac:dyDescent="0.2">
      <c r="B783" s="59"/>
      <c r="C783" s="59"/>
      <c r="D783" s="59"/>
      <c r="E783" s="541"/>
      <c r="F783" s="541"/>
      <c r="G783" s="541"/>
      <c r="H783" s="541"/>
      <c r="I783" s="59"/>
      <c r="J783" s="59"/>
      <c r="K783" s="621"/>
      <c r="L783" s="621"/>
      <c r="M783" s="629">
        <f t="shared" si="74"/>
        <v>0</v>
      </c>
      <c r="N783" s="629">
        <f t="shared" si="75"/>
        <v>0</v>
      </c>
      <c r="O783" s="630">
        <f t="shared" si="72"/>
        <v>0</v>
      </c>
      <c r="P783" s="629">
        <f t="shared" si="76"/>
        <v>0</v>
      </c>
      <c r="Q783" s="629">
        <f t="shared" si="77"/>
        <v>0</v>
      </c>
      <c r="R783" s="630">
        <f t="shared" si="73"/>
        <v>0</v>
      </c>
    </row>
    <row r="784" spans="2:18" outlineLevel="1" x14ac:dyDescent="0.2">
      <c r="B784" s="59"/>
      <c r="C784" s="59"/>
      <c r="D784" s="59"/>
      <c r="E784" s="541"/>
      <c r="F784" s="541"/>
      <c r="G784" s="541"/>
      <c r="H784" s="541"/>
      <c r="I784" s="59"/>
      <c r="J784" s="59"/>
      <c r="K784" s="621"/>
      <c r="L784" s="621"/>
      <c r="M784" s="629">
        <f t="shared" si="74"/>
        <v>0</v>
      </c>
      <c r="N784" s="629">
        <f t="shared" si="75"/>
        <v>0</v>
      </c>
      <c r="O784" s="630">
        <f t="shared" si="72"/>
        <v>0</v>
      </c>
      <c r="P784" s="629">
        <f t="shared" si="76"/>
        <v>0</v>
      </c>
      <c r="Q784" s="629">
        <f t="shared" si="77"/>
        <v>0</v>
      </c>
      <c r="R784" s="630">
        <f t="shared" si="73"/>
        <v>0</v>
      </c>
    </row>
    <row r="785" spans="2:18" outlineLevel="1" x14ac:dyDescent="0.2">
      <c r="B785" s="59"/>
      <c r="C785" s="59"/>
      <c r="D785" s="59"/>
      <c r="E785" s="541"/>
      <c r="F785" s="541"/>
      <c r="G785" s="541"/>
      <c r="H785" s="541"/>
      <c r="I785" s="59"/>
      <c r="J785" s="59"/>
      <c r="K785" s="621"/>
      <c r="L785" s="621"/>
      <c r="M785" s="629">
        <f t="shared" si="74"/>
        <v>0</v>
      </c>
      <c r="N785" s="629">
        <f t="shared" si="75"/>
        <v>0</v>
      </c>
      <c r="O785" s="630">
        <f t="shared" si="72"/>
        <v>0</v>
      </c>
      <c r="P785" s="629">
        <f t="shared" si="76"/>
        <v>0</v>
      </c>
      <c r="Q785" s="629">
        <f t="shared" si="77"/>
        <v>0</v>
      </c>
      <c r="R785" s="630">
        <f t="shared" si="73"/>
        <v>0</v>
      </c>
    </row>
    <row r="786" spans="2:18" outlineLevel="1" x14ac:dyDescent="0.2">
      <c r="B786" s="59"/>
      <c r="C786" s="59"/>
      <c r="D786" s="59"/>
      <c r="E786" s="541"/>
      <c r="F786" s="541"/>
      <c r="G786" s="541"/>
      <c r="H786" s="541"/>
      <c r="I786" s="59"/>
      <c r="J786" s="59"/>
      <c r="K786" s="621"/>
      <c r="L786" s="621"/>
      <c r="M786" s="629">
        <f t="shared" si="74"/>
        <v>0</v>
      </c>
      <c r="N786" s="629">
        <f t="shared" si="75"/>
        <v>0</v>
      </c>
      <c r="O786" s="630">
        <f t="shared" si="72"/>
        <v>0</v>
      </c>
      <c r="P786" s="629">
        <f t="shared" si="76"/>
        <v>0</v>
      </c>
      <c r="Q786" s="629">
        <f t="shared" si="77"/>
        <v>0</v>
      </c>
      <c r="R786" s="630">
        <f t="shared" si="73"/>
        <v>0</v>
      </c>
    </row>
    <row r="787" spans="2:18" outlineLevel="1" x14ac:dyDescent="0.2">
      <c r="B787" s="59"/>
      <c r="C787" s="59"/>
      <c r="D787" s="59"/>
      <c r="E787" s="541"/>
      <c r="F787" s="541"/>
      <c r="G787" s="541"/>
      <c r="H787" s="541"/>
      <c r="I787" s="59"/>
      <c r="J787" s="59"/>
      <c r="K787" s="621"/>
      <c r="L787" s="621"/>
      <c r="M787" s="629">
        <f t="shared" si="74"/>
        <v>0</v>
      </c>
      <c r="N787" s="629">
        <f t="shared" si="75"/>
        <v>0</v>
      </c>
      <c r="O787" s="630">
        <f t="shared" si="72"/>
        <v>0</v>
      </c>
      <c r="P787" s="629">
        <f t="shared" si="76"/>
        <v>0</v>
      </c>
      <c r="Q787" s="629">
        <f t="shared" si="77"/>
        <v>0</v>
      </c>
      <c r="R787" s="630">
        <f t="shared" si="73"/>
        <v>0</v>
      </c>
    </row>
    <row r="788" spans="2:18" outlineLevel="1" x14ac:dyDescent="0.2">
      <c r="B788" s="59"/>
      <c r="C788" s="59"/>
      <c r="D788" s="59"/>
      <c r="E788" s="541"/>
      <c r="F788" s="541"/>
      <c r="G788" s="541"/>
      <c r="H788" s="541"/>
      <c r="I788" s="59"/>
      <c r="J788" s="59"/>
      <c r="K788" s="621"/>
      <c r="L788" s="621"/>
      <c r="M788" s="629">
        <f t="shared" si="74"/>
        <v>0</v>
      </c>
      <c r="N788" s="629">
        <f t="shared" si="75"/>
        <v>0</v>
      </c>
      <c r="O788" s="630">
        <f t="shared" si="72"/>
        <v>0</v>
      </c>
      <c r="P788" s="629">
        <f t="shared" si="76"/>
        <v>0</v>
      </c>
      <c r="Q788" s="629">
        <f t="shared" si="77"/>
        <v>0</v>
      </c>
      <c r="R788" s="630">
        <f t="shared" si="73"/>
        <v>0</v>
      </c>
    </row>
    <row r="789" spans="2:18" outlineLevel="1" x14ac:dyDescent="0.2">
      <c r="B789" s="59"/>
      <c r="C789" s="59"/>
      <c r="D789" s="59"/>
      <c r="E789" s="541"/>
      <c r="F789" s="541"/>
      <c r="G789" s="541"/>
      <c r="H789" s="541"/>
      <c r="I789" s="59"/>
      <c r="J789" s="59"/>
      <c r="K789" s="621"/>
      <c r="L789" s="621"/>
      <c r="M789" s="629">
        <f t="shared" si="74"/>
        <v>0</v>
      </c>
      <c r="N789" s="629">
        <f t="shared" si="75"/>
        <v>0</v>
      </c>
      <c r="O789" s="630">
        <f t="shared" si="72"/>
        <v>0</v>
      </c>
      <c r="P789" s="629">
        <f t="shared" si="76"/>
        <v>0</v>
      </c>
      <c r="Q789" s="629">
        <f t="shared" si="77"/>
        <v>0</v>
      </c>
      <c r="R789" s="630">
        <f t="shared" si="73"/>
        <v>0</v>
      </c>
    </row>
    <row r="790" spans="2:18" outlineLevel="1" x14ac:dyDescent="0.2">
      <c r="B790" s="59"/>
      <c r="C790" s="59"/>
      <c r="D790" s="59"/>
      <c r="E790" s="541"/>
      <c r="F790" s="541"/>
      <c r="G790" s="541"/>
      <c r="H790" s="541"/>
      <c r="I790" s="59"/>
      <c r="J790" s="59"/>
      <c r="K790" s="621"/>
      <c r="L790" s="621"/>
      <c r="M790" s="629">
        <f t="shared" si="74"/>
        <v>0</v>
      </c>
      <c r="N790" s="629">
        <f t="shared" si="75"/>
        <v>0</v>
      </c>
      <c r="O790" s="630">
        <f t="shared" si="72"/>
        <v>0</v>
      </c>
      <c r="P790" s="629">
        <f t="shared" si="76"/>
        <v>0</v>
      </c>
      <c r="Q790" s="629">
        <f t="shared" si="77"/>
        <v>0</v>
      </c>
      <c r="R790" s="630">
        <f t="shared" si="73"/>
        <v>0</v>
      </c>
    </row>
    <row r="791" spans="2:18" outlineLevel="1" x14ac:dyDescent="0.2">
      <c r="B791" s="59"/>
      <c r="C791" s="59"/>
      <c r="D791" s="59"/>
      <c r="E791" s="541"/>
      <c r="F791" s="541"/>
      <c r="G791" s="541"/>
      <c r="H791" s="541"/>
      <c r="I791" s="59"/>
      <c r="J791" s="59"/>
      <c r="K791" s="621"/>
      <c r="L791" s="621"/>
      <c r="M791" s="629">
        <f t="shared" si="74"/>
        <v>0</v>
      </c>
      <c r="N791" s="629">
        <f t="shared" si="75"/>
        <v>0</v>
      </c>
      <c r="O791" s="630">
        <f t="shared" si="72"/>
        <v>0</v>
      </c>
      <c r="P791" s="629">
        <f t="shared" si="76"/>
        <v>0</v>
      </c>
      <c r="Q791" s="629">
        <f t="shared" si="77"/>
        <v>0</v>
      </c>
      <c r="R791" s="630">
        <f t="shared" si="73"/>
        <v>0</v>
      </c>
    </row>
    <row r="792" spans="2:18" outlineLevel="1" x14ac:dyDescent="0.2">
      <c r="B792" s="59"/>
      <c r="C792" s="59"/>
      <c r="D792" s="59"/>
      <c r="E792" s="541"/>
      <c r="F792" s="541"/>
      <c r="G792" s="541"/>
      <c r="H792" s="541"/>
      <c r="I792" s="59"/>
      <c r="J792" s="59"/>
      <c r="K792" s="621"/>
      <c r="L792" s="621"/>
      <c r="M792" s="629">
        <f t="shared" si="74"/>
        <v>0</v>
      </c>
      <c r="N792" s="629">
        <f t="shared" si="75"/>
        <v>0</v>
      </c>
      <c r="O792" s="630">
        <f t="shared" si="72"/>
        <v>0</v>
      </c>
      <c r="P792" s="629">
        <f t="shared" si="76"/>
        <v>0</v>
      </c>
      <c r="Q792" s="629">
        <f t="shared" si="77"/>
        <v>0</v>
      </c>
      <c r="R792" s="630">
        <f t="shared" si="73"/>
        <v>0</v>
      </c>
    </row>
    <row r="793" spans="2:18" outlineLevel="1" x14ac:dyDescent="0.2">
      <c r="B793" s="59"/>
      <c r="C793" s="59"/>
      <c r="D793" s="59"/>
      <c r="E793" s="541"/>
      <c r="F793" s="541"/>
      <c r="G793" s="541"/>
      <c r="H793" s="541"/>
      <c r="I793" s="59"/>
      <c r="J793" s="59"/>
      <c r="K793" s="621"/>
      <c r="L793" s="621"/>
      <c r="M793" s="629">
        <f t="shared" si="74"/>
        <v>0</v>
      </c>
      <c r="N793" s="629">
        <f t="shared" si="75"/>
        <v>0</v>
      </c>
      <c r="O793" s="630">
        <f t="shared" si="72"/>
        <v>0</v>
      </c>
      <c r="P793" s="629">
        <f t="shared" si="76"/>
        <v>0</v>
      </c>
      <c r="Q793" s="629">
        <f t="shared" si="77"/>
        <v>0</v>
      </c>
      <c r="R793" s="630">
        <f t="shared" si="73"/>
        <v>0</v>
      </c>
    </row>
    <row r="794" spans="2:18" outlineLevel="1" x14ac:dyDescent="0.2">
      <c r="B794" s="59"/>
      <c r="C794" s="59"/>
      <c r="D794" s="59"/>
      <c r="E794" s="541"/>
      <c r="F794" s="541"/>
      <c r="G794" s="541"/>
      <c r="H794" s="541"/>
      <c r="I794" s="59"/>
      <c r="J794" s="59"/>
      <c r="K794" s="621"/>
      <c r="L794" s="621"/>
      <c r="M794" s="629">
        <f t="shared" si="74"/>
        <v>0</v>
      </c>
      <c r="N794" s="629">
        <f t="shared" si="75"/>
        <v>0</v>
      </c>
      <c r="O794" s="630">
        <f t="shared" si="72"/>
        <v>0</v>
      </c>
      <c r="P794" s="629">
        <f t="shared" si="76"/>
        <v>0</v>
      </c>
      <c r="Q794" s="629">
        <f t="shared" si="77"/>
        <v>0</v>
      </c>
      <c r="R794" s="630">
        <f t="shared" si="73"/>
        <v>0</v>
      </c>
    </row>
    <row r="795" spans="2:18" outlineLevel="1" x14ac:dyDescent="0.2">
      <c r="B795" s="59"/>
      <c r="C795" s="59"/>
      <c r="D795" s="59"/>
      <c r="E795" s="541"/>
      <c r="F795" s="541"/>
      <c r="G795" s="541"/>
      <c r="H795" s="541"/>
      <c r="I795" s="59"/>
      <c r="J795" s="59"/>
      <c r="K795" s="621"/>
      <c r="L795" s="621"/>
      <c r="M795" s="629">
        <f t="shared" si="74"/>
        <v>0</v>
      </c>
      <c r="N795" s="629">
        <f t="shared" si="75"/>
        <v>0</v>
      </c>
      <c r="O795" s="630">
        <f t="shared" si="72"/>
        <v>0</v>
      </c>
      <c r="P795" s="629">
        <f t="shared" si="76"/>
        <v>0</v>
      </c>
      <c r="Q795" s="629">
        <f t="shared" si="77"/>
        <v>0</v>
      </c>
      <c r="R795" s="630">
        <f t="shared" si="73"/>
        <v>0</v>
      </c>
    </row>
    <row r="796" spans="2:18" outlineLevel="1" x14ac:dyDescent="0.2">
      <c r="B796" s="59"/>
      <c r="C796" s="59"/>
      <c r="D796" s="59"/>
      <c r="E796" s="541"/>
      <c r="F796" s="541"/>
      <c r="G796" s="541"/>
      <c r="H796" s="541"/>
      <c r="I796" s="59"/>
      <c r="J796" s="59"/>
      <c r="K796" s="621"/>
      <c r="L796" s="621"/>
      <c r="M796" s="629">
        <f t="shared" si="74"/>
        <v>0</v>
      </c>
      <c r="N796" s="629">
        <f t="shared" si="75"/>
        <v>0</v>
      </c>
      <c r="O796" s="630">
        <f t="shared" si="72"/>
        <v>0</v>
      </c>
      <c r="P796" s="629">
        <f t="shared" si="76"/>
        <v>0</v>
      </c>
      <c r="Q796" s="629">
        <f t="shared" si="77"/>
        <v>0</v>
      </c>
      <c r="R796" s="630">
        <f t="shared" si="73"/>
        <v>0</v>
      </c>
    </row>
    <row r="797" spans="2:18" outlineLevel="1" x14ac:dyDescent="0.2">
      <c r="B797" s="59"/>
      <c r="C797" s="59"/>
      <c r="D797" s="59"/>
      <c r="E797" s="541"/>
      <c r="F797" s="541"/>
      <c r="G797" s="541"/>
      <c r="H797" s="541"/>
      <c r="I797" s="59"/>
      <c r="J797" s="59"/>
      <c r="K797" s="621"/>
      <c r="L797" s="621"/>
      <c r="M797" s="629">
        <f t="shared" si="74"/>
        <v>0</v>
      </c>
      <c r="N797" s="629">
        <f t="shared" si="75"/>
        <v>0</v>
      </c>
      <c r="O797" s="630">
        <f t="shared" si="72"/>
        <v>0</v>
      </c>
      <c r="P797" s="629">
        <f t="shared" si="76"/>
        <v>0</v>
      </c>
      <c r="Q797" s="629">
        <f t="shared" si="77"/>
        <v>0</v>
      </c>
      <c r="R797" s="630">
        <f t="shared" si="73"/>
        <v>0</v>
      </c>
    </row>
    <row r="798" spans="2:18" outlineLevel="1" x14ac:dyDescent="0.2">
      <c r="B798" s="59"/>
      <c r="C798" s="59"/>
      <c r="D798" s="59"/>
      <c r="E798" s="541"/>
      <c r="F798" s="541"/>
      <c r="G798" s="541"/>
      <c r="H798" s="541"/>
      <c r="I798" s="59"/>
      <c r="J798" s="59"/>
      <c r="K798" s="621"/>
      <c r="L798" s="621"/>
      <c r="M798" s="629">
        <f t="shared" si="74"/>
        <v>0</v>
      </c>
      <c r="N798" s="629">
        <f t="shared" si="75"/>
        <v>0</v>
      </c>
      <c r="O798" s="630">
        <f t="shared" si="72"/>
        <v>0</v>
      </c>
      <c r="P798" s="629">
        <f t="shared" si="76"/>
        <v>0</v>
      </c>
      <c r="Q798" s="629">
        <f t="shared" si="77"/>
        <v>0</v>
      </c>
      <c r="R798" s="630">
        <f t="shared" si="73"/>
        <v>0</v>
      </c>
    </row>
    <row r="799" spans="2:18" outlineLevel="1" x14ac:dyDescent="0.2">
      <c r="B799" s="59"/>
      <c r="C799" s="59"/>
      <c r="D799" s="59"/>
      <c r="E799" s="541"/>
      <c r="F799" s="541"/>
      <c r="G799" s="541"/>
      <c r="H799" s="541"/>
      <c r="I799" s="59"/>
      <c r="J799" s="59"/>
      <c r="K799" s="621"/>
      <c r="L799" s="621"/>
      <c r="M799" s="629">
        <f t="shared" si="74"/>
        <v>0</v>
      </c>
      <c r="N799" s="629">
        <f t="shared" si="75"/>
        <v>0</v>
      </c>
      <c r="O799" s="630">
        <f t="shared" si="72"/>
        <v>0</v>
      </c>
      <c r="P799" s="629">
        <f t="shared" si="76"/>
        <v>0</v>
      </c>
      <c r="Q799" s="629">
        <f t="shared" si="77"/>
        <v>0</v>
      </c>
      <c r="R799" s="630">
        <f t="shared" si="73"/>
        <v>0</v>
      </c>
    </row>
    <row r="800" spans="2:18" outlineLevel="1" x14ac:dyDescent="0.2">
      <c r="B800" s="59"/>
      <c r="C800" s="59"/>
      <c r="D800" s="59"/>
      <c r="E800" s="541"/>
      <c r="F800" s="541"/>
      <c r="G800" s="541"/>
      <c r="H800" s="541"/>
      <c r="I800" s="59"/>
      <c r="J800" s="59"/>
      <c r="K800" s="621"/>
      <c r="L800" s="621"/>
      <c r="M800" s="629">
        <f t="shared" si="74"/>
        <v>0</v>
      </c>
      <c r="N800" s="629">
        <f t="shared" si="75"/>
        <v>0</v>
      </c>
      <c r="O800" s="630">
        <f t="shared" si="72"/>
        <v>0</v>
      </c>
      <c r="P800" s="629">
        <f t="shared" si="76"/>
        <v>0</v>
      </c>
      <c r="Q800" s="629">
        <f t="shared" si="77"/>
        <v>0</v>
      </c>
      <c r="R800" s="630">
        <f t="shared" si="73"/>
        <v>0</v>
      </c>
    </row>
    <row r="801" spans="2:18" outlineLevel="1" x14ac:dyDescent="0.2">
      <c r="B801" s="59"/>
      <c r="C801" s="59"/>
      <c r="D801" s="59"/>
      <c r="E801" s="541"/>
      <c r="F801" s="541"/>
      <c r="G801" s="541"/>
      <c r="H801" s="541"/>
      <c r="I801" s="59"/>
      <c r="J801" s="59"/>
      <c r="K801" s="621"/>
      <c r="L801" s="621"/>
      <c r="M801" s="629">
        <f t="shared" si="74"/>
        <v>0</v>
      </c>
      <c r="N801" s="629">
        <f t="shared" si="75"/>
        <v>0</v>
      </c>
      <c r="O801" s="630">
        <f t="shared" si="72"/>
        <v>0</v>
      </c>
      <c r="P801" s="629">
        <f t="shared" si="76"/>
        <v>0</v>
      </c>
      <c r="Q801" s="629">
        <f t="shared" si="77"/>
        <v>0</v>
      </c>
      <c r="R801" s="630">
        <f t="shared" si="73"/>
        <v>0</v>
      </c>
    </row>
    <row r="802" spans="2:18" outlineLevel="1" x14ac:dyDescent="0.2">
      <c r="B802" s="59"/>
      <c r="C802" s="59"/>
      <c r="D802" s="59"/>
      <c r="E802" s="541"/>
      <c r="F802" s="541"/>
      <c r="G802" s="541"/>
      <c r="H802" s="541"/>
      <c r="I802" s="59"/>
      <c r="J802" s="59"/>
      <c r="K802" s="621"/>
      <c r="L802" s="621"/>
      <c r="M802" s="629">
        <f t="shared" si="74"/>
        <v>0</v>
      </c>
      <c r="N802" s="629">
        <f t="shared" si="75"/>
        <v>0</v>
      </c>
      <c r="O802" s="630">
        <f t="shared" si="72"/>
        <v>0</v>
      </c>
      <c r="P802" s="629">
        <f t="shared" si="76"/>
        <v>0</v>
      </c>
      <c r="Q802" s="629">
        <f t="shared" si="77"/>
        <v>0</v>
      </c>
      <c r="R802" s="630">
        <f t="shared" si="73"/>
        <v>0</v>
      </c>
    </row>
    <row r="803" spans="2:18" outlineLevel="1" x14ac:dyDescent="0.2">
      <c r="B803" s="59"/>
      <c r="C803" s="59"/>
      <c r="D803" s="59"/>
      <c r="E803" s="541"/>
      <c r="F803" s="541"/>
      <c r="G803" s="541"/>
      <c r="H803" s="541"/>
      <c r="I803" s="59"/>
      <c r="J803" s="59"/>
      <c r="K803" s="621"/>
      <c r="L803" s="621"/>
      <c r="M803" s="629">
        <f t="shared" si="74"/>
        <v>0</v>
      </c>
      <c r="N803" s="629">
        <f t="shared" si="75"/>
        <v>0</v>
      </c>
      <c r="O803" s="630">
        <f t="shared" si="72"/>
        <v>0</v>
      </c>
      <c r="P803" s="629">
        <f t="shared" si="76"/>
        <v>0</v>
      </c>
      <c r="Q803" s="629">
        <f t="shared" si="77"/>
        <v>0</v>
      </c>
      <c r="R803" s="630">
        <f t="shared" si="73"/>
        <v>0</v>
      </c>
    </row>
    <row r="804" spans="2:18" outlineLevel="1" x14ac:dyDescent="0.2">
      <c r="B804" s="59"/>
      <c r="C804" s="59"/>
      <c r="D804" s="59"/>
      <c r="E804" s="541"/>
      <c r="F804" s="541"/>
      <c r="G804" s="541"/>
      <c r="H804" s="541"/>
      <c r="I804" s="59"/>
      <c r="J804" s="59"/>
      <c r="K804" s="621"/>
      <c r="L804" s="621"/>
      <c r="M804" s="629">
        <f t="shared" si="74"/>
        <v>0</v>
      </c>
      <c r="N804" s="629">
        <f t="shared" si="75"/>
        <v>0</v>
      </c>
      <c r="O804" s="630">
        <f t="shared" si="72"/>
        <v>0</v>
      </c>
      <c r="P804" s="629">
        <f t="shared" si="76"/>
        <v>0</v>
      </c>
      <c r="Q804" s="629">
        <f t="shared" si="77"/>
        <v>0</v>
      </c>
      <c r="R804" s="630">
        <f t="shared" si="73"/>
        <v>0</v>
      </c>
    </row>
    <row r="805" spans="2:18" outlineLevel="1" x14ac:dyDescent="0.2">
      <c r="B805" s="59"/>
      <c r="C805" s="59"/>
      <c r="D805" s="59"/>
      <c r="E805" s="541"/>
      <c r="F805" s="541"/>
      <c r="G805" s="541"/>
      <c r="H805" s="541"/>
      <c r="I805" s="59"/>
      <c r="J805" s="59"/>
      <c r="K805" s="621"/>
      <c r="L805" s="621"/>
      <c r="M805" s="629">
        <f t="shared" si="74"/>
        <v>0</v>
      </c>
      <c r="N805" s="629">
        <f t="shared" si="75"/>
        <v>0</v>
      </c>
      <c r="O805" s="630">
        <f t="shared" si="72"/>
        <v>0</v>
      </c>
      <c r="P805" s="629">
        <f t="shared" si="76"/>
        <v>0</v>
      </c>
      <c r="Q805" s="629">
        <f t="shared" si="77"/>
        <v>0</v>
      </c>
      <c r="R805" s="630">
        <f t="shared" si="73"/>
        <v>0</v>
      </c>
    </row>
    <row r="806" spans="2:18" outlineLevel="1" x14ac:dyDescent="0.2">
      <c r="B806" s="59"/>
      <c r="C806" s="59"/>
      <c r="D806" s="59"/>
      <c r="E806" s="541"/>
      <c r="F806" s="541"/>
      <c r="G806" s="541"/>
      <c r="H806" s="541"/>
      <c r="I806" s="59"/>
      <c r="J806" s="59"/>
      <c r="K806" s="621"/>
      <c r="L806" s="621"/>
      <c r="M806" s="629">
        <f t="shared" si="74"/>
        <v>0</v>
      </c>
      <c r="N806" s="629">
        <f t="shared" si="75"/>
        <v>0</v>
      </c>
      <c r="O806" s="630">
        <f t="shared" si="72"/>
        <v>0</v>
      </c>
      <c r="P806" s="629">
        <f t="shared" si="76"/>
        <v>0</v>
      </c>
      <c r="Q806" s="629">
        <f t="shared" si="77"/>
        <v>0</v>
      </c>
      <c r="R806" s="630">
        <f t="shared" si="73"/>
        <v>0</v>
      </c>
    </row>
    <row r="807" spans="2:18" outlineLevel="1" x14ac:dyDescent="0.2">
      <c r="B807" s="59"/>
      <c r="C807" s="59"/>
      <c r="D807" s="59"/>
      <c r="E807" s="541"/>
      <c r="F807" s="541"/>
      <c r="G807" s="541"/>
      <c r="H807" s="541"/>
      <c r="I807" s="59"/>
      <c r="J807" s="59"/>
      <c r="K807" s="621"/>
      <c r="L807" s="621"/>
      <c r="M807" s="629">
        <f t="shared" si="74"/>
        <v>0</v>
      </c>
      <c r="N807" s="629">
        <f t="shared" si="75"/>
        <v>0</v>
      </c>
      <c r="O807" s="630">
        <f t="shared" si="72"/>
        <v>0</v>
      </c>
      <c r="P807" s="629">
        <f t="shared" si="76"/>
        <v>0</v>
      </c>
      <c r="Q807" s="629">
        <f t="shared" si="77"/>
        <v>0</v>
      </c>
      <c r="R807" s="630">
        <f t="shared" si="73"/>
        <v>0</v>
      </c>
    </row>
    <row r="808" spans="2:18" outlineLevel="1" x14ac:dyDescent="0.2">
      <c r="B808" s="59"/>
      <c r="C808" s="59"/>
      <c r="D808" s="59"/>
      <c r="E808" s="541"/>
      <c r="F808" s="541"/>
      <c r="G808" s="541"/>
      <c r="H808" s="541"/>
      <c r="I808" s="59"/>
      <c r="J808" s="59"/>
      <c r="K808" s="621"/>
      <c r="L808" s="621"/>
      <c r="M808" s="629">
        <f t="shared" si="74"/>
        <v>0</v>
      </c>
      <c r="N808" s="629">
        <f t="shared" si="75"/>
        <v>0</v>
      </c>
      <c r="O808" s="630">
        <f t="shared" si="72"/>
        <v>0</v>
      </c>
      <c r="P808" s="629">
        <f t="shared" si="76"/>
        <v>0</v>
      </c>
      <c r="Q808" s="629">
        <f t="shared" si="77"/>
        <v>0</v>
      </c>
      <c r="R808" s="630">
        <f t="shared" si="73"/>
        <v>0</v>
      </c>
    </row>
    <row r="809" spans="2:18" outlineLevel="1" x14ac:dyDescent="0.2">
      <c r="B809" s="59"/>
      <c r="C809" s="59"/>
      <c r="D809" s="59"/>
      <c r="E809" s="541"/>
      <c r="F809" s="541"/>
      <c r="G809" s="541"/>
      <c r="H809" s="541"/>
      <c r="I809" s="59"/>
      <c r="J809" s="59"/>
      <c r="K809" s="621"/>
      <c r="L809" s="621"/>
      <c r="M809" s="629">
        <f t="shared" si="74"/>
        <v>0</v>
      </c>
      <c r="N809" s="629">
        <f t="shared" si="75"/>
        <v>0</v>
      </c>
      <c r="O809" s="630">
        <f t="shared" si="72"/>
        <v>0</v>
      </c>
      <c r="P809" s="629">
        <f t="shared" si="76"/>
        <v>0</v>
      </c>
      <c r="Q809" s="629">
        <f t="shared" si="77"/>
        <v>0</v>
      </c>
      <c r="R809" s="630">
        <f t="shared" si="73"/>
        <v>0</v>
      </c>
    </row>
    <row r="810" spans="2:18" outlineLevel="1" x14ac:dyDescent="0.2">
      <c r="B810" s="59"/>
      <c r="C810" s="59"/>
      <c r="D810" s="59"/>
      <c r="E810" s="541"/>
      <c r="F810" s="541"/>
      <c r="G810" s="541"/>
      <c r="H810" s="541"/>
      <c r="I810" s="59"/>
      <c r="J810" s="59"/>
      <c r="K810" s="621"/>
      <c r="L810" s="621"/>
      <c r="M810" s="629">
        <f t="shared" si="74"/>
        <v>0</v>
      </c>
      <c r="N810" s="629">
        <f t="shared" si="75"/>
        <v>0</v>
      </c>
      <c r="O810" s="630">
        <f t="shared" si="72"/>
        <v>0</v>
      </c>
      <c r="P810" s="629">
        <f t="shared" si="76"/>
        <v>0</v>
      </c>
      <c r="Q810" s="629">
        <f t="shared" si="77"/>
        <v>0</v>
      </c>
      <c r="R810" s="630">
        <f t="shared" si="73"/>
        <v>0</v>
      </c>
    </row>
    <row r="811" spans="2:18" outlineLevel="1" x14ac:dyDescent="0.2">
      <c r="B811" s="59"/>
      <c r="C811" s="59"/>
      <c r="D811" s="59"/>
      <c r="E811" s="541"/>
      <c r="F811" s="541"/>
      <c r="G811" s="541"/>
      <c r="H811" s="541"/>
      <c r="I811" s="59"/>
      <c r="J811" s="59"/>
      <c r="K811" s="621"/>
      <c r="L811" s="621"/>
      <c r="M811" s="629">
        <f t="shared" si="74"/>
        <v>0</v>
      </c>
      <c r="N811" s="629">
        <f t="shared" si="75"/>
        <v>0</v>
      </c>
      <c r="O811" s="630">
        <f t="shared" si="72"/>
        <v>0</v>
      </c>
      <c r="P811" s="629">
        <f t="shared" si="76"/>
        <v>0</v>
      </c>
      <c r="Q811" s="629">
        <f t="shared" si="77"/>
        <v>0</v>
      </c>
      <c r="R811" s="630">
        <f t="shared" si="73"/>
        <v>0</v>
      </c>
    </row>
    <row r="812" spans="2:18" outlineLevel="1" x14ac:dyDescent="0.2">
      <c r="B812" s="59"/>
      <c r="C812" s="59"/>
      <c r="D812" s="59"/>
      <c r="E812" s="541"/>
      <c r="F812" s="541"/>
      <c r="G812" s="541"/>
      <c r="H812" s="541"/>
      <c r="I812" s="59"/>
      <c r="J812" s="59"/>
      <c r="K812" s="621"/>
      <c r="L812" s="621"/>
      <c r="M812" s="629">
        <f t="shared" si="74"/>
        <v>0</v>
      </c>
      <c r="N812" s="629">
        <f t="shared" si="75"/>
        <v>0</v>
      </c>
      <c r="O812" s="630">
        <f t="shared" si="72"/>
        <v>0</v>
      </c>
      <c r="P812" s="629">
        <f t="shared" si="76"/>
        <v>0</v>
      </c>
      <c r="Q812" s="629">
        <f t="shared" si="77"/>
        <v>0</v>
      </c>
      <c r="R812" s="630">
        <f t="shared" si="73"/>
        <v>0</v>
      </c>
    </row>
    <row r="813" spans="2:18" outlineLevel="1" x14ac:dyDescent="0.2">
      <c r="B813" s="59"/>
      <c r="C813" s="59"/>
      <c r="D813" s="59"/>
      <c r="E813" s="541"/>
      <c r="F813" s="541"/>
      <c r="G813" s="541"/>
      <c r="H813" s="541"/>
      <c r="I813" s="59"/>
      <c r="J813" s="59"/>
      <c r="K813" s="621"/>
      <c r="L813" s="621"/>
      <c r="M813" s="629">
        <f t="shared" si="74"/>
        <v>0</v>
      </c>
      <c r="N813" s="629">
        <f t="shared" si="75"/>
        <v>0</v>
      </c>
      <c r="O813" s="630">
        <f t="shared" si="72"/>
        <v>0</v>
      </c>
      <c r="P813" s="629">
        <f t="shared" si="76"/>
        <v>0</v>
      </c>
      <c r="Q813" s="629">
        <f t="shared" si="77"/>
        <v>0</v>
      </c>
      <c r="R813" s="630">
        <f t="shared" si="73"/>
        <v>0</v>
      </c>
    </row>
    <row r="814" spans="2:18" outlineLevel="1" x14ac:dyDescent="0.2">
      <c r="B814" s="59"/>
      <c r="C814" s="59"/>
      <c r="D814" s="59"/>
      <c r="E814" s="541"/>
      <c r="F814" s="541"/>
      <c r="G814" s="541"/>
      <c r="H814" s="541"/>
      <c r="I814" s="59"/>
      <c r="J814" s="59"/>
      <c r="K814" s="621"/>
      <c r="L814" s="621"/>
      <c r="M814" s="629">
        <f t="shared" si="74"/>
        <v>0</v>
      </c>
      <c r="N814" s="629">
        <f t="shared" si="75"/>
        <v>0</v>
      </c>
      <c r="O814" s="630">
        <f t="shared" si="72"/>
        <v>0</v>
      </c>
      <c r="P814" s="629">
        <f t="shared" si="76"/>
        <v>0</v>
      </c>
      <c r="Q814" s="629">
        <f t="shared" si="77"/>
        <v>0</v>
      </c>
      <c r="R814" s="630">
        <f t="shared" si="73"/>
        <v>0</v>
      </c>
    </row>
    <row r="815" spans="2:18" outlineLevel="1" x14ac:dyDescent="0.2">
      <c r="B815" s="59"/>
      <c r="C815" s="59"/>
      <c r="D815" s="59"/>
      <c r="E815" s="541"/>
      <c r="F815" s="541"/>
      <c r="G815" s="541"/>
      <c r="H815" s="541"/>
      <c r="I815" s="59"/>
      <c r="J815" s="59"/>
      <c r="K815" s="621"/>
      <c r="L815" s="621"/>
      <c r="M815" s="629">
        <f t="shared" si="74"/>
        <v>0</v>
      </c>
      <c r="N815" s="629">
        <f t="shared" si="75"/>
        <v>0</v>
      </c>
      <c r="O815" s="630">
        <f t="shared" si="72"/>
        <v>0</v>
      </c>
      <c r="P815" s="629">
        <f t="shared" si="76"/>
        <v>0</v>
      </c>
      <c r="Q815" s="629">
        <f t="shared" si="77"/>
        <v>0</v>
      </c>
      <c r="R815" s="630">
        <f t="shared" si="73"/>
        <v>0</v>
      </c>
    </row>
    <row r="816" spans="2:18" outlineLevel="1" x14ac:dyDescent="0.2">
      <c r="B816" s="59"/>
      <c r="C816" s="59"/>
      <c r="D816" s="59"/>
      <c r="E816" s="541"/>
      <c r="F816" s="541"/>
      <c r="G816" s="541"/>
      <c r="H816" s="541"/>
      <c r="I816" s="59"/>
      <c r="J816" s="59"/>
      <c r="K816" s="621"/>
      <c r="L816" s="621"/>
      <c r="M816" s="629">
        <f t="shared" si="74"/>
        <v>0</v>
      </c>
      <c r="N816" s="629">
        <f t="shared" si="75"/>
        <v>0</v>
      </c>
      <c r="O816" s="630">
        <f t="shared" si="72"/>
        <v>0</v>
      </c>
      <c r="P816" s="629">
        <f t="shared" si="76"/>
        <v>0</v>
      </c>
      <c r="Q816" s="629">
        <f t="shared" si="77"/>
        <v>0</v>
      </c>
      <c r="R816" s="630">
        <f t="shared" si="73"/>
        <v>0</v>
      </c>
    </row>
    <row r="817" spans="2:18" outlineLevel="1" x14ac:dyDescent="0.2">
      <c r="B817" s="59"/>
      <c r="C817" s="59"/>
      <c r="D817" s="59"/>
      <c r="E817" s="541"/>
      <c r="F817" s="541"/>
      <c r="G817" s="541"/>
      <c r="H817" s="541"/>
      <c r="I817" s="59"/>
      <c r="J817" s="59"/>
      <c r="K817" s="621"/>
      <c r="L817" s="621"/>
      <c r="M817" s="629">
        <f t="shared" si="74"/>
        <v>0</v>
      </c>
      <c r="N817" s="629">
        <f t="shared" si="75"/>
        <v>0</v>
      </c>
      <c r="O817" s="630">
        <f t="shared" si="72"/>
        <v>0</v>
      </c>
      <c r="P817" s="629">
        <f t="shared" si="76"/>
        <v>0</v>
      </c>
      <c r="Q817" s="629">
        <f t="shared" si="77"/>
        <v>0</v>
      </c>
      <c r="R817" s="630">
        <f t="shared" si="73"/>
        <v>0</v>
      </c>
    </row>
    <row r="818" spans="2:18" outlineLevel="1" x14ac:dyDescent="0.2">
      <c r="B818" s="59"/>
      <c r="C818" s="59"/>
      <c r="D818" s="59"/>
      <c r="E818" s="541"/>
      <c r="F818" s="541"/>
      <c r="G818" s="541"/>
      <c r="H818" s="541"/>
      <c r="I818" s="59"/>
      <c r="J818" s="59"/>
      <c r="K818" s="621"/>
      <c r="L818" s="621"/>
      <c r="M818" s="629">
        <f t="shared" si="74"/>
        <v>0</v>
      </c>
      <c r="N818" s="629">
        <f t="shared" si="75"/>
        <v>0</v>
      </c>
      <c r="O818" s="630">
        <f t="shared" si="72"/>
        <v>0</v>
      </c>
      <c r="P818" s="629">
        <f t="shared" si="76"/>
        <v>0</v>
      </c>
      <c r="Q818" s="629">
        <f t="shared" si="77"/>
        <v>0</v>
      </c>
      <c r="R818" s="630">
        <f t="shared" si="73"/>
        <v>0</v>
      </c>
    </row>
    <row r="819" spans="2:18" outlineLevel="1" x14ac:dyDescent="0.2">
      <c r="B819" s="59"/>
      <c r="C819" s="59"/>
      <c r="D819" s="59"/>
      <c r="E819" s="541"/>
      <c r="F819" s="541"/>
      <c r="G819" s="541"/>
      <c r="H819" s="541"/>
      <c r="I819" s="59"/>
      <c r="J819" s="59"/>
      <c r="K819" s="621"/>
      <c r="L819" s="621"/>
      <c r="M819" s="629">
        <f t="shared" si="74"/>
        <v>0</v>
      </c>
      <c r="N819" s="629">
        <f t="shared" si="75"/>
        <v>0</v>
      </c>
      <c r="O819" s="630">
        <f t="shared" si="72"/>
        <v>0</v>
      </c>
      <c r="P819" s="629">
        <f t="shared" si="76"/>
        <v>0</v>
      </c>
      <c r="Q819" s="629">
        <f t="shared" si="77"/>
        <v>0</v>
      </c>
      <c r="R819" s="630">
        <f t="shared" si="73"/>
        <v>0</v>
      </c>
    </row>
    <row r="820" spans="2:18" outlineLevel="1" x14ac:dyDescent="0.2">
      <c r="B820" s="59"/>
      <c r="C820" s="59"/>
      <c r="D820" s="59"/>
      <c r="E820" s="541"/>
      <c r="F820" s="541"/>
      <c r="G820" s="541"/>
      <c r="H820" s="541"/>
      <c r="I820" s="59"/>
      <c r="J820" s="59"/>
      <c r="K820" s="621"/>
      <c r="L820" s="621"/>
      <c r="M820" s="629">
        <f t="shared" si="74"/>
        <v>0</v>
      </c>
      <c r="N820" s="629">
        <f t="shared" si="75"/>
        <v>0</v>
      </c>
      <c r="O820" s="630">
        <f t="shared" si="72"/>
        <v>0</v>
      </c>
      <c r="P820" s="629">
        <f t="shared" si="76"/>
        <v>0</v>
      </c>
      <c r="Q820" s="629">
        <f t="shared" si="77"/>
        <v>0</v>
      </c>
      <c r="R820" s="630">
        <f t="shared" si="73"/>
        <v>0</v>
      </c>
    </row>
    <row r="821" spans="2:18" outlineLevel="1" x14ac:dyDescent="0.2">
      <c r="B821" s="59"/>
      <c r="C821" s="59"/>
      <c r="D821" s="59"/>
      <c r="E821" s="541"/>
      <c r="F821" s="541"/>
      <c r="G821" s="541"/>
      <c r="H821" s="541"/>
      <c r="I821" s="59"/>
      <c r="J821" s="59"/>
      <c r="K821" s="621"/>
      <c r="L821" s="621"/>
      <c r="M821" s="629">
        <f t="shared" si="74"/>
        <v>0</v>
      </c>
      <c r="N821" s="629">
        <f t="shared" si="75"/>
        <v>0</v>
      </c>
      <c r="O821" s="630">
        <f t="shared" si="72"/>
        <v>0</v>
      </c>
      <c r="P821" s="629">
        <f t="shared" si="76"/>
        <v>0</v>
      </c>
      <c r="Q821" s="629">
        <f t="shared" si="77"/>
        <v>0</v>
      </c>
      <c r="R821" s="630">
        <f t="shared" si="73"/>
        <v>0</v>
      </c>
    </row>
    <row r="822" spans="2:18" outlineLevel="1" x14ac:dyDescent="0.2">
      <c r="B822" s="59"/>
      <c r="C822" s="59"/>
      <c r="D822" s="59"/>
      <c r="E822" s="541"/>
      <c r="F822" s="541"/>
      <c r="G822" s="541"/>
      <c r="H822" s="541"/>
      <c r="I822" s="59"/>
      <c r="J822" s="59"/>
      <c r="K822" s="621"/>
      <c r="L822" s="621"/>
      <c r="M822" s="629">
        <f t="shared" si="74"/>
        <v>0</v>
      </c>
      <c r="N822" s="629">
        <f t="shared" si="75"/>
        <v>0</v>
      </c>
      <c r="O822" s="630">
        <f t="shared" si="72"/>
        <v>0</v>
      </c>
      <c r="P822" s="629">
        <f t="shared" si="76"/>
        <v>0</v>
      </c>
      <c r="Q822" s="629">
        <f t="shared" si="77"/>
        <v>0</v>
      </c>
      <c r="R822" s="630">
        <f t="shared" si="73"/>
        <v>0</v>
      </c>
    </row>
    <row r="823" spans="2:18" outlineLevel="1" x14ac:dyDescent="0.2">
      <c r="B823" s="59"/>
      <c r="C823" s="59"/>
      <c r="D823" s="59"/>
      <c r="E823" s="541"/>
      <c r="F823" s="541"/>
      <c r="G823" s="541"/>
      <c r="H823" s="541"/>
      <c r="I823" s="59"/>
      <c r="J823" s="59"/>
      <c r="K823" s="621"/>
      <c r="L823" s="621"/>
      <c r="M823" s="629">
        <f t="shared" si="74"/>
        <v>0</v>
      </c>
      <c r="N823" s="629">
        <f t="shared" si="75"/>
        <v>0</v>
      </c>
      <c r="O823" s="630">
        <f t="shared" si="72"/>
        <v>0</v>
      </c>
      <c r="P823" s="629">
        <f t="shared" si="76"/>
        <v>0</v>
      </c>
      <c r="Q823" s="629">
        <f t="shared" si="77"/>
        <v>0</v>
      </c>
      <c r="R823" s="630">
        <f t="shared" si="73"/>
        <v>0</v>
      </c>
    </row>
    <row r="824" spans="2:18" outlineLevel="1" x14ac:dyDescent="0.2">
      <c r="B824" s="59"/>
      <c r="C824" s="59"/>
      <c r="D824" s="59"/>
      <c r="E824" s="541"/>
      <c r="F824" s="541"/>
      <c r="G824" s="541"/>
      <c r="H824" s="541"/>
      <c r="I824" s="59"/>
      <c r="J824" s="59"/>
      <c r="K824" s="621"/>
      <c r="L824" s="621"/>
      <c r="M824" s="629">
        <f t="shared" si="74"/>
        <v>0</v>
      </c>
      <c r="N824" s="629">
        <f t="shared" si="75"/>
        <v>0</v>
      </c>
      <c r="O824" s="630">
        <f t="shared" si="72"/>
        <v>0</v>
      </c>
      <c r="P824" s="629">
        <f t="shared" si="76"/>
        <v>0</v>
      </c>
      <c r="Q824" s="629">
        <f t="shared" si="77"/>
        <v>0</v>
      </c>
      <c r="R824" s="630">
        <f t="shared" si="73"/>
        <v>0</v>
      </c>
    </row>
    <row r="825" spans="2:18" outlineLevel="1" x14ac:dyDescent="0.2">
      <c r="B825" s="59"/>
      <c r="C825" s="59"/>
      <c r="D825" s="59"/>
      <c r="E825" s="541"/>
      <c r="F825" s="541"/>
      <c r="G825" s="541"/>
      <c r="H825" s="541"/>
      <c r="I825" s="59"/>
      <c r="J825" s="59"/>
      <c r="K825" s="621"/>
      <c r="L825" s="621"/>
      <c r="M825" s="629">
        <f t="shared" si="74"/>
        <v>0</v>
      </c>
      <c r="N825" s="629">
        <f t="shared" si="75"/>
        <v>0</v>
      </c>
      <c r="O825" s="630">
        <f t="shared" si="72"/>
        <v>0</v>
      </c>
      <c r="P825" s="629">
        <f t="shared" si="76"/>
        <v>0</v>
      </c>
      <c r="Q825" s="629">
        <f t="shared" si="77"/>
        <v>0</v>
      </c>
      <c r="R825" s="630">
        <f t="shared" si="73"/>
        <v>0</v>
      </c>
    </row>
    <row r="826" spans="2:18" outlineLevel="1" x14ac:dyDescent="0.2">
      <c r="B826" s="59"/>
      <c r="C826" s="59"/>
      <c r="D826" s="59"/>
      <c r="E826" s="541"/>
      <c r="F826" s="541"/>
      <c r="G826" s="541"/>
      <c r="H826" s="541"/>
      <c r="I826" s="59"/>
      <c r="J826" s="59"/>
      <c r="K826" s="621"/>
      <c r="L826" s="621"/>
      <c r="M826" s="629">
        <f t="shared" si="74"/>
        <v>0</v>
      </c>
      <c r="N826" s="629">
        <f t="shared" si="75"/>
        <v>0</v>
      </c>
      <c r="O826" s="630">
        <f t="shared" si="72"/>
        <v>0</v>
      </c>
      <c r="P826" s="629">
        <f t="shared" si="76"/>
        <v>0</v>
      </c>
      <c r="Q826" s="629">
        <f t="shared" si="77"/>
        <v>0</v>
      </c>
      <c r="R826" s="630">
        <f t="shared" si="73"/>
        <v>0</v>
      </c>
    </row>
    <row r="827" spans="2:18" outlineLevel="1" x14ac:dyDescent="0.2">
      <c r="B827" s="59"/>
      <c r="C827" s="59"/>
      <c r="D827" s="59"/>
      <c r="E827" s="541"/>
      <c r="F827" s="541"/>
      <c r="G827" s="541"/>
      <c r="H827" s="541"/>
      <c r="I827" s="59"/>
      <c r="J827" s="59"/>
      <c r="K827" s="621"/>
      <c r="L827" s="621"/>
      <c r="M827" s="629">
        <f t="shared" si="74"/>
        <v>0</v>
      </c>
      <c r="N827" s="629">
        <f t="shared" si="75"/>
        <v>0</v>
      </c>
      <c r="O827" s="630">
        <f t="shared" si="72"/>
        <v>0</v>
      </c>
      <c r="P827" s="629">
        <f t="shared" si="76"/>
        <v>0</v>
      </c>
      <c r="Q827" s="629">
        <f t="shared" si="77"/>
        <v>0</v>
      </c>
      <c r="R827" s="630">
        <f t="shared" si="73"/>
        <v>0</v>
      </c>
    </row>
    <row r="828" spans="2:18" outlineLevel="1" x14ac:dyDescent="0.2">
      <c r="B828" s="59"/>
      <c r="C828" s="59"/>
      <c r="D828" s="59"/>
      <c r="E828" s="541"/>
      <c r="F828" s="541"/>
      <c r="G828" s="541"/>
      <c r="H828" s="541"/>
      <c r="I828" s="59"/>
      <c r="J828" s="59"/>
      <c r="K828" s="621"/>
      <c r="L828" s="621"/>
      <c r="M828" s="629">
        <f t="shared" si="74"/>
        <v>0</v>
      </c>
      <c r="N828" s="629">
        <f t="shared" si="75"/>
        <v>0</v>
      </c>
      <c r="O828" s="630">
        <f t="shared" si="72"/>
        <v>0</v>
      </c>
      <c r="P828" s="629">
        <f t="shared" si="76"/>
        <v>0</v>
      </c>
      <c r="Q828" s="629">
        <f t="shared" si="77"/>
        <v>0</v>
      </c>
      <c r="R828" s="630">
        <f t="shared" si="73"/>
        <v>0</v>
      </c>
    </row>
    <row r="829" spans="2:18" outlineLevel="1" x14ac:dyDescent="0.2">
      <c r="B829" s="59"/>
      <c r="C829" s="59"/>
      <c r="D829" s="59"/>
      <c r="E829" s="541"/>
      <c r="F829" s="541"/>
      <c r="G829" s="541"/>
      <c r="H829" s="541"/>
      <c r="I829" s="59"/>
      <c r="J829" s="59"/>
      <c r="K829" s="621"/>
      <c r="L829" s="621"/>
      <c r="M829" s="629">
        <f t="shared" si="74"/>
        <v>0</v>
      </c>
      <c r="N829" s="629">
        <f t="shared" si="75"/>
        <v>0</v>
      </c>
      <c r="O829" s="630">
        <f t="shared" si="72"/>
        <v>0</v>
      </c>
      <c r="P829" s="629">
        <f t="shared" si="76"/>
        <v>0</v>
      </c>
      <c r="Q829" s="629">
        <f t="shared" si="77"/>
        <v>0</v>
      </c>
      <c r="R829" s="630">
        <f t="shared" si="73"/>
        <v>0</v>
      </c>
    </row>
    <row r="830" spans="2:18" outlineLevel="1" x14ac:dyDescent="0.2">
      <c r="B830" s="59"/>
      <c r="C830" s="59"/>
      <c r="D830" s="59"/>
      <c r="E830" s="541"/>
      <c r="F830" s="541"/>
      <c r="G830" s="541"/>
      <c r="H830" s="541"/>
      <c r="I830" s="59"/>
      <c r="J830" s="59"/>
      <c r="K830" s="621"/>
      <c r="L830" s="621"/>
      <c r="M830" s="629">
        <f t="shared" si="74"/>
        <v>0</v>
      </c>
      <c r="N830" s="629">
        <f t="shared" si="75"/>
        <v>0</v>
      </c>
      <c r="O830" s="630">
        <f t="shared" si="72"/>
        <v>0</v>
      </c>
      <c r="P830" s="629">
        <f t="shared" si="76"/>
        <v>0</v>
      </c>
      <c r="Q830" s="629">
        <f t="shared" si="77"/>
        <v>0</v>
      </c>
      <c r="R830" s="630">
        <f t="shared" si="73"/>
        <v>0</v>
      </c>
    </row>
    <row r="831" spans="2:18" outlineLevel="1" x14ac:dyDescent="0.2">
      <c r="B831" s="59"/>
      <c r="C831" s="59"/>
      <c r="D831" s="59"/>
      <c r="E831" s="541"/>
      <c r="F831" s="541"/>
      <c r="G831" s="541"/>
      <c r="H831" s="541"/>
      <c r="I831" s="59"/>
      <c r="J831" s="59"/>
      <c r="K831" s="621"/>
      <c r="L831" s="621"/>
      <c r="M831" s="629">
        <f t="shared" si="74"/>
        <v>0</v>
      </c>
      <c r="N831" s="629">
        <f t="shared" si="75"/>
        <v>0</v>
      </c>
      <c r="O831" s="630">
        <f t="shared" si="72"/>
        <v>0</v>
      </c>
      <c r="P831" s="629">
        <f t="shared" si="76"/>
        <v>0</v>
      </c>
      <c r="Q831" s="629">
        <f t="shared" si="77"/>
        <v>0</v>
      </c>
      <c r="R831" s="630">
        <f t="shared" si="73"/>
        <v>0</v>
      </c>
    </row>
    <row r="832" spans="2:18" outlineLevel="1" x14ac:dyDescent="0.2">
      <c r="B832" s="59"/>
      <c r="C832" s="59"/>
      <c r="D832" s="59"/>
      <c r="E832" s="541"/>
      <c r="F832" s="541"/>
      <c r="G832" s="541"/>
      <c r="H832" s="541"/>
      <c r="I832" s="59"/>
      <c r="J832" s="59"/>
      <c r="K832" s="621"/>
      <c r="L832" s="621"/>
      <c r="M832" s="629">
        <f t="shared" si="74"/>
        <v>0</v>
      </c>
      <c r="N832" s="629">
        <f t="shared" si="75"/>
        <v>0</v>
      </c>
      <c r="O832" s="630">
        <f t="shared" si="72"/>
        <v>0</v>
      </c>
      <c r="P832" s="629">
        <f t="shared" si="76"/>
        <v>0</v>
      </c>
      <c r="Q832" s="629">
        <f t="shared" si="77"/>
        <v>0</v>
      </c>
      <c r="R832" s="630">
        <f t="shared" si="73"/>
        <v>0</v>
      </c>
    </row>
    <row r="833" spans="2:18" outlineLevel="1" x14ac:dyDescent="0.2">
      <c r="B833" s="59"/>
      <c r="C833" s="59"/>
      <c r="D833" s="59"/>
      <c r="E833" s="541"/>
      <c r="F833" s="541"/>
      <c r="G833" s="541"/>
      <c r="H833" s="541"/>
      <c r="I833" s="59"/>
      <c r="J833" s="59"/>
      <c r="K833" s="621"/>
      <c r="L833" s="621"/>
      <c r="M833" s="629">
        <f t="shared" si="74"/>
        <v>0</v>
      </c>
      <c r="N833" s="629">
        <f t="shared" si="75"/>
        <v>0</v>
      </c>
      <c r="O833" s="630">
        <f t="shared" si="72"/>
        <v>0</v>
      </c>
      <c r="P833" s="629">
        <f t="shared" si="76"/>
        <v>0</v>
      </c>
      <c r="Q833" s="629">
        <f t="shared" si="77"/>
        <v>0</v>
      </c>
      <c r="R833" s="630">
        <f t="shared" si="73"/>
        <v>0</v>
      </c>
    </row>
    <row r="834" spans="2:18" outlineLevel="1" x14ac:dyDescent="0.2">
      <c r="B834" s="59"/>
      <c r="C834" s="59"/>
      <c r="D834" s="59"/>
      <c r="E834" s="541"/>
      <c r="F834" s="541"/>
      <c r="G834" s="541"/>
      <c r="H834" s="541"/>
      <c r="I834" s="59"/>
      <c r="J834" s="59"/>
      <c r="K834" s="621"/>
      <c r="L834" s="621"/>
      <c r="M834" s="629">
        <f t="shared" si="74"/>
        <v>0</v>
      </c>
      <c r="N834" s="629">
        <f t="shared" si="75"/>
        <v>0</v>
      </c>
      <c r="O834" s="630">
        <f t="shared" si="72"/>
        <v>0</v>
      </c>
      <c r="P834" s="629">
        <f t="shared" si="76"/>
        <v>0</v>
      </c>
      <c r="Q834" s="629">
        <f t="shared" si="77"/>
        <v>0</v>
      </c>
      <c r="R834" s="630">
        <f t="shared" si="73"/>
        <v>0</v>
      </c>
    </row>
    <row r="835" spans="2:18" outlineLevel="1" x14ac:dyDescent="0.2">
      <c r="B835" s="59"/>
      <c r="C835" s="59"/>
      <c r="D835" s="59"/>
      <c r="E835" s="541"/>
      <c r="F835" s="541"/>
      <c r="G835" s="541"/>
      <c r="H835" s="541"/>
      <c r="I835" s="59"/>
      <c r="J835" s="59"/>
      <c r="K835" s="621"/>
      <c r="L835" s="621"/>
      <c r="M835" s="629">
        <f t="shared" si="74"/>
        <v>0</v>
      </c>
      <c r="N835" s="629">
        <f t="shared" si="75"/>
        <v>0</v>
      </c>
      <c r="O835" s="630">
        <f t="shared" si="72"/>
        <v>0</v>
      </c>
      <c r="P835" s="629">
        <f t="shared" si="76"/>
        <v>0</v>
      </c>
      <c r="Q835" s="629">
        <f t="shared" si="77"/>
        <v>0</v>
      </c>
      <c r="R835" s="630">
        <f t="shared" si="73"/>
        <v>0</v>
      </c>
    </row>
    <row r="836" spans="2:18" outlineLevel="1" x14ac:dyDescent="0.2">
      <c r="B836" s="59"/>
      <c r="C836" s="59"/>
      <c r="D836" s="59"/>
      <c r="E836" s="541"/>
      <c r="F836" s="541"/>
      <c r="G836" s="541"/>
      <c r="H836" s="541"/>
      <c r="I836" s="59"/>
      <c r="J836" s="59"/>
      <c r="K836" s="621"/>
      <c r="L836" s="621"/>
      <c r="M836" s="629">
        <f t="shared" si="74"/>
        <v>0</v>
      </c>
      <c r="N836" s="629">
        <f t="shared" si="75"/>
        <v>0</v>
      </c>
      <c r="O836" s="630">
        <f t="shared" si="72"/>
        <v>0</v>
      </c>
      <c r="P836" s="629">
        <f t="shared" si="76"/>
        <v>0</v>
      </c>
      <c r="Q836" s="629">
        <f t="shared" si="77"/>
        <v>0</v>
      </c>
      <c r="R836" s="630">
        <f t="shared" si="73"/>
        <v>0</v>
      </c>
    </row>
    <row r="837" spans="2:18" outlineLevel="1" x14ac:dyDescent="0.2">
      <c r="B837" s="59"/>
      <c r="C837" s="59"/>
      <c r="D837" s="59"/>
      <c r="E837" s="541"/>
      <c r="F837" s="541"/>
      <c r="G837" s="541"/>
      <c r="H837" s="541"/>
      <c r="I837" s="59"/>
      <c r="J837" s="59"/>
      <c r="K837" s="621"/>
      <c r="L837" s="621"/>
      <c r="M837" s="629">
        <f t="shared" si="74"/>
        <v>0</v>
      </c>
      <c r="N837" s="629">
        <f t="shared" si="75"/>
        <v>0</v>
      </c>
      <c r="O837" s="630">
        <f t="shared" ref="O837:O900" si="78">M837+N837</f>
        <v>0</v>
      </c>
      <c r="P837" s="629">
        <f t="shared" si="76"/>
        <v>0</v>
      </c>
      <c r="Q837" s="629">
        <f t="shared" si="77"/>
        <v>0</v>
      </c>
      <c r="R837" s="630">
        <f t="shared" ref="R837:R900" si="79">P837+Q837</f>
        <v>0</v>
      </c>
    </row>
    <row r="838" spans="2:18" outlineLevel="1" x14ac:dyDescent="0.2">
      <c r="B838" s="59"/>
      <c r="C838" s="59"/>
      <c r="D838" s="59"/>
      <c r="E838" s="541"/>
      <c r="F838" s="541"/>
      <c r="G838" s="541"/>
      <c r="H838" s="541"/>
      <c r="I838" s="59"/>
      <c r="J838" s="59"/>
      <c r="K838" s="621"/>
      <c r="L838" s="621"/>
      <c r="M838" s="629">
        <f t="shared" ref="M838:M901" si="80">G838*(-1)</f>
        <v>0</v>
      </c>
      <c r="N838" s="629">
        <f t="shared" ref="N838:N901" si="81">H838*(-1)</f>
        <v>0</v>
      </c>
      <c r="O838" s="630">
        <f t="shared" si="78"/>
        <v>0</v>
      </c>
      <c r="P838" s="629">
        <f t="shared" ref="P838:P901" si="82">+IF(AND(I838="NO",E838&gt;G838),(E838-G838)*K838*(-1),0)</f>
        <v>0</v>
      </c>
      <c r="Q838" s="629">
        <f t="shared" ref="Q838:Q901" si="83">+IF(AND(J838="NO",F838&gt;H838),(F838-H838)*L838*(-1),0)</f>
        <v>0</v>
      </c>
      <c r="R838" s="630">
        <f t="shared" si="79"/>
        <v>0</v>
      </c>
    </row>
    <row r="839" spans="2:18" outlineLevel="1" x14ac:dyDescent="0.2">
      <c r="B839" s="59"/>
      <c r="C839" s="59"/>
      <c r="D839" s="59"/>
      <c r="E839" s="541"/>
      <c r="F839" s="541"/>
      <c r="G839" s="541"/>
      <c r="H839" s="541"/>
      <c r="I839" s="59"/>
      <c r="J839" s="59"/>
      <c r="K839" s="621"/>
      <c r="L839" s="621"/>
      <c r="M839" s="629">
        <f t="shared" si="80"/>
        <v>0</v>
      </c>
      <c r="N839" s="629">
        <f t="shared" si="81"/>
        <v>0</v>
      </c>
      <c r="O839" s="630">
        <f t="shared" si="78"/>
        <v>0</v>
      </c>
      <c r="P839" s="629">
        <f t="shared" si="82"/>
        <v>0</v>
      </c>
      <c r="Q839" s="629">
        <f t="shared" si="83"/>
        <v>0</v>
      </c>
      <c r="R839" s="630">
        <f t="shared" si="79"/>
        <v>0</v>
      </c>
    </row>
    <row r="840" spans="2:18" outlineLevel="1" x14ac:dyDescent="0.2">
      <c r="B840" s="59"/>
      <c r="C840" s="59"/>
      <c r="D840" s="59"/>
      <c r="E840" s="541"/>
      <c r="F840" s="541"/>
      <c r="G840" s="541"/>
      <c r="H840" s="541"/>
      <c r="I840" s="59"/>
      <c r="J840" s="59"/>
      <c r="K840" s="621"/>
      <c r="L840" s="621"/>
      <c r="M840" s="629">
        <f t="shared" si="80"/>
        <v>0</v>
      </c>
      <c r="N840" s="629">
        <f t="shared" si="81"/>
        <v>0</v>
      </c>
      <c r="O840" s="630">
        <f t="shared" si="78"/>
        <v>0</v>
      </c>
      <c r="P840" s="629">
        <f t="shared" si="82"/>
        <v>0</v>
      </c>
      <c r="Q840" s="629">
        <f t="shared" si="83"/>
        <v>0</v>
      </c>
      <c r="R840" s="630">
        <f t="shared" si="79"/>
        <v>0</v>
      </c>
    </row>
    <row r="841" spans="2:18" outlineLevel="1" x14ac:dyDescent="0.2">
      <c r="B841" s="59"/>
      <c r="C841" s="59"/>
      <c r="D841" s="59"/>
      <c r="E841" s="541"/>
      <c r="F841" s="541"/>
      <c r="G841" s="541"/>
      <c r="H841" s="541"/>
      <c r="I841" s="59"/>
      <c r="J841" s="59"/>
      <c r="K841" s="621"/>
      <c r="L841" s="621"/>
      <c r="M841" s="629">
        <f t="shared" si="80"/>
        <v>0</v>
      </c>
      <c r="N841" s="629">
        <f t="shared" si="81"/>
        <v>0</v>
      </c>
      <c r="O841" s="630">
        <f t="shared" si="78"/>
        <v>0</v>
      </c>
      <c r="P841" s="629">
        <f t="shared" si="82"/>
        <v>0</v>
      </c>
      <c r="Q841" s="629">
        <f t="shared" si="83"/>
        <v>0</v>
      </c>
      <c r="R841" s="630">
        <f t="shared" si="79"/>
        <v>0</v>
      </c>
    </row>
    <row r="842" spans="2:18" outlineLevel="1" x14ac:dyDescent="0.2">
      <c r="B842" s="59"/>
      <c r="C842" s="59"/>
      <c r="D842" s="59"/>
      <c r="E842" s="541"/>
      <c r="F842" s="541"/>
      <c r="G842" s="541"/>
      <c r="H842" s="541"/>
      <c r="I842" s="59"/>
      <c r="J842" s="59"/>
      <c r="K842" s="621"/>
      <c r="L842" s="621"/>
      <c r="M842" s="629">
        <f t="shared" si="80"/>
        <v>0</v>
      </c>
      <c r="N842" s="629">
        <f t="shared" si="81"/>
        <v>0</v>
      </c>
      <c r="O842" s="630">
        <f t="shared" si="78"/>
        <v>0</v>
      </c>
      <c r="P842" s="629">
        <f t="shared" si="82"/>
        <v>0</v>
      </c>
      <c r="Q842" s="629">
        <f t="shared" si="83"/>
        <v>0</v>
      </c>
      <c r="R842" s="630">
        <f t="shared" si="79"/>
        <v>0</v>
      </c>
    </row>
    <row r="843" spans="2:18" outlineLevel="1" x14ac:dyDescent="0.2">
      <c r="B843" s="59"/>
      <c r="C843" s="59"/>
      <c r="D843" s="59"/>
      <c r="E843" s="541"/>
      <c r="F843" s="541"/>
      <c r="G843" s="541"/>
      <c r="H843" s="541"/>
      <c r="I843" s="59"/>
      <c r="J843" s="59"/>
      <c r="K843" s="621"/>
      <c r="L843" s="621"/>
      <c r="M843" s="629">
        <f t="shared" si="80"/>
        <v>0</v>
      </c>
      <c r="N843" s="629">
        <f t="shared" si="81"/>
        <v>0</v>
      </c>
      <c r="O843" s="630">
        <f t="shared" si="78"/>
        <v>0</v>
      </c>
      <c r="P843" s="629">
        <f t="shared" si="82"/>
        <v>0</v>
      </c>
      <c r="Q843" s="629">
        <f t="shared" si="83"/>
        <v>0</v>
      </c>
      <c r="R843" s="630">
        <f t="shared" si="79"/>
        <v>0</v>
      </c>
    </row>
    <row r="844" spans="2:18" outlineLevel="1" x14ac:dyDescent="0.2">
      <c r="B844" s="59"/>
      <c r="C844" s="59"/>
      <c r="D844" s="59"/>
      <c r="E844" s="541"/>
      <c r="F844" s="541"/>
      <c r="G844" s="541"/>
      <c r="H844" s="541"/>
      <c r="I844" s="59"/>
      <c r="J844" s="59"/>
      <c r="K844" s="621"/>
      <c r="L844" s="621"/>
      <c r="M844" s="629">
        <f t="shared" si="80"/>
        <v>0</v>
      </c>
      <c r="N844" s="629">
        <f t="shared" si="81"/>
        <v>0</v>
      </c>
      <c r="O844" s="630">
        <f t="shared" si="78"/>
        <v>0</v>
      </c>
      <c r="P844" s="629">
        <f t="shared" si="82"/>
        <v>0</v>
      </c>
      <c r="Q844" s="629">
        <f t="shared" si="83"/>
        <v>0</v>
      </c>
      <c r="R844" s="630">
        <f t="shared" si="79"/>
        <v>0</v>
      </c>
    </row>
    <row r="845" spans="2:18" outlineLevel="1" x14ac:dyDescent="0.2">
      <c r="B845" s="59"/>
      <c r="C845" s="59"/>
      <c r="D845" s="59"/>
      <c r="E845" s="541"/>
      <c r="F845" s="541"/>
      <c r="G845" s="541"/>
      <c r="H845" s="541"/>
      <c r="I845" s="59"/>
      <c r="J845" s="59"/>
      <c r="K845" s="621"/>
      <c r="L845" s="621"/>
      <c r="M845" s="629">
        <f t="shared" si="80"/>
        <v>0</v>
      </c>
      <c r="N845" s="629">
        <f t="shared" si="81"/>
        <v>0</v>
      </c>
      <c r="O845" s="630">
        <f t="shared" si="78"/>
        <v>0</v>
      </c>
      <c r="P845" s="629">
        <f t="shared" si="82"/>
        <v>0</v>
      </c>
      <c r="Q845" s="629">
        <f t="shared" si="83"/>
        <v>0</v>
      </c>
      <c r="R845" s="630">
        <f t="shared" si="79"/>
        <v>0</v>
      </c>
    </row>
    <row r="846" spans="2:18" outlineLevel="1" x14ac:dyDescent="0.2">
      <c r="B846" s="59"/>
      <c r="C846" s="59"/>
      <c r="D846" s="59"/>
      <c r="E846" s="541"/>
      <c r="F846" s="541"/>
      <c r="G846" s="541"/>
      <c r="H846" s="541"/>
      <c r="I846" s="59"/>
      <c r="J846" s="59"/>
      <c r="K846" s="621"/>
      <c r="L846" s="621"/>
      <c r="M846" s="629">
        <f t="shared" si="80"/>
        <v>0</v>
      </c>
      <c r="N846" s="629">
        <f t="shared" si="81"/>
        <v>0</v>
      </c>
      <c r="O846" s="630">
        <f t="shared" si="78"/>
        <v>0</v>
      </c>
      <c r="P846" s="629">
        <f t="shared" si="82"/>
        <v>0</v>
      </c>
      <c r="Q846" s="629">
        <f t="shared" si="83"/>
        <v>0</v>
      </c>
      <c r="R846" s="630">
        <f t="shared" si="79"/>
        <v>0</v>
      </c>
    </row>
    <row r="847" spans="2:18" outlineLevel="1" x14ac:dyDescent="0.2">
      <c r="B847" s="59"/>
      <c r="C847" s="59"/>
      <c r="D847" s="59"/>
      <c r="E847" s="541"/>
      <c r="F847" s="541"/>
      <c r="G847" s="541"/>
      <c r="H847" s="541"/>
      <c r="I847" s="59"/>
      <c r="J847" s="59"/>
      <c r="K847" s="621"/>
      <c r="L847" s="621"/>
      <c r="M847" s="629">
        <f t="shared" si="80"/>
        <v>0</v>
      </c>
      <c r="N847" s="629">
        <f t="shared" si="81"/>
        <v>0</v>
      </c>
      <c r="O847" s="630">
        <f t="shared" si="78"/>
        <v>0</v>
      </c>
      <c r="P847" s="629">
        <f t="shared" si="82"/>
        <v>0</v>
      </c>
      <c r="Q847" s="629">
        <f t="shared" si="83"/>
        <v>0</v>
      </c>
      <c r="R847" s="630">
        <f t="shared" si="79"/>
        <v>0</v>
      </c>
    </row>
    <row r="848" spans="2:18" outlineLevel="1" x14ac:dyDescent="0.2">
      <c r="B848" s="59"/>
      <c r="C848" s="59"/>
      <c r="D848" s="59"/>
      <c r="E848" s="541"/>
      <c r="F848" s="541"/>
      <c r="G848" s="541"/>
      <c r="H848" s="541"/>
      <c r="I848" s="59"/>
      <c r="J848" s="59"/>
      <c r="K848" s="621"/>
      <c r="L848" s="621"/>
      <c r="M848" s="629">
        <f t="shared" si="80"/>
        <v>0</v>
      </c>
      <c r="N848" s="629">
        <f t="shared" si="81"/>
        <v>0</v>
      </c>
      <c r="O848" s="630">
        <f t="shared" si="78"/>
        <v>0</v>
      </c>
      <c r="P848" s="629">
        <f t="shared" si="82"/>
        <v>0</v>
      </c>
      <c r="Q848" s="629">
        <f t="shared" si="83"/>
        <v>0</v>
      </c>
      <c r="R848" s="630">
        <f t="shared" si="79"/>
        <v>0</v>
      </c>
    </row>
    <row r="849" spans="2:18" outlineLevel="1" x14ac:dyDescent="0.2">
      <c r="B849" s="59"/>
      <c r="C849" s="59"/>
      <c r="D849" s="59"/>
      <c r="E849" s="541"/>
      <c r="F849" s="541"/>
      <c r="G849" s="541"/>
      <c r="H849" s="541"/>
      <c r="I849" s="59"/>
      <c r="J849" s="59"/>
      <c r="K849" s="621"/>
      <c r="L849" s="621"/>
      <c r="M849" s="629">
        <f t="shared" si="80"/>
        <v>0</v>
      </c>
      <c r="N849" s="629">
        <f t="shared" si="81"/>
        <v>0</v>
      </c>
      <c r="O849" s="630">
        <f t="shared" si="78"/>
        <v>0</v>
      </c>
      <c r="P849" s="629">
        <f t="shared" si="82"/>
        <v>0</v>
      </c>
      <c r="Q849" s="629">
        <f t="shared" si="83"/>
        <v>0</v>
      </c>
      <c r="R849" s="630">
        <f t="shared" si="79"/>
        <v>0</v>
      </c>
    </row>
    <row r="850" spans="2:18" outlineLevel="1" x14ac:dyDescent="0.2">
      <c r="B850" s="59"/>
      <c r="C850" s="59"/>
      <c r="D850" s="59"/>
      <c r="E850" s="541"/>
      <c r="F850" s="541"/>
      <c r="G850" s="541"/>
      <c r="H850" s="541"/>
      <c r="I850" s="59"/>
      <c r="J850" s="59"/>
      <c r="K850" s="621"/>
      <c r="L850" s="621"/>
      <c r="M850" s="629">
        <f t="shared" si="80"/>
        <v>0</v>
      </c>
      <c r="N850" s="629">
        <f t="shared" si="81"/>
        <v>0</v>
      </c>
      <c r="O850" s="630">
        <f t="shared" si="78"/>
        <v>0</v>
      </c>
      <c r="P850" s="629">
        <f t="shared" si="82"/>
        <v>0</v>
      </c>
      <c r="Q850" s="629">
        <f t="shared" si="83"/>
        <v>0</v>
      </c>
      <c r="R850" s="630">
        <f t="shared" si="79"/>
        <v>0</v>
      </c>
    </row>
    <row r="851" spans="2:18" outlineLevel="1" x14ac:dyDescent="0.2">
      <c r="B851" s="59"/>
      <c r="C851" s="59"/>
      <c r="D851" s="59"/>
      <c r="E851" s="541"/>
      <c r="F851" s="541"/>
      <c r="G851" s="541"/>
      <c r="H851" s="541"/>
      <c r="I851" s="59"/>
      <c r="J851" s="59"/>
      <c r="K851" s="621"/>
      <c r="L851" s="621"/>
      <c r="M851" s="629">
        <f t="shared" si="80"/>
        <v>0</v>
      </c>
      <c r="N851" s="629">
        <f t="shared" si="81"/>
        <v>0</v>
      </c>
      <c r="O851" s="630">
        <f t="shared" si="78"/>
        <v>0</v>
      </c>
      <c r="P851" s="629">
        <f t="shared" si="82"/>
        <v>0</v>
      </c>
      <c r="Q851" s="629">
        <f t="shared" si="83"/>
        <v>0</v>
      </c>
      <c r="R851" s="630">
        <f t="shared" si="79"/>
        <v>0</v>
      </c>
    </row>
    <row r="852" spans="2:18" outlineLevel="1" x14ac:dyDescent="0.2">
      <c r="B852" s="59"/>
      <c r="C852" s="59"/>
      <c r="D852" s="59"/>
      <c r="E852" s="541"/>
      <c r="F852" s="541"/>
      <c r="G852" s="541"/>
      <c r="H852" s="541"/>
      <c r="I852" s="59"/>
      <c r="J852" s="59"/>
      <c r="K852" s="621"/>
      <c r="L852" s="621"/>
      <c r="M852" s="629">
        <f t="shared" si="80"/>
        <v>0</v>
      </c>
      <c r="N852" s="629">
        <f t="shared" si="81"/>
        <v>0</v>
      </c>
      <c r="O852" s="630">
        <f t="shared" si="78"/>
        <v>0</v>
      </c>
      <c r="P852" s="629">
        <f t="shared" si="82"/>
        <v>0</v>
      </c>
      <c r="Q852" s="629">
        <f t="shared" si="83"/>
        <v>0</v>
      </c>
      <c r="R852" s="630">
        <f t="shared" si="79"/>
        <v>0</v>
      </c>
    </row>
    <row r="853" spans="2:18" outlineLevel="1" x14ac:dyDescent="0.2">
      <c r="B853" s="59"/>
      <c r="C853" s="59"/>
      <c r="D853" s="59"/>
      <c r="E853" s="541"/>
      <c r="F853" s="541"/>
      <c r="G853" s="541"/>
      <c r="H853" s="541"/>
      <c r="I853" s="59"/>
      <c r="J853" s="59"/>
      <c r="K853" s="621"/>
      <c r="L853" s="621"/>
      <c r="M853" s="629">
        <f t="shared" si="80"/>
        <v>0</v>
      </c>
      <c r="N853" s="629">
        <f t="shared" si="81"/>
        <v>0</v>
      </c>
      <c r="O853" s="630">
        <f t="shared" si="78"/>
        <v>0</v>
      </c>
      <c r="P853" s="629">
        <f t="shared" si="82"/>
        <v>0</v>
      </c>
      <c r="Q853" s="629">
        <f t="shared" si="83"/>
        <v>0</v>
      </c>
      <c r="R853" s="630">
        <f t="shared" si="79"/>
        <v>0</v>
      </c>
    </row>
    <row r="854" spans="2:18" outlineLevel="1" x14ac:dyDescent="0.2">
      <c r="B854" s="59"/>
      <c r="C854" s="59"/>
      <c r="D854" s="59"/>
      <c r="E854" s="541"/>
      <c r="F854" s="541"/>
      <c r="G854" s="541"/>
      <c r="H854" s="541"/>
      <c r="I854" s="59"/>
      <c r="J854" s="59"/>
      <c r="K854" s="621"/>
      <c r="L854" s="621"/>
      <c r="M854" s="629">
        <f t="shared" si="80"/>
        <v>0</v>
      </c>
      <c r="N854" s="629">
        <f t="shared" si="81"/>
        <v>0</v>
      </c>
      <c r="O854" s="630">
        <f t="shared" si="78"/>
        <v>0</v>
      </c>
      <c r="P854" s="629">
        <f t="shared" si="82"/>
        <v>0</v>
      </c>
      <c r="Q854" s="629">
        <f t="shared" si="83"/>
        <v>0</v>
      </c>
      <c r="R854" s="630">
        <f t="shared" si="79"/>
        <v>0</v>
      </c>
    </row>
    <row r="855" spans="2:18" outlineLevel="1" x14ac:dyDescent="0.2">
      <c r="B855" s="59"/>
      <c r="C855" s="59"/>
      <c r="D855" s="59"/>
      <c r="E855" s="541"/>
      <c r="F855" s="541"/>
      <c r="G855" s="541"/>
      <c r="H855" s="541"/>
      <c r="I855" s="59"/>
      <c r="J855" s="59"/>
      <c r="K855" s="621"/>
      <c r="L855" s="621"/>
      <c r="M855" s="629">
        <f t="shared" si="80"/>
        <v>0</v>
      </c>
      <c r="N855" s="629">
        <f t="shared" si="81"/>
        <v>0</v>
      </c>
      <c r="O855" s="630">
        <f t="shared" si="78"/>
        <v>0</v>
      </c>
      <c r="P855" s="629">
        <f t="shared" si="82"/>
        <v>0</v>
      </c>
      <c r="Q855" s="629">
        <f t="shared" si="83"/>
        <v>0</v>
      </c>
      <c r="R855" s="630">
        <f t="shared" si="79"/>
        <v>0</v>
      </c>
    </row>
    <row r="856" spans="2:18" outlineLevel="1" x14ac:dyDescent="0.2">
      <c r="B856" s="59"/>
      <c r="C856" s="59"/>
      <c r="D856" s="59"/>
      <c r="E856" s="541"/>
      <c r="F856" s="541"/>
      <c r="G856" s="541"/>
      <c r="H856" s="541"/>
      <c r="I856" s="59"/>
      <c r="J856" s="59"/>
      <c r="K856" s="621"/>
      <c r="L856" s="621"/>
      <c r="M856" s="629">
        <f t="shared" si="80"/>
        <v>0</v>
      </c>
      <c r="N856" s="629">
        <f t="shared" si="81"/>
        <v>0</v>
      </c>
      <c r="O856" s="630">
        <f t="shared" si="78"/>
        <v>0</v>
      </c>
      <c r="P856" s="629">
        <f t="shared" si="82"/>
        <v>0</v>
      </c>
      <c r="Q856" s="629">
        <f t="shared" si="83"/>
        <v>0</v>
      </c>
      <c r="R856" s="630">
        <f t="shared" si="79"/>
        <v>0</v>
      </c>
    </row>
    <row r="857" spans="2:18" outlineLevel="1" x14ac:dyDescent="0.2">
      <c r="B857" s="59"/>
      <c r="C857" s="59"/>
      <c r="D857" s="59"/>
      <c r="E857" s="541"/>
      <c r="F857" s="541"/>
      <c r="G857" s="541"/>
      <c r="H857" s="541"/>
      <c r="I857" s="59"/>
      <c r="J857" s="59"/>
      <c r="K857" s="621"/>
      <c r="L857" s="621"/>
      <c r="M857" s="629">
        <f t="shared" si="80"/>
        <v>0</v>
      </c>
      <c r="N857" s="629">
        <f t="shared" si="81"/>
        <v>0</v>
      </c>
      <c r="O857" s="630">
        <f t="shared" si="78"/>
        <v>0</v>
      </c>
      <c r="P857" s="629">
        <f t="shared" si="82"/>
        <v>0</v>
      </c>
      <c r="Q857" s="629">
        <f t="shared" si="83"/>
        <v>0</v>
      </c>
      <c r="R857" s="630">
        <f t="shared" si="79"/>
        <v>0</v>
      </c>
    </row>
    <row r="858" spans="2:18" outlineLevel="1" x14ac:dyDescent="0.2">
      <c r="B858" s="59"/>
      <c r="C858" s="59"/>
      <c r="D858" s="59"/>
      <c r="E858" s="541"/>
      <c r="F858" s="541"/>
      <c r="G858" s="541"/>
      <c r="H858" s="541"/>
      <c r="I858" s="59"/>
      <c r="J858" s="59"/>
      <c r="K858" s="621"/>
      <c r="L858" s="621"/>
      <c r="M858" s="629">
        <f t="shared" si="80"/>
        <v>0</v>
      </c>
      <c r="N858" s="629">
        <f t="shared" si="81"/>
        <v>0</v>
      </c>
      <c r="O858" s="630">
        <f t="shared" si="78"/>
        <v>0</v>
      </c>
      <c r="P858" s="629">
        <f t="shared" si="82"/>
        <v>0</v>
      </c>
      <c r="Q858" s="629">
        <f t="shared" si="83"/>
        <v>0</v>
      </c>
      <c r="R858" s="630">
        <f t="shared" si="79"/>
        <v>0</v>
      </c>
    </row>
    <row r="859" spans="2:18" outlineLevel="1" x14ac:dyDescent="0.2">
      <c r="B859" s="59"/>
      <c r="C859" s="59"/>
      <c r="D859" s="59"/>
      <c r="E859" s="541"/>
      <c r="F859" s="541"/>
      <c r="G859" s="541"/>
      <c r="H859" s="541"/>
      <c r="I859" s="59"/>
      <c r="J859" s="59"/>
      <c r="K859" s="621"/>
      <c r="L859" s="621"/>
      <c r="M859" s="629">
        <f t="shared" si="80"/>
        <v>0</v>
      </c>
      <c r="N859" s="629">
        <f t="shared" si="81"/>
        <v>0</v>
      </c>
      <c r="O859" s="630">
        <f t="shared" si="78"/>
        <v>0</v>
      </c>
      <c r="P859" s="629">
        <f t="shared" si="82"/>
        <v>0</v>
      </c>
      <c r="Q859" s="629">
        <f t="shared" si="83"/>
        <v>0</v>
      </c>
      <c r="R859" s="630">
        <f t="shared" si="79"/>
        <v>0</v>
      </c>
    </row>
    <row r="860" spans="2:18" outlineLevel="1" x14ac:dyDescent="0.2">
      <c r="B860" s="59"/>
      <c r="C860" s="59"/>
      <c r="D860" s="59"/>
      <c r="E860" s="541"/>
      <c r="F860" s="541"/>
      <c r="G860" s="541"/>
      <c r="H860" s="541"/>
      <c r="I860" s="59"/>
      <c r="J860" s="59"/>
      <c r="K860" s="621"/>
      <c r="L860" s="621"/>
      <c r="M860" s="629">
        <f t="shared" si="80"/>
        <v>0</v>
      </c>
      <c r="N860" s="629">
        <f t="shared" si="81"/>
        <v>0</v>
      </c>
      <c r="O860" s="630">
        <f t="shared" si="78"/>
        <v>0</v>
      </c>
      <c r="P860" s="629">
        <f t="shared" si="82"/>
        <v>0</v>
      </c>
      <c r="Q860" s="629">
        <f t="shared" si="83"/>
        <v>0</v>
      </c>
      <c r="R860" s="630">
        <f t="shared" si="79"/>
        <v>0</v>
      </c>
    </row>
    <row r="861" spans="2:18" outlineLevel="1" x14ac:dyDescent="0.2">
      <c r="B861" s="59"/>
      <c r="C861" s="59"/>
      <c r="D861" s="59"/>
      <c r="E861" s="541"/>
      <c r="F861" s="541"/>
      <c r="G861" s="541"/>
      <c r="H861" s="541"/>
      <c r="I861" s="59"/>
      <c r="J861" s="59"/>
      <c r="K861" s="621"/>
      <c r="L861" s="621"/>
      <c r="M861" s="629">
        <f t="shared" si="80"/>
        <v>0</v>
      </c>
      <c r="N861" s="629">
        <f t="shared" si="81"/>
        <v>0</v>
      </c>
      <c r="O861" s="630">
        <f t="shared" si="78"/>
        <v>0</v>
      </c>
      <c r="P861" s="629">
        <f t="shared" si="82"/>
        <v>0</v>
      </c>
      <c r="Q861" s="629">
        <f t="shared" si="83"/>
        <v>0</v>
      </c>
      <c r="R861" s="630">
        <f t="shared" si="79"/>
        <v>0</v>
      </c>
    </row>
    <row r="862" spans="2:18" outlineLevel="1" x14ac:dyDescent="0.2">
      <c r="B862" s="59"/>
      <c r="C862" s="59"/>
      <c r="D862" s="59"/>
      <c r="E862" s="541"/>
      <c r="F862" s="541"/>
      <c r="G862" s="541"/>
      <c r="H862" s="541"/>
      <c r="I862" s="59"/>
      <c r="J862" s="59"/>
      <c r="K862" s="621"/>
      <c r="L862" s="621"/>
      <c r="M862" s="629">
        <f t="shared" si="80"/>
        <v>0</v>
      </c>
      <c r="N862" s="629">
        <f t="shared" si="81"/>
        <v>0</v>
      </c>
      <c r="O862" s="630">
        <f t="shared" si="78"/>
        <v>0</v>
      </c>
      <c r="P862" s="629">
        <f t="shared" si="82"/>
        <v>0</v>
      </c>
      <c r="Q862" s="629">
        <f t="shared" si="83"/>
        <v>0</v>
      </c>
      <c r="R862" s="630">
        <f t="shared" si="79"/>
        <v>0</v>
      </c>
    </row>
    <row r="863" spans="2:18" outlineLevel="1" x14ac:dyDescent="0.2">
      <c r="B863" s="59"/>
      <c r="C863" s="59"/>
      <c r="D863" s="59"/>
      <c r="E863" s="541"/>
      <c r="F863" s="541"/>
      <c r="G863" s="541"/>
      <c r="H863" s="541"/>
      <c r="I863" s="59"/>
      <c r="J863" s="59"/>
      <c r="K863" s="621"/>
      <c r="L863" s="621"/>
      <c r="M863" s="629">
        <f t="shared" si="80"/>
        <v>0</v>
      </c>
      <c r="N863" s="629">
        <f t="shared" si="81"/>
        <v>0</v>
      </c>
      <c r="O863" s="630">
        <f t="shared" si="78"/>
        <v>0</v>
      </c>
      <c r="P863" s="629">
        <f t="shared" si="82"/>
        <v>0</v>
      </c>
      <c r="Q863" s="629">
        <f t="shared" si="83"/>
        <v>0</v>
      </c>
      <c r="R863" s="630">
        <f t="shared" si="79"/>
        <v>0</v>
      </c>
    </row>
    <row r="864" spans="2:18" outlineLevel="1" x14ac:dyDescent="0.2">
      <c r="B864" s="59"/>
      <c r="C864" s="59"/>
      <c r="D864" s="59"/>
      <c r="E864" s="541"/>
      <c r="F864" s="541"/>
      <c r="G864" s="541"/>
      <c r="H864" s="541"/>
      <c r="I864" s="59"/>
      <c r="J864" s="59"/>
      <c r="K864" s="621"/>
      <c r="L864" s="621"/>
      <c r="M864" s="629">
        <f t="shared" si="80"/>
        <v>0</v>
      </c>
      <c r="N864" s="629">
        <f t="shared" si="81"/>
        <v>0</v>
      </c>
      <c r="O864" s="630">
        <f t="shared" si="78"/>
        <v>0</v>
      </c>
      <c r="P864" s="629">
        <f t="shared" si="82"/>
        <v>0</v>
      </c>
      <c r="Q864" s="629">
        <f t="shared" si="83"/>
        <v>0</v>
      </c>
      <c r="R864" s="630">
        <f t="shared" si="79"/>
        <v>0</v>
      </c>
    </row>
    <row r="865" spans="2:18" outlineLevel="1" x14ac:dyDescent="0.2">
      <c r="B865" s="59"/>
      <c r="C865" s="59"/>
      <c r="D865" s="59"/>
      <c r="E865" s="541"/>
      <c r="F865" s="541"/>
      <c r="G865" s="541"/>
      <c r="H865" s="541"/>
      <c r="I865" s="59"/>
      <c r="J865" s="59"/>
      <c r="K865" s="621"/>
      <c r="L865" s="621"/>
      <c r="M865" s="629">
        <f t="shared" si="80"/>
        <v>0</v>
      </c>
      <c r="N865" s="629">
        <f t="shared" si="81"/>
        <v>0</v>
      </c>
      <c r="O865" s="630">
        <f t="shared" si="78"/>
        <v>0</v>
      </c>
      <c r="P865" s="629">
        <f t="shared" si="82"/>
        <v>0</v>
      </c>
      <c r="Q865" s="629">
        <f t="shared" si="83"/>
        <v>0</v>
      </c>
      <c r="R865" s="630">
        <f t="shared" si="79"/>
        <v>0</v>
      </c>
    </row>
    <row r="866" spans="2:18" outlineLevel="1" x14ac:dyDescent="0.2">
      <c r="B866" s="59"/>
      <c r="C866" s="59"/>
      <c r="D866" s="59"/>
      <c r="E866" s="541"/>
      <c r="F866" s="541"/>
      <c r="G866" s="541"/>
      <c r="H866" s="541"/>
      <c r="I866" s="59"/>
      <c r="J866" s="59"/>
      <c r="K866" s="621"/>
      <c r="L866" s="621"/>
      <c r="M866" s="629">
        <f t="shared" si="80"/>
        <v>0</v>
      </c>
      <c r="N866" s="629">
        <f t="shared" si="81"/>
        <v>0</v>
      </c>
      <c r="O866" s="630">
        <f t="shared" si="78"/>
        <v>0</v>
      </c>
      <c r="P866" s="629">
        <f t="shared" si="82"/>
        <v>0</v>
      </c>
      <c r="Q866" s="629">
        <f t="shared" si="83"/>
        <v>0</v>
      </c>
      <c r="R866" s="630">
        <f t="shared" si="79"/>
        <v>0</v>
      </c>
    </row>
    <row r="867" spans="2:18" outlineLevel="1" x14ac:dyDescent="0.2">
      <c r="B867" s="59"/>
      <c r="C867" s="59"/>
      <c r="D867" s="59"/>
      <c r="E867" s="541"/>
      <c r="F867" s="541"/>
      <c r="G867" s="541"/>
      <c r="H867" s="541"/>
      <c r="I867" s="59"/>
      <c r="J867" s="59"/>
      <c r="K867" s="621"/>
      <c r="L867" s="621"/>
      <c r="M867" s="629">
        <f t="shared" si="80"/>
        <v>0</v>
      </c>
      <c r="N867" s="629">
        <f t="shared" si="81"/>
        <v>0</v>
      </c>
      <c r="O867" s="630">
        <f t="shared" si="78"/>
        <v>0</v>
      </c>
      <c r="P867" s="629">
        <f t="shared" si="82"/>
        <v>0</v>
      </c>
      <c r="Q867" s="629">
        <f t="shared" si="83"/>
        <v>0</v>
      </c>
      <c r="R867" s="630">
        <f t="shared" si="79"/>
        <v>0</v>
      </c>
    </row>
    <row r="868" spans="2:18" outlineLevel="1" x14ac:dyDescent="0.2">
      <c r="B868" s="59"/>
      <c r="C868" s="59"/>
      <c r="D868" s="59"/>
      <c r="E868" s="541"/>
      <c r="F868" s="541"/>
      <c r="G868" s="541"/>
      <c r="H868" s="541"/>
      <c r="I868" s="59"/>
      <c r="J868" s="59"/>
      <c r="K868" s="621"/>
      <c r="L868" s="621"/>
      <c r="M868" s="629">
        <f t="shared" si="80"/>
        <v>0</v>
      </c>
      <c r="N868" s="629">
        <f t="shared" si="81"/>
        <v>0</v>
      </c>
      <c r="O868" s="630">
        <f t="shared" si="78"/>
        <v>0</v>
      </c>
      <c r="P868" s="629">
        <f t="shared" si="82"/>
        <v>0</v>
      </c>
      <c r="Q868" s="629">
        <f t="shared" si="83"/>
        <v>0</v>
      </c>
      <c r="R868" s="630">
        <f t="shared" si="79"/>
        <v>0</v>
      </c>
    </row>
    <row r="869" spans="2:18" outlineLevel="1" x14ac:dyDescent="0.2">
      <c r="B869" s="59"/>
      <c r="C869" s="59"/>
      <c r="D869" s="59"/>
      <c r="E869" s="541"/>
      <c r="F869" s="541"/>
      <c r="G869" s="541"/>
      <c r="H869" s="541"/>
      <c r="I869" s="59"/>
      <c r="J869" s="59"/>
      <c r="K869" s="621"/>
      <c r="L869" s="621"/>
      <c r="M869" s="629">
        <f t="shared" si="80"/>
        <v>0</v>
      </c>
      <c r="N869" s="629">
        <f t="shared" si="81"/>
        <v>0</v>
      </c>
      <c r="O869" s="630">
        <f t="shared" si="78"/>
        <v>0</v>
      </c>
      <c r="P869" s="629">
        <f t="shared" si="82"/>
        <v>0</v>
      </c>
      <c r="Q869" s="629">
        <f t="shared" si="83"/>
        <v>0</v>
      </c>
      <c r="R869" s="630">
        <f t="shared" si="79"/>
        <v>0</v>
      </c>
    </row>
    <row r="870" spans="2:18" outlineLevel="1" x14ac:dyDescent="0.2">
      <c r="B870" s="59"/>
      <c r="C870" s="59"/>
      <c r="D870" s="59"/>
      <c r="E870" s="541"/>
      <c r="F870" s="541"/>
      <c r="G870" s="541"/>
      <c r="H870" s="541"/>
      <c r="I870" s="59"/>
      <c r="J870" s="59"/>
      <c r="K870" s="621"/>
      <c r="L870" s="621"/>
      <c r="M870" s="629">
        <f t="shared" si="80"/>
        <v>0</v>
      </c>
      <c r="N870" s="629">
        <f t="shared" si="81"/>
        <v>0</v>
      </c>
      <c r="O870" s="630">
        <f t="shared" si="78"/>
        <v>0</v>
      </c>
      <c r="P870" s="629">
        <f t="shared" si="82"/>
        <v>0</v>
      </c>
      <c r="Q870" s="629">
        <f t="shared" si="83"/>
        <v>0</v>
      </c>
      <c r="R870" s="630">
        <f t="shared" si="79"/>
        <v>0</v>
      </c>
    </row>
    <row r="871" spans="2:18" outlineLevel="1" x14ac:dyDescent="0.2">
      <c r="B871" s="59"/>
      <c r="C871" s="59"/>
      <c r="D871" s="59"/>
      <c r="E871" s="541"/>
      <c r="F871" s="541"/>
      <c r="G871" s="541"/>
      <c r="H871" s="541"/>
      <c r="I871" s="59"/>
      <c r="J871" s="59"/>
      <c r="K871" s="621"/>
      <c r="L871" s="621"/>
      <c r="M871" s="629">
        <f t="shared" si="80"/>
        <v>0</v>
      </c>
      <c r="N871" s="629">
        <f t="shared" si="81"/>
        <v>0</v>
      </c>
      <c r="O871" s="630">
        <f t="shared" si="78"/>
        <v>0</v>
      </c>
      <c r="P871" s="629">
        <f t="shared" si="82"/>
        <v>0</v>
      </c>
      <c r="Q871" s="629">
        <f t="shared" si="83"/>
        <v>0</v>
      </c>
      <c r="R871" s="630">
        <f t="shared" si="79"/>
        <v>0</v>
      </c>
    </row>
    <row r="872" spans="2:18" outlineLevel="1" x14ac:dyDescent="0.2">
      <c r="B872" s="59"/>
      <c r="C872" s="59"/>
      <c r="D872" s="59"/>
      <c r="E872" s="541"/>
      <c r="F872" s="541"/>
      <c r="G872" s="541"/>
      <c r="H872" s="541"/>
      <c r="I872" s="59"/>
      <c r="J872" s="59"/>
      <c r="K872" s="621"/>
      <c r="L872" s="621"/>
      <c r="M872" s="629">
        <f t="shared" si="80"/>
        <v>0</v>
      </c>
      <c r="N872" s="629">
        <f t="shared" si="81"/>
        <v>0</v>
      </c>
      <c r="O872" s="630">
        <f t="shared" si="78"/>
        <v>0</v>
      </c>
      <c r="P872" s="629">
        <f t="shared" si="82"/>
        <v>0</v>
      </c>
      <c r="Q872" s="629">
        <f t="shared" si="83"/>
        <v>0</v>
      </c>
      <c r="R872" s="630">
        <f t="shared" si="79"/>
        <v>0</v>
      </c>
    </row>
    <row r="873" spans="2:18" outlineLevel="1" x14ac:dyDescent="0.2">
      <c r="B873" s="59"/>
      <c r="C873" s="59"/>
      <c r="D873" s="59"/>
      <c r="E873" s="541"/>
      <c r="F873" s="541"/>
      <c r="G873" s="541"/>
      <c r="H873" s="541"/>
      <c r="I873" s="59"/>
      <c r="J873" s="59"/>
      <c r="K873" s="621"/>
      <c r="L873" s="621"/>
      <c r="M873" s="629">
        <f t="shared" si="80"/>
        <v>0</v>
      </c>
      <c r="N873" s="629">
        <f t="shared" si="81"/>
        <v>0</v>
      </c>
      <c r="O873" s="630">
        <f t="shared" si="78"/>
        <v>0</v>
      </c>
      <c r="P873" s="629">
        <f t="shared" si="82"/>
        <v>0</v>
      </c>
      <c r="Q873" s="629">
        <f t="shared" si="83"/>
        <v>0</v>
      </c>
      <c r="R873" s="630">
        <f t="shared" si="79"/>
        <v>0</v>
      </c>
    </row>
    <row r="874" spans="2:18" outlineLevel="1" x14ac:dyDescent="0.2">
      <c r="B874" s="59"/>
      <c r="C874" s="59"/>
      <c r="D874" s="59"/>
      <c r="E874" s="541"/>
      <c r="F874" s="541"/>
      <c r="G874" s="541"/>
      <c r="H874" s="541"/>
      <c r="I874" s="59"/>
      <c r="J874" s="59"/>
      <c r="K874" s="621"/>
      <c r="L874" s="621"/>
      <c r="M874" s="629">
        <f t="shared" si="80"/>
        <v>0</v>
      </c>
      <c r="N874" s="629">
        <f t="shared" si="81"/>
        <v>0</v>
      </c>
      <c r="O874" s="630">
        <f t="shared" si="78"/>
        <v>0</v>
      </c>
      <c r="P874" s="629">
        <f t="shared" si="82"/>
        <v>0</v>
      </c>
      <c r="Q874" s="629">
        <f t="shared" si="83"/>
        <v>0</v>
      </c>
      <c r="R874" s="630">
        <f t="shared" si="79"/>
        <v>0</v>
      </c>
    </row>
    <row r="875" spans="2:18" outlineLevel="1" x14ac:dyDescent="0.2">
      <c r="B875" s="59"/>
      <c r="C875" s="59"/>
      <c r="D875" s="59"/>
      <c r="E875" s="541"/>
      <c r="F875" s="541"/>
      <c r="G875" s="541"/>
      <c r="H875" s="541"/>
      <c r="I875" s="59"/>
      <c r="J875" s="59"/>
      <c r="K875" s="621"/>
      <c r="L875" s="621"/>
      <c r="M875" s="629">
        <f t="shared" si="80"/>
        <v>0</v>
      </c>
      <c r="N875" s="629">
        <f t="shared" si="81"/>
        <v>0</v>
      </c>
      <c r="O875" s="630">
        <f t="shared" si="78"/>
        <v>0</v>
      </c>
      <c r="P875" s="629">
        <f t="shared" si="82"/>
        <v>0</v>
      </c>
      <c r="Q875" s="629">
        <f t="shared" si="83"/>
        <v>0</v>
      </c>
      <c r="R875" s="630">
        <f t="shared" si="79"/>
        <v>0</v>
      </c>
    </row>
    <row r="876" spans="2:18" outlineLevel="1" x14ac:dyDescent="0.2">
      <c r="B876" s="59"/>
      <c r="C876" s="59"/>
      <c r="D876" s="59"/>
      <c r="E876" s="541"/>
      <c r="F876" s="541"/>
      <c r="G876" s="541"/>
      <c r="H876" s="541"/>
      <c r="I876" s="59"/>
      <c r="J876" s="59"/>
      <c r="K876" s="621"/>
      <c r="L876" s="621"/>
      <c r="M876" s="629">
        <f t="shared" si="80"/>
        <v>0</v>
      </c>
      <c r="N876" s="629">
        <f t="shared" si="81"/>
        <v>0</v>
      </c>
      <c r="O876" s="630">
        <f t="shared" si="78"/>
        <v>0</v>
      </c>
      <c r="P876" s="629">
        <f t="shared" si="82"/>
        <v>0</v>
      </c>
      <c r="Q876" s="629">
        <f t="shared" si="83"/>
        <v>0</v>
      </c>
      <c r="R876" s="630">
        <f t="shared" si="79"/>
        <v>0</v>
      </c>
    </row>
    <row r="877" spans="2:18" outlineLevel="1" x14ac:dyDescent="0.2">
      <c r="B877" s="59"/>
      <c r="C877" s="59"/>
      <c r="D877" s="59"/>
      <c r="E877" s="541"/>
      <c r="F877" s="541"/>
      <c r="G877" s="541"/>
      <c r="H877" s="541"/>
      <c r="I877" s="59"/>
      <c r="J877" s="59"/>
      <c r="K877" s="621"/>
      <c r="L877" s="621"/>
      <c r="M877" s="629">
        <f t="shared" si="80"/>
        <v>0</v>
      </c>
      <c r="N877" s="629">
        <f t="shared" si="81"/>
        <v>0</v>
      </c>
      <c r="O877" s="630">
        <f t="shared" si="78"/>
        <v>0</v>
      </c>
      <c r="P877" s="629">
        <f t="shared" si="82"/>
        <v>0</v>
      </c>
      <c r="Q877" s="629">
        <f t="shared" si="83"/>
        <v>0</v>
      </c>
      <c r="R877" s="630">
        <f t="shared" si="79"/>
        <v>0</v>
      </c>
    </row>
    <row r="878" spans="2:18" outlineLevel="1" x14ac:dyDescent="0.2">
      <c r="B878" s="59"/>
      <c r="C878" s="59"/>
      <c r="D878" s="59"/>
      <c r="E878" s="541"/>
      <c r="F878" s="541"/>
      <c r="G878" s="541"/>
      <c r="H878" s="541"/>
      <c r="I878" s="59"/>
      <c r="J878" s="59"/>
      <c r="K878" s="621"/>
      <c r="L878" s="621"/>
      <c r="M878" s="629">
        <f t="shared" si="80"/>
        <v>0</v>
      </c>
      <c r="N878" s="629">
        <f t="shared" si="81"/>
        <v>0</v>
      </c>
      <c r="O878" s="630">
        <f t="shared" si="78"/>
        <v>0</v>
      </c>
      <c r="P878" s="629">
        <f t="shared" si="82"/>
        <v>0</v>
      </c>
      <c r="Q878" s="629">
        <f t="shared" si="83"/>
        <v>0</v>
      </c>
      <c r="R878" s="630">
        <f t="shared" si="79"/>
        <v>0</v>
      </c>
    </row>
    <row r="879" spans="2:18" outlineLevel="1" x14ac:dyDescent="0.2">
      <c r="B879" s="59"/>
      <c r="C879" s="59"/>
      <c r="D879" s="59"/>
      <c r="E879" s="541"/>
      <c r="F879" s="541"/>
      <c r="G879" s="541"/>
      <c r="H879" s="541"/>
      <c r="I879" s="59"/>
      <c r="J879" s="59"/>
      <c r="K879" s="621"/>
      <c r="L879" s="621"/>
      <c r="M879" s="629">
        <f t="shared" si="80"/>
        <v>0</v>
      </c>
      <c r="N879" s="629">
        <f t="shared" si="81"/>
        <v>0</v>
      </c>
      <c r="O879" s="630">
        <f t="shared" si="78"/>
        <v>0</v>
      </c>
      <c r="P879" s="629">
        <f t="shared" si="82"/>
        <v>0</v>
      </c>
      <c r="Q879" s="629">
        <f t="shared" si="83"/>
        <v>0</v>
      </c>
      <c r="R879" s="630">
        <f t="shared" si="79"/>
        <v>0</v>
      </c>
    </row>
    <row r="880" spans="2:18" outlineLevel="1" x14ac:dyDescent="0.2">
      <c r="B880" s="59"/>
      <c r="C880" s="59"/>
      <c r="D880" s="59"/>
      <c r="E880" s="541"/>
      <c r="F880" s="541"/>
      <c r="G880" s="541"/>
      <c r="H880" s="541"/>
      <c r="I880" s="59"/>
      <c r="J880" s="59"/>
      <c r="K880" s="621"/>
      <c r="L880" s="621"/>
      <c r="M880" s="629">
        <f t="shared" si="80"/>
        <v>0</v>
      </c>
      <c r="N880" s="629">
        <f t="shared" si="81"/>
        <v>0</v>
      </c>
      <c r="O880" s="630">
        <f t="shared" si="78"/>
        <v>0</v>
      </c>
      <c r="P880" s="629">
        <f t="shared" si="82"/>
        <v>0</v>
      </c>
      <c r="Q880" s="629">
        <f t="shared" si="83"/>
        <v>0</v>
      </c>
      <c r="R880" s="630">
        <f t="shared" si="79"/>
        <v>0</v>
      </c>
    </row>
    <row r="881" spans="2:18" outlineLevel="1" x14ac:dyDescent="0.2">
      <c r="B881" s="59"/>
      <c r="C881" s="59"/>
      <c r="D881" s="59"/>
      <c r="E881" s="541"/>
      <c r="F881" s="541"/>
      <c r="G881" s="541"/>
      <c r="H881" s="541"/>
      <c r="I881" s="59"/>
      <c r="J881" s="59"/>
      <c r="K881" s="621"/>
      <c r="L881" s="621"/>
      <c r="M881" s="629">
        <f t="shared" si="80"/>
        <v>0</v>
      </c>
      <c r="N881" s="629">
        <f t="shared" si="81"/>
        <v>0</v>
      </c>
      <c r="O881" s="630">
        <f t="shared" si="78"/>
        <v>0</v>
      </c>
      <c r="P881" s="629">
        <f t="shared" si="82"/>
        <v>0</v>
      </c>
      <c r="Q881" s="629">
        <f t="shared" si="83"/>
        <v>0</v>
      </c>
      <c r="R881" s="630">
        <f t="shared" si="79"/>
        <v>0</v>
      </c>
    </row>
    <row r="882" spans="2:18" outlineLevel="1" x14ac:dyDescent="0.2">
      <c r="B882" s="59"/>
      <c r="C882" s="59"/>
      <c r="D882" s="59"/>
      <c r="E882" s="541"/>
      <c r="F882" s="541"/>
      <c r="G882" s="541"/>
      <c r="H882" s="541"/>
      <c r="I882" s="59"/>
      <c r="J882" s="59"/>
      <c r="K882" s="621"/>
      <c r="L882" s="621"/>
      <c r="M882" s="629">
        <f t="shared" si="80"/>
        <v>0</v>
      </c>
      <c r="N882" s="629">
        <f t="shared" si="81"/>
        <v>0</v>
      </c>
      <c r="O882" s="630">
        <f t="shared" si="78"/>
        <v>0</v>
      </c>
      <c r="P882" s="629">
        <f t="shared" si="82"/>
        <v>0</v>
      </c>
      <c r="Q882" s="629">
        <f t="shared" si="83"/>
        <v>0</v>
      </c>
      <c r="R882" s="630">
        <f t="shared" si="79"/>
        <v>0</v>
      </c>
    </row>
    <row r="883" spans="2:18" outlineLevel="1" x14ac:dyDescent="0.2">
      <c r="B883" s="59"/>
      <c r="C883" s="59"/>
      <c r="D883" s="59"/>
      <c r="E883" s="541"/>
      <c r="F883" s="541"/>
      <c r="G883" s="541"/>
      <c r="H883" s="541"/>
      <c r="I883" s="59"/>
      <c r="J883" s="59"/>
      <c r="K883" s="621"/>
      <c r="L883" s="621"/>
      <c r="M883" s="629">
        <f t="shared" si="80"/>
        <v>0</v>
      </c>
      <c r="N883" s="629">
        <f t="shared" si="81"/>
        <v>0</v>
      </c>
      <c r="O883" s="630">
        <f t="shared" si="78"/>
        <v>0</v>
      </c>
      <c r="P883" s="629">
        <f t="shared" si="82"/>
        <v>0</v>
      </c>
      <c r="Q883" s="629">
        <f t="shared" si="83"/>
        <v>0</v>
      </c>
      <c r="R883" s="630">
        <f t="shared" si="79"/>
        <v>0</v>
      </c>
    </row>
    <row r="884" spans="2:18" outlineLevel="1" x14ac:dyDescent="0.2">
      <c r="B884" s="59"/>
      <c r="C884" s="59"/>
      <c r="D884" s="59"/>
      <c r="E884" s="541"/>
      <c r="F884" s="541"/>
      <c r="G884" s="541"/>
      <c r="H884" s="541"/>
      <c r="I884" s="59"/>
      <c r="J884" s="59"/>
      <c r="K884" s="621"/>
      <c r="L884" s="621"/>
      <c r="M884" s="629">
        <f t="shared" si="80"/>
        <v>0</v>
      </c>
      <c r="N884" s="629">
        <f t="shared" si="81"/>
        <v>0</v>
      </c>
      <c r="O884" s="630">
        <f t="shared" si="78"/>
        <v>0</v>
      </c>
      <c r="P884" s="629">
        <f t="shared" si="82"/>
        <v>0</v>
      </c>
      <c r="Q884" s="629">
        <f t="shared" si="83"/>
        <v>0</v>
      </c>
      <c r="R884" s="630">
        <f t="shared" si="79"/>
        <v>0</v>
      </c>
    </row>
    <row r="885" spans="2:18" outlineLevel="1" x14ac:dyDescent="0.2">
      <c r="B885" s="59"/>
      <c r="C885" s="59"/>
      <c r="D885" s="59"/>
      <c r="E885" s="541"/>
      <c r="F885" s="541"/>
      <c r="G885" s="541"/>
      <c r="H885" s="541"/>
      <c r="I885" s="59"/>
      <c r="J885" s="59"/>
      <c r="K885" s="621"/>
      <c r="L885" s="621"/>
      <c r="M885" s="629">
        <f t="shared" si="80"/>
        <v>0</v>
      </c>
      <c r="N885" s="629">
        <f t="shared" si="81"/>
        <v>0</v>
      </c>
      <c r="O885" s="630">
        <f t="shared" si="78"/>
        <v>0</v>
      </c>
      <c r="P885" s="629">
        <f t="shared" si="82"/>
        <v>0</v>
      </c>
      <c r="Q885" s="629">
        <f t="shared" si="83"/>
        <v>0</v>
      </c>
      <c r="R885" s="630">
        <f t="shared" si="79"/>
        <v>0</v>
      </c>
    </row>
    <row r="886" spans="2:18" outlineLevel="1" x14ac:dyDescent="0.2">
      <c r="B886" s="59"/>
      <c r="C886" s="59"/>
      <c r="D886" s="59"/>
      <c r="E886" s="541"/>
      <c r="F886" s="541"/>
      <c r="G886" s="541"/>
      <c r="H886" s="541"/>
      <c r="I886" s="59"/>
      <c r="J886" s="59"/>
      <c r="K886" s="621"/>
      <c r="L886" s="621"/>
      <c r="M886" s="629">
        <f t="shared" si="80"/>
        <v>0</v>
      </c>
      <c r="N886" s="629">
        <f t="shared" si="81"/>
        <v>0</v>
      </c>
      <c r="O886" s="630">
        <f t="shared" si="78"/>
        <v>0</v>
      </c>
      <c r="P886" s="629">
        <f t="shared" si="82"/>
        <v>0</v>
      </c>
      <c r="Q886" s="629">
        <f t="shared" si="83"/>
        <v>0</v>
      </c>
      <c r="R886" s="630">
        <f t="shared" si="79"/>
        <v>0</v>
      </c>
    </row>
    <row r="887" spans="2:18" outlineLevel="1" x14ac:dyDescent="0.2">
      <c r="B887" s="59"/>
      <c r="C887" s="59"/>
      <c r="D887" s="59"/>
      <c r="E887" s="541"/>
      <c r="F887" s="541"/>
      <c r="G887" s="541"/>
      <c r="H887" s="541"/>
      <c r="I887" s="59"/>
      <c r="J887" s="59"/>
      <c r="K887" s="621"/>
      <c r="L887" s="621"/>
      <c r="M887" s="629">
        <f t="shared" si="80"/>
        <v>0</v>
      </c>
      <c r="N887" s="629">
        <f t="shared" si="81"/>
        <v>0</v>
      </c>
      <c r="O887" s="630">
        <f t="shared" si="78"/>
        <v>0</v>
      </c>
      <c r="P887" s="629">
        <f t="shared" si="82"/>
        <v>0</v>
      </c>
      <c r="Q887" s="629">
        <f t="shared" si="83"/>
        <v>0</v>
      </c>
      <c r="R887" s="630">
        <f t="shared" si="79"/>
        <v>0</v>
      </c>
    </row>
    <row r="888" spans="2:18" outlineLevel="1" x14ac:dyDescent="0.2">
      <c r="B888" s="59"/>
      <c r="C888" s="59"/>
      <c r="D888" s="59"/>
      <c r="E888" s="541"/>
      <c r="F888" s="541"/>
      <c r="G888" s="541"/>
      <c r="H888" s="541"/>
      <c r="I888" s="59"/>
      <c r="J888" s="59"/>
      <c r="K888" s="621"/>
      <c r="L888" s="621"/>
      <c r="M888" s="629">
        <f t="shared" si="80"/>
        <v>0</v>
      </c>
      <c r="N888" s="629">
        <f t="shared" si="81"/>
        <v>0</v>
      </c>
      <c r="O888" s="630">
        <f t="shared" si="78"/>
        <v>0</v>
      </c>
      <c r="P888" s="629">
        <f t="shared" si="82"/>
        <v>0</v>
      </c>
      <c r="Q888" s="629">
        <f t="shared" si="83"/>
        <v>0</v>
      </c>
      <c r="R888" s="630">
        <f t="shared" si="79"/>
        <v>0</v>
      </c>
    </row>
    <row r="889" spans="2:18" outlineLevel="1" x14ac:dyDescent="0.2">
      <c r="B889" s="59"/>
      <c r="C889" s="59"/>
      <c r="D889" s="59"/>
      <c r="E889" s="541"/>
      <c r="F889" s="541"/>
      <c r="G889" s="541"/>
      <c r="H889" s="541"/>
      <c r="I889" s="59"/>
      <c r="J889" s="59"/>
      <c r="K889" s="621"/>
      <c r="L889" s="621"/>
      <c r="M889" s="629">
        <f t="shared" si="80"/>
        <v>0</v>
      </c>
      <c r="N889" s="629">
        <f t="shared" si="81"/>
        <v>0</v>
      </c>
      <c r="O889" s="630">
        <f t="shared" si="78"/>
        <v>0</v>
      </c>
      <c r="P889" s="629">
        <f t="shared" si="82"/>
        <v>0</v>
      </c>
      <c r="Q889" s="629">
        <f t="shared" si="83"/>
        <v>0</v>
      </c>
      <c r="R889" s="630">
        <f t="shared" si="79"/>
        <v>0</v>
      </c>
    </row>
    <row r="890" spans="2:18" outlineLevel="1" x14ac:dyDescent="0.2">
      <c r="B890" s="59"/>
      <c r="C890" s="59"/>
      <c r="D890" s="59"/>
      <c r="E890" s="541"/>
      <c r="F890" s="541"/>
      <c r="G890" s="541"/>
      <c r="H890" s="541"/>
      <c r="I890" s="59"/>
      <c r="J890" s="59"/>
      <c r="K890" s="621"/>
      <c r="L890" s="621"/>
      <c r="M890" s="629">
        <f t="shared" si="80"/>
        <v>0</v>
      </c>
      <c r="N890" s="629">
        <f t="shared" si="81"/>
        <v>0</v>
      </c>
      <c r="O890" s="630">
        <f t="shared" si="78"/>
        <v>0</v>
      </c>
      <c r="P890" s="629">
        <f t="shared" si="82"/>
        <v>0</v>
      </c>
      <c r="Q890" s="629">
        <f t="shared" si="83"/>
        <v>0</v>
      </c>
      <c r="R890" s="630">
        <f t="shared" si="79"/>
        <v>0</v>
      </c>
    </row>
    <row r="891" spans="2:18" outlineLevel="1" x14ac:dyDescent="0.2">
      <c r="B891" s="59"/>
      <c r="C891" s="59"/>
      <c r="D891" s="59"/>
      <c r="E891" s="541"/>
      <c r="F891" s="541"/>
      <c r="G891" s="541"/>
      <c r="H891" s="541"/>
      <c r="I891" s="59"/>
      <c r="J891" s="59"/>
      <c r="K891" s="621"/>
      <c r="L891" s="621"/>
      <c r="M891" s="629">
        <f t="shared" si="80"/>
        <v>0</v>
      </c>
      <c r="N891" s="629">
        <f t="shared" si="81"/>
        <v>0</v>
      </c>
      <c r="O891" s="630">
        <f t="shared" si="78"/>
        <v>0</v>
      </c>
      <c r="P891" s="629">
        <f t="shared" si="82"/>
        <v>0</v>
      </c>
      <c r="Q891" s="629">
        <f t="shared" si="83"/>
        <v>0</v>
      </c>
      <c r="R891" s="630">
        <f t="shared" si="79"/>
        <v>0</v>
      </c>
    </row>
    <row r="892" spans="2:18" outlineLevel="1" x14ac:dyDescent="0.2">
      <c r="B892" s="59"/>
      <c r="C892" s="59"/>
      <c r="D892" s="59"/>
      <c r="E892" s="541"/>
      <c r="F892" s="541"/>
      <c r="G892" s="541"/>
      <c r="H892" s="541"/>
      <c r="I892" s="59"/>
      <c r="J892" s="59"/>
      <c r="K892" s="621"/>
      <c r="L892" s="621"/>
      <c r="M892" s="629">
        <f t="shared" si="80"/>
        <v>0</v>
      </c>
      <c r="N892" s="629">
        <f t="shared" si="81"/>
        <v>0</v>
      </c>
      <c r="O892" s="630">
        <f t="shared" si="78"/>
        <v>0</v>
      </c>
      <c r="P892" s="629">
        <f t="shared" si="82"/>
        <v>0</v>
      </c>
      <c r="Q892" s="629">
        <f t="shared" si="83"/>
        <v>0</v>
      </c>
      <c r="R892" s="630">
        <f t="shared" si="79"/>
        <v>0</v>
      </c>
    </row>
    <row r="893" spans="2:18" outlineLevel="1" x14ac:dyDescent="0.2">
      <c r="B893" s="59"/>
      <c r="C893" s="59"/>
      <c r="D893" s="59"/>
      <c r="E893" s="541"/>
      <c r="F893" s="541"/>
      <c r="G893" s="541"/>
      <c r="H893" s="541"/>
      <c r="I893" s="59"/>
      <c r="J893" s="59"/>
      <c r="K893" s="621"/>
      <c r="L893" s="621"/>
      <c r="M893" s="629">
        <f t="shared" si="80"/>
        <v>0</v>
      </c>
      <c r="N893" s="629">
        <f t="shared" si="81"/>
        <v>0</v>
      </c>
      <c r="O893" s="630">
        <f t="shared" si="78"/>
        <v>0</v>
      </c>
      <c r="P893" s="629">
        <f t="shared" si="82"/>
        <v>0</v>
      </c>
      <c r="Q893" s="629">
        <f t="shared" si="83"/>
        <v>0</v>
      </c>
      <c r="R893" s="630">
        <f t="shared" si="79"/>
        <v>0</v>
      </c>
    </row>
    <row r="894" spans="2:18" outlineLevel="1" x14ac:dyDescent="0.2">
      <c r="B894" s="59"/>
      <c r="C894" s="59"/>
      <c r="D894" s="59"/>
      <c r="E894" s="541"/>
      <c r="F894" s="541"/>
      <c r="G894" s="541"/>
      <c r="H894" s="541"/>
      <c r="I894" s="59"/>
      <c r="J894" s="59"/>
      <c r="K894" s="621"/>
      <c r="L894" s="621"/>
      <c r="M894" s="629">
        <f t="shared" si="80"/>
        <v>0</v>
      </c>
      <c r="N894" s="629">
        <f t="shared" si="81"/>
        <v>0</v>
      </c>
      <c r="O894" s="630">
        <f t="shared" si="78"/>
        <v>0</v>
      </c>
      <c r="P894" s="629">
        <f t="shared" si="82"/>
        <v>0</v>
      </c>
      <c r="Q894" s="629">
        <f t="shared" si="83"/>
        <v>0</v>
      </c>
      <c r="R894" s="630">
        <f t="shared" si="79"/>
        <v>0</v>
      </c>
    </row>
    <row r="895" spans="2:18" outlineLevel="1" x14ac:dyDescent="0.2">
      <c r="B895" s="59"/>
      <c r="C895" s="59"/>
      <c r="D895" s="59"/>
      <c r="E895" s="541"/>
      <c r="F895" s="541"/>
      <c r="G895" s="541"/>
      <c r="H895" s="541"/>
      <c r="I895" s="59"/>
      <c r="J895" s="59"/>
      <c r="K895" s="621"/>
      <c r="L895" s="621"/>
      <c r="M895" s="629">
        <f t="shared" si="80"/>
        <v>0</v>
      </c>
      <c r="N895" s="629">
        <f t="shared" si="81"/>
        <v>0</v>
      </c>
      <c r="O895" s="630">
        <f t="shared" si="78"/>
        <v>0</v>
      </c>
      <c r="P895" s="629">
        <f t="shared" si="82"/>
        <v>0</v>
      </c>
      <c r="Q895" s="629">
        <f t="shared" si="83"/>
        <v>0</v>
      </c>
      <c r="R895" s="630">
        <f t="shared" si="79"/>
        <v>0</v>
      </c>
    </row>
    <row r="896" spans="2:18" outlineLevel="1" x14ac:dyDescent="0.2">
      <c r="B896" s="59"/>
      <c r="C896" s="59"/>
      <c r="D896" s="59"/>
      <c r="E896" s="541"/>
      <c r="F896" s="541"/>
      <c r="G896" s="541"/>
      <c r="H896" s="541"/>
      <c r="I896" s="59"/>
      <c r="J896" s="59"/>
      <c r="K896" s="621"/>
      <c r="L896" s="621"/>
      <c r="M896" s="629">
        <f t="shared" si="80"/>
        <v>0</v>
      </c>
      <c r="N896" s="629">
        <f t="shared" si="81"/>
        <v>0</v>
      </c>
      <c r="O896" s="630">
        <f t="shared" si="78"/>
        <v>0</v>
      </c>
      <c r="P896" s="629">
        <f t="shared" si="82"/>
        <v>0</v>
      </c>
      <c r="Q896" s="629">
        <f t="shared" si="83"/>
        <v>0</v>
      </c>
      <c r="R896" s="630">
        <f t="shared" si="79"/>
        <v>0</v>
      </c>
    </row>
    <row r="897" spans="2:18" outlineLevel="1" x14ac:dyDescent="0.2">
      <c r="B897" s="59"/>
      <c r="C897" s="59"/>
      <c r="D897" s="59"/>
      <c r="E897" s="541"/>
      <c r="F897" s="541"/>
      <c r="G897" s="541"/>
      <c r="H897" s="541"/>
      <c r="I897" s="59"/>
      <c r="J897" s="59"/>
      <c r="K897" s="621"/>
      <c r="L897" s="621"/>
      <c r="M897" s="629">
        <f t="shared" si="80"/>
        <v>0</v>
      </c>
      <c r="N897" s="629">
        <f t="shared" si="81"/>
        <v>0</v>
      </c>
      <c r="O897" s="630">
        <f t="shared" si="78"/>
        <v>0</v>
      </c>
      <c r="P897" s="629">
        <f t="shared" si="82"/>
        <v>0</v>
      </c>
      <c r="Q897" s="629">
        <f t="shared" si="83"/>
        <v>0</v>
      </c>
      <c r="R897" s="630">
        <f t="shared" si="79"/>
        <v>0</v>
      </c>
    </row>
    <row r="898" spans="2:18" outlineLevel="1" x14ac:dyDescent="0.2">
      <c r="B898" s="59"/>
      <c r="C898" s="59"/>
      <c r="D898" s="59"/>
      <c r="E898" s="541"/>
      <c r="F898" s="541"/>
      <c r="G898" s="541"/>
      <c r="H898" s="541"/>
      <c r="I898" s="59"/>
      <c r="J898" s="59"/>
      <c r="K898" s="621"/>
      <c r="L898" s="621"/>
      <c r="M898" s="629">
        <f t="shared" si="80"/>
        <v>0</v>
      </c>
      <c r="N898" s="629">
        <f t="shared" si="81"/>
        <v>0</v>
      </c>
      <c r="O898" s="630">
        <f t="shared" si="78"/>
        <v>0</v>
      </c>
      <c r="P898" s="629">
        <f t="shared" si="82"/>
        <v>0</v>
      </c>
      <c r="Q898" s="629">
        <f t="shared" si="83"/>
        <v>0</v>
      </c>
      <c r="R898" s="630">
        <f t="shared" si="79"/>
        <v>0</v>
      </c>
    </row>
    <row r="899" spans="2:18" outlineLevel="1" x14ac:dyDescent="0.2">
      <c r="B899" s="59"/>
      <c r="C899" s="59"/>
      <c r="D899" s="59"/>
      <c r="E899" s="541"/>
      <c r="F899" s="541"/>
      <c r="G899" s="541"/>
      <c r="H899" s="541"/>
      <c r="I899" s="59"/>
      <c r="J899" s="59"/>
      <c r="K899" s="621"/>
      <c r="L899" s="621"/>
      <c r="M899" s="629">
        <f t="shared" si="80"/>
        <v>0</v>
      </c>
      <c r="N899" s="629">
        <f t="shared" si="81"/>
        <v>0</v>
      </c>
      <c r="O899" s="630">
        <f t="shared" si="78"/>
        <v>0</v>
      </c>
      <c r="P899" s="629">
        <f t="shared" si="82"/>
        <v>0</v>
      </c>
      <c r="Q899" s="629">
        <f t="shared" si="83"/>
        <v>0</v>
      </c>
      <c r="R899" s="630">
        <f t="shared" si="79"/>
        <v>0</v>
      </c>
    </row>
    <row r="900" spans="2:18" outlineLevel="1" x14ac:dyDescent="0.2">
      <c r="B900" s="59"/>
      <c r="C900" s="59"/>
      <c r="D900" s="59"/>
      <c r="E900" s="541"/>
      <c r="F900" s="541"/>
      <c r="G900" s="541"/>
      <c r="H900" s="541"/>
      <c r="I900" s="59"/>
      <c r="J900" s="59"/>
      <c r="K900" s="621"/>
      <c r="L900" s="621"/>
      <c r="M900" s="629">
        <f t="shared" si="80"/>
        <v>0</v>
      </c>
      <c r="N900" s="629">
        <f t="shared" si="81"/>
        <v>0</v>
      </c>
      <c r="O900" s="630">
        <f t="shared" si="78"/>
        <v>0</v>
      </c>
      <c r="P900" s="629">
        <f t="shared" si="82"/>
        <v>0</v>
      </c>
      <c r="Q900" s="629">
        <f t="shared" si="83"/>
        <v>0</v>
      </c>
      <c r="R900" s="630">
        <f t="shared" si="79"/>
        <v>0</v>
      </c>
    </row>
    <row r="901" spans="2:18" outlineLevel="1" x14ac:dyDescent="0.2">
      <c r="B901" s="59"/>
      <c r="C901" s="59"/>
      <c r="D901" s="59"/>
      <c r="E901" s="541"/>
      <c r="F901" s="541"/>
      <c r="G901" s="541"/>
      <c r="H901" s="541"/>
      <c r="I901" s="59"/>
      <c r="J901" s="59"/>
      <c r="K901" s="621"/>
      <c r="L901" s="621"/>
      <c r="M901" s="629">
        <f t="shared" si="80"/>
        <v>0</v>
      </c>
      <c r="N901" s="629">
        <f t="shared" si="81"/>
        <v>0</v>
      </c>
      <c r="O901" s="630">
        <f t="shared" ref="O901:O964" si="84">M901+N901</f>
        <v>0</v>
      </c>
      <c r="P901" s="629">
        <f t="shared" si="82"/>
        <v>0</v>
      </c>
      <c r="Q901" s="629">
        <f t="shared" si="83"/>
        <v>0</v>
      </c>
      <c r="R901" s="630">
        <f t="shared" ref="R901:R964" si="85">P901+Q901</f>
        <v>0</v>
      </c>
    </row>
    <row r="902" spans="2:18" outlineLevel="1" x14ac:dyDescent="0.2">
      <c r="B902" s="59"/>
      <c r="C902" s="59"/>
      <c r="D902" s="59"/>
      <c r="E902" s="541"/>
      <c r="F902" s="541"/>
      <c r="G902" s="541"/>
      <c r="H902" s="541"/>
      <c r="I902" s="59"/>
      <c r="J902" s="59"/>
      <c r="K902" s="621"/>
      <c r="L902" s="621"/>
      <c r="M902" s="629">
        <f t="shared" ref="M902:M965" si="86">G902*(-1)</f>
        <v>0</v>
      </c>
      <c r="N902" s="629">
        <f t="shared" ref="N902:N965" si="87">H902*(-1)</f>
        <v>0</v>
      </c>
      <c r="O902" s="630">
        <f t="shared" si="84"/>
        <v>0</v>
      </c>
      <c r="P902" s="629">
        <f t="shared" ref="P902:P965" si="88">+IF(AND(I902="NO",E902&gt;G902),(E902-G902)*K902*(-1),0)</f>
        <v>0</v>
      </c>
      <c r="Q902" s="629">
        <f t="shared" ref="Q902:Q965" si="89">+IF(AND(J902="NO",F902&gt;H902),(F902-H902)*L902*(-1),0)</f>
        <v>0</v>
      </c>
      <c r="R902" s="630">
        <f t="shared" si="85"/>
        <v>0</v>
      </c>
    </row>
    <row r="903" spans="2:18" outlineLevel="1" x14ac:dyDescent="0.2">
      <c r="B903" s="59"/>
      <c r="C903" s="59"/>
      <c r="D903" s="59"/>
      <c r="E903" s="541"/>
      <c r="F903" s="541"/>
      <c r="G903" s="541"/>
      <c r="H903" s="541"/>
      <c r="I903" s="59"/>
      <c r="J903" s="59"/>
      <c r="K903" s="621"/>
      <c r="L903" s="621"/>
      <c r="M903" s="629">
        <f t="shared" si="86"/>
        <v>0</v>
      </c>
      <c r="N903" s="629">
        <f t="shared" si="87"/>
        <v>0</v>
      </c>
      <c r="O903" s="630">
        <f t="shared" si="84"/>
        <v>0</v>
      </c>
      <c r="P903" s="629">
        <f t="shared" si="88"/>
        <v>0</v>
      </c>
      <c r="Q903" s="629">
        <f t="shared" si="89"/>
        <v>0</v>
      </c>
      <c r="R903" s="630">
        <f t="shared" si="85"/>
        <v>0</v>
      </c>
    </row>
    <row r="904" spans="2:18" outlineLevel="1" x14ac:dyDescent="0.2">
      <c r="B904" s="59"/>
      <c r="C904" s="59"/>
      <c r="D904" s="59"/>
      <c r="E904" s="541"/>
      <c r="F904" s="541"/>
      <c r="G904" s="541"/>
      <c r="H904" s="541"/>
      <c r="I904" s="59"/>
      <c r="J904" s="59"/>
      <c r="K904" s="621"/>
      <c r="L904" s="621"/>
      <c r="M904" s="629">
        <f t="shared" si="86"/>
        <v>0</v>
      </c>
      <c r="N904" s="629">
        <f t="shared" si="87"/>
        <v>0</v>
      </c>
      <c r="O904" s="630">
        <f t="shared" si="84"/>
        <v>0</v>
      </c>
      <c r="P904" s="629">
        <f t="shared" si="88"/>
        <v>0</v>
      </c>
      <c r="Q904" s="629">
        <f t="shared" si="89"/>
        <v>0</v>
      </c>
      <c r="R904" s="630">
        <f t="shared" si="85"/>
        <v>0</v>
      </c>
    </row>
    <row r="905" spans="2:18" outlineLevel="1" x14ac:dyDescent="0.2">
      <c r="B905" s="59"/>
      <c r="C905" s="59"/>
      <c r="D905" s="59"/>
      <c r="E905" s="541"/>
      <c r="F905" s="541"/>
      <c r="G905" s="541"/>
      <c r="H905" s="541"/>
      <c r="I905" s="59"/>
      <c r="J905" s="59"/>
      <c r="K905" s="621"/>
      <c r="L905" s="621"/>
      <c r="M905" s="629">
        <f t="shared" si="86"/>
        <v>0</v>
      </c>
      <c r="N905" s="629">
        <f t="shared" si="87"/>
        <v>0</v>
      </c>
      <c r="O905" s="630">
        <f t="shared" si="84"/>
        <v>0</v>
      </c>
      <c r="P905" s="629">
        <f t="shared" si="88"/>
        <v>0</v>
      </c>
      <c r="Q905" s="629">
        <f t="shared" si="89"/>
        <v>0</v>
      </c>
      <c r="R905" s="630">
        <f t="shared" si="85"/>
        <v>0</v>
      </c>
    </row>
    <row r="906" spans="2:18" outlineLevel="1" x14ac:dyDescent="0.2">
      <c r="B906" s="59"/>
      <c r="C906" s="59"/>
      <c r="D906" s="59"/>
      <c r="E906" s="541"/>
      <c r="F906" s="541"/>
      <c r="G906" s="541"/>
      <c r="H906" s="541"/>
      <c r="I906" s="59"/>
      <c r="J906" s="59"/>
      <c r="K906" s="621"/>
      <c r="L906" s="621"/>
      <c r="M906" s="629">
        <f t="shared" si="86"/>
        <v>0</v>
      </c>
      <c r="N906" s="629">
        <f t="shared" si="87"/>
        <v>0</v>
      </c>
      <c r="O906" s="630">
        <f t="shared" si="84"/>
        <v>0</v>
      </c>
      <c r="P906" s="629">
        <f t="shared" si="88"/>
        <v>0</v>
      </c>
      <c r="Q906" s="629">
        <f t="shared" si="89"/>
        <v>0</v>
      </c>
      <c r="R906" s="630">
        <f t="shared" si="85"/>
        <v>0</v>
      </c>
    </row>
    <row r="907" spans="2:18" outlineLevel="1" x14ac:dyDescent="0.2">
      <c r="B907" s="59"/>
      <c r="C907" s="59"/>
      <c r="D907" s="59"/>
      <c r="E907" s="541"/>
      <c r="F907" s="541"/>
      <c r="G907" s="541"/>
      <c r="H907" s="541"/>
      <c r="I907" s="59"/>
      <c r="J907" s="59"/>
      <c r="K907" s="621"/>
      <c r="L907" s="621"/>
      <c r="M907" s="629">
        <f t="shared" si="86"/>
        <v>0</v>
      </c>
      <c r="N907" s="629">
        <f t="shared" si="87"/>
        <v>0</v>
      </c>
      <c r="O907" s="630">
        <f t="shared" si="84"/>
        <v>0</v>
      </c>
      <c r="P907" s="629">
        <f t="shared" si="88"/>
        <v>0</v>
      </c>
      <c r="Q907" s="629">
        <f t="shared" si="89"/>
        <v>0</v>
      </c>
      <c r="R907" s="630">
        <f t="shared" si="85"/>
        <v>0</v>
      </c>
    </row>
    <row r="908" spans="2:18" outlineLevel="1" x14ac:dyDescent="0.2">
      <c r="B908" s="59"/>
      <c r="C908" s="59"/>
      <c r="D908" s="59"/>
      <c r="E908" s="541"/>
      <c r="F908" s="541"/>
      <c r="G908" s="541"/>
      <c r="H908" s="541"/>
      <c r="I908" s="59"/>
      <c r="J908" s="59"/>
      <c r="K908" s="621"/>
      <c r="L908" s="621"/>
      <c r="M908" s="629">
        <f t="shared" si="86"/>
        <v>0</v>
      </c>
      <c r="N908" s="629">
        <f t="shared" si="87"/>
        <v>0</v>
      </c>
      <c r="O908" s="630">
        <f t="shared" si="84"/>
        <v>0</v>
      </c>
      <c r="P908" s="629">
        <f t="shared" si="88"/>
        <v>0</v>
      </c>
      <c r="Q908" s="629">
        <f t="shared" si="89"/>
        <v>0</v>
      </c>
      <c r="R908" s="630">
        <f t="shared" si="85"/>
        <v>0</v>
      </c>
    </row>
    <row r="909" spans="2:18" outlineLevel="1" x14ac:dyDescent="0.2">
      <c r="B909" s="59"/>
      <c r="C909" s="59"/>
      <c r="D909" s="59"/>
      <c r="E909" s="541"/>
      <c r="F909" s="541"/>
      <c r="G909" s="541"/>
      <c r="H909" s="541"/>
      <c r="I909" s="59"/>
      <c r="J909" s="59"/>
      <c r="K909" s="621"/>
      <c r="L909" s="621"/>
      <c r="M909" s="629">
        <f t="shared" si="86"/>
        <v>0</v>
      </c>
      <c r="N909" s="629">
        <f t="shared" si="87"/>
        <v>0</v>
      </c>
      <c r="O909" s="630">
        <f t="shared" si="84"/>
        <v>0</v>
      </c>
      <c r="P909" s="629">
        <f t="shared" si="88"/>
        <v>0</v>
      </c>
      <c r="Q909" s="629">
        <f t="shared" si="89"/>
        <v>0</v>
      </c>
      <c r="R909" s="630">
        <f t="shared" si="85"/>
        <v>0</v>
      </c>
    </row>
    <row r="910" spans="2:18" outlineLevel="1" x14ac:dyDescent="0.2">
      <c r="B910" s="59"/>
      <c r="C910" s="59"/>
      <c r="D910" s="59"/>
      <c r="E910" s="541"/>
      <c r="F910" s="541"/>
      <c r="G910" s="541"/>
      <c r="H910" s="541"/>
      <c r="I910" s="59"/>
      <c r="J910" s="59"/>
      <c r="K910" s="621"/>
      <c r="L910" s="621"/>
      <c r="M910" s="629">
        <f t="shared" si="86"/>
        <v>0</v>
      </c>
      <c r="N910" s="629">
        <f t="shared" si="87"/>
        <v>0</v>
      </c>
      <c r="O910" s="630">
        <f t="shared" si="84"/>
        <v>0</v>
      </c>
      <c r="P910" s="629">
        <f t="shared" si="88"/>
        <v>0</v>
      </c>
      <c r="Q910" s="629">
        <f t="shared" si="89"/>
        <v>0</v>
      </c>
      <c r="R910" s="630">
        <f t="shared" si="85"/>
        <v>0</v>
      </c>
    </row>
    <row r="911" spans="2:18" outlineLevel="1" x14ac:dyDescent="0.2">
      <c r="B911" s="59"/>
      <c r="C911" s="59"/>
      <c r="D911" s="59"/>
      <c r="E911" s="541"/>
      <c r="F911" s="541"/>
      <c r="G911" s="541"/>
      <c r="H911" s="541"/>
      <c r="I911" s="59"/>
      <c r="J911" s="59"/>
      <c r="K911" s="621"/>
      <c r="L911" s="621"/>
      <c r="M911" s="629">
        <f t="shared" si="86"/>
        <v>0</v>
      </c>
      <c r="N911" s="629">
        <f t="shared" si="87"/>
        <v>0</v>
      </c>
      <c r="O911" s="630">
        <f t="shared" si="84"/>
        <v>0</v>
      </c>
      <c r="P911" s="629">
        <f t="shared" si="88"/>
        <v>0</v>
      </c>
      <c r="Q911" s="629">
        <f t="shared" si="89"/>
        <v>0</v>
      </c>
      <c r="R911" s="630">
        <f t="shared" si="85"/>
        <v>0</v>
      </c>
    </row>
    <row r="912" spans="2:18" outlineLevel="1" x14ac:dyDescent="0.2">
      <c r="B912" s="59"/>
      <c r="C912" s="59"/>
      <c r="D912" s="59"/>
      <c r="E912" s="541"/>
      <c r="F912" s="541"/>
      <c r="G912" s="541"/>
      <c r="H912" s="541"/>
      <c r="I912" s="59"/>
      <c r="J912" s="59"/>
      <c r="K912" s="621"/>
      <c r="L912" s="621"/>
      <c r="M912" s="629">
        <f t="shared" si="86"/>
        <v>0</v>
      </c>
      <c r="N912" s="629">
        <f t="shared" si="87"/>
        <v>0</v>
      </c>
      <c r="O912" s="630">
        <f t="shared" si="84"/>
        <v>0</v>
      </c>
      <c r="P912" s="629">
        <f t="shared" si="88"/>
        <v>0</v>
      </c>
      <c r="Q912" s="629">
        <f t="shared" si="89"/>
        <v>0</v>
      </c>
      <c r="R912" s="630">
        <f t="shared" si="85"/>
        <v>0</v>
      </c>
    </row>
    <row r="913" spans="2:18" outlineLevel="1" x14ac:dyDescent="0.2">
      <c r="B913" s="59"/>
      <c r="C913" s="59"/>
      <c r="D913" s="59"/>
      <c r="E913" s="541"/>
      <c r="F913" s="541"/>
      <c r="G913" s="541"/>
      <c r="H913" s="541"/>
      <c r="I913" s="59"/>
      <c r="J913" s="59"/>
      <c r="K913" s="621"/>
      <c r="L913" s="621"/>
      <c r="M913" s="629">
        <f t="shared" si="86"/>
        <v>0</v>
      </c>
      <c r="N913" s="629">
        <f t="shared" si="87"/>
        <v>0</v>
      </c>
      <c r="O913" s="630">
        <f t="shared" si="84"/>
        <v>0</v>
      </c>
      <c r="P913" s="629">
        <f t="shared" si="88"/>
        <v>0</v>
      </c>
      <c r="Q913" s="629">
        <f t="shared" si="89"/>
        <v>0</v>
      </c>
      <c r="R913" s="630">
        <f t="shared" si="85"/>
        <v>0</v>
      </c>
    </row>
    <row r="914" spans="2:18" outlineLevel="1" x14ac:dyDescent="0.2">
      <c r="B914" s="59"/>
      <c r="C914" s="59"/>
      <c r="D914" s="59"/>
      <c r="E914" s="541"/>
      <c r="F914" s="541"/>
      <c r="G914" s="541"/>
      <c r="H914" s="541"/>
      <c r="I914" s="59"/>
      <c r="J914" s="59"/>
      <c r="K914" s="621"/>
      <c r="L914" s="621"/>
      <c r="M914" s="629">
        <f t="shared" si="86"/>
        <v>0</v>
      </c>
      <c r="N914" s="629">
        <f t="shared" si="87"/>
        <v>0</v>
      </c>
      <c r="O914" s="630">
        <f t="shared" si="84"/>
        <v>0</v>
      </c>
      <c r="P914" s="629">
        <f t="shared" si="88"/>
        <v>0</v>
      </c>
      <c r="Q914" s="629">
        <f t="shared" si="89"/>
        <v>0</v>
      </c>
      <c r="R914" s="630">
        <f t="shared" si="85"/>
        <v>0</v>
      </c>
    </row>
    <row r="915" spans="2:18" outlineLevel="1" x14ac:dyDescent="0.2">
      <c r="B915" s="59"/>
      <c r="C915" s="59"/>
      <c r="D915" s="59"/>
      <c r="E915" s="541"/>
      <c r="F915" s="541"/>
      <c r="G915" s="541"/>
      <c r="H915" s="541"/>
      <c r="I915" s="59"/>
      <c r="J915" s="59"/>
      <c r="K915" s="621"/>
      <c r="L915" s="621"/>
      <c r="M915" s="629">
        <f t="shared" si="86"/>
        <v>0</v>
      </c>
      <c r="N915" s="629">
        <f t="shared" si="87"/>
        <v>0</v>
      </c>
      <c r="O915" s="630">
        <f t="shared" si="84"/>
        <v>0</v>
      </c>
      <c r="P915" s="629">
        <f t="shared" si="88"/>
        <v>0</v>
      </c>
      <c r="Q915" s="629">
        <f t="shared" si="89"/>
        <v>0</v>
      </c>
      <c r="R915" s="630">
        <f t="shared" si="85"/>
        <v>0</v>
      </c>
    </row>
    <row r="916" spans="2:18" outlineLevel="1" x14ac:dyDescent="0.2">
      <c r="B916" s="59"/>
      <c r="C916" s="59"/>
      <c r="D916" s="59"/>
      <c r="E916" s="541"/>
      <c r="F916" s="541"/>
      <c r="G916" s="541"/>
      <c r="H916" s="541"/>
      <c r="I916" s="59"/>
      <c r="J916" s="59"/>
      <c r="K916" s="621"/>
      <c r="L916" s="621"/>
      <c r="M916" s="629">
        <f t="shared" si="86"/>
        <v>0</v>
      </c>
      <c r="N916" s="629">
        <f t="shared" si="87"/>
        <v>0</v>
      </c>
      <c r="O916" s="630">
        <f t="shared" si="84"/>
        <v>0</v>
      </c>
      <c r="P916" s="629">
        <f t="shared" si="88"/>
        <v>0</v>
      </c>
      <c r="Q916" s="629">
        <f t="shared" si="89"/>
        <v>0</v>
      </c>
      <c r="R916" s="630">
        <f t="shared" si="85"/>
        <v>0</v>
      </c>
    </row>
    <row r="917" spans="2:18" outlineLevel="1" x14ac:dyDescent="0.2">
      <c r="B917" s="59"/>
      <c r="C917" s="59"/>
      <c r="D917" s="59"/>
      <c r="E917" s="541"/>
      <c r="F917" s="541"/>
      <c r="G917" s="541"/>
      <c r="H917" s="541"/>
      <c r="I917" s="59"/>
      <c r="J917" s="59"/>
      <c r="K917" s="621"/>
      <c r="L917" s="621"/>
      <c r="M917" s="629">
        <f t="shared" si="86"/>
        <v>0</v>
      </c>
      <c r="N917" s="629">
        <f t="shared" si="87"/>
        <v>0</v>
      </c>
      <c r="O917" s="630">
        <f t="shared" si="84"/>
        <v>0</v>
      </c>
      <c r="P917" s="629">
        <f t="shared" si="88"/>
        <v>0</v>
      </c>
      <c r="Q917" s="629">
        <f t="shared" si="89"/>
        <v>0</v>
      </c>
      <c r="R917" s="630">
        <f t="shared" si="85"/>
        <v>0</v>
      </c>
    </row>
    <row r="918" spans="2:18" outlineLevel="1" x14ac:dyDescent="0.2">
      <c r="B918" s="59"/>
      <c r="C918" s="59"/>
      <c r="D918" s="59"/>
      <c r="E918" s="541"/>
      <c r="F918" s="541"/>
      <c r="G918" s="541"/>
      <c r="H918" s="541"/>
      <c r="I918" s="59"/>
      <c r="J918" s="59"/>
      <c r="K918" s="621"/>
      <c r="L918" s="621"/>
      <c r="M918" s="629">
        <f t="shared" si="86"/>
        <v>0</v>
      </c>
      <c r="N918" s="629">
        <f t="shared" si="87"/>
        <v>0</v>
      </c>
      <c r="O918" s="630">
        <f t="shared" si="84"/>
        <v>0</v>
      </c>
      <c r="P918" s="629">
        <f t="shared" si="88"/>
        <v>0</v>
      </c>
      <c r="Q918" s="629">
        <f t="shared" si="89"/>
        <v>0</v>
      </c>
      <c r="R918" s="630">
        <f t="shared" si="85"/>
        <v>0</v>
      </c>
    </row>
    <row r="919" spans="2:18" outlineLevel="1" x14ac:dyDescent="0.2">
      <c r="B919" s="59"/>
      <c r="C919" s="59"/>
      <c r="D919" s="59"/>
      <c r="E919" s="541"/>
      <c r="F919" s="541"/>
      <c r="G919" s="541"/>
      <c r="H919" s="541"/>
      <c r="I919" s="59"/>
      <c r="J919" s="59"/>
      <c r="K919" s="621"/>
      <c r="L919" s="621"/>
      <c r="M919" s="629">
        <f t="shared" si="86"/>
        <v>0</v>
      </c>
      <c r="N919" s="629">
        <f t="shared" si="87"/>
        <v>0</v>
      </c>
      <c r="O919" s="630">
        <f t="shared" si="84"/>
        <v>0</v>
      </c>
      <c r="P919" s="629">
        <f t="shared" si="88"/>
        <v>0</v>
      </c>
      <c r="Q919" s="629">
        <f t="shared" si="89"/>
        <v>0</v>
      </c>
      <c r="R919" s="630">
        <f t="shared" si="85"/>
        <v>0</v>
      </c>
    </row>
    <row r="920" spans="2:18" outlineLevel="1" x14ac:dyDescent="0.2">
      <c r="B920" s="59"/>
      <c r="C920" s="59"/>
      <c r="D920" s="59"/>
      <c r="E920" s="541"/>
      <c r="F920" s="541"/>
      <c r="G920" s="541"/>
      <c r="H920" s="541"/>
      <c r="I920" s="59"/>
      <c r="J920" s="59"/>
      <c r="K920" s="621"/>
      <c r="L920" s="621"/>
      <c r="M920" s="629">
        <f t="shared" si="86"/>
        <v>0</v>
      </c>
      <c r="N920" s="629">
        <f t="shared" si="87"/>
        <v>0</v>
      </c>
      <c r="O920" s="630">
        <f t="shared" si="84"/>
        <v>0</v>
      </c>
      <c r="P920" s="629">
        <f t="shared" si="88"/>
        <v>0</v>
      </c>
      <c r="Q920" s="629">
        <f t="shared" si="89"/>
        <v>0</v>
      </c>
      <c r="R920" s="630">
        <f t="shared" si="85"/>
        <v>0</v>
      </c>
    </row>
    <row r="921" spans="2:18" outlineLevel="1" x14ac:dyDescent="0.2">
      <c r="B921" s="59"/>
      <c r="C921" s="59"/>
      <c r="D921" s="59"/>
      <c r="E921" s="541"/>
      <c r="F921" s="541"/>
      <c r="G921" s="541"/>
      <c r="H921" s="541"/>
      <c r="I921" s="59"/>
      <c r="J921" s="59"/>
      <c r="K921" s="621"/>
      <c r="L921" s="621"/>
      <c r="M921" s="629">
        <f t="shared" si="86"/>
        <v>0</v>
      </c>
      <c r="N921" s="629">
        <f t="shared" si="87"/>
        <v>0</v>
      </c>
      <c r="O921" s="630">
        <f t="shared" si="84"/>
        <v>0</v>
      </c>
      <c r="P921" s="629">
        <f t="shared" si="88"/>
        <v>0</v>
      </c>
      <c r="Q921" s="629">
        <f t="shared" si="89"/>
        <v>0</v>
      </c>
      <c r="R921" s="630">
        <f t="shared" si="85"/>
        <v>0</v>
      </c>
    </row>
    <row r="922" spans="2:18" outlineLevel="1" x14ac:dyDescent="0.2">
      <c r="B922" s="59"/>
      <c r="C922" s="59"/>
      <c r="D922" s="59"/>
      <c r="E922" s="541"/>
      <c r="F922" s="541"/>
      <c r="G922" s="541"/>
      <c r="H922" s="541"/>
      <c r="I922" s="59"/>
      <c r="J922" s="59"/>
      <c r="K922" s="621"/>
      <c r="L922" s="621"/>
      <c r="M922" s="629">
        <f t="shared" si="86"/>
        <v>0</v>
      </c>
      <c r="N922" s="629">
        <f t="shared" si="87"/>
        <v>0</v>
      </c>
      <c r="O922" s="630">
        <f t="shared" si="84"/>
        <v>0</v>
      </c>
      <c r="P922" s="629">
        <f t="shared" si="88"/>
        <v>0</v>
      </c>
      <c r="Q922" s="629">
        <f t="shared" si="89"/>
        <v>0</v>
      </c>
      <c r="R922" s="630">
        <f t="shared" si="85"/>
        <v>0</v>
      </c>
    </row>
    <row r="923" spans="2:18" outlineLevel="1" x14ac:dyDescent="0.2">
      <c r="B923" s="59"/>
      <c r="C923" s="59"/>
      <c r="D923" s="59"/>
      <c r="E923" s="541"/>
      <c r="F923" s="541"/>
      <c r="G923" s="541"/>
      <c r="H923" s="541"/>
      <c r="I923" s="59"/>
      <c r="J923" s="59"/>
      <c r="K923" s="621"/>
      <c r="L923" s="621"/>
      <c r="M923" s="629">
        <f t="shared" si="86"/>
        <v>0</v>
      </c>
      <c r="N923" s="629">
        <f t="shared" si="87"/>
        <v>0</v>
      </c>
      <c r="O923" s="630">
        <f t="shared" si="84"/>
        <v>0</v>
      </c>
      <c r="P923" s="629">
        <f t="shared" si="88"/>
        <v>0</v>
      </c>
      <c r="Q923" s="629">
        <f t="shared" si="89"/>
        <v>0</v>
      </c>
      <c r="R923" s="630">
        <f t="shared" si="85"/>
        <v>0</v>
      </c>
    </row>
    <row r="924" spans="2:18" outlineLevel="1" x14ac:dyDescent="0.2">
      <c r="B924" s="59"/>
      <c r="C924" s="59"/>
      <c r="D924" s="59"/>
      <c r="E924" s="541"/>
      <c r="F924" s="541"/>
      <c r="G924" s="541"/>
      <c r="H924" s="541"/>
      <c r="I924" s="59"/>
      <c r="J924" s="59"/>
      <c r="K924" s="621"/>
      <c r="L924" s="621"/>
      <c r="M924" s="629">
        <f t="shared" si="86"/>
        <v>0</v>
      </c>
      <c r="N924" s="629">
        <f t="shared" si="87"/>
        <v>0</v>
      </c>
      <c r="O924" s="630">
        <f t="shared" si="84"/>
        <v>0</v>
      </c>
      <c r="P924" s="629">
        <f t="shared" si="88"/>
        <v>0</v>
      </c>
      <c r="Q924" s="629">
        <f t="shared" si="89"/>
        <v>0</v>
      </c>
      <c r="R924" s="630">
        <f t="shared" si="85"/>
        <v>0</v>
      </c>
    </row>
    <row r="925" spans="2:18" outlineLevel="1" x14ac:dyDescent="0.2">
      <c r="B925" s="59"/>
      <c r="C925" s="59"/>
      <c r="D925" s="59"/>
      <c r="E925" s="541"/>
      <c r="F925" s="541"/>
      <c r="G925" s="541"/>
      <c r="H925" s="541"/>
      <c r="I925" s="59"/>
      <c r="J925" s="59"/>
      <c r="K925" s="621"/>
      <c r="L925" s="621"/>
      <c r="M925" s="629">
        <f t="shared" si="86"/>
        <v>0</v>
      </c>
      <c r="N925" s="629">
        <f t="shared" si="87"/>
        <v>0</v>
      </c>
      <c r="O925" s="630">
        <f t="shared" si="84"/>
        <v>0</v>
      </c>
      <c r="P925" s="629">
        <f t="shared" si="88"/>
        <v>0</v>
      </c>
      <c r="Q925" s="629">
        <f t="shared" si="89"/>
        <v>0</v>
      </c>
      <c r="R925" s="630">
        <f t="shared" si="85"/>
        <v>0</v>
      </c>
    </row>
    <row r="926" spans="2:18" outlineLevel="1" x14ac:dyDescent="0.2">
      <c r="B926" s="59"/>
      <c r="C926" s="59"/>
      <c r="D926" s="59"/>
      <c r="E926" s="541"/>
      <c r="F926" s="541"/>
      <c r="G926" s="541"/>
      <c r="H926" s="541"/>
      <c r="I926" s="59"/>
      <c r="J926" s="59"/>
      <c r="K926" s="621"/>
      <c r="L926" s="621"/>
      <c r="M926" s="629">
        <f t="shared" si="86"/>
        <v>0</v>
      </c>
      <c r="N926" s="629">
        <f t="shared" si="87"/>
        <v>0</v>
      </c>
      <c r="O926" s="630">
        <f t="shared" si="84"/>
        <v>0</v>
      </c>
      <c r="P926" s="629">
        <f t="shared" si="88"/>
        <v>0</v>
      </c>
      <c r="Q926" s="629">
        <f t="shared" si="89"/>
        <v>0</v>
      </c>
      <c r="R926" s="630">
        <f t="shared" si="85"/>
        <v>0</v>
      </c>
    </row>
    <row r="927" spans="2:18" outlineLevel="1" x14ac:dyDescent="0.2">
      <c r="B927" s="59"/>
      <c r="C927" s="59"/>
      <c r="D927" s="59"/>
      <c r="E927" s="541"/>
      <c r="F927" s="541"/>
      <c r="G927" s="541"/>
      <c r="H927" s="541"/>
      <c r="I927" s="59"/>
      <c r="J927" s="59"/>
      <c r="K927" s="621"/>
      <c r="L927" s="621"/>
      <c r="M927" s="629">
        <f t="shared" si="86"/>
        <v>0</v>
      </c>
      <c r="N927" s="629">
        <f t="shared" si="87"/>
        <v>0</v>
      </c>
      <c r="O927" s="630">
        <f t="shared" si="84"/>
        <v>0</v>
      </c>
      <c r="P927" s="629">
        <f t="shared" si="88"/>
        <v>0</v>
      </c>
      <c r="Q927" s="629">
        <f t="shared" si="89"/>
        <v>0</v>
      </c>
      <c r="R927" s="630">
        <f t="shared" si="85"/>
        <v>0</v>
      </c>
    </row>
    <row r="928" spans="2:18" outlineLevel="1" x14ac:dyDescent="0.2">
      <c r="B928" s="59"/>
      <c r="C928" s="59"/>
      <c r="D928" s="59"/>
      <c r="E928" s="541"/>
      <c r="F928" s="541"/>
      <c r="G928" s="541"/>
      <c r="H928" s="541"/>
      <c r="I928" s="59"/>
      <c r="J928" s="59"/>
      <c r="K928" s="621"/>
      <c r="L928" s="621"/>
      <c r="M928" s="629">
        <f t="shared" si="86"/>
        <v>0</v>
      </c>
      <c r="N928" s="629">
        <f t="shared" si="87"/>
        <v>0</v>
      </c>
      <c r="O928" s="630">
        <f t="shared" si="84"/>
        <v>0</v>
      </c>
      <c r="P928" s="629">
        <f t="shared" si="88"/>
        <v>0</v>
      </c>
      <c r="Q928" s="629">
        <f t="shared" si="89"/>
        <v>0</v>
      </c>
      <c r="R928" s="630">
        <f t="shared" si="85"/>
        <v>0</v>
      </c>
    </row>
    <row r="929" spans="2:18" outlineLevel="1" x14ac:dyDescent="0.2">
      <c r="B929" s="59"/>
      <c r="C929" s="59"/>
      <c r="D929" s="59"/>
      <c r="E929" s="541"/>
      <c r="F929" s="541"/>
      <c r="G929" s="541"/>
      <c r="H929" s="541"/>
      <c r="I929" s="59"/>
      <c r="J929" s="59"/>
      <c r="K929" s="621"/>
      <c r="L929" s="621"/>
      <c r="M929" s="629">
        <f t="shared" si="86"/>
        <v>0</v>
      </c>
      <c r="N929" s="629">
        <f t="shared" si="87"/>
        <v>0</v>
      </c>
      <c r="O929" s="630">
        <f t="shared" si="84"/>
        <v>0</v>
      </c>
      <c r="P929" s="629">
        <f t="shared" si="88"/>
        <v>0</v>
      </c>
      <c r="Q929" s="629">
        <f t="shared" si="89"/>
        <v>0</v>
      </c>
      <c r="R929" s="630">
        <f t="shared" si="85"/>
        <v>0</v>
      </c>
    </row>
    <row r="930" spans="2:18" outlineLevel="1" x14ac:dyDescent="0.2">
      <c r="B930" s="59"/>
      <c r="C930" s="59"/>
      <c r="D930" s="59"/>
      <c r="E930" s="541"/>
      <c r="F930" s="541"/>
      <c r="G930" s="541"/>
      <c r="H930" s="541"/>
      <c r="I930" s="59"/>
      <c r="J930" s="59"/>
      <c r="K930" s="621"/>
      <c r="L930" s="621"/>
      <c r="M930" s="629">
        <f t="shared" si="86"/>
        <v>0</v>
      </c>
      <c r="N930" s="629">
        <f t="shared" si="87"/>
        <v>0</v>
      </c>
      <c r="O930" s="630">
        <f t="shared" si="84"/>
        <v>0</v>
      </c>
      <c r="P930" s="629">
        <f t="shared" si="88"/>
        <v>0</v>
      </c>
      <c r="Q930" s="629">
        <f t="shared" si="89"/>
        <v>0</v>
      </c>
      <c r="R930" s="630">
        <f t="shared" si="85"/>
        <v>0</v>
      </c>
    </row>
    <row r="931" spans="2:18" outlineLevel="1" x14ac:dyDescent="0.2">
      <c r="B931" s="59"/>
      <c r="C931" s="59"/>
      <c r="D931" s="59"/>
      <c r="E931" s="541"/>
      <c r="F931" s="541"/>
      <c r="G931" s="541"/>
      <c r="H931" s="541"/>
      <c r="I931" s="59"/>
      <c r="J931" s="59"/>
      <c r="K931" s="621"/>
      <c r="L931" s="621"/>
      <c r="M931" s="629">
        <f t="shared" si="86"/>
        <v>0</v>
      </c>
      <c r="N931" s="629">
        <f t="shared" si="87"/>
        <v>0</v>
      </c>
      <c r="O931" s="630">
        <f t="shared" si="84"/>
        <v>0</v>
      </c>
      <c r="P931" s="629">
        <f t="shared" si="88"/>
        <v>0</v>
      </c>
      <c r="Q931" s="629">
        <f t="shared" si="89"/>
        <v>0</v>
      </c>
      <c r="R931" s="630">
        <f t="shared" si="85"/>
        <v>0</v>
      </c>
    </row>
    <row r="932" spans="2:18" outlineLevel="1" x14ac:dyDescent="0.2">
      <c r="B932" s="59"/>
      <c r="C932" s="59"/>
      <c r="D932" s="59"/>
      <c r="E932" s="541"/>
      <c r="F932" s="541"/>
      <c r="G932" s="541"/>
      <c r="H932" s="541"/>
      <c r="I932" s="59"/>
      <c r="J932" s="59"/>
      <c r="K932" s="621"/>
      <c r="L932" s="621"/>
      <c r="M932" s="629">
        <f t="shared" si="86"/>
        <v>0</v>
      </c>
      <c r="N932" s="629">
        <f t="shared" si="87"/>
        <v>0</v>
      </c>
      <c r="O932" s="630">
        <f t="shared" si="84"/>
        <v>0</v>
      </c>
      <c r="P932" s="629">
        <f t="shared" si="88"/>
        <v>0</v>
      </c>
      <c r="Q932" s="629">
        <f t="shared" si="89"/>
        <v>0</v>
      </c>
      <c r="R932" s="630">
        <f t="shared" si="85"/>
        <v>0</v>
      </c>
    </row>
    <row r="933" spans="2:18" outlineLevel="1" x14ac:dyDescent="0.2">
      <c r="B933" s="59"/>
      <c r="C933" s="59"/>
      <c r="D933" s="59"/>
      <c r="E933" s="541"/>
      <c r="F933" s="541"/>
      <c r="G933" s="541"/>
      <c r="H933" s="541"/>
      <c r="I933" s="59"/>
      <c r="J933" s="59"/>
      <c r="K933" s="621"/>
      <c r="L933" s="621"/>
      <c r="M933" s="629">
        <f t="shared" si="86"/>
        <v>0</v>
      </c>
      <c r="N933" s="629">
        <f t="shared" si="87"/>
        <v>0</v>
      </c>
      <c r="O933" s="630">
        <f t="shared" si="84"/>
        <v>0</v>
      </c>
      <c r="P933" s="629">
        <f t="shared" si="88"/>
        <v>0</v>
      </c>
      <c r="Q933" s="629">
        <f t="shared" si="89"/>
        <v>0</v>
      </c>
      <c r="R933" s="630">
        <f t="shared" si="85"/>
        <v>0</v>
      </c>
    </row>
    <row r="934" spans="2:18" outlineLevel="1" x14ac:dyDescent="0.2">
      <c r="B934" s="59"/>
      <c r="C934" s="59"/>
      <c r="D934" s="59"/>
      <c r="E934" s="541"/>
      <c r="F934" s="541"/>
      <c r="G934" s="541"/>
      <c r="H934" s="541"/>
      <c r="I934" s="59"/>
      <c r="J934" s="59"/>
      <c r="K934" s="621"/>
      <c r="L934" s="621"/>
      <c r="M934" s="629">
        <f t="shared" si="86"/>
        <v>0</v>
      </c>
      <c r="N934" s="629">
        <f t="shared" si="87"/>
        <v>0</v>
      </c>
      <c r="O934" s="630">
        <f t="shared" si="84"/>
        <v>0</v>
      </c>
      <c r="P934" s="629">
        <f t="shared" si="88"/>
        <v>0</v>
      </c>
      <c r="Q934" s="629">
        <f t="shared" si="89"/>
        <v>0</v>
      </c>
      <c r="R934" s="630">
        <f t="shared" si="85"/>
        <v>0</v>
      </c>
    </row>
    <row r="935" spans="2:18" outlineLevel="1" x14ac:dyDescent="0.2">
      <c r="B935" s="59"/>
      <c r="C935" s="59"/>
      <c r="D935" s="59"/>
      <c r="E935" s="541"/>
      <c r="F935" s="541"/>
      <c r="G935" s="541"/>
      <c r="H935" s="541"/>
      <c r="I935" s="59"/>
      <c r="J935" s="59"/>
      <c r="K935" s="621"/>
      <c r="L935" s="621"/>
      <c r="M935" s="629">
        <f t="shared" si="86"/>
        <v>0</v>
      </c>
      <c r="N935" s="629">
        <f t="shared" si="87"/>
        <v>0</v>
      </c>
      <c r="O935" s="630">
        <f t="shared" si="84"/>
        <v>0</v>
      </c>
      <c r="P935" s="629">
        <f t="shared" si="88"/>
        <v>0</v>
      </c>
      <c r="Q935" s="629">
        <f t="shared" si="89"/>
        <v>0</v>
      </c>
      <c r="R935" s="630">
        <f t="shared" si="85"/>
        <v>0</v>
      </c>
    </row>
    <row r="936" spans="2:18" outlineLevel="1" x14ac:dyDescent="0.2">
      <c r="B936" s="59"/>
      <c r="C936" s="59"/>
      <c r="D936" s="59"/>
      <c r="E936" s="541"/>
      <c r="F936" s="541"/>
      <c r="G936" s="541"/>
      <c r="H936" s="541"/>
      <c r="I936" s="59"/>
      <c r="J936" s="59"/>
      <c r="K936" s="621"/>
      <c r="L936" s="621"/>
      <c r="M936" s="629">
        <f t="shared" si="86"/>
        <v>0</v>
      </c>
      <c r="N936" s="629">
        <f t="shared" si="87"/>
        <v>0</v>
      </c>
      <c r="O936" s="630">
        <f t="shared" si="84"/>
        <v>0</v>
      </c>
      <c r="P936" s="629">
        <f t="shared" si="88"/>
        <v>0</v>
      </c>
      <c r="Q936" s="629">
        <f t="shared" si="89"/>
        <v>0</v>
      </c>
      <c r="R936" s="630">
        <f t="shared" si="85"/>
        <v>0</v>
      </c>
    </row>
    <row r="937" spans="2:18" outlineLevel="1" x14ac:dyDescent="0.2">
      <c r="B937" s="59"/>
      <c r="C937" s="59"/>
      <c r="D937" s="59"/>
      <c r="E937" s="541"/>
      <c r="F937" s="541"/>
      <c r="G937" s="541"/>
      <c r="H937" s="541"/>
      <c r="I937" s="59"/>
      <c r="J937" s="59"/>
      <c r="K937" s="621"/>
      <c r="L937" s="621"/>
      <c r="M937" s="629">
        <f t="shared" si="86"/>
        <v>0</v>
      </c>
      <c r="N937" s="629">
        <f t="shared" si="87"/>
        <v>0</v>
      </c>
      <c r="O937" s="630">
        <f t="shared" si="84"/>
        <v>0</v>
      </c>
      <c r="P937" s="629">
        <f t="shared" si="88"/>
        <v>0</v>
      </c>
      <c r="Q937" s="629">
        <f t="shared" si="89"/>
        <v>0</v>
      </c>
      <c r="R937" s="630">
        <f t="shared" si="85"/>
        <v>0</v>
      </c>
    </row>
    <row r="938" spans="2:18" outlineLevel="1" x14ac:dyDescent="0.2">
      <c r="B938" s="59"/>
      <c r="C938" s="59"/>
      <c r="D938" s="59"/>
      <c r="E938" s="541"/>
      <c r="F938" s="541"/>
      <c r="G938" s="541"/>
      <c r="H938" s="541"/>
      <c r="I938" s="59"/>
      <c r="J938" s="59"/>
      <c r="K938" s="621"/>
      <c r="L938" s="621"/>
      <c r="M938" s="629">
        <f t="shared" si="86"/>
        <v>0</v>
      </c>
      <c r="N938" s="629">
        <f t="shared" si="87"/>
        <v>0</v>
      </c>
      <c r="O938" s="630">
        <f t="shared" si="84"/>
        <v>0</v>
      </c>
      <c r="P938" s="629">
        <f t="shared" si="88"/>
        <v>0</v>
      </c>
      <c r="Q938" s="629">
        <f t="shared" si="89"/>
        <v>0</v>
      </c>
      <c r="R938" s="630">
        <f t="shared" si="85"/>
        <v>0</v>
      </c>
    </row>
    <row r="939" spans="2:18" outlineLevel="1" x14ac:dyDescent="0.2">
      <c r="B939" s="59"/>
      <c r="C939" s="59"/>
      <c r="D939" s="59"/>
      <c r="E939" s="541"/>
      <c r="F939" s="541"/>
      <c r="G939" s="541"/>
      <c r="H939" s="541"/>
      <c r="I939" s="59"/>
      <c r="J939" s="59"/>
      <c r="K939" s="621"/>
      <c r="L939" s="621"/>
      <c r="M939" s="629">
        <f t="shared" si="86"/>
        <v>0</v>
      </c>
      <c r="N939" s="629">
        <f t="shared" si="87"/>
        <v>0</v>
      </c>
      <c r="O939" s="630">
        <f t="shared" si="84"/>
        <v>0</v>
      </c>
      <c r="P939" s="629">
        <f t="shared" si="88"/>
        <v>0</v>
      </c>
      <c r="Q939" s="629">
        <f t="shared" si="89"/>
        <v>0</v>
      </c>
      <c r="R939" s="630">
        <f t="shared" si="85"/>
        <v>0</v>
      </c>
    </row>
    <row r="940" spans="2:18" outlineLevel="1" x14ac:dyDescent="0.2">
      <c r="B940" s="59"/>
      <c r="C940" s="59"/>
      <c r="D940" s="59"/>
      <c r="E940" s="541"/>
      <c r="F940" s="541"/>
      <c r="G940" s="541"/>
      <c r="H940" s="541"/>
      <c r="I940" s="59"/>
      <c r="J940" s="59"/>
      <c r="K940" s="621"/>
      <c r="L940" s="621"/>
      <c r="M940" s="629">
        <f t="shared" si="86"/>
        <v>0</v>
      </c>
      <c r="N940" s="629">
        <f t="shared" si="87"/>
        <v>0</v>
      </c>
      <c r="O940" s="630">
        <f t="shared" si="84"/>
        <v>0</v>
      </c>
      <c r="P940" s="629">
        <f t="shared" si="88"/>
        <v>0</v>
      </c>
      <c r="Q940" s="629">
        <f t="shared" si="89"/>
        <v>0</v>
      </c>
      <c r="R940" s="630">
        <f t="shared" si="85"/>
        <v>0</v>
      </c>
    </row>
    <row r="941" spans="2:18" outlineLevel="1" x14ac:dyDescent="0.2">
      <c r="B941" s="59"/>
      <c r="C941" s="59"/>
      <c r="D941" s="59"/>
      <c r="E941" s="541"/>
      <c r="F941" s="541"/>
      <c r="G941" s="541"/>
      <c r="H941" s="541"/>
      <c r="I941" s="59"/>
      <c r="J941" s="59"/>
      <c r="K941" s="621"/>
      <c r="L941" s="621"/>
      <c r="M941" s="629">
        <f t="shared" si="86"/>
        <v>0</v>
      </c>
      <c r="N941" s="629">
        <f t="shared" si="87"/>
        <v>0</v>
      </c>
      <c r="O941" s="630">
        <f t="shared" si="84"/>
        <v>0</v>
      </c>
      <c r="P941" s="629">
        <f t="shared" si="88"/>
        <v>0</v>
      </c>
      <c r="Q941" s="629">
        <f t="shared" si="89"/>
        <v>0</v>
      </c>
      <c r="R941" s="630">
        <f t="shared" si="85"/>
        <v>0</v>
      </c>
    </row>
    <row r="942" spans="2:18" outlineLevel="1" x14ac:dyDescent="0.2">
      <c r="B942" s="59"/>
      <c r="C942" s="59"/>
      <c r="D942" s="59"/>
      <c r="E942" s="541"/>
      <c r="F942" s="541"/>
      <c r="G942" s="541"/>
      <c r="H942" s="541"/>
      <c r="I942" s="59"/>
      <c r="J942" s="59"/>
      <c r="K942" s="621"/>
      <c r="L942" s="621"/>
      <c r="M942" s="629">
        <f t="shared" si="86"/>
        <v>0</v>
      </c>
      <c r="N942" s="629">
        <f t="shared" si="87"/>
        <v>0</v>
      </c>
      <c r="O942" s="630">
        <f t="shared" si="84"/>
        <v>0</v>
      </c>
      <c r="P942" s="629">
        <f t="shared" si="88"/>
        <v>0</v>
      </c>
      <c r="Q942" s="629">
        <f t="shared" si="89"/>
        <v>0</v>
      </c>
      <c r="R942" s="630">
        <f t="shared" si="85"/>
        <v>0</v>
      </c>
    </row>
    <row r="943" spans="2:18" outlineLevel="1" x14ac:dyDescent="0.2">
      <c r="B943" s="59"/>
      <c r="C943" s="59"/>
      <c r="D943" s="59"/>
      <c r="E943" s="541"/>
      <c r="F943" s="541"/>
      <c r="G943" s="541"/>
      <c r="H943" s="541"/>
      <c r="I943" s="59"/>
      <c r="J943" s="59"/>
      <c r="K943" s="621"/>
      <c r="L943" s="621"/>
      <c r="M943" s="629">
        <f t="shared" si="86"/>
        <v>0</v>
      </c>
      <c r="N943" s="629">
        <f t="shared" si="87"/>
        <v>0</v>
      </c>
      <c r="O943" s="630">
        <f t="shared" si="84"/>
        <v>0</v>
      </c>
      <c r="P943" s="629">
        <f t="shared" si="88"/>
        <v>0</v>
      </c>
      <c r="Q943" s="629">
        <f t="shared" si="89"/>
        <v>0</v>
      </c>
      <c r="R943" s="630">
        <f t="shared" si="85"/>
        <v>0</v>
      </c>
    </row>
    <row r="944" spans="2:18" outlineLevel="1" x14ac:dyDescent="0.2">
      <c r="B944" s="59"/>
      <c r="C944" s="59"/>
      <c r="D944" s="59"/>
      <c r="E944" s="541"/>
      <c r="F944" s="541"/>
      <c r="G944" s="541"/>
      <c r="H944" s="541"/>
      <c r="I944" s="59"/>
      <c r="J944" s="59"/>
      <c r="K944" s="621"/>
      <c r="L944" s="621"/>
      <c r="M944" s="629">
        <f t="shared" si="86"/>
        <v>0</v>
      </c>
      <c r="N944" s="629">
        <f t="shared" si="87"/>
        <v>0</v>
      </c>
      <c r="O944" s="630">
        <f t="shared" si="84"/>
        <v>0</v>
      </c>
      <c r="P944" s="629">
        <f t="shared" si="88"/>
        <v>0</v>
      </c>
      <c r="Q944" s="629">
        <f t="shared" si="89"/>
        <v>0</v>
      </c>
      <c r="R944" s="630">
        <f t="shared" si="85"/>
        <v>0</v>
      </c>
    </row>
    <row r="945" spans="2:18" outlineLevel="1" x14ac:dyDescent="0.2">
      <c r="B945" s="59"/>
      <c r="C945" s="59"/>
      <c r="D945" s="59"/>
      <c r="E945" s="541"/>
      <c r="F945" s="541"/>
      <c r="G945" s="541"/>
      <c r="H945" s="541"/>
      <c r="I945" s="59"/>
      <c r="J945" s="59"/>
      <c r="K945" s="621"/>
      <c r="L945" s="621"/>
      <c r="M945" s="629">
        <f t="shared" si="86"/>
        <v>0</v>
      </c>
      <c r="N945" s="629">
        <f t="shared" si="87"/>
        <v>0</v>
      </c>
      <c r="O945" s="630">
        <f t="shared" si="84"/>
        <v>0</v>
      </c>
      <c r="P945" s="629">
        <f t="shared" si="88"/>
        <v>0</v>
      </c>
      <c r="Q945" s="629">
        <f t="shared" si="89"/>
        <v>0</v>
      </c>
      <c r="R945" s="630">
        <f t="shared" si="85"/>
        <v>0</v>
      </c>
    </row>
    <row r="946" spans="2:18" outlineLevel="1" x14ac:dyDescent="0.2">
      <c r="B946" s="59"/>
      <c r="C946" s="59"/>
      <c r="D946" s="59"/>
      <c r="E946" s="541"/>
      <c r="F946" s="541"/>
      <c r="G946" s="541"/>
      <c r="H946" s="541"/>
      <c r="I946" s="59"/>
      <c r="J946" s="59"/>
      <c r="K946" s="621"/>
      <c r="L946" s="621"/>
      <c r="M946" s="629">
        <f t="shared" si="86"/>
        <v>0</v>
      </c>
      <c r="N946" s="629">
        <f t="shared" si="87"/>
        <v>0</v>
      </c>
      <c r="O946" s="630">
        <f t="shared" si="84"/>
        <v>0</v>
      </c>
      <c r="P946" s="629">
        <f t="shared" si="88"/>
        <v>0</v>
      </c>
      <c r="Q946" s="629">
        <f t="shared" si="89"/>
        <v>0</v>
      </c>
      <c r="R946" s="630">
        <f t="shared" si="85"/>
        <v>0</v>
      </c>
    </row>
    <row r="947" spans="2:18" outlineLevel="1" x14ac:dyDescent="0.2">
      <c r="B947" s="59"/>
      <c r="C947" s="59"/>
      <c r="D947" s="59"/>
      <c r="E947" s="541"/>
      <c r="F947" s="541"/>
      <c r="G947" s="541"/>
      <c r="H947" s="541"/>
      <c r="I947" s="59"/>
      <c r="J947" s="59"/>
      <c r="K947" s="621"/>
      <c r="L947" s="621"/>
      <c r="M947" s="629">
        <f t="shared" si="86"/>
        <v>0</v>
      </c>
      <c r="N947" s="629">
        <f t="shared" si="87"/>
        <v>0</v>
      </c>
      <c r="O947" s="630">
        <f t="shared" si="84"/>
        <v>0</v>
      </c>
      <c r="P947" s="629">
        <f t="shared" si="88"/>
        <v>0</v>
      </c>
      <c r="Q947" s="629">
        <f t="shared" si="89"/>
        <v>0</v>
      </c>
      <c r="R947" s="630">
        <f t="shared" si="85"/>
        <v>0</v>
      </c>
    </row>
    <row r="948" spans="2:18" outlineLevel="1" x14ac:dyDescent="0.2">
      <c r="B948" s="59"/>
      <c r="C948" s="59"/>
      <c r="D948" s="59"/>
      <c r="E948" s="541"/>
      <c r="F948" s="541"/>
      <c r="G948" s="541"/>
      <c r="H948" s="541"/>
      <c r="I948" s="59"/>
      <c r="J948" s="59"/>
      <c r="K948" s="621"/>
      <c r="L948" s="621"/>
      <c r="M948" s="629">
        <f t="shared" si="86"/>
        <v>0</v>
      </c>
      <c r="N948" s="629">
        <f t="shared" si="87"/>
        <v>0</v>
      </c>
      <c r="O948" s="630">
        <f t="shared" si="84"/>
        <v>0</v>
      </c>
      <c r="P948" s="629">
        <f t="shared" si="88"/>
        <v>0</v>
      </c>
      <c r="Q948" s="629">
        <f t="shared" si="89"/>
        <v>0</v>
      </c>
      <c r="R948" s="630">
        <f t="shared" si="85"/>
        <v>0</v>
      </c>
    </row>
    <row r="949" spans="2:18" outlineLevel="1" x14ac:dyDescent="0.2">
      <c r="B949" s="59"/>
      <c r="C949" s="59"/>
      <c r="D949" s="59"/>
      <c r="E949" s="541"/>
      <c r="F949" s="541"/>
      <c r="G949" s="541"/>
      <c r="H949" s="541"/>
      <c r="I949" s="59"/>
      <c r="J949" s="59"/>
      <c r="K949" s="621"/>
      <c r="L949" s="621"/>
      <c r="M949" s="629">
        <f t="shared" si="86"/>
        <v>0</v>
      </c>
      <c r="N949" s="629">
        <f t="shared" si="87"/>
        <v>0</v>
      </c>
      <c r="O949" s="630">
        <f t="shared" si="84"/>
        <v>0</v>
      </c>
      <c r="P949" s="629">
        <f t="shared" si="88"/>
        <v>0</v>
      </c>
      <c r="Q949" s="629">
        <f t="shared" si="89"/>
        <v>0</v>
      </c>
      <c r="R949" s="630">
        <f t="shared" si="85"/>
        <v>0</v>
      </c>
    </row>
    <row r="950" spans="2:18" outlineLevel="1" x14ac:dyDescent="0.2">
      <c r="B950" s="59"/>
      <c r="C950" s="59"/>
      <c r="D950" s="59"/>
      <c r="E950" s="541"/>
      <c r="F950" s="541"/>
      <c r="G950" s="541"/>
      <c r="H950" s="541"/>
      <c r="I950" s="59"/>
      <c r="J950" s="59"/>
      <c r="K950" s="621"/>
      <c r="L950" s="621"/>
      <c r="M950" s="629">
        <f t="shared" si="86"/>
        <v>0</v>
      </c>
      <c r="N950" s="629">
        <f t="shared" si="87"/>
        <v>0</v>
      </c>
      <c r="O950" s="630">
        <f t="shared" si="84"/>
        <v>0</v>
      </c>
      <c r="P950" s="629">
        <f t="shared" si="88"/>
        <v>0</v>
      </c>
      <c r="Q950" s="629">
        <f t="shared" si="89"/>
        <v>0</v>
      </c>
      <c r="R950" s="630">
        <f t="shared" si="85"/>
        <v>0</v>
      </c>
    </row>
    <row r="951" spans="2:18" outlineLevel="1" x14ac:dyDescent="0.2">
      <c r="B951" s="59"/>
      <c r="C951" s="59"/>
      <c r="D951" s="59"/>
      <c r="E951" s="541"/>
      <c r="F951" s="541"/>
      <c r="G951" s="541"/>
      <c r="H951" s="541"/>
      <c r="I951" s="59"/>
      <c r="J951" s="59"/>
      <c r="K951" s="621"/>
      <c r="L951" s="621"/>
      <c r="M951" s="629">
        <f t="shared" si="86"/>
        <v>0</v>
      </c>
      <c r="N951" s="629">
        <f t="shared" si="87"/>
        <v>0</v>
      </c>
      <c r="O951" s="630">
        <f t="shared" si="84"/>
        <v>0</v>
      </c>
      <c r="P951" s="629">
        <f t="shared" si="88"/>
        <v>0</v>
      </c>
      <c r="Q951" s="629">
        <f t="shared" si="89"/>
        <v>0</v>
      </c>
      <c r="R951" s="630">
        <f t="shared" si="85"/>
        <v>0</v>
      </c>
    </row>
    <row r="952" spans="2:18" outlineLevel="1" x14ac:dyDescent="0.2">
      <c r="B952" s="59"/>
      <c r="C952" s="59"/>
      <c r="D952" s="59"/>
      <c r="E952" s="541"/>
      <c r="F952" s="541"/>
      <c r="G952" s="541"/>
      <c r="H952" s="541"/>
      <c r="I952" s="59"/>
      <c r="J952" s="59"/>
      <c r="K952" s="621"/>
      <c r="L952" s="621"/>
      <c r="M952" s="629">
        <f t="shared" si="86"/>
        <v>0</v>
      </c>
      <c r="N952" s="629">
        <f t="shared" si="87"/>
        <v>0</v>
      </c>
      <c r="O952" s="630">
        <f t="shared" si="84"/>
        <v>0</v>
      </c>
      <c r="P952" s="629">
        <f t="shared" si="88"/>
        <v>0</v>
      </c>
      <c r="Q952" s="629">
        <f t="shared" si="89"/>
        <v>0</v>
      </c>
      <c r="R952" s="630">
        <f t="shared" si="85"/>
        <v>0</v>
      </c>
    </row>
    <row r="953" spans="2:18" outlineLevel="1" x14ac:dyDescent="0.2">
      <c r="B953" s="59"/>
      <c r="C953" s="59"/>
      <c r="D953" s="59"/>
      <c r="E953" s="541"/>
      <c r="F953" s="541"/>
      <c r="G953" s="541"/>
      <c r="H953" s="541"/>
      <c r="I953" s="59"/>
      <c r="J953" s="59"/>
      <c r="K953" s="621"/>
      <c r="L953" s="621"/>
      <c r="M953" s="629">
        <f t="shared" si="86"/>
        <v>0</v>
      </c>
      <c r="N953" s="629">
        <f t="shared" si="87"/>
        <v>0</v>
      </c>
      <c r="O953" s="630">
        <f t="shared" si="84"/>
        <v>0</v>
      </c>
      <c r="P953" s="629">
        <f t="shared" si="88"/>
        <v>0</v>
      </c>
      <c r="Q953" s="629">
        <f t="shared" si="89"/>
        <v>0</v>
      </c>
      <c r="R953" s="630">
        <f t="shared" si="85"/>
        <v>0</v>
      </c>
    </row>
    <row r="954" spans="2:18" outlineLevel="1" x14ac:dyDescent="0.2">
      <c r="B954" s="59"/>
      <c r="C954" s="59"/>
      <c r="D954" s="59"/>
      <c r="E954" s="541"/>
      <c r="F954" s="541"/>
      <c r="G954" s="541"/>
      <c r="H954" s="541"/>
      <c r="I954" s="59"/>
      <c r="J954" s="59"/>
      <c r="K954" s="621"/>
      <c r="L954" s="621"/>
      <c r="M954" s="629">
        <f t="shared" si="86"/>
        <v>0</v>
      </c>
      <c r="N954" s="629">
        <f t="shared" si="87"/>
        <v>0</v>
      </c>
      <c r="O954" s="630">
        <f t="shared" si="84"/>
        <v>0</v>
      </c>
      <c r="P954" s="629">
        <f t="shared" si="88"/>
        <v>0</v>
      </c>
      <c r="Q954" s="629">
        <f t="shared" si="89"/>
        <v>0</v>
      </c>
      <c r="R954" s="630">
        <f t="shared" si="85"/>
        <v>0</v>
      </c>
    </row>
    <row r="955" spans="2:18" outlineLevel="1" x14ac:dyDescent="0.2">
      <c r="B955" s="59"/>
      <c r="C955" s="59"/>
      <c r="D955" s="59"/>
      <c r="E955" s="541"/>
      <c r="F955" s="541"/>
      <c r="G955" s="541"/>
      <c r="H955" s="541"/>
      <c r="I955" s="59"/>
      <c r="J955" s="59"/>
      <c r="K955" s="621"/>
      <c r="L955" s="621"/>
      <c r="M955" s="629">
        <f t="shared" si="86"/>
        <v>0</v>
      </c>
      <c r="N955" s="629">
        <f t="shared" si="87"/>
        <v>0</v>
      </c>
      <c r="O955" s="630">
        <f t="shared" si="84"/>
        <v>0</v>
      </c>
      <c r="P955" s="629">
        <f t="shared" si="88"/>
        <v>0</v>
      </c>
      <c r="Q955" s="629">
        <f t="shared" si="89"/>
        <v>0</v>
      </c>
      <c r="R955" s="630">
        <f t="shared" si="85"/>
        <v>0</v>
      </c>
    </row>
    <row r="956" spans="2:18" outlineLevel="1" x14ac:dyDescent="0.2">
      <c r="B956" s="59"/>
      <c r="C956" s="59"/>
      <c r="D956" s="59"/>
      <c r="E956" s="541"/>
      <c r="F956" s="541"/>
      <c r="G956" s="541"/>
      <c r="H956" s="541"/>
      <c r="I956" s="59"/>
      <c r="J956" s="59"/>
      <c r="K956" s="621"/>
      <c r="L956" s="621"/>
      <c r="M956" s="629">
        <f t="shared" si="86"/>
        <v>0</v>
      </c>
      <c r="N956" s="629">
        <f t="shared" si="87"/>
        <v>0</v>
      </c>
      <c r="O956" s="630">
        <f t="shared" si="84"/>
        <v>0</v>
      </c>
      <c r="P956" s="629">
        <f t="shared" si="88"/>
        <v>0</v>
      </c>
      <c r="Q956" s="629">
        <f t="shared" si="89"/>
        <v>0</v>
      </c>
      <c r="R956" s="630">
        <f t="shared" si="85"/>
        <v>0</v>
      </c>
    </row>
    <row r="957" spans="2:18" outlineLevel="1" x14ac:dyDescent="0.2">
      <c r="B957" s="59"/>
      <c r="C957" s="59"/>
      <c r="D957" s="59"/>
      <c r="E957" s="541"/>
      <c r="F957" s="541"/>
      <c r="G957" s="541"/>
      <c r="H957" s="541"/>
      <c r="I957" s="59"/>
      <c r="J957" s="59"/>
      <c r="K957" s="621"/>
      <c r="L957" s="621"/>
      <c r="M957" s="629">
        <f t="shared" si="86"/>
        <v>0</v>
      </c>
      <c r="N957" s="629">
        <f t="shared" si="87"/>
        <v>0</v>
      </c>
      <c r="O957" s="630">
        <f t="shared" si="84"/>
        <v>0</v>
      </c>
      <c r="P957" s="629">
        <f t="shared" si="88"/>
        <v>0</v>
      </c>
      <c r="Q957" s="629">
        <f t="shared" si="89"/>
        <v>0</v>
      </c>
      <c r="R957" s="630">
        <f t="shared" si="85"/>
        <v>0</v>
      </c>
    </row>
    <row r="958" spans="2:18" outlineLevel="1" x14ac:dyDescent="0.2">
      <c r="B958" s="59"/>
      <c r="C958" s="59"/>
      <c r="D958" s="59"/>
      <c r="E958" s="541"/>
      <c r="F958" s="541"/>
      <c r="G958" s="541"/>
      <c r="H958" s="541"/>
      <c r="I958" s="59"/>
      <c r="J958" s="59"/>
      <c r="K958" s="621"/>
      <c r="L958" s="621"/>
      <c r="M958" s="629">
        <f t="shared" si="86"/>
        <v>0</v>
      </c>
      <c r="N958" s="629">
        <f t="shared" si="87"/>
        <v>0</v>
      </c>
      <c r="O958" s="630">
        <f t="shared" si="84"/>
        <v>0</v>
      </c>
      <c r="P958" s="629">
        <f t="shared" si="88"/>
        <v>0</v>
      </c>
      <c r="Q958" s="629">
        <f t="shared" si="89"/>
        <v>0</v>
      </c>
      <c r="R958" s="630">
        <f t="shared" si="85"/>
        <v>0</v>
      </c>
    </row>
    <row r="959" spans="2:18" outlineLevel="1" x14ac:dyDescent="0.2">
      <c r="B959" s="59"/>
      <c r="C959" s="59"/>
      <c r="D959" s="59"/>
      <c r="E959" s="541"/>
      <c r="F959" s="541"/>
      <c r="G959" s="541"/>
      <c r="H959" s="541"/>
      <c r="I959" s="59"/>
      <c r="J959" s="59"/>
      <c r="K959" s="621"/>
      <c r="L959" s="621"/>
      <c r="M959" s="629">
        <f t="shared" si="86"/>
        <v>0</v>
      </c>
      <c r="N959" s="629">
        <f t="shared" si="87"/>
        <v>0</v>
      </c>
      <c r="O959" s="630">
        <f t="shared" si="84"/>
        <v>0</v>
      </c>
      <c r="P959" s="629">
        <f t="shared" si="88"/>
        <v>0</v>
      </c>
      <c r="Q959" s="629">
        <f t="shared" si="89"/>
        <v>0</v>
      </c>
      <c r="R959" s="630">
        <f t="shared" si="85"/>
        <v>0</v>
      </c>
    </row>
    <row r="960" spans="2:18" outlineLevel="1" x14ac:dyDescent="0.2">
      <c r="B960" s="59"/>
      <c r="C960" s="59"/>
      <c r="D960" s="59"/>
      <c r="E960" s="541"/>
      <c r="F960" s="541"/>
      <c r="G960" s="541"/>
      <c r="H960" s="541"/>
      <c r="I960" s="59"/>
      <c r="J960" s="59"/>
      <c r="K960" s="621"/>
      <c r="L960" s="621"/>
      <c r="M960" s="629">
        <f t="shared" si="86"/>
        <v>0</v>
      </c>
      <c r="N960" s="629">
        <f t="shared" si="87"/>
        <v>0</v>
      </c>
      <c r="O960" s="630">
        <f t="shared" si="84"/>
        <v>0</v>
      </c>
      <c r="P960" s="629">
        <f t="shared" si="88"/>
        <v>0</v>
      </c>
      <c r="Q960" s="629">
        <f t="shared" si="89"/>
        <v>0</v>
      </c>
      <c r="R960" s="630">
        <f t="shared" si="85"/>
        <v>0</v>
      </c>
    </row>
    <row r="961" spans="2:18" outlineLevel="1" x14ac:dyDescent="0.2">
      <c r="B961" s="59"/>
      <c r="C961" s="59"/>
      <c r="D961" s="59"/>
      <c r="E961" s="541"/>
      <c r="F961" s="541"/>
      <c r="G961" s="541"/>
      <c r="H961" s="541"/>
      <c r="I961" s="59"/>
      <c r="J961" s="59"/>
      <c r="K961" s="621"/>
      <c r="L961" s="621"/>
      <c r="M961" s="629">
        <f t="shared" si="86"/>
        <v>0</v>
      </c>
      <c r="N961" s="629">
        <f t="shared" si="87"/>
        <v>0</v>
      </c>
      <c r="O961" s="630">
        <f t="shared" si="84"/>
        <v>0</v>
      </c>
      <c r="P961" s="629">
        <f t="shared" si="88"/>
        <v>0</v>
      </c>
      <c r="Q961" s="629">
        <f t="shared" si="89"/>
        <v>0</v>
      </c>
      <c r="R961" s="630">
        <f t="shared" si="85"/>
        <v>0</v>
      </c>
    </row>
    <row r="962" spans="2:18" outlineLevel="1" x14ac:dyDescent="0.2">
      <c r="B962" s="59"/>
      <c r="C962" s="59"/>
      <c r="D962" s="59"/>
      <c r="E962" s="541"/>
      <c r="F962" s="541"/>
      <c r="G962" s="541"/>
      <c r="H962" s="541"/>
      <c r="I962" s="59"/>
      <c r="J962" s="59"/>
      <c r="K962" s="621"/>
      <c r="L962" s="621"/>
      <c r="M962" s="629">
        <f t="shared" si="86"/>
        <v>0</v>
      </c>
      <c r="N962" s="629">
        <f t="shared" si="87"/>
        <v>0</v>
      </c>
      <c r="O962" s="630">
        <f t="shared" si="84"/>
        <v>0</v>
      </c>
      <c r="P962" s="629">
        <f t="shared" si="88"/>
        <v>0</v>
      </c>
      <c r="Q962" s="629">
        <f t="shared" si="89"/>
        <v>0</v>
      </c>
      <c r="R962" s="630">
        <f t="shared" si="85"/>
        <v>0</v>
      </c>
    </row>
    <row r="963" spans="2:18" outlineLevel="1" x14ac:dyDescent="0.2">
      <c r="B963" s="59"/>
      <c r="C963" s="59"/>
      <c r="D963" s="59"/>
      <c r="E963" s="541"/>
      <c r="F963" s="541"/>
      <c r="G963" s="541"/>
      <c r="H963" s="541"/>
      <c r="I963" s="59"/>
      <c r="J963" s="59"/>
      <c r="K963" s="621"/>
      <c r="L963" s="621"/>
      <c r="M963" s="629">
        <f t="shared" si="86"/>
        <v>0</v>
      </c>
      <c r="N963" s="629">
        <f t="shared" si="87"/>
        <v>0</v>
      </c>
      <c r="O963" s="630">
        <f t="shared" si="84"/>
        <v>0</v>
      </c>
      <c r="P963" s="629">
        <f t="shared" si="88"/>
        <v>0</v>
      </c>
      <c r="Q963" s="629">
        <f t="shared" si="89"/>
        <v>0</v>
      </c>
      <c r="R963" s="630">
        <f t="shared" si="85"/>
        <v>0</v>
      </c>
    </row>
    <row r="964" spans="2:18" outlineLevel="1" x14ac:dyDescent="0.2">
      <c r="B964" s="59"/>
      <c r="C964" s="59"/>
      <c r="D964" s="59"/>
      <c r="E964" s="541"/>
      <c r="F964" s="541"/>
      <c r="G964" s="541"/>
      <c r="H964" s="541"/>
      <c r="I964" s="59"/>
      <c r="J964" s="59"/>
      <c r="K964" s="621"/>
      <c r="L964" s="621"/>
      <c r="M964" s="629">
        <f t="shared" si="86"/>
        <v>0</v>
      </c>
      <c r="N964" s="629">
        <f t="shared" si="87"/>
        <v>0</v>
      </c>
      <c r="O964" s="630">
        <f t="shared" si="84"/>
        <v>0</v>
      </c>
      <c r="P964" s="629">
        <f t="shared" si="88"/>
        <v>0</v>
      </c>
      <c r="Q964" s="629">
        <f t="shared" si="89"/>
        <v>0</v>
      </c>
      <c r="R964" s="630">
        <f t="shared" si="85"/>
        <v>0</v>
      </c>
    </row>
    <row r="965" spans="2:18" outlineLevel="1" x14ac:dyDescent="0.2">
      <c r="B965" s="59"/>
      <c r="C965" s="59"/>
      <c r="D965" s="59"/>
      <c r="E965" s="541"/>
      <c r="F965" s="541"/>
      <c r="G965" s="541"/>
      <c r="H965" s="541"/>
      <c r="I965" s="59"/>
      <c r="J965" s="59"/>
      <c r="K965" s="621"/>
      <c r="L965" s="621"/>
      <c r="M965" s="629">
        <f t="shared" si="86"/>
        <v>0</v>
      </c>
      <c r="N965" s="629">
        <f t="shared" si="87"/>
        <v>0</v>
      </c>
      <c r="O965" s="630">
        <f t="shared" ref="O965:O1000" si="90">M965+N965</f>
        <v>0</v>
      </c>
      <c r="P965" s="629">
        <f t="shared" si="88"/>
        <v>0</v>
      </c>
      <c r="Q965" s="629">
        <f t="shared" si="89"/>
        <v>0</v>
      </c>
      <c r="R965" s="630">
        <f t="shared" ref="R965:R1000" si="91">P965+Q965</f>
        <v>0</v>
      </c>
    </row>
    <row r="966" spans="2:18" outlineLevel="1" x14ac:dyDescent="0.2">
      <c r="B966" s="59"/>
      <c r="C966" s="59"/>
      <c r="D966" s="59"/>
      <c r="E966" s="541"/>
      <c r="F966" s="541"/>
      <c r="G966" s="541"/>
      <c r="H966" s="541"/>
      <c r="I966" s="59"/>
      <c r="J966" s="59"/>
      <c r="K966" s="621"/>
      <c r="L966" s="621"/>
      <c r="M966" s="629">
        <f t="shared" ref="M966:M1001" si="92">G966*(-1)</f>
        <v>0</v>
      </c>
      <c r="N966" s="629">
        <f t="shared" ref="N966:N1001" si="93">H966*(-1)</f>
        <v>0</v>
      </c>
      <c r="O966" s="630">
        <f t="shared" si="90"/>
        <v>0</v>
      </c>
      <c r="P966" s="629">
        <f t="shared" ref="P966:P1001" si="94">+IF(AND(I966="NO",E966&gt;G966),(E966-G966)*K966*(-1),0)</f>
        <v>0</v>
      </c>
      <c r="Q966" s="629">
        <f t="shared" ref="Q966:Q1001" si="95">+IF(AND(J966="NO",F966&gt;H966),(F966-H966)*L966*(-1),0)</f>
        <v>0</v>
      </c>
      <c r="R966" s="630">
        <f t="shared" si="91"/>
        <v>0</v>
      </c>
    </row>
    <row r="967" spans="2:18" outlineLevel="1" x14ac:dyDescent="0.2">
      <c r="B967" s="59"/>
      <c r="C967" s="59"/>
      <c r="D967" s="59"/>
      <c r="E967" s="541"/>
      <c r="F967" s="541"/>
      <c r="G967" s="541"/>
      <c r="H967" s="541"/>
      <c r="I967" s="59"/>
      <c r="J967" s="59"/>
      <c r="K967" s="621"/>
      <c r="L967" s="621"/>
      <c r="M967" s="629">
        <f t="shared" si="92"/>
        <v>0</v>
      </c>
      <c r="N967" s="629">
        <f t="shared" si="93"/>
        <v>0</v>
      </c>
      <c r="O967" s="630">
        <f t="shared" si="90"/>
        <v>0</v>
      </c>
      <c r="P967" s="629">
        <f t="shared" si="94"/>
        <v>0</v>
      </c>
      <c r="Q967" s="629">
        <f t="shared" si="95"/>
        <v>0</v>
      </c>
      <c r="R967" s="630">
        <f t="shared" si="91"/>
        <v>0</v>
      </c>
    </row>
    <row r="968" spans="2:18" outlineLevel="1" x14ac:dyDescent="0.2">
      <c r="B968" s="59"/>
      <c r="C968" s="59"/>
      <c r="D968" s="59"/>
      <c r="E968" s="541"/>
      <c r="F968" s="541"/>
      <c r="G968" s="541"/>
      <c r="H968" s="541"/>
      <c r="I968" s="59"/>
      <c r="J968" s="59"/>
      <c r="K968" s="621"/>
      <c r="L968" s="621"/>
      <c r="M968" s="629">
        <f t="shared" si="92"/>
        <v>0</v>
      </c>
      <c r="N968" s="629">
        <f t="shared" si="93"/>
        <v>0</v>
      </c>
      <c r="O968" s="630">
        <f t="shared" si="90"/>
        <v>0</v>
      </c>
      <c r="P968" s="629">
        <f t="shared" si="94"/>
        <v>0</v>
      </c>
      <c r="Q968" s="629">
        <f t="shared" si="95"/>
        <v>0</v>
      </c>
      <c r="R968" s="630">
        <f t="shared" si="91"/>
        <v>0</v>
      </c>
    </row>
    <row r="969" spans="2:18" outlineLevel="1" x14ac:dyDescent="0.2">
      <c r="B969" s="59"/>
      <c r="C969" s="59"/>
      <c r="D969" s="59"/>
      <c r="E969" s="541"/>
      <c r="F969" s="541"/>
      <c r="G969" s="541"/>
      <c r="H969" s="541"/>
      <c r="I969" s="59"/>
      <c r="J969" s="59"/>
      <c r="K969" s="621"/>
      <c r="L969" s="621"/>
      <c r="M969" s="629">
        <f t="shared" si="92"/>
        <v>0</v>
      </c>
      <c r="N969" s="629">
        <f t="shared" si="93"/>
        <v>0</v>
      </c>
      <c r="O969" s="630">
        <f t="shared" si="90"/>
        <v>0</v>
      </c>
      <c r="P969" s="629">
        <f t="shared" si="94"/>
        <v>0</v>
      </c>
      <c r="Q969" s="629">
        <f t="shared" si="95"/>
        <v>0</v>
      </c>
      <c r="R969" s="630">
        <f t="shared" si="91"/>
        <v>0</v>
      </c>
    </row>
    <row r="970" spans="2:18" outlineLevel="1" x14ac:dyDescent="0.2">
      <c r="B970" s="59"/>
      <c r="C970" s="59"/>
      <c r="D970" s="59"/>
      <c r="E970" s="541"/>
      <c r="F970" s="541"/>
      <c r="G970" s="541"/>
      <c r="H970" s="541"/>
      <c r="I970" s="59"/>
      <c r="J970" s="59"/>
      <c r="K970" s="621"/>
      <c r="L970" s="621"/>
      <c r="M970" s="629">
        <f t="shared" si="92"/>
        <v>0</v>
      </c>
      <c r="N970" s="629">
        <f t="shared" si="93"/>
        <v>0</v>
      </c>
      <c r="O970" s="630">
        <f t="shared" si="90"/>
        <v>0</v>
      </c>
      <c r="P970" s="629">
        <f t="shared" si="94"/>
        <v>0</v>
      </c>
      <c r="Q970" s="629">
        <f t="shared" si="95"/>
        <v>0</v>
      </c>
      <c r="R970" s="630">
        <f t="shared" si="91"/>
        <v>0</v>
      </c>
    </row>
    <row r="971" spans="2:18" outlineLevel="1" x14ac:dyDescent="0.2">
      <c r="B971" s="59"/>
      <c r="C971" s="59"/>
      <c r="D971" s="59"/>
      <c r="E971" s="541"/>
      <c r="F971" s="541"/>
      <c r="G971" s="541"/>
      <c r="H971" s="541"/>
      <c r="I971" s="59"/>
      <c r="J971" s="59"/>
      <c r="K971" s="621"/>
      <c r="L971" s="621"/>
      <c r="M971" s="629">
        <f t="shared" si="92"/>
        <v>0</v>
      </c>
      <c r="N971" s="629">
        <f t="shared" si="93"/>
        <v>0</v>
      </c>
      <c r="O971" s="630">
        <f t="shared" si="90"/>
        <v>0</v>
      </c>
      <c r="P971" s="629">
        <f t="shared" si="94"/>
        <v>0</v>
      </c>
      <c r="Q971" s="629">
        <f t="shared" si="95"/>
        <v>0</v>
      </c>
      <c r="R971" s="630">
        <f t="shared" si="91"/>
        <v>0</v>
      </c>
    </row>
    <row r="972" spans="2:18" outlineLevel="1" x14ac:dyDescent="0.2">
      <c r="B972" s="59"/>
      <c r="C972" s="59"/>
      <c r="D972" s="59"/>
      <c r="E972" s="541"/>
      <c r="F972" s="541"/>
      <c r="G972" s="541"/>
      <c r="H972" s="541"/>
      <c r="I972" s="59"/>
      <c r="J972" s="59"/>
      <c r="K972" s="621"/>
      <c r="L972" s="621"/>
      <c r="M972" s="629">
        <f t="shared" si="92"/>
        <v>0</v>
      </c>
      <c r="N972" s="629">
        <f t="shared" si="93"/>
        <v>0</v>
      </c>
      <c r="O972" s="630">
        <f t="shared" si="90"/>
        <v>0</v>
      </c>
      <c r="P972" s="629">
        <f t="shared" si="94"/>
        <v>0</v>
      </c>
      <c r="Q972" s="629">
        <f t="shared" si="95"/>
        <v>0</v>
      </c>
      <c r="R972" s="630">
        <f t="shared" si="91"/>
        <v>0</v>
      </c>
    </row>
    <row r="973" spans="2:18" outlineLevel="1" x14ac:dyDescent="0.2">
      <c r="B973" s="59"/>
      <c r="C973" s="59"/>
      <c r="D973" s="59"/>
      <c r="E973" s="541"/>
      <c r="F973" s="541"/>
      <c r="G973" s="541"/>
      <c r="H973" s="541"/>
      <c r="I973" s="59"/>
      <c r="J973" s="59"/>
      <c r="K973" s="621"/>
      <c r="L973" s="621"/>
      <c r="M973" s="629">
        <f t="shared" si="92"/>
        <v>0</v>
      </c>
      <c r="N973" s="629">
        <f t="shared" si="93"/>
        <v>0</v>
      </c>
      <c r="O973" s="630">
        <f t="shared" si="90"/>
        <v>0</v>
      </c>
      <c r="P973" s="629">
        <f t="shared" si="94"/>
        <v>0</v>
      </c>
      <c r="Q973" s="629">
        <f t="shared" si="95"/>
        <v>0</v>
      </c>
      <c r="R973" s="630">
        <f t="shared" si="91"/>
        <v>0</v>
      </c>
    </row>
    <row r="974" spans="2:18" outlineLevel="1" x14ac:dyDescent="0.2">
      <c r="B974" s="59"/>
      <c r="C974" s="59"/>
      <c r="D974" s="59"/>
      <c r="E974" s="541"/>
      <c r="F974" s="541"/>
      <c r="G974" s="541"/>
      <c r="H974" s="541"/>
      <c r="I974" s="59"/>
      <c r="J974" s="59"/>
      <c r="K974" s="621"/>
      <c r="L974" s="621"/>
      <c r="M974" s="629">
        <f t="shared" si="92"/>
        <v>0</v>
      </c>
      <c r="N974" s="629">
        <f t="shared" si="93"/>
        <v>0</v>
      </c>
      <c r="O974" s="630">
        <f t="shared" si="90"/>
        <v>0</v>
      </c>
      <c r="P974" s="629">
        <f t="shared" si="94"/>
        <v>0</v>
      </c>
      <c r="Q974" s="629">
        <f t="shared" si="95"/>
        <v>0</v>
      </c>
      <c r="R974" s="630">
        <f t="shared" si="91"/>
        <v>0</v>
      </c>
    </row>
    <row r="975" spans="2:18" outlineLevel="1" x14ac:dyDescent="0.2">
      <c r="B975" s="59"/>
      <c r="C975" s="59"/>
      <c r="D975" s="59"/>
      <c r="E975" s="541"/>
      <c r="F975" s="541"/>
      <c r="G975" s="541"/>
      <c r="H975" s="541"/>
      <c r="I975" s="59"/>
      <c r="J975" s="59"/>
      <c r="K975" s="621"/>
      <c r="L975" s="621"/>
      <c r="M975" s="629">
        <f t="shared" si="92"/>
        <v>0</v>
      </c>
      <c r="N975" s="629">
        <f t="shared" si="93"/>
        <v>0</v>
      </c>
      <c r="O975" s="630">
        <f t="shared" si="90"/>
        <v>0</v>
      </c>
      <c r="P975" s="629">
        <f t="shared" si="94"/>
        <v>0</v>
      </c>
      <c r="Q975" s="629">
        <f t="shared" si="95"/>
        <v>0</v>
      </c>
      <c r="R975" s="630">
        <f t="shared" si="91"/>
        <v>0</v>
      </c>
    </row>
    <row r="976" spans="2:18" outlineLevel="1" x14ac:dyDescent="0.2">
      <c r="B976" s="59"/>
      <c r="C976" s="59"/>
      <c r="D976" s="59"/>
      <c r="E976" s="541"/>
      <c r="F976" s="541"/>
      <c r="G976" s="541"/>
      <c r="H976" s="541"/>
      <c r="I976" s="59"/>
      <c r="J976" s="59"/>
      <c r="K976" s="621"/>
      <c r="L976" s="621"/>
      <c r="M976" s="629">
        <f t="shared" si="92"/>
        <v>0</v>
      </c>
      <c r="N976" s="629">
        <f t="shared" si="93"/>
        <v>0</v>
      </c>
      <c r="O976" s="630">
        <f t="shared" si="90"/>
        <v>0</v>
      </c>
      <c r="P976" s="629">
        <f t="shared" si="94"/>
        <v>0</v>
      </c>
      <c r="Q976" s="629">
        <f t="shared" si="95"/>
        <v>0</v>
      </c>
      <c r="R976" s="630">
        <f t="shared" si="91"/>
        <v>0</v>
      </c>
    </row>
    <row r="977" spans="2:18" outlineLevel="1" x14ac:dyDescent="0.2">
      <c r="B977" s="59"/>
      <c r="C977" s="59"/>
      <c r="D977" s="59"/>
      <c r="E977" s="541"/>
      <c r="F977" s="541"/>
      <c r="G977" s="541"/>
      <c r="H977" s="541"/>
      <c r="I977" s="59"/>
      <c r="J977" s="59"/>
      <c r="K977" s="621"/>
      <c r="L977" s="621"/>
      <c r="M977" s="629">
        <f t="shared" si="92"/>
        <v>0</v>
      </c>
      <c r="N977" s="629">
        <f t="shared" si="93"/>
        <v>0</v>
      </c>
      <c r="O977" s="630">
        <f t="shared" si="90"/>
        <v>0</v>
      </c>
      <c r="P977" s="629">
        <f t="shared" si="94"/>
        <v>0</v>
      </c>
      <c r="Q977" s="629">
        <f t="shared" si="95"/>
        <v>0</v>
      </c>
      <c r="R977" s="630">
        <f t="shared" si="91"/>
        <v>0</v>
      </c>
    </row>
    <row r="978" spans="2:18" outlineLevel="1" x14ac:dyDescent="0.2">
      <c r="B978" s="59"/>
      <c r="C978" s="59"/>
      <c r="D978" s="59"/>
      <c r="E978" s="541"/>
      <c r="F978" s="541"/>
      <c r="G978" s="541"/>
      <c r="H978" s="541"/>
      <c r="I978" s="59"/>
      <c r="J978" s="59"/>
      <c r="K978" s="621"/>
      <c r="L978" s="621"/>
      <c r="M978" s="629">
        <f t="shared" si="92"/>
        <v>0</v>
      </c>
      <c r="N978" s="629">
        <f t="shared" si="93"/>
        <v>0</v>
      </c>
      <c r="O978" s="630">
        <f t="shared" si="90"/>
        <v>0</v>
      </c>
      <c r="P978" s="629">
        <f t="shared" si="94"/>
        <v>0</v>
      </c>
      <c r="Q978" s="629">
        <f t="shared" si="95"/>
        <v>0</v>
      </c>
      <c r="R978" s="630">
        <f t="shared" si="91"/>
        <v>0</v>
      </c>
    </row>
    <row r="979" spans="2:18" outlineLevel="1" x14ac:dyDescent="0.2">
      <c r="B979" s="59"/>
      <c r="C979" s="59"/>
      <c r="D979" s="59"/>
      <c r="E979" s="541"/>
      <c r="F979" s="541"/>
      <c r="G979" s="541"/>
      <c r="H979" s="541"/>
      <c r="I979" s="59"/>
      <c r="J979" s="59"/>
      <c r="K979" s="621"/>
      <c r="L979" s="621"/>
      <c r="M979" s="629">
        <f t="shared" si="92"/>
        <v>0</v>
      </c>
      <c r="N979" s="629">
        <f t="shared" si="93"/>
        <v>0</v>
      </c>
      <c r="O979" s="630">
        <f t="shared" si="90"/>
        <v>0</v>
      </c>
      <c r="P979" s="629">
        <f t="shared" si="94"/>
        <v>0</v>
      </c>
      <c r="Q979" s="629">
        <f t="shared" si="95"/>
        <v>0</v>
      </c>
      <c r="R979" s="630">
        <f t="shared" si="91"/>
        <v>0</v>
      </c>
    </row>
    <row r="980" spans="2:18" outlineLevel="1" x14ac:dyDescent="0.2">
      <c r="B980" s="59"/>
      <c r="C980" s="59"/>
      <c r="D980" s="59"/>
      <c r="E980" s="541"/>
      <c r="F980" s="541"/>
      <c r="G980" s="541"/>
      <c r="H980" s="541"/>
      <c r="I980" s="59"/>
      <c r="J980" s="59"/>
      <c r="K980" s="621"/>
      <c r="L980" s="621"/>
      <c r="M980" s="629">
        <f t="shared" si="92"/>
        <v>0</v>
      </c>
      <c r="N980" s="629">
        <f t="shared" si="93"/>
        <v>0</v>
      </c>
      <c r="O980" s="630">
        <f t="shared" si="90"/>
        <v>0</v>
      </c>
      <c r="P980" s="629">
        <f t="shared" si="94"/>
        <v>0</v>
      </c>
      <c r="Q980" s="629">
        <f t="shared" si="95"/>
        <v>0</v>
      </c>
      <c r="R980" s="630">
        <f t="shared" si="91"/>
        <v>0</v>
      </c>
    </row>
    <row r="981" spans="2:18" outlineLevel="1" x14ac:dyDescent="0.2">
      <c r="B981" s="59"/>
      <c r="C981" s="59"/>
      <c r="D981" s="59"/>
      <c r="E981" s="541"/>
      <c r="F981" s="541"/>
      <c r="G981" s="541"/>
      <c r="H981" s="541"/>
      <c r="I981" s="59"/>
      <c r="J981" s="59"/>
      <c r="K981" s="621"/>
      <c r="L981" s="621"/>
      <c r="M981" s="629">
        <f t="shared" si="92"/>
        <v>0</v>
      </c>
      <c r="N981" s="629">
        <f t="shared" si="93"/>
        <v>0</v>
      </c>
      <c r="O981" s="630">
        <f t="shared" si="90"/>
        <v>0</v>
      </c>
      <c r="P981" s="629">
        <f t="shared" si="94"/>
        <v>0</v>
      </c>
      <c r="Q981" s="629">
        <f t="shared" si="95"/>
        <v>0</v>
      </c>
      <c r="R981" s="630">
        <f t="shared" si="91"/>
        <v>0</v>
      </c>
    </row>
    <row r="982" spans="2:18" outlineLevel="1" x14ac:dyDescent="0.2">
      <c r="B982" s="59"/>
      <c r="C982" s="59"/>
      <c r="D982" s="59"/>
      <c r="E982" s="541"/>
      <c r="F982" s="541"/>
      <c r="G982" s="541"/>
      <c r="H982" s="541"/>
      <c r="I982" s="59"/>
      <c r="J982" s="59"/>
      <c r="K982" s="621"/>
      <c r="L982" s="621"/>
      <c r="M982" s="629">
        <f t="shared" si="92"/>
        <v>0</v>
      </c>
      <c r="N982" s="629">
        <f t="shared" si="93"/>
        <v>0</v>
      </c>
      <c r="O982" s="630">
        <f t="shared" si="90"/>
        <v>0</v>
      </c>
      <c r="P982" s="629">
        <f t="shared" si="94"/>
        <v>0</v>
      </c>
      <c r="Q982" s="629">
        <f t="shared" si="95"/>
        <v>0</v>
      </c>
      <c r="R982" s="630">
        <f t="shared" si="91"/>
        <v>0</v>
      </c>
    </row>
    <row r="983" spans="2:18" outlineLevel="1" x14ac:dyDescent="0.2">
      <c r="B983" s="59"/>
      <c r="C983" s="59"/>
      <c r="D983" s="59"/>
      <c r="E983" s="541"/>
      <c r="F983" s="541"/>
      <c r="G983" s="541"/>
      <c r="H983" s="541"/>
      <c r="I983" s="59"/>
      <c r="J983" s="59"/>
      <c r="K983" s="621"/>
      <c r="L983" s="621"/>
      <c r="M983" s="629">
        <f t="shared" si="92"/>
        <v>0</v>
      </c>
      <c r="N983" s="629">
        <f t="shared" si="93"/>
        <v>0</v>
      </c>
      <c r="O983" s="630">
        <f t="shared" si="90"/>
        <v>0</v>
      </c>
      <c r="P983" s="629">
        <f t="shared" si="94"/>
        <v>0</v>
      </c>
      <c r="Q983" s="629">
        <f t="shared" si="95"/>
        <v>0</v>
      </c>
      <c r="R983" s="630">
        <f t="shared" si="91"/>
        <v>0</v>
      </c>
    </row>
    <row r="984" spans="2:18" outlineLevel="1" x14ac:dyDescent="0.2">
      <c r="B984" s="59"/>
      <c r="C984" s="59"/>
      <c r="D984" s="59"/>
      <c r="E984" s="541"/>
      <c r="F984" s="541"/>
      <c r="G984" s="541"/>
      <c r="H984" s="541"/>
      <c r="I984" s="59"/>
      <c r="J984" s="59"/>
      <c r="K984" s="621"/>
      <c r="L984" s="621"/>
      <c r="M984" s="629">
        <f t="shared" si="92"/>
        <v>0</v>
      </c>
      <c r="N984" s="629">
        <f t="shared" si="93"/>
        <v>0</v>
      </c>
      <c r="O984" s="630">
        <f t="shared" si="90"/>
        <v>0</v>
      </c>
      <c r="P984" s="629">
        <f t="shared" si="94"/>
        <v>0</v>
      </c>
      <c r="Q984" s="629">
        <f t="shared" si="95"/>
        <v>0</v>
      </c>
      <c r="R984" s="630">
        <f t="shared" si="91"/>
        <v>0</v>
      </c>
    </row>
    <row r="985" spans="2:18" outlineLevel="1" x14ac:dyDescent="0.2">
      <c r="B985" s="59"/>
      <c r="C985" s="59"/>
      <c r="D985" s="59"/>
      <c r="E985" s="541"/>
      <c r="F985" s="541"/>
      <c r="G985" s="541"/>
      <c r="H985" s="541"/>
      <c r="I985" s="59"/>
      <c r="J985" s="59"/>
      <c r="K985" s="621"/>
      <c r="L985" s="621"/>
      <c r="M985" s="629">
        <f t="shared" si="92"/>
        <v>0</v>
      </c>
      <c r="N985" s="629">
        <f t="shared" si="93"/>
        <v>0</v>
      </c>
      <c r="O985" s="630">
        <f t="shared" si="90"/>
        <v>0</v>
      </c>
      <c r="P985" s="629">
        <f t="shared" si="94"/>
        <v>0</v>
      </c>
      <c r="Q985" s="629">
        <f t="shared" si="95"/>
        <v>0</v>
      </c>
      <c r="R985" s="630">
        <f t="shared" si="91"/>
        <v>0</v>
      </c>
    </row>
    <row r="986" spans="2:18" outlineLevel="1" x14ac:dyDescent="0.2">
      <c r="B986" s="59"/>
      <c r="C986" s="59"/>
      <c r="D986" s="59"/>
      <c r="E986" s="541"/>
      <c r="F986" s="541"/>
      <c r="G986" s="541"/>
      <c r="H986" s="541"/>
      <c r="I986" s="59"/>
      <c r="J986" s="59"/>
      <c r="K986" s="621"/>
      <c r="L986" s="621"/>
      <c r="M986" s="629">
        <f t="shared" si="92"/>
        <v>0</v>
      </c>
      <c r="N986" s="629">
        <f t="shared" si="93"/>
        <v>0</v>
      </c>
      <c r="O986" s="630">
        <f t="shared" si="90"/>
        <v>0</v>
      </c>
      <c r="P986" s="629">
        <f t="shared" si="94"/>
        <v>0</v>
      </c>
      <c r="Q986" s="629">
        <f t="shared" si="95"/>
        <v>0</v>
      </c>
      <c r="R986" s="630">
        <f t="shared" si="91"/>
        <v>0</v>
      </c>
    </row>
    <row r="987" spans="2:18" outlineLevel="1" x14ac:dyDescent="0.2">
      <c r="B987" s="59"/>
      <c r="C987" s="59"/>
      <c r="D987" s="59"/>
      <c r="E987" s="541"/>
      <c r="F987" s="541"/>
      <c r="G987" s="541"/>
      <c r="H987" s="541"/>
      <c r="I987" s="59"/>
      <c r="J987" s="59"/>
      <c r="K987" s="621"/>
      <c r="L987" s="621"/>
      <c r="M987" s="629">
        <f t="shared" si="92"/>
        <v>0</v>
      </c>
      <c r="N987" s="629">
        <f t="shared" si="93"/>
        <v>0</v>
      </c>
      <c r="O987" s="630">
        <f t="shared" si="90"/>
        <v>0</v>
      </c>
      <c r="P987" s="629">
        <f t="shared" si="94"/>
        <v>0</v>
      </c>
      <c r="Q987" s="629">
        <f t="shared" si="95"/>
        <v>0</v>
      </c>
      <c r="R987" s="630">
        <f t="shared" si="91"/>
        <v>0</v>
      </c>
    </row>
    <row r="988" spans="2:18" outlineLevel="1" x14ac:dyDescent="0.2">
      <c r="B988" s="59"/>
      <c r="C988" s="59"/>
      <c r="D988" s="59"/>
      <c r="E988" s="541"/>
      <c r="F988" s="541"/>
      <c r="G988" s="541"/>
      <c r="H988" s="541"/>
      <c r="I988" s="59"/>
      <c r="J988" s="59"/>
      <c r="K988" s="621"/>
      <c r="L988" s="621"/>
      <c r="M988" s="629">
        <f t="shared" si="92"/>
        <v>0</v>
      </c>
      <c r="N988" s="629">
        <f t="shared" si="93"/>
        <v>0</v>
      </c>
      <c r="O988" s="630">
        <f t="shared" si="90"/>
        <v>0</v>
      </c>
      <c r="P988" s="629">
        <f t="shared" si="94"/>
        <v>0</v>
      </c>
      <c r="Q988" s="629">
        <f t="shared" si="95"/>
        <v>0</v>
      </c>
      <c r="R988" s="630">
        <f t="shared" si="91"/>
        <v>0</v>
      </c>
    </row>
    <row r="989" spans="2:18" outlineLevel="1" x14ac:dyDescent="0.2">
      <c r="B989" s="59"/>
      <c r="C989" s="59"/>
      <c r="D989" s="59"/>
      <c r="E989" s="541"/>
      <c r="F989" s="541"/>
      <c r="G989" s="541"/>
      <c r="H989" s="541"/>
      <c r="I989" s="59"/>
      <c r="J989" s="59"/>
      <c r="K989" s="621"/>
      <c r="L989" s="621"/>
      <c r="M989" s="629">
        <f t="shared" si="92"/>
        <v>0</v>
      </c>
      <c r="N989" s="629">
        <f t="shared" si="93"/>
        <v>0</v>
      </c>
      <c r="O989" s="630">
        <f t="shared" si="90"/>
        <v>0</v>
      </c>
      <c r="P989" s="629">
        <f t="shared" si="94"/>
        <v>0</v>
      </c>
      <c r="Q989" s="629">
        <f t="shared" si="95"/>
        <v>0</v>
      </c>
      <c r="R989" s="630">
        <f t="shared" si="91"/>
        <v>0</v>
      </c>
    </row>
    <row r="990" spans="2:18" outlineLevel="1" x14ac:dyDescent="0.2">
      <c r="B990" s="59"/>
      <c r="C990" s="59"/>
      <c r="D990" s="59"/>
      <c r="E990" s="541"/>
      <c r="F990" s="541"/>
      <c r="G990" s="541"/>
      <c r="H990" s="541"/>
      <c r="I990" s="59"/>
      <c r="J990" s="59"/>
      <c r="K990" s="621"/>
      <c r="L990" s="621"/>
      <c r="M990" s="629">
        <f t="shared" si="92"/>
        <v>0</v>
      </c>
      <c r="N990" s="629">
        <f t="shared" si="93"/>
        <v>0</v>
      </c>
      <c r="O990" s="630">
        <f t="shared" si="90"/>
        <v>0</v>
      </c>
      <c r="P990" s="629">
        <f t="shared" si="94"/>
        <v>0</v>
      </c>
      <c r="Q990" s="629">
        <f t="shared" si="95"/>
        <v>0</v>
      </c>
      <c r="R990" s="630">
        <f t="shared" si="91"/>
        <v>0</v>
      </c>
    </row>
    <row r="991" spans="2:18" outlineLevel="1" x14ac:dyDescent="0.2">
      <c r="B991" s="59"/>
      <c r="C991" s="59"/>
      <c r="D991" s="59"/>
      <c r="E991" s="541"/>
      <c r="F991" s="541"/>
      <c r="G991" s="541"/>
      <c r="H991" s="541"/>
      <c r="I991" s="59"/>
      <c r="J991" s="59"/>
      <c r="K991" s="621"/>
      <c r="L991" s="621"/>
      <c r="M991" s="629">
        <f t="shared" si="92"/>
        <v>0</v>
      </c>
      <c r="N991" s="629">
        <f t="shared" si="93"/>
        <v>0</v>
      </c>
      <c r="O991" s="630">
        <f t="shared" si="90"/>
        <v>0</v>
      </c>
      <c r="P991" s="629">
        <f t="shared" si="94"/>
        <v>0</v>
      </c>
      <c r="Q991" s="629">
        <f t="shared" si="95"/>
        <v>0</v>
      </c>
      <c r="R991" s="630">
        <f t="shared" si="91"/>
        <v>0</v>
      </c>
    </row>
    <row r="992" spans="2:18" outlineLevel="1" x14ac:dyDescent="0.2">
      <c r="B992" s="59"/>
      <c r="C992" s="59"/>
      <c r="D992" s="59"/>
      <c r="E992" s="541"/>
      <c r="F992" s="541"/>
      <c r="G992" s="541"/>
      <c r="H992" s="541"/>
      <c r="I992" s="59"/>
      <c r="J992" s="59"/>
      <c r="K992" s="621"/>
      <c r="L992" s="621"/>
      <c r="M992" s="629">
        <f t="shared" si="92"/>
        <v>0</v>
      </c>
      <c r="N992" s="629">
        <f t="shared" si="93"/>
        <v>0</v>
      </c>
      <c r="O992" s="630">
        <f t="shared" si="90"/>
        <v>0</v>
      </c>
      <c r="P992" s="629">
        <f t="shared" si="94"/>
        <v>0</v>
      </c>
      <c r="Q992" s="629">
        <f t="shared" si="95"/>
        <v>0</v>
      </c>
      <c r="R992" s="630">
        <f t="shared" si="91"/>
        <v>0</v>
      </c>
    </row>
    <row r="993" spans="2:18" outlineLevel="1" x14ac:dyDescent="0.2">
      <c r="B993" s="59"/>
      <c r="C993" s="59"/>
      <c r="D993" s="59"/>
      <c r="E993" s="541"/>
      <c r="F993" s="541"/>
      <c r="G993" s="541"/>
      <c r="H993" s="541"/>
      <c r="I993" s="59"/>
      <c r="J993" s="59"/>
      <c r="K993" s="621"/>
      <c r="L993" s="621"/>
      <c r="M993" s="629">
        <f t="shared" si="92"/>
        <v>0</v>
      </c>
      <c r="N993" s="629">
        <f t="shared" si="93"/>
        <v>0</v>
      </c>
      <c r="O993" s="630">
        <f t="shared" si="90"/>
        <v>0</v>
      </c>
      <c r="P993" s="629">
        <f t="shared" si="94"/>
        <v>0</v>
      </c>
      <c r="Q993" s="629">
        <f t="shared" si="95"/>
        <v>0</v>
      </c>
      <c r="R993" s="630">
        <f t="shared" si="91"/>
        <v>0</v>
      </c>
    </row>
    <row r="994" spans="2:18" outlineLevel="1" x14ac:dyDescent="0.2">
      <c r="B994" s="59"/>
      <c r="C994" s="59"/>
      <c r="D994" s="59"/>
      <c r="E994" s="541"/>
      <c r="F994" s="541"/>
      <c r="G994" s="541"/>
      <c r="H994" s="541"/>
      <c r="I994" s="59"/>
      <c r="J994" s="59"/>
      <c r="K994" s="621"/>
      <c r="L994" s="621"/>
      <c r="M994" s="629">
        <f t="shared" si="92"/>
        <v>0</v>
      </c>
      <c r="N994" s="629">
        <f t="shared" si="93"/>
        <v>0</v>
      </c>
      <c r="O994" s="630">
        <f t="shared" si="90"/>
        <v>0</v>
      </c>
      <c r="P994" s="629">
        <f t="shared" si="94"/>
        <v>0</v>
      </c>
      <c r="Q994" s="629">
        <f t="shared" si="95"/>
        <v>0</v>
      </c>
      <c r="R994" s="630">
        <f t="shared" si="91"/>
        <v>0</v>
      </c>
    </row>
    <row r="995" spans="2:18" outlineLevel="1" x14ac:dyDescent="0.2">
      <c r="B995" s="59"/>
      <c r="C995" s="59"/>
      <c r="D995" s="59"/>
      <c r="E995" s="541"/>
      <c r="F995" s="541"/>
      <c r="G995" s="541"/>
      <c r="H995" s="541"/>
      <c r="I995" s="59"/>
      <c r="J995" s="59"/>
      <c r="K995" s="621"/>
      <c r="L995" s="621"/>
      <c r="M995" s="629">
        <f t="shared" si="92"/>
        <v>0</v>
      </c>
      <c r="N995" s="629">
        <f t="shared" si="93"/>
        <v>0</v>
      </c>
      <c r="O995" s="630">
        <f t="shared" si="90"/>
        <v>0</v>
      </c>
      <c r="P995" s="629">
        <f t="shared" si="94"/>
        <v>0</v>
      </c>
      <c r="Q995" s="629">
        <f t="shared" si="95"/>
        <v>0</v>
      </c>
      <c r="R995" s="630">
        <f t="shared" si="91"/>
        <v>0</v>
      </c>
    </row>
    <row r="996" spans="2:18" outlineLevel="1" x14ac:dyDescent="0.2">
      <c r="B996" s="59"/>
      <c r="C996" s="59"/>
      <c r="D996" s="59"/>
      <c r="E996" s="541"/>
      <c r="F996" s="541"/>
      <c r="G996" s="541"/>
      <c r="H996" s="541"/>
      <c r="I996" s="59"/>
      <c r="J996" s="59"/>
      <c r="K996" s="621"/>
      <c r="L996" s="621"/>
      <c r="M996" s="629">
        <f t="shared" si="92"/>
        <v>0</v>
      </c>
      <c r="N996" s="629">
        <f t="shared" si="93"/>
        <v>0</v>
      </c>
      <c r="O996" s="630">
        <f t="shared" si="90"/>
        <v>0</v>
      </c>
      <c r="P996" s="629">
        <f t="shared" si="94"/>
        <v>0</v>
      </c>
      <c r="Q996" s="629">
        <f t="shared" si="95"/>
        <v>0</v>
      </c>
      <c r="R996" s="630">
        <f t="shared" si="91"/>
        <v>0</v>
      </c>
    </row>
    <row r="997" spans="2:18" outlineLevel="1" x14ac:dyDescent="0.2">
      <c r="B997" s="59"/>
      <c r="C997" s="59"/>
      <c r="D997" s="59"/>
      <c r="E997" s="541"/>
      <c r="F997" s="541"/>
      <c r="G997" s="541"/>
      <c r="H997" s="541"/>
      <c r="I997" s="59"/>
      <c r="J997" s="59"/>
      <c r="K997" s="621"/>
      <c r="L997" s="621"/>
      <c r="M997" s="629">
        <f t="shared" si="92"/>
        <v>0</v>
      </c>
      <c r="N997" s="629">
        <f t="shared" si="93"/>
        <v>0</v>
      </c>
      <c r="O997" s="630">
        <f t="shared" si="90"/>
        <v>0</v>
      </c>
      <c r="P997" s="629">
        <f t="shared" si="94"/>
        <v>0</v>
      </c>
      <c r="Q997" s="629">
        <f t="shared" si="95"/>
        <v>0</v>
      </c>
      <c r="R997" s="630">
        <f t="shared" si="91"/>
        <v>0</v>
      </c>
    </row>
    <row r="998" spans="2:18" outlineLevel="1" x14ac:dyDescent="0.2">
      <c r="B998" s="59"/>
      <c r="C998" s="59"/>
      <c r="D998" s="59"/>
      <c r="E998" s="541"/>
      <c r="F998" s="541"/>
      <c r="G998" s="541"/>
      <c r="H998" s="541"/>
      <c r="I998" s="59"/>
      <c r="J998" s="59"/>
      <c r="K998" s="621"/>
      <c r="L998" s="621"/>
      <c r="M998" s="629">
        <f t="shared" si="92"/>
        <v>0</v>
      </c>
      <c r="N998" s="629">
        <f t="shared" si="93"/>
        <v>0</v>
      </c>
      <c r="O998" s="630">
        <f t="shared" si="90"/>
        <v>0</v>
      </c>
      <c r="P998" s="629">
        <f t="shared" si="94"/>
        <v>0</v>
      </c>
      <c r="Q998" s="629">
        <f t="shared" si="95"/>
        <v>0</v>
      </c>
      <c r="R998" s="630">
        <f t="shared" si="91"/>
        <v>0</v>
      </c>
    </row>
    <row r="999" spans="2:18" outlineLevel="1" x14ac:dyDescent="0.2">
      <c r="B999" s="59"/>
      <c r="C999" s="59"/>
      <c r="D999" s="59"/>
      <c r="E999" s="541"/>
      <c r="F999" s="541"/>
      <c r="G999" s="541"/>
      <c r="H999" s="541"/>
      <c r="I999" s="59"/>
      <c r="J999" s="59"/>
      <c r="K999" s="621"/>
      <c r="L999" s="621"/>
      <c r="M999" s="629">
        <f t="shared" si="92"/>
        <v>0</v>
      </c>
      <c r="N999" s="629">
        <f t="shared" si="93"/>
        <v>0</v>
      </c>
      <c r="O999" s="630">
        <f t="shared" si="90"/>
        <v>0</v>
      </c>
      <c r="P999" s="629">
        <f t="shared" si="94"/>
        <v>0</v>
      </c>
      <c r="Q999" s="629">
        <f t="shared" si="95"/>
        <v>0</v>
      </c>
      <c r="R999" s="630">
        <f t="shared" si="91"/>
        <v>0</v>
      </c>
    </row>
    <row r="1000" spans="2:18" outlineLevel="1" x14ac:dyDescent="0.2">
      <c r="B1000" s="59"/>
      <c r="C1000" s="59"/>
      <c r="D1000" s="59"/>
      <c r="E1000" s="541"/>
      <c r="F1000" s="541"/>
      <c r="G1000" s="541"/>
      <c r="H1000" s="541"/>
      <c r="I1000" s="59"/>
      <c r="J1000" s="59"/>
      <c r="K1000" s="621"/>
      <c r="L1000" s="621"/>
      <c r="M1000" s="629">
        <f t="shared" si="92"/>
        <v>0</v>
      </c>
      <c r="N1000" s="629">
        <f t="shared" si="93"/>
        <v>0</v>
      </c>
      <c r="O1000" s="630">
        <f t="shared" si="90"/>
        <v>0</v>
      </c>
      <c r="P1000" s="629">
        <f t="shared" si="94"/>
        <v>0</v>
      </c>
      <c r="Q1000" s="629">
        <f t="shared" si="95"/>
        <v>0</v>
      </c>
      <c r="R1000" s="630">
        <f t="shared" si="91"/>
        <v>0</v>
      </c>
    </row>
    <row r="1001" spans="2:18" outlineLevel="1" x14ac:dyDescent="0.2">
      <c r="B1001" s="59"/>
      <c r="C1001" s="59"/>
      <c r="D1001" s="59"/>
      <c r="E1001" s="541"/>
      <c r="F1001" s="541"/>
      <c r="G1001" s="541"/>
      <c r="H1001" s="541"/>
      <c r="I1001" s="59"/>
      <c r="J1001" s="59"/>
      <c r="K1001" s="621"/>
      <c r="L1001" s="621"/>
      <c r="M1001" s="629">
        <f t="shared" si="92"/>
        <v>0</v>
      </c>
      <c r="N1001" s="629">
        <f t="shared" si="93"/>
        <v>0</v>
      </c>
      <c r="O1001" s="630">
        <f>M1001+N1001</f>
        <v>0</v>
      </c>
      <c r="P1001" s="629">
        <f t="shared" si="94"/>
        <v>0</v>
      </c>
      <c r="Q1001" s="629">
        <f t="shared" si="95"/>
        <v>0</v>
      </c>
      <c r="R1001" s="630">
        <f>P1001+Q1001</f>
        <v>0</v>
      </c>
    </row>
    <row r="1003" spans="2:18" x14ac:dyDescent="0.2">
      <c r="E1003" s="57"/>
      <c r="G1003" s="57"/>
      <c r="I1003" s="57"/>
      <c r="K1003" s="57"/>
      <c r="M1003" s="57"/>
      <c r="N1003" s="57"/>
      <c r="P1003" s="57"/>
      <c r="Q1003" s="57"/>
    </row>
    <row r="1004" spans="2:18" x14ac:dyDescent="0.2">
      <c r="E1004" s="84"/>
      <c r="G1004" s="84"/>
      <c r="I1004" s="84"/>
      <c r="K1004" s="84"/>
      <c r="M1004" s="84"/>
      <c r="N1004" s="84"/>
      <c r="P1004" s="84"/>
      <c r="Q1004" s="84"/>
    </row>
  </sheetData>
  <autoFilter ref="B4:J1001" xr:uid="{B0A4668F-447F-46C7-926F-698E7FF4AA69}"/>
  <mergeCells count="8">
    <mergeCell ref="M3:O3"/>
    <mergeCell ref="P3:R3"/>
    <mergeCell ref="E3:F3"/>
    <mergeCell ref="G3:H3"/>
    <mergeCell ref="B1:F1"/>
    <mergeCell ref="I3:J3"/>
    <mergeCell ref="K3:L3"/>
    <mergeCell ref="B2:H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89050-89A6-4B47-A7A7-374AF3DD7B76}">
  <sheetPr codeName="Foglio16">
    <tabColor rgb="FFFFFFCC"/>
  </sheetPr>
  <dimension ref="A1:E84"/>
  <sheetViews>
    <sheetView showGridLines="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D8" sqref="D8"/>
    </sheetView>
  </sheetViews>
  <sheetFormatPr defaultColWidth="9.109375" defaultRowHeight="10.199999999999999" outlineLevelRow="1" x14ac:dyDescent="0.2"/>
  <cols>
    <col min="1" max="1" width="19.5546875" style="51" customWidth="1"/>
    <col min="2" max="2" width="52.44140625" style="51" customWidth="1"/>
    <col min="3" max="3" width="11.5546875" style="51" bestFit="1" customWidth="1"/>
    <col min="4" max="4" width="12.5546875" style="51" bestFit="1" customWidth="1"/>
    <col min="5" max="5" width="8.5546875" style="51" bestFit="1" customWidth="1"/>
    <col min="6" max="16384" width="9.109375" style="51"/>
  </cols>
  <sheetData>
    <row r="1" spans="1:5" x14ac:dyDescent="0.2">
      <c r="B1" s="454" t="s">
        <v>1916</v>
      </c>
      <c r="C1" s="61"/>
      <c r="D1" s="61"/>
      <c r="E1" s="61"/>
    </row>
    <row r="2" spans="1:5" x14ac:dyDescent="0.2">
      <c r="C2" s="61"/>
      <c r="D2" s="61"/>
      <c r="E2" s="61"/>
    </row>
    <row r="3" spans="1:5" s="351" customFormat="1" ht="20.399999999999999" x14ac:dyDescent="0.3">
      <c r="B3" s="344"/>
      <c r="C3" s="344" t="str">
        <f>Ambiti!B4</f>
        <v>BUSTO ARSIZIO</v>
      </c>
      <c r="D3" s="344" t="str">
        <f>Ambiti!C4</f>
        <v>FAGNANO OLONA</v>
      </c>
      <c r="E3" s="344" t="str">
        <f>Ambiti!D4</f>
        <v>VENEGONO SUPERIORE</v>
      </c>
    </row>
    <row r="5" spans="1:5" x14ac:dyDescent="0.2">
      <c r="B5" s="454" t="s">
        <v>1917</v>
      </c>
    </row>
    <row r="6" spans="1:5" outlineLevel="1" x14ac:dyDescent="0.2">
      <c r="B6" s="79">
        <v>2026</v>
      </c>
    </row>
    <row r="7" spans="1:5" outlineLevel="1" x14ac:dyDescent="0.2">
      <c r="A7" s="85"/>
      <c r="B7" s="73" t="s">
        <v>1941</v>
      </c>
    </row>
    <row r="8" spans="1:5" ht="12" outlineLevel="1" x14ac:dyDescent="0.25">
      <c r="A8" s="85" t="s">
        <v>141</v>
      </c>
      <c r="B8" s="449" t="s">
        <v>1950</v>
      </c>
      <c r="C8" s="206">
        <f>SUMIFS(DB_IN_RC_CO_INC!$E$4:$E$1001,DB_IN_RC_CO_INC!$D$4:$D$1001,"2024",DB_IN_RC_CO_INC!$B$4:$B$1001,IN_Anagrafica!$B$1,DB_IN_RC_CO_INC!$C$4:$C$1001,C$3)</f>
        <v>0</v>
      </c>
      <c r="D8" s="206">
        <f>SUMIFS(DB_IN_RC_CO_INC!$E$4:$E$1001,DB_IN_RC_CO_INC!$D$4:$D$1001,"2024",DB_IN_RC_CO_INC!$B$4:$B$1001,IN_Anagrafica!$B$1,DB_IN_RC_CO_INC!$C$4:$C$1001,D$3)</f>
        <v>0</v>
      </c>
      <c r="E8" s="206">
        <f>SUMIFS(DB_IN_RC_CO_INC!$E$4:$E$1001,DB_IN_RC_CO_INC!$D$4:$D$1001,"2024",DB_IN_RC_CO_INC!$B$4:$B$1001,IN_Anagrafica!$B$1,DB_IN_RC_CO_INC!$C$4:$C$1001,E$3)</f>
        <v>0</v>
      </c>
    </row>
    <row r="9" spans="1:5" ht="12" outlineLevel="1" x14ac:dyDescent="0.25">
      <c r="A9" s="85" t="s">
        <v>142</v>
      </c>
      <c r="B9" s="445" t="s">
        <v>1951</v>
      </c>
      <c r="C9" s="208">
        <f>SUMIFS(DB_IN_RC_CO_INC!$E$4:$E$1001,DB_IN_RC_CO_INC!$D$4:$D$1001,"2024",DB_IN_RC_CO_INC!$B$4:$B$1001,"COMUNE",DB_IN_RC_CO_INC!$C$4:$C$1001,C$3)</f>
        <v>0</v>
      </c>
      <c r="D9" s="208">
        <f>SUMIFS(DB_IN_RC_CO_INC!$E$4:$E$1001,DB_IN_RC_CO_INC!$D$4:$D$1001,"2024",DB_IN_RC_CO_INC!$B$4:$B$1001,"COMUNE",DB_IN_RC_CO_INC!$C$4:$C$1001,D$3)</f>
        <v>0</v>
      </c>
      <c r="E9" s="208">
        <f>SUMIFS(DB_IN_RC_CO_INC!$E$4:$E$1001,DB_IN_RC_CO_INC!$D$4:$D$1001,"2024",DB_IN_RC_CO_INC!$B$4:$B$1001,"COMUNE",DB_IN_RC_CO_INC!$C$4:$C$1001,E$3)</f>
        <v>0</v>
      </c>
    </row>
    <row r="10" spans="1:5" ht="12" outlineLevel="1" x14ac:dyDescent="0.25">
      <c r="A10" s="85" t="s">
        <v>1945</v>
      </c>
      <c r="B10" s="56" t="s">
        <v>1952</v>
      </c>
      <c r="C10" s="81">
        <f t="shared" ref="C10" si="0">C8+C9</f>
        <v>0</v>
      </c>
      <c r="D10" s="81">
        <f t="shared" ref="D10:E10" si="1">D8+D9</f>
        <v>0</v>
      </c>
      <c r="E10" s="81">
        <f t="shared" si="1"/>
        <v>0</v>
      </c>
    </row>
    <row r="11" spans="1:5" ht="12" outlineLevel="1" x14ac:dyDescent="0.25">
      <c r="A11" s="85" t="s">
        <v>143</v>
      </c>
      <c r="B11" s="449" t="s">
        <v>1953</v>
      </c>
      <c r="C11" s="206">
        <f>SUMIFS(DB_IN_RC_CO_INC!$F$4:$F$1001,DB_IN_RC_CO_INC!$D$4:$D$1001,"2024",DB_IN_RC_CO_INC!$B$4:$B$1001,IN_Anagrafica!$B$1,DB_IN_RC_CO_INC!$C$4:$C$1001,C$3)</f>
        <v>0</v>
      </c>
      <c r="D11" s="206">
        <f>SUMIFS(DB_IN_RC_CO_INC!$F$4:$F$1001,DB_IN_RC_CO_INC!$D$4:$D$1001,"2024",DB_IN_RC_CO_INC!$B$4:$B$1001,IN_Anagrafica!$B$1,DB_IN_RC_CO_INC!$C$4:$C$1001,D$3)</f>
        <v>0</v>
      </c>
      <c r="E11" s="206">
        <f>SUMIFS(DB_IN_RC_CO_INC!$F$4:$F$1001,DB_IN_RC_CO_INC!$D$4:$D$1001,"2024",DB_IN_RC_CO_INC!$B$4:$B$1001,IN_Anagrafica!$B$1,DB_IN_RC_CO_INC!$C$4:$C$1001,E$3)</f>
        <v>0</v>
      </c>
    </row>
    <row r="12" spans="1:5" ht="12" outlineLevel="1" x14ac:dyDescent="0.25">
      <c r="A12" s="85" t="s">
        <v>144</v>
      </c>
      <c r="B12" s="445" t="s">
        <v>1954</v>
      </c>
      <c r="C12" s="208">
        <f>SUMIFS(DB_IN_RC_CO_INC!$F$4:$F$1001,DB_IN_RC_CO_INC!$D$4:$D$1001,"2024",DB_IN_RC_CO_INC!$B$4:$B$1001,"COMUNE",DB_IN_RC_CO_INC!$C$4:$C$1001,C$3)</f>
        <v>0</v>
      </c>
      <c r="D12" s="208">
        <f>SUMIFS(DB_IN_RC_CO_INC!$F$4:$F$1001,DB_IN_RC_CO_INC!$D$4:$D$1001,"2024",DB_IN_RC_CO_INC!$B$4:$B$1001,"COMUNE",DB_IN_RC_CO_INC!$C$4:$C$1001,D$3)</f>
        <v>0</v>
      </c>
      <c r="E12" s="208">
        <f>SUMIFS(DB_IN_RC_CO_INC!$F$4:$F$1001,DB_IN_RC_CO_INC!$D$4:$D$1001,"2024",DB_IN_RC_CO_INC!$B$4:$B$1001,"COMUNE",DB_IN_RC_CO_INC!$C$4:$C$1001,E$3)</f>
        <v>0</v>
      </c>
    </row>
    <row r="13" spans="1:5" ht="12" outlineLevel="1" x14ac:dyDescent="0.25">
      <c r="A13" s="85" t="s">
        <v>1946</v>
      </c>
      <c r="B13" s="56" t="s">
        <v>1955</v>
      </c>
      <c r="C13" s="81">
        <f t="shared" ref="C13" si="2">C11+C12</f>
        <v>0</v>
      </c>
      <c r="D13" s="81">
        <f t="shared" ref="D13:E13" si="3">D11+D12</f>
        <v>0</v>
      </c>
      <c r="E13" s="81">
        <f t="shared" si="3"/>
        <v>0</v>
      </c>
    </row>
    <row r="14" spans="1:5" outlineLevel="1" x14ac:dyDescent="0.2">
      <c r="A14" s="85"/>
    </row>
    <row r="15" spans="1:5" ht="12" outlineLevel="1" x14ac:dyDescent="0.25">
      <c r="A15" s="85" t="s">
        <v>1947</v>
      </c>
      <c r="B15" s="202" t="s">
        <v>1956</v>
      </c>
      <c r="C15" s="203">
        <f t="shared" ref="C15" si="4">C8+C11</f>
        <v>0</v>
      </c>
      <c r="D15" s="203">
        <f t="shared" ref="D15:E15" si="5">D8+D11</f>
        <v>0</v>
      </c>
      <c r="E15" s="203">
        <f t="shared" si="5"/>
        <v>0</v>
      </c>
    </row>
    <row r="16" spans="1:5" ht="12" outlineLevel="1" x14ac:dyDescent="0.25">
      <c r="A16" s="85" t="s">
        <v>1948</v>
      </c>
      <c r="B16" s="204" t="s">
        <v>1957</v>
      </c>
      <c r="C16" s="205">
        <f t="shared" ref="C16" si="6">C9+C12</f>
        <v>0</v>
      </c>
      <c r="D16" s="205">
        <f t="shared" ref="D16:E16" si="7">D9+D12</f>
        <v>0</v>
      </c>
      <c r="E16" s="205">
        <f t="shared" si="7"/>
        <v>0</v>
      </c>
    </row>
    <row r="17" spans="1:5" ht="12" outlineLevel="1" x14ac:dyDescent="0.25">
      <c r="A17" s="85" t="s">
        <v>1949</v>
      </c>
      <c r="B17" s="56" t="s">
        <v>1958</v>
      </c>
      <c r="C17" s="81">
        <f t="shared" ref="C17" si="8">C15+C16</f>
        <v>0</v>
      </c>
      <c r="D17" s="81">
        <f t="shared" ref="D17:E17" si="9">D15+D16</f>
        <v>0</v>
      </c>
      <c r="E17" s="81">
        <f t="shared" si="9"/>
        <v>0</v>
      </c>
    </row>
    <row r="18" spans="1:5" outlineLevel="1" x14ac:dyDescent="0.2">
      <c r="A18" s="85"/>
    </row>
    <row r="19" spans="1:5" outlineLevel="1" x14ac:dyDescent="0.2">
      <c r="A19" s="85"/>
      <c r="B19" s="73" t="s">
        <v>1944</v>
      </c>
    </row>
    <row r="20" spans="1:5" ht="12" outlineLevel="1" x14ac:dyDescent="0.25">
      <c r="A20" s="85" t="s">
        <v>786</v>
      </c>
      <c r="B20" s="449" t="s">
        <v>1975</v>
      </c>
      <c r="C20" s="206">
        <f>SUMIFS(DB_IN_RC_CO_INC!$G$4:$G$1001,DB_IN_RC_CO_INC!$D$4:$D$1001,"2024",DB_IN_RC_CO_INC!$B$4:$B$1001,IN_Anagrafica!$B$1,DB_IN_RC_CO_INC!$C$4:$C$1001,C$3)</f>
        <v>0</v>
      </c>
      <c r="D20" s="206">
        <f>SUMIFS(DB_IN_RC_CO_INC!$G$4:$G$1001,DB_IN_RC_CO_INC!$D$4:$D$1001,"2024",DB_IN_RC_CO_INC!$B$4:$B$1001,IN_Anagrafica!$B$1,DB_IN_RC_CO_INC!$C$4:$C$1001,D$3)</f>
        <v>0</v>
      </c>
      <c r="E20" s="206">
        <f>SUMIFS(DB_IN_RC_CO_INC!$G$4:$G$1001,DB_IN_RC_CO_INC!$D$4:$D$1001,"2024",DB_IN_RC_CO_INC!$B$4:$B$1001,IN_Anagrafica!$B$1,DB_IN_RC_CO_INC!$C$4:$C$1001,E$3)</f>
        <v>0</v>
      </c>
    </row>
    <row r="21" spans="1:5" ht="12" outlineLevel="1" x14ac:dyDescent="0.25">
      <c r="A21" s="85" t="s">
        <v>1959</v>
      </c>
      <c r="B21" s="445" t="s">
        <v>1976</v>
      </c>
      <c r="C21" s="208">
        <f>SUMIFS(DB_IN_RC_CO_INC!$G$4:$G$1001,DB_IN_RC_CO_INC!$D$4:$D$1001,"2024",DB_IN_RC_CO_INC!$B$4:$B$1001,"COMUNE",DB_IN_RC_CO_INC!$C$4:$C$1001,C$3)</f>
        <v>0</v>
      </c>
      <c r="D21" s="208">
        <f>SUMIFS(DB_IN_RC_CO_INC!$G$4:$G$1001,DB_IN_RC_CO_INC!$D$4:$D$1001,"2024",DB_IN_RC_CO_INC!$B$4:$B$1001,"COMUNE",DB_IN_RC_CO_INC!$C$4:$C$1001,D$3)</f>
        <v>0</v>
      </c>
      <c r="E21" s="208">
        <f>SUMIFS(DB_IN_RC_CO_INC!$G$4:$G$1001,DB_IN_RC_CO_INC!$D$4:$D$1001,"2024",DB_IN_RC_CO_INC!$B$4:$B$1001,"COMUNE",DB_IN_RC_CO_INC!$C$4:$C$1001,E$3)</f>
        <v>0</v>
      </c>
    </row>
    <row r="22" spans="1:5" ht="12" outlineLevel="1" x14ac:dyDescent="0.25">
      <c r="A22" s="85" t="s">
        <v>1960</v>
      </c>
      <c r="B22" s="56" t="s">
        <v>1977</v>
      </c>
      <c r="C22" s="81">
        <f t="shared" ref="C22" si="10">C20+C21</f>
        <v>0</v>
      </c>
      <c r="D22" s="81">
        <f t="shared" ref="D22:E22" si="11">D20+D21</f>
        <v>0</v>
      </c>
      <c r="E22" s="81">
        <f t="shared" si="11"/>
        <v>0</v>
      </c>
    </row>
    <row r="23" spans="1:5" ht="12" outlineLevel="1" x14ac:dyDescent="0.25">
      <c r="A23" s="85" t="s">
        <v>787</v>
      </c>
      <c r="B23" s="449" t="s">
        <v>1978</v>
      </c>
      <c r="C23" s="206">
        <f>SUMIFS(DB_IN_RC_CO_INC!$H$4:$H$1001,DB_IN_RC_CO_INC!$D$4:$D$1001,"2024",DB_IN_RC_CO_INC!$B$4:$B$1001,IN_Anagrafica!$B$1,DB_IN_RC_CO_INC!$C$4:$C$1001,C$3)</f>
        <v>0</v>
      </c>
      <c r="D23" s="206">
        <f>SUMIFS(DB_IN_RC_CO_INC!$H$4:$H$1001,DB_IN_RC_CO_INC!$D$4:$D$1001,"2024",DB_IN_RC_CO_INC!$B$4:$B$1001,IN_Anagrafica!$B$1,DB_IN_RC_CO_INC!$C$4:$C$1001,D$3)</f>
        <v>0</v>
      </c>
      <c r="E23" s="206">
        <f>SUMIFS(DB_IN_RC_CO_INC!$H$4:$H$1001,DB_IN_RC_CO_INC!$D$4:$D$1001,"2024",DB_IN_RC_CO_INC!$B$4:$B$1001,IN_Anagrafica!$B$1,DB_IN_RC_CO_INC!$C$4:$C$1001,E$3)</f>
        <v>0</v>
      </c>
    </row>
    <row r="24" spans="1:5" ht="12" outlineLevel="1" x14ac:dyDescent="0.25">
      <c r="A24" s="85" t="s">
        <v>1961</v>
      </c>
      <c r="B24" s="445" t="s">
        <v>1979</v>
      </c>
      <c r="C24" s="208">
        <f>SUMIFS(DB_IN_RC_CO_INC!$H$4:$H$1001,DB_IN_RC_CO_INC!$D$4:$D$1001,"2024",DB_IN_RC_CO_INC!$B$4:$B$1001,"COMUNE",DB_IN_RC_CO_INC!$C$4:$C$1001,C$3)</f>
        <v>0</v>
      </c>
      <c r="D24" s="208">
        <f>SUMIFS(DB_IN_RC_CO_INC!$H$4:$H$1001,DB_IN_RC_CO_INC!$D$4:$D$1001,"2024",DB_IN_RC_CO_INC!$B$4:$B$1001,"COMUNE",DB_IN_RC_CO_INC!$C$4:$C$1001,D$3)</f>
        <v>0</v>
      </c>
      <c r="E24" s="208">
        <f>SUMIFS(DB_IN_RC_CO_INC!$H$4:$H$1001,DB_IN_RC_CO_INC!$D$4:$D$1001,"2024",DB_IN_RC_CO_INC!$B$4:$B$1001,"COMUNE",DB_IN_RC_CO_INC!$C$4:$C$1001,E$3)</f>
        <v>0</v>
      </c>
    </row>
    <row r="25" spans="1:5" ht="12" outlineLevel="1" x14ac:dyDescent="0.25">
      <c r="A25" s="85" t="s">
        <v>1962</v>
      </c>
      <c r="B25" s="56" t="s">
        <v>1980</v>
      </c>
      <c r="C25" s="81">
        <f t="shared" ref="C25" si="12">C23+C24</f>
        <v>0</v>
      </c>
      <c r="D25" s="81">
        <f t="shared" ref="D25:E25" si="13">D23+D24</f>
        <v>0</v>
      </c>
      <c r="E25" s="81">
        <f t="shared" si="13"/>
        <v>0</v>
      </c>
    </row>
    <row r="26" spans="1:5" outlineLevel="1" x14ac:dyDescent="0.2">
      <c r="A26" s="85"/>
    </row>
    <row r="27" spans="1:5" ht="12" outlineLevel="1" x14ac:dyDescent="0.25">
      <c r="A27" s="85" t="s">
        <v>1963</v>
      </c>
      <c r="B27" s="202" t="s">
        <v>1981</v>
      </c>
      <c r="C27" s="203">
        <f t="shared" ref="C27" si="14">C20+C23</f>
        <v>0</v>
      </c>
      <c r="D27" s="203">
        <f t="shared" ref="D27:E27" si="15">D20+D23</f>
        <v>0</v>
      </c>
      <c r="E27" s="203">
        <f t="shared" si="15"/>
        <v>0</v>
      </c>
    </row>
    <row r="28" spans="1:5" ht="12" outlineLevel="1" x14ac:dyDescent="0.25">
      <c r="A28" s="85" t="s">
        <v>1964</v>
      </c>
      <c r="B28" s="204" t="s">
        <v>1982</v>
      </c>
      <c r="C28" s="205">
        <f t="shared" ref="C28" si="16">C21+C24</f>
        <v>0</v>
      </c>
      <c r="D28" s="205">
        <f t="shared" ref="D28:E28" si="17">D21+D24</f>
        <v>0</v>
      </c>
      <c r="E28" s="205">
        <f t="shared" si="17"/>
        <v>0</v>
      </c>
    </row>
    <row r="29" spans="1:5" ht="12" outlineLevel="1" x14ac:dyDescent="0.25">
      <c r="A29" s="85" t="s">
        <v>1965</v>
      </c>
      <c r="B29" s="56" t="s">
        <v>1983</v>
      </c>
      <c r="C29" s="81">
        <f t="shared" ref="C29" si="18">C27+C28</f>
        <v>0</v>
      </c>
      <c r="D29" s="81">
        <f t="shared" ref="D29:E29" si="19">D27+D28</f>
        <v>0</v>
      </c>
      <c r="E29" s="81">
        <f t="shared" si="19"/>
        <v>0</v>
      </c>
    </row>
    <row r="30" spans="1:5" outlineLevel="1" x14ac:dyDescent="0.2">
      <c r="A30" s="85"/>
    </row>
    <row r="31" spans="1:5" outlineLevel="1" x14ac:dyDescent="0.2">
      <c r="A31" s="85"/>
      <c r="B31" s="73" t="s">
        <v>2016</v>
      </c>
    </row>
    <row r="32" spans="1:5" ht="12" outlineLevel="1" x14ac:dyDescent="0.25">
      <c r="A32" s="85" t="s">
        <v>1966</v>
      </c>
      <c r="B32" s="449" t="s">
        <v>1984</v>
      </c>
      <c r="C32" s="206">
        <f>SUMIFS(DB_IN_RC_CO_INC!$P$4:$P$1001,DB_IN_RC_CO_INC!$D$4:$D$1001,"2024",DB_IN_RC_CO_INC!$B$4:$B$1001,IN_Anagrafica!$B$1,DB_IN_RC_CO_INC!$C$4:$C$1001,C$3)</f>
        <v>0</v>
      </c>
      <c r="D32" s="206">
        <f>SUMIFS(DB_IN_RC_CO_INC!$P$4:$P$1001,DB_IN_RC_CO_INC!$D$4:$D$1001,"2024",DB_IN_RC_CO_INC!$B$4:$B$1001,IN_Anagrafica!$B$1,DB_IN_RC_CO_INC!$C$4:$C$1001,D$3)</f>
        <v>0</v>
      </c>
      <c r="E32" s="206">
        <f>SUMIFS(DB_IN_RC_CO_INC!$P$4:$P$1001,DB_IN_RC_CO_INC!$D$4:$D$1001,"2024",DB_IN_RC_CO_INC!$B$4:$B$1001,IN_Anagrafica!$B$1,DB_IN_RC_CO_INC!$C$4:$C$1001,E$3)</f>
        <v>0</v>
      </c>
    </row>
    <row r="33" spans="1:5" ht="12" outlineLevel="1" x14ac:dyDescent="0.25">
      <c r="A33" s="85" t="s">
        <v>1967</v>
      </c>
      <c r="B33" s="445" t="s">
        <v>1985</v>
      </c>
      <c r="C33" s="208">
        <f>SUMIFS(DB_IN_RC_CO_INC!$P$4:$P$1001,DB_IN_RC_CO_INC!$D$4:$D$1001,"2024",DB_IN_RC_CO_INC!$B$4:$B$1001,"COMUNE",DB_IN_RC_CO_INC!$C$4:$C$1001,C$3)</f>
        <v>0</v>
      </c>
      <c r="D33" s="208">
        <f>SUMIFS(DB_IN_RC_CO_INC!$P$4:$P$1001,DB_IN_RC_CO_INC!$D$4:$D$1001,"2024",DB_IN_RC_CO_INC!$B$4:$B$1001,"COMUNE",DB_IN_RC_CO_INC!$C$4:$C$1001,D$3)</f>
        <v>0</v>
      </c>
      <c r="E33" s="208">
        <f>SUMIFS(DB_IN_RC_CO_INC!$P$4:$P$1001,DB_IN_RC_CO_INC!$D$4:$D$1001,"2024",DB_IN_RC_CO_INC!$B$4:$B$1001,"COMUNE",DB_IN_RC_CO_INC!$C$4:$C$1001,E$3)</f>
        <v>0</v>
      </c>
    </row>
    <row r="34" spans="1:5" ht="12" outlineLevel="1" x14ac:dyDescent="0.25">
      <c r="A34" s="85" t="s">
        <v>1968</v>
      </c>
      <c r="B34" s="56" t="s">
        <v>1986</v>
      </c>
      <c r="C34" s="81">
        <f t="shared" ref="C34" si="20">C32+C33</f>
        <v>0</v>
      </c>
      <c r="D34" s="81">
        <f t="shared" ref="D34:E34" si="21">D32+D33</f>
        <v>0</v>
      </c>
      <c r="E34" s="81">
        <f t="shared" si="21"/>
        <v>0</v>
      </c>
    </row>
    <row r="35" spans="1:5" ht="12" outlineLevel="1" x14ac:dyDescent="0.25">
      <c r="A35" s="85" t="s">
        <v>1969</v>
      </c>
      <c r="B35" s="449" t="s">
        <v>1987</v>
      </c>
      <c r="C35" s="206">
        <f>SUMIFS(DB_IN_RC_CO_INC!$Q$4:$Q$1001,DB_IN_RC_CO_INC!$D$4:$D$1001,"2024",DB_IN_RC_CO_INC!$B$4:$B$1001,IN_Anagrafica!$B$1,DB_IN_RC_CO_INC!$C$4:$C$1001,C$3)</f>
        <v>0</v>
      </c>
      <c r="D35" s="206">
        <f>SUMIFS(DB_IN_RC_CO_INC!$Q$4:$Q$1001,DB_IN_RC_CO_INC!$D$4:$D$1001,"2024",DB_IN_RC_CO_INC!$B$4:$B$1001,IN_Anagrafica!$B$1,DB_IN_RC_CO_INC!$C$4:$C$1001,D$3)</f>
        <v>0</v>
      </c>
      <c r="E35" s="206">
        <f>SUMIFS(DB_IN_RC_CO_INC!$Q$4:$Q$1001,DB_IN_RC_CO_INC!$D$4:$D$1001,"2024",DB_IN_RC_CO_INC!$B$4:$B$1001,IN_Anagrafica!$B$1,DB_IN_RC_CO_INC!$C$4:$C$1001,E$3)</f>
        <v>0</v>
      </c>
    </row>
    <row r="36" spans="1:5" ht="12" outlineLevel="1" x14ac:dyDescent="0.25">
      <c r="A36" s="85" t="s">
        <v>1970</v>
      </c>
      <c r="B36" s="445" t="s">
        <v>1988</v>
      </c>
      <c r="C36" s="208">
        <f>SUMIFS(DB_IN_RC_CO_INC!$G$4:$G$1001,DB_IN_RC_CO_INC!$D$4:$D$1001,"2024",DB_IN_RC_CO_INC!$B$4:$B$1001,"COMUNE",DB_IN_RC_CO_INC!$C$4:$C$1001,C$3)</f>
        <v>0</v>
      </c>
      <c r="D36" s="208">
        <f>SUMIFS(DB_IN_RC_CO_INC!$G$4:$G$1001,DB_IN_RC_CO_INC!$D$4:$D$1001,"2024",DB_IN_RC_CO_INC!$B$4:$B$1001,"COMUNE",DB_IN_RC_CO_INC!$C$4:$C$1001,D$3)</f>
        <v>0</v>
      </c>
      <c r="E36" s="208">
        <f>SUMIFS(DB_IN_RC_CO_INC!$G$4:$G$1001,DB_IN_RC_CO_INC!$D$4:$D$1001,"2024",DB_IN_RC_CO_INC!$B$4:$B$1001,"COMUNE",DB_IN_RC_CO_INC!$C$4:$C$1001,E$3)</f>
        <v>0</v>
      </c>
    </row>
    <row r="37" spans="1:5" ht="12" outlineLevel="1" x14ac:dyDescent="0.25">
      <c r="A37" s="85" t="s">
        <v>1971</v>
      </c>
      <c r="B37" s="56" t="s">
        <v>1989</v>
      </c>
      <c r="C37" s="81">
        <f t="shared" ref="C37" si="22">C35+C36</f>
        <v>0</v>
      </c>
      <c r="D37" s="81">
        <f t="shared" ref="D37:E37" si="23">D35+D36</f>
        <v>0</v>
      </c>
      <c r="E37" s="81">
        <f t="shared" si="23"/>
        <v>0</v>
      </c>
    </row>
    <row r="38" spans="1:5" outlineLevel="1" x14ac:dyDescent="0.2">
      <c r="A38" s="85"/>
    </row>
    <row r="39" spans="1:5" ht="12" outlineLevel="1" x14ac:dyDescent="0.25">
      <c r="A39" s="85" t="s">
        <v>1972</v>
      </c>
      <c r="B39" s="202" t="s">
        <v>1990</v>
      </c>
      <c r="C39" s="203">
        <f t="shared" ref="C39" si="24">C32+C35</f>
        <v>0</v>
      </c>
      <c r="D39" s="203">
        <f t="shared" ref="D39:E39" si="25">D32+D35</f>
        <v>0</v>
      </c>
      <c r="E39" s="203">
        <f t="shared" si="25"/>
        <v>0</v>
      </c>
    </row>
    <row r="40" spans="1:5" ht="12" outlineLevel="1" x14ac:dyDescent="0.25">
      <c r="A40" s="85" t="s">
        <v>1973</v>
      </c>
      <c r="B40" s="204" t="s">
        <v>1991</v>
      </c>
      <c r="C40" s="205">
        <f t="shared" ref="C40" si="26">C33+C36</f>
        <v>0</v>
      </c>
      <c r="D40" s="205">
        <f t="shared" ref="D40:E40" si="27">D33+D36</f>
        <v>0</v>
      </c>
      <c r="E40" s="205">
        <f t="shared" si="27"/>
        <v>0</v>
      </c>
    </row>
    <row r="41" spans="1:5" ht="12" outlineLevel="1" x14ac:dyDescent="0.25">
      <c r="A41" s="85" t="s">
        <v>1974</v>
      </c>
      <c r="B41" s="56" t="s">
        <v>1992</v>
      </c>
      <c r="C41" s="81">
        <f t="shared" ref="C41" si="28">C39+C40</f>
        <v>0</v>
      </c>
      <c r="D41" s="81">
        <f t="shared" ref="D41:E41" si="29">D39+D40</f>
        <v>0</v>
      </c>
      <c r="E41" s="81">
        <f t="shared" si="29"/>
        <v>0</v>
      </c>
    </row>
    <row r="42" spans="1:5" outlineLevel="1" x14ac:dyDescent="0.2">
      <c r="A42" s="85"/>
    </row>
    <row r="43" spans="1:5" outlineLevel="1" x14ac:dyDescent="0.2">
      <c r="A43" s="85"/>
      <c r="B43" s="79">
        <v>2025</v>
      </c>
    </row>
    <row r="44" spans="1:5" outlineLevel="1" x14ac:dyDescent="0.2">
      <c r="A44" s="85"/>
      <c r="B44" s="73" t="s">
        <v>2014</v>
      </c>
    </row>
    <row r="45" spans="1:5" ht="12" outlineLevel="1" x14ac:dyDescent="0.25">
      <c r="A45" s="85" t="s">
        <v>145</v>
      </c>
      <c r="B45" s="449" t="s">
        <v>2018</v>
      </c>
      <c r="C45" s="206">
        <f>SUMIFS(DB_IN_RC_CO_INC!$E$4:$E$1001,DB_IN_RC_CO_INC!$D$4:$D$1001,"2025",DB_IN_RC_CO_INC!$B$4:$B$1001,IN_Anagrafica!$B$1,DB_IN_RC_CO_INC!$C$4:$C$1001,C$3)</f>
        <v>0</v>
      </c>
      <c r="D45" s="206">
        <f>SUMIFS(DB_IN_RC_CO_INC!$E$4:$E$1001,DB_IN_RC_CO_INC!$D$4:$D$1001,"2025",DB_IN_RC_CO_INC!$B$4:$B$1001,IN_Anagrafica!$B$1,DB_IN_RC_CO_INC!$C$4:$C$1001,D$3)</f>
        <v>0</v>
      </c>
      <c r="E45" s="206">
        <f>SUMIFS(DB_IN_RC_CO_INC!$E$4:$E$1001,DB_IN_RC_CO_INC!$D$4:$D$1001,"2025",DB_IN_RC_CO_INC!$B$4:$B$1001,IN_Anagrafica!$B$1,DB_IN_RC_CO_INC!$C$4:$C$1001,E$3)</f>
        <v>0</v>
      </c>
    </row>
    <row r="46" spans="1:5" ht="12" outlineLevel="1" x14ac:dyDescent="0.25">
      <c r="A46" s="85" t="s">
        <v>146</v>
      </c>
      <c r="B46" s="445" t="s">
        <v>2019</v>
      </c>
      <c r="C46" s="208">
        <f>SUMIFS(DB_IN_RC_CO_INC!$E$4:$E$1001,DB_IN_RC_CO_INC!$D$4:$D$1001,"2025",DB_IN_RC_CO_INC!$B$4:$B$1001,"COMUNE",DB_IN_RC_CO_INC!$C$4:$C$1001,C$3)</f>
        <v>0</v>
      </c>
      <c r="D46" s="208">
        <f>SUMIFS(DB_IN_RC_CO_INC!$E$4:$E$1001,DB_IN_RC_CO_INC!$D$4:$D$1001,"2025",DB_IN_RC_CO_INC!$B$4:$B$1001,"COMUNE",DB_IN_RC_CO_INC!$C$4:$C$1001,D$3)</f>
        <v>0</v>
      </c>
      <c r="E46" s="208">
        <f>SUMIFS(DB_IN_RC_CO_INC!$E$4:$E$1001,DB_IN_RC_CO_INC!$D$4:$D$1001,"2025",DB_IN_RC_CO_INC!$B$4:$B$1001,"COMUNE",DB_IN_RC_CO_INC!$C$4:$C$1001,E$3)</f>
        <v>0</v>
      </c>
    </row>
    <row r="47" spans="1:5" ht="12" outlineLevel="1" x14ac:dyDescent="0.25">
      <c r="A47" s="85" t="s">
        <v>1993</v>
      </c>
      <c r="B47" s="56" t="s">
        <v>2020</v>
      </c>
      <c r="C47" s="81">
        <f>C45+C46</f>
        <v>0</v>
      </c>
      <c r="D47" s="81">
        <f>D45+D46</f>
        <v>0</v>
      </c>
      <c r="E47" s="81">
        <f>E45+E46</f>
        <v>0</v>
      </c>
    </row>
    <row r="48" spans="1:5" ht="12" outlineLevel="1" x14ac:dyDescent="0.25">
      <c r="A48" s="85" t="s">
        <v>147</v>
      </c>
      <c r="B48" s="449" t="s">
        <v>2021</v>
      </c>
      <c r="C48" s="206">
        <f>SUMIFS(DB_IN_RC_CO_INC!$F$4:$F$1001,DB_IN_RC_CO_INC!$D$4:$D$1001,"2025",DB_IN_RC_CO_INC!$B$4:$B$1001,IN_Anagrafica!$B$1,DB_IN_RC_CO_INC!$C$4:$C$1001,C$3)</f>
        <v>0</v>
      </c>
      <c r="D48" s="206">
        <f>SUMIFS(DB_IN_RC_CO_INC!$F$4:$F$1001,DB_IN_RC_CO_INC!$D$4:$D$1001,"2025",DB_IN_RC_CO_INC!$B$4:$B$1001,IN_Anagrafica!$B$1,DB_IN_RC_CO_INC!$C$4:$C$1001,D$3)</f>
        <v>0</v>
      </c>
      <c r="E48" s="206">
        <f>SUMIFS(DB_IN_RC_CO_INC!$F$4:$F$1001,DB_IN_RC_CO_INC!$D$4:$D$1001,"2025",DB_IN_RC_CO_INC!$B$4:$B$1001,IN_Anagrafica!$B$1,DB_IN_RC_CO_INC!$C$4:$C$1001,E$3)</f>
        <v>0</v>
      </c>
    </row>
    <row r="49" spans="1:5" ht="12" outlineLevel="1" x14ac:dyDescent="0.25">
      <c r="A49" s="85" t="s">
        <v>148</v>
      </c>
      <c r="B49" s="445" t="s">
        <v>2022</v>
      </c>
      <c r="C49" s="208">
        <f>SUMIFS(DB_IN_RC_CO_INC!$F$4:$F$1001,DB_IN_RC_CO_INC!$D$4:$D$1001,"2025",DB_IN_RC_CO_INC!$B$4:$B$1001,"COMUNE",DB_IN_RC_CO_INC!$C$4:$C$1001,C$3)</f>
        <v>0</v>
      </c>
      <c r="D49" s="208">
        <f>SUMIFS(DB_IN_RC_CO_INC!$F$4:$F$1001,DB_IN_RC_CO_INC!$D$4:$D$1001,"2025",DB_IN_RC_CO_INC!$B$4:$B$1001,"COMUNE",DB_IN_RC_CO_INC!$C$4:$C$1001,D$3)</f>
        <v>0</v>
      </c>
      <c r="E49" s="208">
        <f>SUMIFS(DB_IN_RC_CO_INC!$F$4:$F$1001,DB_IN_RC_CO_INC!$D$4:$D$1001,"2025",DB_IN_RC_CO_INC!$B$4:$B$1001,"COMUNE",DB_IN_RC_CO_INC!$C$4:$C$1001,E$3)</f>
        <v>0</v>
      </c>
    </row>
    <row r="50" spans="1:5" ht="12" outlineLevel="1" x14ac:dyDescent="0.25">
      <c r="A50" s="85" t="s">
        <v>1994</v>
      </c>
      <c r="B50" s="56" t="s">
        <v>2023</v>
      </c>
      <c r="C50" s="81">
        <f>C48+C49</f>
        <v>0</v>
      </c>
      <c r="D50" s="81">
        <f>D48+D49</f>
        <v>0</v>
      </c>
      <c r="E50" s="81">
        <f>E48+E49</f>
        <v>0</v>
      </c>
    </row>
    <row r="51" spans="1:5" outlineLevel="1" x14ac:dyDescent="0.2">
      <c r="A51" s="85"/>
    </row>
    <row r="52" spans="1:5" ht="12" outlineLevel="1" x14ac:dyDescent="0.25">
      <c r="A52" s="85" t="s">
        <v>1995</v>
      </c>
      <c r="B52" s="202" t="s">
        <v>2024</v>
      </c>
      <c r="C52" s="203">
        <f t="shared" ref="C52" si="30">C45+C48</f>
        <v>0</v>
      </c>
      <c r="D52" s="203">
        <f t="shared" ref="D52:E52" si="31">D45+D48</f>
        <v>0</v>
      </c>
      <c r="E52" s="203">
        <f t="shared" si="31"/>
        <v>0</v>
      </c>
    </row>
    <row r="53" spans="1:5" ht="12" outlineLevel="1" x14ac:dyDescent="0.25">
      <c r="A53" s="85" t="s">
        <v>1996</v>
      </c>
      <c r="B53" s="204" t="s">
        <v>2025</v>
      </c>
      <c r="C53" s="205">
        <f t="shared" ref="C53" si="32">C46+C49</f>
        <v>0</v>
      </c>
      <c r="D53" s="205">
        <f t="shared" ref="D53:E53" si="33">D46+D49</f>
        <v>0</v>
      </c>
      <c r="E53" s="205">
        <f t="shared" si="33"/>
        <v>0</v>
      </c>
    </row>
    <row r="54" spans="1:5" ht="12" outlineLevel="1" x14ac:dyDescent="0.25">
      <c r="A54" s="85" t="s">
        <v>1997</v>
      </c>
      <c r="B54" s="56" t="s">
        <v>2026</v>
      </c>
      <c r="C54" s="81">
        <f t="shared" ref="C54" si="34">C52+C53</f>
        <v>0</v>
      </c>
      <c r="D54" s="81">
        <f t="shared" ref="D54:E54" si="35">D52+D53</f>
        <v>0</v>
      </c>
      <c r="E54" s="81">
        <f t="shared" si="35"/>
        <v>0</v>
      </c>
    </row>
    <row r="55" spans="1:5" outlineLevel="1" x14ac:dyDescent="0.2">
      <c r="A55" s="85"/>
    </row>
    <row r="56" spans="1:5" outlineLevel="1" x14ac:dyDescent="0.2">
      <c r="A56" s="85"/>
      <c r="B56" s="73" t="s">
        <v>2015</v>
      </c>
    </row>
    <row r="57" spans="1:5" ht="12" outlineLevel="1" x14ac:dyDescent="0.25">
      <c r="A57" s="85" t="s">
        <v>1758</v>
      </c>
      <c r="B57" s="449" t="s">
        <v>2027</v>
      </c>
      <c r="C57" s="206">
        <f>SUMIFS(DB_IN_RC_CO_INC!$G$4:$G$1001,DB_IN_RC_CO_INC!$D$4:$D$1001,"2025",DB_IN_RC_CO_INC!$B$4:$B$1001,IN_Anagrafica!$B$1,DB_IN_RC_CO_INC!$C$4:$C$1001,C$3)</f>
        <v>0</v>
      </c>
      <c r="D57" s="206">
        <f>SUMIFS(DB_IN_RC_CO_INC!$G$4:$G$1001,DB_IN_RC_CO_INC!$D$4:$D$1001,"2025",DB_IN_RC_CO_INC!$B$4:$B$1001,IN_Anagrafica!$B$1,DB_IN_RC_CO_INC!$C$4:$C$1001,D$3)</f>
        <v>0</v>
      </c>
      <c r="E57" s="206">
        <f>SUMIFS(DB_IN_RC_CO_INC!$G$4:$G$1001,DB_IN_RC_CO_INC!$D$4:$D$1001,"2025",DB_IN_RC_CO_INC!$B$4:$B$1001,IN_Anagrafica!$B$1,DB_IN_RC_CO_INC!$C$4:$C$1001,E$3)</f>
        <v>0</v>
      </c>
    </row>
    <row r="58" spans="1:5" ht="12" outlineLevel="1" x14ac:dyDescent="0.25">
      <c r="A58" s="85" t="s">
        <v>1998</v>
      </c>
      <c r="B58" s="445" t="s">
        <v>2028</v>
      </c>
      <c r="C58" s="208">
        <f>SUMIFS(DB_IN_RC_CO_INC!$G$4:$G$1001,DB_IN_RC_CO_INC!$D$4:$D$1001,"2025",DB_IN_RC_CO_INC!$B$4:$B$1001,"COMUNE",DB_IN_RC_CO_INC!$C$4:$C$1001,C$3)</f>
        <v>0</v>
      </c>
      <c r="D58" s="208">
        <f>SUMIFS(DB_IN_RC_CO_INC!$G$4:$G$1001,DB_IN_RC_CO_INC!$D$4:$D$1001,"2025",DB_IN_RC_CO_INC!$B$4:$B$1001,"COMUNE",DB_IN_RC_CO_INC!$C$4:$C$1001,D$3)</f>
        <v>0</v>
      </c>
      <c r="E58" s="208">
        <f>SUMIFS(DB_IN_RC_CO_INC!$G$4:$G$1001,DB_IN_RC_CO_INC!$D$4:$D$1001,"2025",DB_IN_RC_CO_INC!$B$4:$B$1001,"COMUNE",DB_IN_RC_CO_INC!$C$4:$C$1001,E$3)</f>
        <v>0</v>
      </c>
    </row>
    <row r="59" spans="1:5" ht="12" outlineLevel="1" x14ac:dyDescent="0.25">
      <c r="A59" s="85" t="s">
        <v>1999</v>
      </c>
      <c r="B59" s="56" t="s">
        <v>2029</v>
      </c>
      <c r="C59" s="81">
        <f>C57+C58</f>
        <v>0</v>
      </c>
      <c r="D59" s="81">
        <f>D57+D58</f>
        <v>0</v>
      </c>
      <c r="E59" s="81">
        <f>E57+E58</f>
        <v>0</v>
      </c>
    </row>
    <row r="60" spans="1:5" ht="12" outlineLevel="1" x14ac:dyDescent="0.25">
      <c r="A60" s="85" t="s">
        <v>1759</v>
      </c>
      <c r="B60" s="449" t="s">
        <v>2030</v>
      </c>
      <c r="C60" s="206">
        <f>SUMIFS(DB_IN_RC_CO_INC!$H$4:$H$1001,DB_IN_RC_CO_INC!$D$4:$D$1001,"2025",DB_IN_RC_CO_INC!$B$4:$B$1001,IN_Anagrafica!$B$1,DB_IN_RC_CO_INC!$C$4:$C$1001,C$3)</f>
        <v>0</v>
      </c>
      <c r="D60" s="206">
        <f>SUMIFS(DB_IN_RC_CO_INC!$H$4:$H$1001,DB_IN_RC_CO_INC!$D$4:$D$1001,"2025",DB_IN_RC_CO_INC!$B$4:$B$1001,IN_Anagrafica!$B$1,DB_IN_RC_CO_INC!$C$4:$C$1001,D$3)</f>
        <v>0</v>
      </c>
      <c r="E60" s="206">
        <f>SUMIFS(DB_IN_RC_CO_INC!$H$4:$H$1001,DB_IN_RC_CO_INC!$D$4:$D$1001,"2025",DB_IN_RC_CO_INC!$B$4:$B$1001,IN_Anagrafica!$B$1,DB_IN_RC_CO_INC!$C$4:$C$1001,E$3)</f>
        <v>0</v>
      </c>
    </row>
    <row r="61" spans="1:5" ht="12" outlineLevel="1" x14ac:dyDescent="0.25">
      <c r="A61" s="85" t="s">
        <v>2000</v>
      </c>
      <c r="B61" s="445" t="s">
        <v>2031</v>
      </c>
      <c r="C61" s="208">
        <f>SUMIFS(DB_IN_RC_CO_INC!$H$4:$H$1001,DB_IN_RC_CO_INC!$D$4:$D$1001,"2025",DB_IN_RC_CO_INC!$B$4:$B$1001,"COMUNE",DB_IN_RC_CO_INC!$C$4:$C$1001,C$3)</f>
        <v>0</v>
      </c>
      <c r="D61" s="208">
        <f>SUMIFS(DB_IN_RC_CO_INC!$H$4:$H$1001,DB_IN_RC_CO_INC!$D$4:$D$1001,"2025",DB_IN_RC_CO_INC!$B$4:$B$1001,"COMUNE",DB_IN_RC_CO_INC!$C$4:$C$1001,D$3)</f>
        <v>0</v>
      </c>
      <c r="E61" s="208">
        <f>SUMIFS(DB_IN_RC_CO_INC!$H$4:$H$1001,DB_IN_RC_CO_INC!$D$4:$D$1001,"2025",DB_IN_RC_CO_INC!$B$4:$B$1001,"COMUNE",DB_IN_RC_CO_INC!$C$4:$C$1001,E$3)</f>
        <v>0</v>
      </c>
    </row>
    <row r="62" spans="1:5" ht="12" outlineLevel="1" x14ac:dyDescent="0.25">
      <c r="A62" s="85" t="s">
        <v>2001</v>
      </c>
      <c r="B62" s="56" t="s">
        <v>2032</v>
      </c>
      <c r="C62" s="81">
        <f>C60+C61</f>
        <v>0</v>
      </c>
      <c r="D62" s="81">
        <f>D60+D61</f>
        <v>0</v>
      </c>
      <c r="E62" s="81">
        <f>E60+E61</f>
        <v>0</v>
      </c>
    </row>
    <row r="63" spans="1:5" outlineLevel="1" x14ac:dyDescent="0.2">
      <c r="A63" s="85"/>
    </row>
    <row r="64" spans="1:5" ht="12" outlineLevel="1" x14ac:dyDescent="0.25">
      <c r="A64" s="85" t="s">
        <v>2002</v>
      </c>
      <c r="B64" s="202" t="s">
        <v>2033</v>
      </c>
      <c r="C64" s="203">
        <f t="shared" ref="C64" si="36">C57+C60</f>
        <v>0</v>
      </c>
      <c r="D64" s="203">
        <f t="shared" ref="D64:E64" si="37">D57+D60</f>
        <v>0</v>
      </c>
      <c r="E64" s="203">
        <f t="shared" si="37"/>
        <v>0</v>
      </c>
    </row>
    <row r="65" spans="1:5" ht="12" outlineLevel="1" x14ac:dyDescent="0.25">
      <c r="A65" s="85" t="s">
        <v>2003</v>
      </c>
      <c r="B65" s="204" t="s">
        <v>2034</v>
      </c>
      <c r="C65" s="205">
        <f t="shared" ref="C65" si="38">C58+C61</f>
        <v>0</v>
      </c>
      <c r="D65" s="205">
        <f t="shared" ref="D65:E65" si="39">D58+D61</f>
        <v>0</v>
      </c>
      <c r="E65" s="205">
        <f t="shared" si="39"/>
        <v>0</v>
      </c>
    </row>
    <row r="66" spans="1:5" ht="12" outlineLevel="1" x14ac:dyDescent="0.25">
      <c r="A66" s="85" t="s">
        <v>2004</v>
      </c>
      <c r="B66" s="56" t="s">
        <v>2035</v>
      </c>
      <c r="C66" s="81">
        <f t="shared" ref="C66" si="40">C64+C65</f>
        <v>0</v>
      </c>
      <c r="D66" s="81">
        <f t="shared" ref="D66:E66" si="41">D64+D65</f>
        <v>0</v>
      </c>
      <c r="E66" s="81">
        <f t="shared" si="41"/>
        <v>0</v>
      </c>
    </row>
    <row r="67" spans="1:5" outlineLevel="1" x14ac:dyDescent="0.2">
      <c r="A67" s="85"/>
    </row>
    <row r="68" spans="1:5" outlineLevel="1" x14ac:dyDescent="0.2">
      <c r="A68" s="85"/>
      <c r="B68" s="73" t="s">
        <v>2017</v>
      </c>
    </row>
    <row r="69" spans="1:5" ht="12" outlineLevel="1" x14ac:dyDescent="0.25">
      <c r="A69" s="85" t="s">
        <v>2005</v>
      </c>
      <c r="B69" s="449" t="s">
        <v>2036</v>
      </c>
      <c r="C69" s="206">
        <f>SUMIFS(DB_IN_RC_CO_INC!$P$4:$P$1001,DB_IN_RC_CO_INC!$D$4:$D$1001,"2025",DB_IN_RC_CO_INC!$B$4:$B$1001,IN_Anagrafica!$B$1,DB_IN_RC_CO_INC!$C$4:$C$1001,C$3)</f>
        <v>0</v>
      </c>
      <c r="D69" s="206">
        <f>SUMIFS(DB_IN_RC_CO_INC!$P$4:$P$1001,DB_IN_RC_CO_INC!$D$4:$D$1001,"2025",DB_IN_RC_CO_INC!$B$4:$B$1001,IN_Anagrafica!$B$1,DB_IN_RC_CO_INC!$C$4:$C$1001,D$3)</f>
        <v>0</v>
      </c>
      <c r="E69" s="206">
        <f>SUMIFS(DB_IN_RC_CO_INC!$P$4:$P$1001,DB_IN_RC_CO_INC!$D$4:$D$1001,"2025",DB_IN_RC_CO_INC!$B$4:$B$1001,IN_Anagrafica!$B$1,DB_IN_RC_CO_INC!$C$4:$C$1001,E$3)</f>
        <v>0</v>
      </c>
    </row>
    <row r="70" spans="1:5" ht="12" outlineLevel="1" x14ac:dyDescent="0.25">
      <c r="A70" s="85" t="s">
        <v>2006</v>
      </c>
      <c r="B70" s="445" t="s">
        <v>2037</v>
      </c>
      <c r="C70" s="208">
        <f>SUMIFS(DB_IN_RC_CO_INC!$P$4:$P$1001,DB_IN_RC_CO_INC!$D$4:$D$1001,"2025",DB_IN_RC_CO_INC!$B$4:$B$1001,"COMUNE",DB_IN_RC_CO_INC!$C$4:$C$1001,C$3)</f>
        <v>0</v>
      </c>
      <c r="D70" s="208">
        <f>SUMIFS(DB_IN_RC_CO_INC!$P$4:$P$1001,DB_IN_RC_CO_INC!$D$4:$D$1001,"2025",DB_IN_RC_CO_INC!$B$4:$B$1001,"COMUNE",DB_IN_RC_CO_INC!$C$4:$C$1001,D$3)</f>
        <v>0</v>
      </c>
      <c r="E70" s="208">
        <f>SUMIFS(DB_IN_RC_CO_INC!$P$4:$P$1001,DB_IN_RC_CO_INC!$D$4:$D$1001,"2025",DB_IN_RC_CO_INC!$B$4:$B$1001,"COMUNE",DB_IN_RC_CO_INC!$C$4:$C$1001,E$3)</f>
        <v>0</v>
      </c>
    </row>
    <row r="71" spans="1:5" ht="12" outlineLevel="1" x14ac:dyDescent="0.25">
      <c r="A71" s="85" t="s">
        <v>2007</v>
      </c>
      <c r="B71" s="56" t="s">
        <v>2038</v>
      </c>
      <c r="C71" s="81">
        <f>C69+C70</f>
        <v>0</v>
      </c>
      <c r="D71" s="81">
        <f>D69+D70</f>
        <v>0</v>
      </c>
      <c r="E71" s="81">
        <f>E69+E70</f>
        <v>0</v>
      </c>
    </row>
    <row r="72" spans="1:5" ht="12" outlineLevel="1" x14ac:dyDescent="0.25">
      <c r="A72" s="85" t="s">
        <v>2008</v>
      </c>
      <c r="B72" s="449" t="s">
        <v>2039</v>
      </c>
      <c r="C72" s="206">
        <f>SUMIFS(DB_IN_RC_CO_INC!$Q$4:$Q$1001,DB_IN_RC_CO_INC!$D$4:$D$1001,"2025",DB_IN_RC_CO_INC!$B$4:$B$1001,IN_Anagrafica!$B$1,DB_IN_RC_CO_INC!$C$4:$C$1001,C$3)</f>
        <v>0</v>
      </c>
      <c r="D72" s="206">
        <f>SUMIFS(DB_IN_RC_CO_INC!$Q$4:$Q$1001,DB_IN_RC_CO_INC!$D$4:$D$1001,"2025",DB_IN_RC_CO_INC!$B$4:$B$1001,IN_Anagrafica!$B$1,DB_IN_RC_CO_INC!$C$4:$C$1001,D$3)</f>
        <v>0</v>
      </c>
      <c r="E72" s="206">
        <f>SUMIFS(DB_IN_RC_CO_INC!$Q$4:$Q$1001,DB_IN_RC_CO_INC!$D$4:$D$1001,"2025",DB_IN_RC_CO_INC!$B$4:$B$1001,IN_Anagrafica!$B$1,DB_IN_RC_CO_INC!$C$4:$C$1001,E$3)</f>
        <v>0</v>
      </c>
    </row>
    <row r="73" spans="1:5" ht="12" outlineLevel="1" x14ac:dyDescent="0.25">
      <c r="A73" s="85" t="s">
        <v>2009</v>
      </c>
      <c r="B73" s="445" t="s">
        <v>2040</v>
      </c>
      <c r="C73" s="208">
        <f>SUMIFS(DB_IN_RC_CO_INC!$G$4:$G$1001,DB_IN_RC_CO_INC!$D$4:$D$1001,"2025",DB_IN_RC_CO_INC!$B$4:$B$1001,"COMUNE",DB_IN_RC_CO_INC!$C$4:$C$1001,C$3)</f>
        <v>0</v>
      </c>
      <c r="D73" s="208">
        <f>SUMIFS(DB_IN_RC_CO_INC!$G$4:$G$1001,DB_IN_RC_CO_INC!$D$4:$D$1001,"2025",DB_IN_RC_CO_INC!$B$4:$B$1001,"COMUNE",DB_IN_RC_CO_INC!$C$4:$C$1001,D$3)</f>
        <v>0</v>
      </c>
      <c r="E73" s="208">
        <f>SUMIFS(DB_IN_RC_CO_INC!$G$4:$G$1001,DB_IN_RC_CO_INC!$D$4:$D$1001,"2025",DB_IN_RC_CO_INC!$B$4:$B$1001,"COMUNE",DB_IN_RC_CO_INC!$C$4:$C$1001,E$3)</f>
        <v>0</v>
      </c>
    </row>
    <row r="74" spans="1:5" ht="12" outlineLevel="1" x14ac:dyDescent="0.25">
      <c r="A74" s="85" t="s">
        <v>2010</v>
      </c>
      <c r="B74" s="56" t="s">
        <v>2041</v>
      </c>
      <c r="C74" s="81">
        <f>C72+C73</f>
        <v>0</v>
      </c>
      <c r="D74" s="81">
        <f>D72+D73</f>
        <v>0</v>
      </c>
      <c r="E74" s="81">
        <f>E72+E73</f>
        <v>0</v>
      </c>
    </row>
    <row r="75" spans="1:5" outlineLevel="1" x14ac:dyDescent="0.2">
      <c r="A75" s="85"/>
    </row>
    <row r="76" spans="1:5" ht="12" outlineLevel="1" x14ac:dyDescent="0.25">
      <c r="A76" s="85" t="s">
        <v>2011</v>
      </c>
      <c r="B76" s="202" t="s">
        <v>2042</v>
      </c>
      <c r="C76" s="203">
        <f t="shared" ref="C76" si="42">C69+C72</f>
        <v>0</v>
      </c>
      <c r="D76" s="203">
        <f t="shared" ref="D76:E76" si="43">D69+D72</f>
        <v>0</v>
      </c>
      <c r="E76" s="203">
        <f t="shared" si="43"/>
        <v>0</v>
      </c>
    </row>
    <row r="77" spans="1:5" ht="12" outlineLevel="1" x14ac:dyDescent="0.25">
      <c r="A77" s="85" t="s">
        <v>2012</v>
      </c>
      <c r="B77" s="204" t="s">
        <v>2043</v>
      </c>
      <c r="C77" s="205">
        <f t="shared" ref="C77" si="44">C70+C73</f>
        <v>0</v>
      </c>
      <c r="D77" s="205">
        <f t="shared" ref="D77:E77" si="45">D70+D73</f>
        <v>0</v>
      </c>
      <c r="E77" s="205">
        <f t="shared" si="45"/>
        <v>0</v>
      </c>
    </row>
    <row r="78" spans="1:5" ht="12" outlineLevel="1" x14ac:dyDescent="0.25">
      <c r="A78" s="85" t="s">
        <v>2013</v>
      </c>
      <c r="B78" s="56" t="s">
        <v>2044</v>
      </c>
      <c r="C78" s="81">
        <f t="shared" ref="C78" si="46">C76+C77</f>
        <v>0</v>
      </c>
      <c r="D78" s="81">
        <f t="shared" ref="D78:E78" si="47">D76+D77</f>
        <v>0</v>
      </c>
      <c r="E78" s="81">
        <f t="shared" si="47"/>
        <v>0</v>
      </c>
    </row>
    <row r="80" spans="1:5" x14ac:dyDescent="0.2">
      <c r="B80" s="454" t="s">
        <v>1913</v>
      </c>
    </row>
    <row r="81" spans="1:5" ht="11.4" outlineLevel="1" x14ac:dyDescent="0.25">
      <c r="B81" s="55" t="s">
        <v>2045</v>
      </c>
      <c r="C81" s="622">
        <v>0</v>
      </c>
      <c r="D81" s="622">
        <v>0</v>
      </c>
      <c r="E81" s="622">
        <v>0</v>
      </c>
    </row>
    <row r="82" spans="1:5" outlineLevel="1" x14ac:dyDescent="0.2"/>
    <row r="83" spans="1:5" ht="11.4" outlineLevel="1" x14ac:dyDescent="0.25">
      <c r="A83" s="138" t="s">
        <v>5223</v>
      </c>
      <c r="B83" s="335" t="s">
        <v>5895</v>
      </c>
      <c r="C83" s="631">
        <f>C27*C81</f>
        <v>0</v>
      </c>
      <c r="D83" s="631">
        <f>D27*D81</f>
        <v>0</v>
      </c>
      <c r="E83" s="631">
        <f>E27*E81</f>
        <v>0</v>
      </c>
    </row>
    <row r="84" spans="1:5" ht="11.4" outlineLevel="1" x14ac:dyDescent="0.25">
      <c r="A84" s="138" t="s">
        <v>5235</v>
      </c>
      <c r="B84" s="335" t="s">
        <v>5896</v>
      </c>
      <c r="C84" s="631">
        <f>C28*C81</f>
        <v>0</v>
      </c>
      <c r="D84" s="631">
        <f>D28*D81</f>
        <v>0</v>
      </c>
      <c r="E84" s="631">
        <f>E28*E81</f>
        <v>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2BDE3-1D30-4FE6-9A11-DDA85EF9F8EC}">
  <sheetPr codeName="Foglio8">
    <tabColor rgb="FFFFFFCC"/>
    <pageSetUpPr fitToPage="1"/>
  </sheetPr>
  <dimension ref="A1:G78"/>
  <sheetViews>
    <sheetView showGridLines="0" zoomScaleNormal="100" workbookViewId="0">
      <pane xSplit="4" ySplit="3" topLeftCell="E50" activePane="bottomRight" state="frozen"/>
      <selection activeCell="G5" sqref="G5"/>
      <selection pane="topRight" activeCell="G5" sqref="G5"/>
      <selection pane="bottomLeft" activeCell="G5" sqref="G5"/>
      <selection pane="bottomRight" activeCell="E67" sqref="E67"/>
    </sheetView>
  </sheetViews>
  <sheetFormatPr defaultColWidth="17.6640625" defaultRowHeight="10.199999999999999" outlineLevelRow="1" x14ac:dyDescent="0.2"/>
  <cols>
    <col min="1" max="1" width="22.44140625" style="7" bestFit="1" customWidth="1"/>
    <col min="2" max="2" width="94" style="5" bestFit="1" customWidth="1"/>
    <col min="3" max="3" width="10.33203125" style="3" bestFit="1" customWidth="1"/>
    <col min="4" max="4" width="1.5546875" style="2" customWidth="1"/>
    <col min="5" max="5" width="11.5546875" style="4" bestFit="1" customWidth="1"/>
    <col min="6" max="6" width="12.5546875" style="4" bestFit="1" customWidth="1"/>
    <col min="7" max="7" width="8.5546875" style="4" bestFit="1" customWidth="1"/>
    <col min="8" max="16384" width="17.6640625" style="5"/>
  </cols>
  <sheetData>
    <row r="1" spans="1:7" ht="11.4" x14ac:dyDescent="0.25">
      <c r="B1" s="454" t="s">
        <v>6700</v>
      </c>
    </row>
    <row r="2" spans="1:7" x14ac:dyDescent="0.2">
      <c r="B2" s="910"/>
    </row>
    <row r="3" spans="1:7" s="359" customFormat="1" ht="20.399999999999999" x14ac:dyDescent="0.2">
      <c r="A3" s="356"/>
      <c r="B3" s="357"/>
      <c r="C3" s="358" t="s">
        <v>0</v>
      </c>
      <c r="D3" s="357"/>
      <c r="E3" s="358" t="str">
        <f>Ambiti!B4</f>
        <v>BUSTO ARSIZIO</v>
      </c>
      <c r="F3" s="358" t="str">
        <f>Ambiti!C4</f>
        <v>FAGNANO OLONA</v>
      </c>
      <c r="G3" s="358" t="str">
        <f>Ambiti!D4</f>
        <v>VENEGONO SUPERIORE</v>
      </c>
    </row>
    <row r="5" spans="1:7" ht="11.4" outlineLevel="1" x14ac:dyDescent="0.2">
      <c r="A5" s="31" t="s">
        <v>6669</v>
      </c>
      <c r="B5" s="680" t="s">
        <v>6672</v>
      </c>
      <c r="C5" s="11">
        <f>SUM(E5:AAA5)</f>
        <v>8789486.6703902725</v>
      </c>
      <c r="D5" s="6"/>
      <c r="E5" s="12">
        <f>SUM(E6:E9)+E12+E16</f>
        <v>8789486.6703902725</v>
      </c>
      <c r="F5" s="12">
        <f>SUM(F6:F9)+F12+F16</f>
        <v>0</v>
      </c>
      <c r="G5" s="12">
        <f>SUM(G6:G9)+G12+G16</f>
        <v>0</v>
      </c>
    </row>
    <row r="6" spans="1:7" outlineLevel="1" x14ac:dyDescent="0.2">
      <c r="A6" s="7" t="s">
        <v>6659</v>
      </c>
      <c r="B6" s="880" t="s">
        <v>1</v>
      </c>
      <c r="C6" s="15">
        <f t="shared" ref="C6:C16" si="0">SUM(E6:AAA6)</f>
        <v>2089090.6774496003</v>
      </c>
      <c r="D6" s="6"/>
      <c r="E6" s="882">
        <v>2089090.6774496003</v>
      </c>
      <c r="F6" s="882"/>
      <c r="G6" s="882"/>
    </row>
    <row r="7" spans="1:7" outlineLevel="1" x14ac:dyDescent="0.2">
      <c r="A7" s="7" t="s">
        <v>6660</v>
      </c>
      <c r="B7" s="880" t="s">
        <v>3</v>
      </c>
      <c r="C7" s="15">
        <f t="shared" si="0"/>
        <v>3417553.1024800004</v>
      </c>
      <c r="D7" s="6"/>
      <c r="E7" s="882">
        <v>3417553.1024800004</v>
      </c>
      <c r="F7" s="882"/>
      <c r="G7" s="882"/>
    </row>
    <row r="8" spans="1:7" outlineLevel="1" x14ac:dyDescent="0.2">
      <c r="A8" s="7" t="s">
        <v>6661</v>
      </c>
      <c r="B8" s="880" t="s">
        <v>4</v>
      </c>
      <c r="C8" s="15">
        <f t="shared" si="0"/>
        <v>0</v>
      </c>
      <c r="D8" s="6"/>
      <c r="E8" s="882">
        <v>0</v>
      </c>
      <c r="F8" s="882"/>
      <c r="G8" s="882"/>
    </row>
    <row r="9" spans="1:7" outlineLevel="1" x14ac:dyDescent="0.2">
      <c r="A9" s="7" t="s">
        <v>6662</v>
      </c>
      <c r="B9" s="880" t="s">
        <v>5</v>
      </c>
      <c r="C9" s="15">
        <f t="shared" si="0"/>
        <v>4231428.1819039993</v>
      </c>
      <c r="D9" s="6"/>
      <c r="E9" s="882">
        <v>4231428.1819039993</v>
      </c>
      <c r="F9" s="882"/>
      <c r="G9" s="882"/>
    </row>
    <row r="10" spans="1:7" outlineLevel="1" x14ac:dyDescent="0.2">
      <c r="A10" s="7" t="s">
        <v>6649</v>
      </c>
      <c r="B10" s="880" t="s">
        <v>6</v>
      </c>
      <c r="C10" s="15">
        <f t="shared" si="0"/>
        <v>903249.19699520012</v>
      </c>
      <c r="D10" s="6"/>
      <c r="E10" s="882">
        <v>903249.19699520012</v>
      </c>
      <c r="F10" s="882"/>
      <c r="G10" s="882"/>
    </row>
    <row r="11" spans="1:7" outlineLevel="1" x14ac:dyDescent="0.2">
      <c r="A11" s="85" t="s">
        <v>149</v>
      </c>
      <c r="B11" s="881" t="s">
        <v>7</v>
      </c>
      <c r="C11" s="885"/>
      <c r="D11" s="19"/>
      <c r="E11" s="883">
        <v>0.6</v>
      </c>
      <c r="F11" s="883"/>
      <c r="G11" s="883"/>
    </row>
    <row r="12" spans="1:7" outlineLevel="1" x14ac:dyDescent="0.2">
      <c r="A12" s="7" t="s">
        <v>6650</v>
      </c>
      <c r="B12" s="14" t="s">
        <v>6651</v>
      </c>
      <c r="C12" s="15">
        <f t="shared" si="0"/>
        <v>-541949.51819712005</v>
      </c>
      <c r="D12" s="6"/>
      <c r="E12" s="16">
        <f>-(E11*E10)</f>
        <v>-541949.51819712005</v>
      </c>
      <c r="F12" s="16">
        <f>-(F11*F10)</f>
        <v>0</v>
      </c>
      <c r="G12" s="16">
        <f>-(G11*G10)</f>
        <v>0</v>
      </c>
    </row>
    <row r="13" spans="1:7" ht="11.4" outlineLevel="1" x14ac:dyDescent="0.2">
      <c r="A13" s="7" t="s">
        <v>6652</v>
      </c>
      <c r="B13" s="880" t="s">
        <v>101</v>
      </c>
      <c r="C13" s="15">
        <f t="shared" si="0"/>
        <v>564771.90728640009</v>
      </c>
      <c r="D13" s="6"/>
      <c r="E13" s="882">
        <v>564771.90728640009</v>
      </c>
      <c r="F13" s="882"/>
      <c r="G13" s="882"/>
    </row>
    <row r="14" spans="1:7" outlineLevel="1" x14ac:dyDescent="0.2">
      <c r="A14" s="85" t="s">
        <v>6653</v>
      </c>
      <c r="B14" s="884" t="s">
        <v>6654</v>
      </c>
      <c r="C14" s="885"/>
      <c r="D14" s="6"/>
      <c r="E14" s="883">
        <v>0.2</v>
      </c>
      <c r="F14" s="883"/>
      <c r="G14" s="883"/>
    </row>
    <row r="15" spans="1:7" outlineLevel="1" x14ac:dyDescent="0.2">
      <c r="A15" s="7" t="s">
        <v>6655</v>
      </c>
      <c r="B15" s="20" t="s">
        <v>6656</v>
      </c>
      <c r="C15" s="877"/>
      <c r="D15" s="6"/>
      <c r="E15" s="878">
        <f>(E11*(1+E14))</f>
        <v>0.72</v>
      </c>
      <c r="F15" s="878">
        <f>(F11*(1+F14))</f>
        <v>0</v>
      </c>
      <c r="G15" s="878">
        <f>(G11*(1+G14))</f>
        <v>0</v>
      </c>
    </row>
    <row r="16" spans="1:7" ht="11.4" outlineLevel="1" x14ac:dyDescent="0.2">
      <c r="A16" s="7" t="s">
        <v>6657</v>
      </c>
      <c r="B16" s="14" t="s">
        <v>6658</v>
      </c>
      <c r="C16" s="15">
        <f t="shared" si="0"/>
        <v>-406635.77324620803</v>
      </c>
      <c r="D16" s="6"/>
      <c r="E16" s="16">
        <f>-(E15*E13)</f>
        <v>-406635.77324620803</v>
      </c>
      <c r="F16" s="16">
        <f>-(F15*F13)</f>
        <v>0</v>
      </c>
      <c r="G16" s="16">
        <f>-(G15*G13)</f>
        <v>0</v>
      </c>
    </row>
    <row r="17" spans="1:7" outlineLevel="1" x14ac:dyDescent="0.2">
      <c r="B17" s="24"/>
      <c r="C17" s="25"/>
      <c r="D17" s="6"/>
      <c r="E17" s="5"/>
      <c r="F17" s="5"/>
      <c r="G17" s="5"/>
    </row>
    <row r="18" spans="1:7" ht="11.4" outlineLevel="1" x14ac:dyDescent="0.2">
      <c r="A18" s="31" t="s">
        <v>6670</v>
      </c>
      <c r="B18" s="680" t="s">
        <v>6673</v>
      </c>
      <c r="C18" s="11">
        <f t="shared" ref="C18:C29" si="1">SUM(E18:AAA18)</f>
        <v>5209782.3446463998</v>
      </c>
      <c r="D18" s="6"/>
      <c r="E18" s="12">
        <f>E19+E24+E25</f>
        <v>5209782.3446463998</v>
      </c>
      <c r="F18" s="12">
        <f>F19+F24+F25</f>
        <v>0</v>
      </c>
      <c r="G18" s="12">
        <f>G19+G24+G25</f>
        <v>0</v>
      </c>
    </row>
    <row r="19" spans="1:7" outlineLevel="1" x14ac:dyDescent="0.2">
      <c r="A19" s="7" t="s">
        <v>6663</v>
      </c>
      <c r="B19" s="880" t="s">
        <v>11</v>
      </c>
      <c r="C19" s="15">
        <f t="shared" si="1"/>
        <v>2429367.2177280001</v>
      </c>
      <c r="D19" s="6"/>
      <c r="E19" s="882">
        <v>2429367.2177280001</v>
      </c>
      <c r="F19" s="882"/>
      <c r="G19" s="882"/>
    </row>
    <row r="20" spans="1:7" outlineLevel="1" x14ac:dyDescent="0.2">
      <c r="A20" s="7" t="s">
        <v>6664</v>
      </c>
      <c r="B20" s="886" t="s">
        <v>13</v>
      </c>
      <c r="C20" s="27">
        <f t="shared" si="1"/>
        <v>675076.23424000002</v>
      </c>
      <c r="D20" s="6"/>
      <c r="E20" s="888">
        <v>675076.23424000002</v>
      </c>
      <c r="F20" s="888"/>
      <c r="G20" s="888"/>
    </row>
    <row r="21" spans="1:7" outlineLevel="1" x14ac:dyDescent="0.2">
      <c r="A21" s="7" t="s">
        <v>6665</v>
      </c>
      <c r="B21" s="886" t="s">
        <v>14</v>
      </c>
      <c r="C21" s="27">
        <f t="shared" si="1"/>
        <v>1561338.8926784</v>
      </c>
      <c r="D21" s="6"/>
      <c r="E21" s="888">
        <v>1561338.8926784</v>
      </c>
      <c r="F21" s="888"/>
      <c r="G21" s="888"/>
    </row>
    <row r="22" spans="1:7" outlineLevel="1" x14ac:dyDescent="0.2">
      <c r="A22" s="7" t="s">
        <v>6666</v>
      </c>
      <c r="B22" s="886" t="s">
        <v>15</v>
      </c>
      <c r="C22" s="27">
        <f t="shared" si="1"/>
        <v>0</v>
      </c>
      <c r="D22" s="6"/>
      <c r="E22" s="888">
        <v>0</v>
      </c>
      <c r="F22" s="888"/>
      <c r="G22" s="888"/>
    </row>
    <row r="23" spans="1:7" ht="11.4" outlineLevel="1" x14ac:dyDescent="0.2">
      <c r="A23" s="7" t="s">
        <v>6667</v>
      </c>
      <c r="B23" s="887" t="s">
        <v>16</v>
      </c>
      <c r="C23" s="53">
        <f t="shared" si="1"/>
        <v>0</v>
      </c>
      <c r="D23" s="6"/>
      <c r="E23" s="889">
        <v>0</v>
      </c>
      <c r="F23" s="889"/>
      <c r="G23" s="889"/>
    </row>
    <row r="24" spans="1:7" outlineLevel="1" x14ac:dyDescent="0.2">
      <c r="A24" s="7" t="s">
        <v>6668</v>
      </c>
      <c r="B24" s="879" t="s">
        <v>12</v>
      </c>
      <c r="C24" s="29">
        <f t="shared" si="1"/>
        <v>2236415.1269184002</v>
      </c>
      <c r="D24" s="6"/>
      <c r="E24" s="30">
        <f>SUM(E20:E23)</f>
        <v>2236415.1269184002</v>
      </c>
      <c r="F24" s="30">
        <f>SUM(F20:F23)</f>
        <v>0</v>
      </c>
      <c r="G24" s="30">
        <f>SUM(G20:G23)</f>
        <v>0</v>
      </c>
    </row>
    <row r="25" spans="1:7" outlineLevel="1" x14ac:dyDescent="0.2">
      <c r="A25" s="7" t="s">
        <v>8727</v>
      </c>
      <c r="B25" s="26" t="s">
        <v>19</v>
      </c>
      <c r="C25" s="704">
        <f t="shared" si="1"/>
        <v>544000</v>
      </c>
      <c r="D25" s="6"/>
      <c r="E25" s="706">
        <f>SUM(E26:E29)</f>
        <v>544000</v>
      </c>
      <c r="F25" s="706">
        <f>SUM(F26:F29)</f>
        <v>0</v>
      </c>
      <c r="G25" s="706">
        <f>SUM(G26:G29)</f>
        <v>0</v>
      </c>
    </row>
    <row r="26" spans="1:7" outlineLevel="1" x14ac:dyDescent="0.2">
      <c r="A26" s="85" t="s">
        <v>8728</v>
      </c>
      <c r="B26" s="1061" t="s">
        <v>20</v>
      </c>
      <c r="C26" s="1064">
        <f t="shared" si="1"/>
        <v>0</v>
      </c>
      <c r="D26" s="6"/>
      <c r="E26" s="888">
        <v>0</v>
      </c>
      <c r="F26" s="888"/>
      <c r="G26" s="888"/>
    </row>
    <row r="27" spans="1:7" outlineLevel="1" x14ac:dyDescent="0.2">
      <c r="A27" s="85" t="s">
        <v>8729</v>
      </c>
      <c r="B27" s="1061" t="s">
        <v>21</v>
      </c>
      <c r="C27" s="27">
        <f t="shared" si="1"/>
        <v>544000</v>
      </c>
      <c r="D27" s="6"/>
      <c r="E27" s="888">
        <v>544000</v>
      </c>
      <c r="F27" s="888"/>
      <c r="G27" s="888"/>
    </row>
    <row r="28" spans="1:7" outlineLevel="1" x14ac:dyDescent="0.2">
      <c r="A28" s="85" t="s">
        <v>8730</v>
      </c>
      <c r="B28" s="1061" t="s">
        <v>22</v>
      </c>
      <c r="C28" s="27">
        <f t="shared" si="1"/>
        <v>0</v>
      </c>
      <c r="D28" s="6"/>
      <c r="E28" s="888">
        <v>0</v>
      </c>
      <c r="F28" s="888"/>
      <c r="G28" s="888"/>
    </row>
    <row r="29" spans="1:7" outlineLevel="1" x14ac:dyDescent="0.2">
      <c r="A29" s="85" t="s">
        <v>8731</v>
      </c>
      <c r="B29" s="1062" t="s">
        <v>23</v>
      </c>
      <c r="C29" s="29">
        <f t="shared" si="1"/>
        <v>0</v>
      </c>
      <c r="D29" s="6"/>
      <c r="E29" s="1063">
        <v>0</v>
      </c>
      <c r="F29" s="1063"/>
      <c r="G29" s="1063"/>
    </row>
    <row r="30" spans="1:7" outlineLevel="1" x14ac:dyDescent="0.2">
      <c r="C30" s="25"/>
      <c r="D30" s="6"/>
      <c r="E30" s="5"/>
      <c r="F30" s="5"/>
      <c r="G30" s="5"/>
    </row>
    <row r="31" spans="1:7" ht="11.4" x14ac:dyDescent="0.2">
      <c r="A31" s="31" t="s">
        <v>6671</v>
      </c>
      <c r="B31" s="680" t="s">
        <v>6674</v>
      </c>
      <c r="C31" s="11">
        <f>SUM(E31:AAA31)</f>
        <v>13999269.015036672</v>
      </c>
      <c r="D31" s="6"/>
      <c r="E31" s="12">
        <f>E5+E18</f>
        <v>13999269.015036672</v>
      </c>
      <c r="F31" s="12">
        <f>F5+F18</f>
        <v>0</v>
      </c>
      <c r="G31" s="12">
        <f>G5+G18</f>
        <v>0</v>
      </c>
    </row>
    <row r="33" spans="1:7" ht="11.4" outlineLevel="1" x14ac:dyDescent="0.2">
      <c r="A33" s="31" t="s">
        <v>6678</v>
      </c>
      <c r="B33" s="680" t="s">
        <v>6675</v>
      </c>
      <c r="C33" s="11">
        <f>SUM(E33:AAA33)</f>
        <v>8965276.4037980791</v>
      </c>
      <c r="D33" s="6"/>
      <c r="E33" s="12">
        <f>SUM(E34:E37)+E40+E44</f>
        <v>8965276.4037980791</v>
      </c>
      <c r="F33" s="12">
        <f>SUM(F34:F37)+F40+F44</f>
        <v>0</v>
      </c>
      <c r="G33" s="12">
        <f>SUM(G34:G37)+G40+G44</f>
        <v>0</v>
      </c>
    </row>
    <row r="34" spans="1:7" outlineLevel="1" x14ac:dyDescent="0.2">
      <c r="A34" s="7" t="s">
        <v>6679</v>
      </c>
      <c r="B34" s="14" t="s">
        <v>1</v>
      </c>
      <c r="C34" s="15">
        <f t="shared" ref="C34:C38" si="2">SUM(E34:AAA34)</f>
        <v>2130872.4909985922</v>
      </c>
      <c r="D34" s="6"/>
      <c r="E34" s="16">
        <f>E6*(1+'Parametri MTR-3'!$I$6)</f>
        <v>2130872.4909985922</v>
      </c>
      <c r="F34" s="16">
        <f>F6*(1+'Parametri MTR-3'!$I$6)</f>
        <v>0</v>
      </c>
      <c r="G34" s="16">
        <f>G6*(1+'Parametri MTR-3'!$I$6)</f>
        <v>0</v>
      </c>
    </row>
    <row r="35" spans="1:7" outlineLevel="1" x14ac:dyDescent="0.2">
      <c r="A35" s="7" t="s">
        <v>6680</v>
      </c>
      <c r="B35" s="14" t="s">
        <v>3</v>
      </c>
      <c r="C35" s="15">
        <f t="shared" si="2"/>
        <v>3485904.1645296006</v>
      </c>
      <c r="D35" s="6"/>
      <c r="E35" s="16">
        <f>E7*(1+'Parametri MTR-3'!$I$6)</f>
        <v>3485904.1645296006</v>
      </c>
      <c r="F35" s="16">
        <f>F7*(1+'Parametri MTR-3'!$I$6)</f>
        <v>0</v>
      </c>
      <c r="G35" s="16">
        <f>G7*(1+'Parametri MTR-3'!$I$6)</f>
        <v>0</v>
      </c>
    </row>
    <row r="36" spans="1:7" outlineLevel="1" x14ac:dyDescent="0.2">
      <c r="A36" s="7" t="s">
        <v>6681</v>
      </c>
      <c r="B36" s="14" t="s">
        <v>4</v>
      </c>
      <c r="C36" s="15">
        <f t="shared" si="2"/>
        <v>0</v>
      </c>
      <c r="D36" s="6"/>
      <c r="E36" s="16">
        <f>E8*(1+'Parametri MTR-3'!$I$6)</f>
        <v>0</v>
      </c>
      <c r="F36" s="16">
        <f>F8*(1+'Parametri MTR-3'!$I$6)</f>
        <v>0</v>
      </c>
      <c r="G36" s="16">
        <f>G8*(1+'Parametri MTR-3'!$I$6)</f>
        <v>0</v>
      </c>
    </row>
    <row r="37" spans="1:7" outlineLevel="1" x14ac:dyDescent="0.2">
      <c r="A37" s="7" t="s">
        <v>6682</v>
      </c>
      <c r="B37" s="14" t="s">
        <v>5</v>
      </c>
      <c r="C37" s="15">
        <f t="shared" si="2"/>
        <v>4316056.7455420792</v>
      </c>
      <c r="D37" s="6"/>
      <c r="E37" s="16">
        <f>E9*(1+'Parametri MTR-3'!$I$6)</f>
        <v>4316056.7455420792</v>
      </c>
      <c r="F37" s="16">
        <f>F9*(1+'Parametri MTR-3'!$I$6)</f>
        <v>0</v>
      </c>
      <c r="G37" s="16">
        <f>G9*(1+'Parametri MTR-3'!$I$6)</f>
        <v>0</v>
      </c>
    </row>
    <row r="38" spans="1:7" outlineLevel="1" x14ac:dyDescent="0.2">
      <c r="A38" s="7" t="s">
        <v>6683</v>
      </c>
      <c r="B38" s="14" t="s">
        <v>6</v>
      </c>
      <c r="C38" s="15">
        <f t="shared" si="2"/>
        <v>921314.18093510414</v>
      </c>
      <c r="D38" s="6"/>
      <c r="E38" s="16">
        <f>E10*(1+'Parametri MTR-3'!$I$6)</f>
        <v>921314.18093510414</v>
      </c>
      <c r="F38" s="16">
        <f>F10*(1+'Parametri MTR-3'!$I$6)</f>
        <v>0</v>
      </c>
      <c r="G38" s="16">
        <f>G10*(1+'Parametri MTR-3'!$I$6)</f>
        <v>0</v>
      </c>
    </row>
    <row r="39" spans="1:7" outlineLevel="1" x14ac:dyDescent="0.2">
      <c r="A39" s="85" t="s">
        <v>149</v>
      </c>
      <c r="B39" s="76" t="s">
        <v>7</v>
      </c>
      <c r="C39" s="885"/>
      <c r="D39" s="6"/>
      <c r="E39" s="890">
        <f>E11</f>
        <v>0.6</v>
      </c>
      <c r="F39" s="890">
        <f>F11</f>
        <v>0</v>
      </c>
      <c r="G39" s="890">
        <f>G11</f>
        <v>0</v>
      </c>
    </row>
    <row r="40" spans="1:7" outlineLevel="1" x14ac:dyDescent="0.2">
      <c r="A40" s="7" t="s">
        <v>6684</v>
      </c>
      <c r="B40" s="14" t="s">
        <v>6651</v>
      </c>
      <c r="C40" s="15">
        <f t="shared" ref="C40:C41" si="3">SUM(E40:AAA40)</f>
        <v>-552788.50856106251</v>
      </c>
      <c r="D40" s="6"/>
      <c r="E40" s="16">
        <f>-(E39*E38)</f>
        <v>-552788.50856106251</v>
      </c>
      <c r="F40" s="16">
        <f>-(F39*F38)</f>
        <v>0</v>
      </c>
      <c r="G40" s="16">
        <f>-(G39*G38)</f>
        <v>0</v>
      </c>
    </row>
    <row r="41" spans="1:7" ht="11.4" outlineLevel="1" x14ac:dyDescent="0.2">
      <c r="A41" s="7" t="s">
        <v>6685</v>
      </c>
      <c r="B41" s="14" t="s">
        <v>101</v>
      </c>
      <c r="C41" s="15">
        <f t="shared" si="3"/>
        <v>576067.34543212806</v>
      </c>
      <c r="D41" s="6"/>
      <c r="E41" s="16">
        <f>E13*(1+'Parametri MTR-3'!$I$6)</f>
        <v>576067.34543212806</v>
      </c>
      <c r="F41" s="16">
        <f>F13*(1+'Parametri MTR-3'!$I$6)</f>
        <v>0</v>
      </c>
      <c r="G41" s="16">
        <f>G13*(1+'Parametri MTR-3'!$I$6)</f>
        <v>0</v>
      </c>
    </row>
    <row r="42" spans="1:7" outlineLevel="1" x14ac:dyDescent="0.2">
      <c r="A42" s="85" t="s">
        <v>6653</v>
      </c>
      <c r="B42" s="76" t="s">
        <v>6654</v>
      </c>
      <c r="C42" s="885"/>
      <c r="D42" s="6"/>
      <c r="E42" s="890">
        <f>E14</f>
        <v>0.2</v>
      </c>
      <c r="F42" s="890">
        <f>F14</f>
        <v>0</v>
      </c>
      <c r="G42" s="890">
        <f>G14</f>
        <v>0</v>
      </c>
    </row>
    <row r="43" spans="1:7" outlineLevel="1" x14ac:dyDescent="0.2">
      <c r="A43" s="7" t="s">
        <v>6655</v>
      </c>
      <c r="B43" s="20" t="s">
        <v>6656</v>
      </c>
      <c r="C43" s="877"/>
      <c r="D43" s="6"/>
      <c r="E43" s="878">
        <f>(E39*(1+E42))</f>
        <v>0.72</v>
      </c>
      <c r="F43" s="878">
        <f>(F39*(1+F42))</f>
        <v>0</v>
      </c>
      <c r="G43" s="878">
        <f>(G39*(1+G42))</f>
        <v>0</v>
      </c>
    </row>
    <row r="44" spans="1:7" ht="11.4" outlineLevel="1" x14ac:dyDescent="0.2">
      <c r="A44" s="7" t="s">
        <v>6686</v>
      </c>
      <c r="B44" s="14" t="s">
        <v>6658</v>
      </c>
      <c r="C44" s="15">
        <f t="shared" ref="C44" si="4">SUM(E44:AAA44)</f>
        <v>-414768.4887111322</v>
      </c>
      <c r="D44" s="6"/>
      <c r="E44" s="16">
        <f>-(E43*E41)</f>
        <v>-414768.4887111322</v>
      </c>
      <c r="F44" s="16">
        <f>-(F43*F41)</f>
        <v>0</v>
      </c>
      <c r="G44" s="16">
        <f>-(G43*G41)</f>
        <v>0</v>
      </c>
    </row>
    <row r="45" spans="1:7" outlineLevel="1" x14ac:dyDescent="0.2">
      <c r="B45" s="24"/>
      <c r="C45" s="25"/>
      <c r="D45" s="6"/>
      <c r="E45" s="5"/>
      <c r="F45" s="5"/>
      <c r="G45" s="5"/>
    </row>
    <row r="46" spans="1:7" ht="11.4" outlineLevel="1" x14ac:dyDescent="0.2">
      <c r="A46" s="31" t="s">
        <v>6687</v>
      </c>
      <c r="B46" s="680" t="s">
        <v>6676</v>
      </c>
      <c r="C46" s="11">
        <f t="shared" ref="C46:C57" si="5">SUM(E46:AAA46)</f>
        <v>5313977.9915393284</v>
      </c>
      <c r="D46" s="6"/>
      <c r="E46" s="12">
        <f>E47+E52+E53</f>
        <v>5313977.9915393284</v>
      </c>
      <c r="F46" s="12">
        <f>F47+F52+F53</f>
        <v>0</v>
      </c>
      <c r="G46" s="12">
        <f>G47+G52+G53</f>
        <v>0</v>
      </c>
    </row>
    <row r="47" spans="1:7" outlineLevel="1" x14ac:dyDescent="0.2">
      <c r="A47" s="7" t="s">
        <v>6688</v>
      </c>
      <c r="B47" s="14" t="s">
        <v>11</v>
      </c>
      <c r="C47" s="15">
        <f t="shared" si="5"/>
        <v>2477954.5620825603</v>
      </c>
      <c r="D47" s="6"/>
      <c r="E47" s="16">
        <f>E19*(1+'Parametri MTR-3'!$I$6)</f>
        <v>2477954.5620825603</v>
      </c>
      <c r="F47" s="16">
        <f>F19*(1+'Parametri MTR-3'!$I$6)</f>
        <v>0</v>
      </c>
      <c r="G47" s="16">
        <f>G19*(1+'Parametri MTR-3'!$I$6)</f>
        <v>0</v>
      </c>
    </row>
    <row r="48" spans="1:7" outlineLevel="1" x14ac:dyDescent="0.2">
      <c r="A48" s="7" t="s">
        <v>6689</v>
      </c>
      <c r="B48" s="26" t="s">
        <v>13</v>
      </c>
      <c r="C48" s="27">
        <f t="shared" si="5"/>
        <v>688577.75892480009</v>
      </c>
      <c r="D48" s="6"/>
      <c r="E48" s="28">
        <f>E20*(1+'Parametri MTR-3'!$I$6)</f>
        <v>688577.75892480009</v>
      </c>
      <c r="F48" s="28">
        <f>F20*(1+'Parametri MTR-3'!$I$6)</f>
        <v>0</v>
      </c>
      <c r="G48" s="28">
        <f>G20*(1+'Parametri MTR-3'!$I$6)</f>
        <v>0</v>
      </c>
    </row>
    <row r="49" spans="1:7" outlineLevel="1" x14ac:dyDescent="0.2">
      <c r="A49" s="7" t="s">
        <v>6690</v>
      </c>
      <c r="B49" s="26" t="s">
        <v>14</v>
      </c>
      <c r="C49" s="27">
        <f t="shared" si="5"/>
        <v>1592565.6705319681</v>
      </c>
      <c r="D49" s="6"/>
      <c r="E49" s="28">
        <f>E21*(1+'Parametri MTR-3'!$I$6)</f>
        <v>1592565.6705319681</v>
      </c>
      <c r="F49" s="28">
        <f>F21*(1+'Parametri MTR-3'!$I$6)</f>
        <v>0</v>
      </c>
      <c r="G49" s="28">
        <f>G21*(1+'Parametri MTR-3'!$I$6)</f>
        <v>0</v>
      </c>
    </row>
    <row r="50" spans="1:7" outlineLevel="1" x14ac:dyDescent="0.2">
      <c r="A50" s="7" t="s">
        <v>6691</v>
      </c>
      <c r="B50" s="26" t="s">
        <v>15</v>
      </c>
      <c r="C50" s="27">
        <f t="shared" si="5"/>
        <v>0</v>
      </c>
      <c r="D50" s="6"/>
      <c r="E50" s="28">
        <f>E22*(1+'Parametri MTR-3'!$I$6)</f>
        <v>0</v>
      </c>
      <c r="F50" s="28">
        <f>F22*(1+'Parametri MTR-3'!$I$6)</f>
        <v>0</v>
      </c>
      <c r="G50" s="28">
        <f>G22*(1+'Parametri MTR-3'!$I$6)</f>
        <v>0</v>
      </c>
    </row>
    <row r="51" spans="1:7" ht="11.4" outlineLevel="1" x14ac:dyDescent="0.2">
      <c r="A51" s="7" t="s">
        <v>6692</v>
      </c>
      <c r="B51" s="52" t="s">
        <v>16</v>
      </c>
      <c r="C51" s="53">
        <f t="shared" si="5"/>
        <v>0</v>
      </c>
      <c r="D51" s="6"/>
      <c r="E51" s="54">
        <f>E23*(1+'Parametri MTR-3'!$I$6)</f>
        <v>0</v>
      </c>
      <c r="F51" s="54">
        <f>F23*(1+'Parametri MTR-3'!$I$6)</f>
        <v>0</v>
      </c>
      <c r="G51" s="54">
        <f>G23*(1+'Parametri MTR-3'!$I$6)</f>
        <v>0</v>
      </c>
    </row>
    <row r="52" spans="1:7" outlineLevel="1" x14ac:dyDescent="0.2">
      <c r="A52" s="7" t="s">
        <v>6693</v>
      </c>
      <c r="B52" s="879" t="s">
        <v>12</v>
      </c>
      <c r="C52" s="29">
        <f t="shared" si="5"/>
        <v>2281143.4294567681</v>
      </c>
      <c r="D52" s="6"/>
      <c r="E52" s="30">
        <f>SUM(E48:E51)</f>
        <v>2281143.4294567681</v>
      </c>
      <c r="F52" s="30">
        <f>SUM(F48:F51)</f>
        <v>0</v>
      </c>
      <c r="G52" s="30">
        <f>SUM(G48:G51)</f>
        <v>0</v>
      </c>
    </row>
    <row r="53" spans="1:7" outlineLevel="1" x14ac:dyDescent="0.2">
      <c r="A53" s="7" t="s">
        <v>8727</v>
      </c>
      <c r="B53" s="26" t="s">
        <v>19</v>
      </c>
      <c r="C53" s="704">
        <f t="shared" si="5"/>
        <v>554880</v>
      </c>
      <c r="D53" s="6"/>
      <c r="E53" s="706">
        <f>SUM(E54:E57)</f>
        <v>554880</v>
      </c>
      <c r="F53" s="706">
        <f>SUM(F54:F57)</f>
        <v>0</v>
      </c>
      <c r="G53" s="706">
        <f>SUM(G54:G57)</f>
        <v>0</v>
      </c>
    </row>
    <row r="54" spans="1:7" outlineLevel="1" x14ac:dyDescent="0.2">
      <c r="A54" s="85" t="s">
        <v>8732</v>
      </c>
      <c r="B54" s="1065" t="s">
        <v>20</v>
      </c>
      <c r="C54" s="1064">
        <f t="shared" si="5"/>
        <v>0</v>
      </c>
      <c r="D54" s="6"/>
      <c r="E54" s="28">
        <f>E26*(1+'Parametri MTR-3'!$I$6)</f>
        <v>0</v>
      </c>
      <c r="F54" s="28">
        <f>F26*(1+'Parametri MTR-3'!$I$6)</f>
        <v>0</v>
      </c>
      <c r="G54" s="28">
        <f>G26*(1+'Parametri MTR-3'!$I$6)</f>
        <v>0</v>
      </c>
    </row>
    <row r="55" spans="1:7" outlineLevel="1" x14ac:dyDescent="0.2">
      <c r="A55" s="85" t="s">
        <v>8733</v>
      </c>
      <c r="B55" s="1065" t="s">
        <v>21</v>
      </c>
      <c r="C55" s="27">
        <f t="shared" si="5"/>
        <v>554880</v>
      </c>
      <c r="D55" s="6"/>
      <c r="E55" s="28">
        <f>E27*(1+'Parametri MTR-3'!$I$6)</f>
        <v>554880</v>
      </c>
      <c r="F55" s="28">
        <f>F27*(1+'Parametri MTR-3'!$I$6)</f>
        <v>0</v>
      </c>
      <c r="G55" s="28">
        <f>G27*(1+'Parametri MTR-3'!$I$6)</f>
        <v>0</v>
      </c>
    </row>
    <row r="56" spans="1:7" outlineLevel="1" x14ac:dyDescent="0.2">
      <c r="A56" s="85" t="s">
        <v>8734</v>
      </c>
      <c r="B56" s="1065" t="s">
        <v>22</v>
      </c>
      <c r="C56" s="27">
        <f t="shared" si="5"/>
        <v>0</v>
      </c>
      <c r="D56" s="6"/>
      <c r="E56" s="28">
        <f>E28*(1+'Parametri MTR-3'!$I$6)</f>
        <v>0</v>
      </c>
      <c r="F56" s="28">
        <f>F28*(1+'Parametri MTR-3'!$I$6)</f>
        <v>0</v>
      </c>
      <c r="G56" s="28">
        <f>G28*(1+'Parametri MTR-3'!$I$6)</f>
        <v>0</v>
      </c>
    </row>
    <row r="57" spans="1:7" outlineLevel="1" x14ac:dyDescent="0.2">
      <c r="A57" s="85" t="s">
        <v>8735</v>
      </c>
      <c r="B57" s="485" t="s">
        <v>23</v>
      </c>
      <c r="C57" s="29">
        <f t="shared" si="5"/>
        <v>0</v>
      </c>
      <c r="D57" s="6"/>
      <c r="E57" s="30">
        <f>E29*(1+'Parametri MTR-3'!$I$6)</f>
        <v>0</v>
      </c>
      <c r="F57" s="30">
        <f>F29*(1+'Parametri MTR-3'!$I$6)</f>
        <v>0</v>
      </c>
      <c r="G57" s="30">
        <f>G29*(1+'Parametri MTR-3'!$I$6)</f>
        <v>0</v>
      </c>
    </row>
    <row r="58" spans="1:7" outlineLevel="1" x14ac:dyDescent="0.2">
      <c r="C58" s="25"/>
      <c r="D58" s="6"/>
      <c r="E58" s="5"/>
      <c r="F58" s="5"/>
      <c r="G58" s="5"/>
    </row>
    <row r="59" spans="1:7" ht="11.4" x14ac:dyDescent="0.2">
      <c r="A59" s="31" t="s">
        <v>6694</v>
      </c>
      <c r="B59" s="680" t="s">
        <v>6677</v>
      </c>
      <c r="C59" s="11">
        <f>SUM(E59:AAA59)</f>
        <v>14279254.395337407</v>
      </c>
      <c r="D59" s="6"/>
      <c r="E59" s="12">
        <f>E33+E46</f>
        <v>14279254.395337407</v>
      </c>
      <c r="F59" s="12">
        <f>F33+F46</f>
        <v>0</v>
      </c>
      <c r="G59" s="12">
        <f>G33+G46</f>
        <v>0</v>
      </c>
    </row>
    <row r="62" spans="1:7" ht="11.4" x14ac:dyDescent="0.2">
      <c r="A62" s="31" t="s">
        <v>6669</v>
      </c>
      <c r="B62" s="173" t="s">
        <v>6695</v>
      </c>
      <c r="C62" s="893">
        <f t="shared" ref="C62:C68" si="6">SUM(E62:AAA62)</f>
        <v>8789486.6703902725</v>
      </c>
      <c r="D62" s="891"/>
      <c r="E62" s="893">
        <f>E5</f>
        <v>8789486.6703902725</v>
      </c>
      <c r="F62" s="893">
        <f>F5</f>
        <v>0</v>
      </c>
      <c r="G62" s="893">
        <f>G5</f>
        <v>0</v>
      </c>
    </row>
    <row r="63" spans="1:7" ht="11.4" x14ac:dyDescent="0.2">
      <c r="A63" s="31" t="s">
        <v>6678</v>
      </c>
      <c r="B63" s="175" t="s">
        <v>6696</v>
      </c>
      <c r="C63" s="894">
        <f t="shared" si="6"/>
        <v>8965276.4037980791</v>
      </c>
      <c r="D63" s="891"/>
      <c r="E63" s="894">
        <f>E33</f>
        <v>8965276.4037980791</v>
      </c>
      <c r="F63" s="894">
        <f>F33</f>
        <v>0</v>
      </c>
      <c r="G63" s="894">
        <f>G33</f>
        <v>0</v>
      </c>
    </row>
    <row r="64" spans="1:7" ht="11.4" x14ac:dyDescent="0.2">
      <c r="A64" s="7" t="s">
        <v>6751</v>
      </c>
      <c r="B64" s="145" t="s">
        <v>6697</v>
      </c>
      <c r="C64" s="895">
        <f t="shared" si="6"/>
        <v>175789.73340780661</v>
      </c>
      <c r="D64" s="892"/>
      <c r="E64" s="895">
        <f>E63-E62</f>
        <v>175789.73340780661</v>
      </c>
      <c r="F64" s="895">
        <f>F63-F62</f>
        <v>0</v>
      </c>
      <c r="G64" s="895">
        <f>G63-G62</f>
        <v>0</v>
      </c>
    </row>
    <row r="65" spans="1:7" x14ac:dyDescent="0.2">
      <c r="B65" s="147"/>
      <c r="C65" s="905"/>
      <c r="D65" s="147"/>
      <c r="E65" s="905"/>
      <c r="F65" s="905"/>
      <c r="G65" s="905"/>
    </row>
    <row r="66" spans="1:7" ht="11.4" x14ac:dyDescent="0.25">
      <c r="A66" s="7" t="s">
        <v>2786</v>
      </c>
      <c r="B66" s="198" t="s">
        <v>2804</v>
      </c>
      <c r="C66" s="1089">
        <f t="shared" si="6"/>
        <v>0</v>
      </c>
      <c r="D66" s="147"/>
      <c r="E66" s="1101"/>
      <c r="F66" s="908">
        <v>0</v>
      </c>
      <c r="G66" s="908">
        <v>0</v>
      </c>
    </row>
    <row r="67" spans="1:7" ht="11.4" x14ac:dyDescent="0.25">
      <c r="A67" s="7" t="s">
        <v>2795</v>
      </c>
      <c r="B67" s="199" t="s">
        <v>2813</v>
      </c>
      <c r="C67" s="1090">
        <f t="shared" si="6"/>
        <v>175789.73340780661</v>
      </c>
      <c r="D67" s="147"/>
      <c r="E67" s="1102">
        <f>+E64</f>
        <v>175789.73340780661</v>
      </c>
      <c r="F67" s="909">
        <v>0</v>
      </c>
      <c r="G67" s="909">
        <v>0</v>
      </c>
    </row>
    <row r="68" spans="1:7" x14ac:dyDescent="0.2">
      <c r="B68" s="907" t="s">
        <v>632</v>
      </c>
      <c r="C68" s="906">
        <f t="shared" si="6"/>
        <v>0</v>
      </c>
      <c r="E68" s="906">
        <f>SUM(E66:E67)-E64</f>
        <v>0</v>
      </c>
      <c r="F68" s="906">
        <f>SUM(F66:F67)-F64</f>
        <v>0</v>
      </c>
      <c r="G68" s="906">
        <f>SUM(G66:G67)-G64</f>
        <v>0</v>
      </c>
    </row>
    <row r="69" spans="1:7" x14ac:dyDescent="0.2">
      <c r="C69" s="1091"/>
    </row>
    <row r="70" spans="1:7" ht="11.4" x14ac:dyDescent="0.2">
      <c r="A70" s="31" t="s">
        <v>6670</v>
      </c>
      <c r="B70" s="173" t="s">
        <v>6698</v>
      </c>
      <c r="C70" s="893">
        <f t="shared" ref="C70:C72" si="7">SUM(E70:AAA70)</f>
        <v>5209782.3446463998</v>
      </c>
      <c r="D70" s="891"/>
      <c r="E70" s="893">
        <f>E18</f>
        <v>5209782.3446463998</v>
      </c>
      <c r="F70" s="893">
        <f>F18</f>
        <v>0</v>
      </c>
      <c r="G70" s="893">
        <f>G18</f>
        <v>0</v>
      </c>
    </row>
    <row r="71" spans="1:7" ht="11.4" x14ac:dyDescent="0.2">
      <c r="A71" s="31" t="s">
        <v>6687</v>
      </c>
      <c r="B71" s="175" t="s">
        <v>6699</v>
      </c>
      <c r="C71" s="894">
        <f t="shared" si="7"/>
        <v>5313977.9915393284</v>
      </c>
      <c r="D71" s="891"/>
      <c r="E71" s="894">
        <f>E46</f>
        <v>5313977.9915393284</v>
      </c>
      <c r="F71" s="894">
        <f>F46</f>
        <v>0</v>
      </c>
      <c r="G71" s="894">
        <f>G46</f>
        <v>0</v>
      </c>
    </row>
    <row r="72" spans="1:7" ht="11.4" x14ac:dyDescent="0.2">
      <c r="A72" s="7" t="s">
        <v>6752</v>
      </c>
      <c r="B72" s="145" t="s">
        <v>6749</v>
      </c>
      <c r="C72" s="895">
        <f t="shared" si="7"/>
        <v>104195.64689292852</v>
      </c>
      <c r="D72" s="892"/>
      <c r="E72" s="895">
        <f>E71-E70</f>
        <v>104195.64689292852</v>
      </c>
      <c r="F72" s="895">
        <f>F71-F70</f>
        <v>0</v>
      </c>
      <c r="G72" s="895">
        <f>G71-G70</f>
        <v>0</v>
      </c>
    </row>
    <row r="73" spans="1:7" x14ac:dyDescent="0.2">
      <c r="C73" s="1092"/>
    </row>
    <row r="74" spans="1:7" ht="11.4" x14ac:dyDescent="0.25">
      <c r="A74" s="7" t="s">
        <v>2789</v>
      </c>
      <c r="B74" s="440" t="s">
        <v>6757</v>
      </c>
      <c r="C74" s="1089">
        <f t="shared" ref="C74:C76" si="8">SUM(E74:AAA74)</f>
        <v>0</v>
      </c>
      <c r="D74" s="147"/>
      <c r="E74" s="1101"/>
      <c r="F74" s="908">
        <v>0</v>
      </c>
      <c r="G74" s="908">
        <v>0</v>
      </c>
    </row>
    <row r="75" spans="1:7" ht="11.4" x14ac:dyDescent="0.25">
      <c r="A75" s="7" t="s">
        <v>2798</v>
      </c>
      <c r="B75" s="443" t="s">
        <v>6758</v>
      </c>
      <c r="C75" s="1090">
        <f t="shared" si="8"/>
        <v>104195.64689292852</v>
      </c>
      <c r="D75" s="147"/>
      <c r="E75" s="1102">
        <f>+E72</f>
        <v>104195.64689292852</v>
      </c>
      <c r="F75" s="909">
        <v>0</v>
      </c>
      <c r="G75" s="909">
        <v>0</v>
      </c>
    </row>
    <row r="76" spans="1:7" x14ac:dyDescent="0.2">
      <c r="B76" s="907" t="s">
        <v>632</v>
      </c>
      <c r="C76" s="906">
        <f t="shared" si="8"/>
        <v>0</v>
      </c>
      <c r="E76" s="906">
        <f>SUM(E74:E75)-E72</f>
        <v>0</v>
      </c>
      <c r="F76" s="906">
        <f>SUM(F74:F75)-F72</f>
        <v>0</v>
      </c>
      <c r="G76" s="906">
        <f>SUM(G74:G75)-G72</f>
        <v>0</v>
      </c>
    </row>
    <row r="78" spans="1:7" x14ac:dyDescent="0.2">
      <c r="B78" s="1094" t="s">
        <v>8803</v>
      </c>
    </row>
  </sheetData>
  <sheetProtection formatColumns="0" formatRows="0"/>
  <pageMargins left="0.70866141732283472" right="0.70866141732283472" top="0.74803149606299213" bottom="0.74803149606299213" header="0.31496062992125984" footer="0.31496062992125984"/>
  <pageSetup paperSize="9" scale="26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E49B3-F401-430A-8A87-B532B47C079D}">
  <sheetPr codeName="Foglio9">
    <tabColor rgb="FFFFFFCC"/>
    <pageSetUpPr fitToPage="1"/>
  </sheetPr>
  <dimension ref="A1:G76"/>
  <sheetViews>
    <sheetView showGridLines="0" zoomScaleNormal="100" workbookViewId="0">
      <pane xSplit="4" ySplit="3" topLeftCell="E4" activePane="bottomRight" state="frozen"/>
      <selection activeCell="H30" sqref="H30"/>
      <selection pane="topRight" activeCell="H30" sqref="H30"/>
      <selection pane="bottomLeft" activeCell="H30" sqref="H30"/>
      <selection pane="bottomRight" activeCell="F5" sqref="F5"/>
    </sheetView>
  </sheetViews>
  <sheetFormatPr defaultColWidth="17.6640625" defaultRowHeight="10.199999999999999" outlineLevelRow="1" x14ac:dyDescent="0.2"/>
  <cols>
    <col min="1" max="1" width="22.44140625" style="7" bestFit="1" customWidth="1"/>
    <col min="2" max="2" width="94" style="5" bestFit="1" customWidth="1"/>
    <col min="3" max="3" width="10.33203125" style="3" bestFit="1" customWidth="1"/>
    <col min="4" max="4" width="1.5546875" style="2" customWidth="1"/>
    <col min="5" max="5" width="11.5546875" style="4" bestFit="1" customWidth="1"/>
    <col min="6" max="6" width="12.5546875" style="4" bestFit="1" customWidth="1"/>
    <col min="7" max="7" width="8.5546875" style="4" bestFit="1" customWidth="1"/>
    <col min="8" max="16384" width="17.6640625" style="5"/>
  </cols>
  <sheetData>
    <row r="1" spans="1:7" ht="11.4" x14ac:dyDescent="0.25">
      <c r="B1" s="898" t="s">
        <v>6740</v>
      </c>
    </row>
    <row r="2" spans="1:7" x14ac:dyDescent="0.2">
      <c r="B2" s="911"/>
    </row>
    <row r="3" spans="1:7" s="359" customFormat="1" ht="20.399999999999999" x14ac:dyDescent="0.2">
      <c r="A3" s="356"/>
      <c r="B3" s="357"/>
      <c r="C3" s="358" t="s">
        <v>0</v>
      </c>
      <c r="D3" s="357"/>
      <c r="E3" s="358" t="str">
        <f>Ambiti!B4</f>
        <v>BUSTO ARSIZIO</v>
      </c>
      <c r="F3" s="358" t="str">
        <f>Ambiti!C4</f>
        <v>FAGNANO OLONA</v>
      </c>
      <c r="G3" s="358" t="str">
        <f>Ambiti!D4</f>
        <v>VENEGONO SUPERIORE</v>
      </c>
    </row>
    <row r="5" spans="1:7" ht="11.4" outlineLevel="1" x14ac:dyDescent="0.2">
      <c r="A5" s="31" t="s">
        <v>6707</v>
      </c>
      <c r="B5" s="700" t="s">
        <v>6701</v>
      </c>
      <c r="C5" s="896">
        <f>SUM(E5:AAA5)</f>
        <v>0</v>
      </c>
      <c r="D5" s="6"/>
      <c r="E5" s="897">
        <f>SUM(E6:E9)+E12+E16</f>
        <v>0</v>
      </c>
      <c r="F5" s="897">
        <f>SUM(F6:F9)+F12+F16</f>
        <v>0</v>
      </c>
      <c r="G5" s="897">
        <f>SUM(G6:G9)+G12+G16</f>
        <v>0</v>
      </c>
    </row>
    <row r="6" spans="1:7" outlineLevel="1" x14ac:dyDescent="0.2">
      <c r="A6" s="7" t="s">
        <v>6708</v>
      </c>
      <c r="B6" s="880" t="s">
        <v>1</v>
      </c>
      <c r="C6" s="15">
        <f t="shared" ref="C6:C16" si="0">SUM(E6:AAA6)</f>
        <v>0</v>
      </c>
      <c r="D6" s="6"/>
      <c r="E6" s="882"/>
      <c r="F6" s="882"/>
      <c r="G6" s="882"/>
    </row>
    <row r="7" spans="1:7" outlineLevel="1" x14ac:dyDescent="0.2">
      <c r="A7" s="7" t="s">
        <v>6709</v>
      </c>
      <c r="B7" s="880" t="s">
        <v>3</v>
      </c>
      <c r="C7" s="15">
        <f t="shared" si="0"/>
        <v>0</v>
      </c>
      <c r="D7" s="6"/>
      <c r="E7" s="882"/>
      <c r="F7" s="882"/>
      <c r="G7" s="882"/>
    </row>
    <row r="8" spans="1:7" outlineLevel="1" x14ac:dyDescent="0.2">
      <c r="A8" s="7" t="s">
        <v>6710</v>
      </c>
      <c r="B8" s="880" t="s">
        <v>4</v>
      </c>
      <c r="C8" s="15">
        <f t="shared" si="0"/>
        <v>0</v>
      </c>
      <c r="D8" s="6"/>
      <c r="E8" s="882"/>
      <c r="F8" s="882"/>
      <c r="G8" s="882"/>
    </row>
    <row r="9" spans="1:7" outlineLevel="1" x14ac:dyDescent="0.2">
      <c r="A9" s="7" t="s">
        <v>6711</v>
      </c>
      <c r="B9" s="880" t="s">
        <v>5</v>
      </c>
      <c r="C9" s="15">
        <f t="shared" si="0"/>
        <v>0</v>
      </c>
      <c r="D9" s="6"/>
      <c r="E9" s="882"/>
      <c r="F9" s="882"/>
      <c r="G9" s="882"/>
    </row>
    <row r="10" spans="1:7" outlineLevel="1" x14ac:dyDescent="0.2">
      <c r="A10" s="7" t="s">
        <v>211</v>
      </c>
      <c r="B10" s="880" t="s">
        <v>6</v>
      </c>
      <c r="C10" s="15">
        <f t="shared" si="0"/>
        <v>0</v>
      </c>
      <c r="D10" s="6"/>
      <c r="E10" s="882"/>
      <c r="F10" s="882"/>
      <c r="G10" s="882"/>
    </row>
    <row r="11" spans="1:7" outlineLevel="1" x14ac:dyDescent="0.2">
      <c r="A11" s="85" t="s">
        <v>149</v>
      </c>
      <c r="B11" s="881" t="s">
        <v>7</v>
      </c>
      <c r="C11" s="885"/>
      <c r="D11" s="19"/>
      <c r="E11" s="883"/>
      <c r="F11" s="883"/>
      <c r="G11" s="883"/>
    </row>
    <row r="12" spans="1:7" outlineLevel="1" x14ac:dyDescent="0.2">
      <c r="A12" s="7" t="s">
        <v>6712</v>
      </c>
      <c r="B12" s="14" t="s">
        <v>6651</v>
      </c>
      <c r="C12" s="15">
        <f t="shared" si="0"/>
        <v>0</v>
      </c>
      <c r="D12" s="6"/>
      <c r="E12" s="16">
        <f>-(E11*E10)</f>
        <v>0</v>
      </c>
      <c r="F12" s="16">
        <f>-(F11*F10)</f>
        <v>0</v>
      </c>
      <c r="G12" s="16">
        <f>-(G11*G10)</f>
        <v>0</v>
      </c>
    </row>
    <row r="13" spans="1:7" ht="11.4" outlineLevel="1" x14ac:dyDescent="0.2">
      <c r="A13" s="7" t="s">
        <v>212</v>
      </c>
      <c r="B13" s="880" t="s">
        <v>101</v>
      </c>
      <c r="C13" s="15">
        <f t="shared" si="0"/>
        <v>0</v>
      </c>
      <c r="D13" s="6"/>
      <c r="E13" s="882"/>
      <c r="F13" s="882"/>
      <c r="G13" s="882"/>
    </row>
    <row r="14" spans="1:7" outlineLevel="1" x14ac:dyDescent="0.2">
      <c r="A14" s="85" t="s">
        <v>6653</v>
      </c>
      <c r="B14" s="884" t="s">
        <v>6654</v>
      </c>
      <c r="C14" s="885"/>
      <c r="D14" s="6"/>
      <c r="E14" s="883"/>
      <c r="F14" s="883"/>
      <c r="G14" s="883"/>
    </row>
    <row r="15" spans="1:7" outlineLevel="1" x14ac:dyDescent="0.2">
      <c r="A15" s="7" t="s">
        <v>6713</v>
      </c>
      <c r="B15" s="20" t="s">
        <v>6656</v>
      </c>
      <c r="C15" s="877"/>
      <c r="D15" s="6"/>
      <c r="E15" s="878">
        <f>(E11*(1+E14))</f>
        <v>0</v>
      </c>
      <c r="F15" s="878">
        <f>(F11*(1+F14))</f>
        <v>0</v>
      </c>
      <c r="G15" s="878">
        <f>(G11*(1+G14))</f>
        <v>0</v>
      </c>
    </row>
    <row r="16" spans="1:7" ht="11.4" outlineLevel="1" x14ac:dyDescent="0.2">
      <c r="A16" s="7" t="s">
        <v>6714</v>
      </c>
      <c r="B16" s="14" t="s">
        <v>6658</v>
      </c>
      <c r="C16" s="15">
        <f t="shared" si="0"/>
        <v>0</v>
      </c>
      <c r="D16" s="6"/>
      <c r="E16" s="16">
        <f>-(E15*E13)</f>
        <v>0</v>
      </c>
      <c r="F16" s="16">
        <f>-(F15*F13)</f>
        <v>0</v>
      </c>
      <c r="G16" s="16">
        <f>-(G15*G13)</f>
        <v>0</v>
      </c>
    </row>
    <row r="17" spans="1:7" outlineLevel="1" x14ac:dyDescent="0.2">
      <c r="B17" s="24"/>
      <c r="C17" s="25"/>
      <c r="D17" s="6"/>
      <c r="E17" s="5"/>
      <c r="F17" s="5"/>
      <c r="G17" s="5"/>
    </row>
    <row r="18" spans="1:7" ht="11.4" outlineLevel="1" x14ac:dyDescent="0.2">
      <c r="A18" s="31" t="s">
        <v>6715</v>
      </c>
      <c r="B18" s="700" t="s">
        <v>6702</v>
      </c>
      <c r="C18" s="896">
        <f t="shared" ref="C18:C29" si="1">SUM(E18:AAA18)</f>
        <v>0</v>
      </c>
      <c r="D18" s="6"/>
      <c r="E18" s="897">
        <f>E19+E24+E25</f>
        <v>0</v>
      </c>
      <c r="F18" s="897">
        <f>F19+F24+F25</f>
        <v>0</v>
      </c>
      <c r="G18" s="897">
        <f>G19+G24+G25</f>
        <v>0</v>
      </c>
    </row>
    <row r="19" spans="1:7" outlineLevel="1" x14ac:dyDescent="0.2">
      <c r="A19" s="7" t="s">
        <v>6716</v>
      </c>
      <c r="B19" s="880" t="s">
        <v>11</v>
      </c>
      <c r="C19" s="15">
        <f t="shared" si="1"/>
        <v>0</v>
      </c>
      <c r="D19" s="6"/>
      <c r="E19" s="882"/>
      <c r="F19" s="882"/>
      <c r="G19" s="882"/>
    </row>
    <row r="20" spans="1:7" outlineLevel="1" x14ac:dyDescent="0.2">
      <c r="A20" s="7" t="s">
        <v>6717</v>
      </c>
      <c r="B20" s="886" t="s">
        <v>13</v>
      </c>
      <c r="C20" s="27">
        <f t="shared" si="1"/>
        <v>0</v>
      </c>
      <c r="D20" s="6"/>
      <c r="E20" s="888"/>
      <c r="F20" s="888"/>
      <c r="G20" s="888"/>
    </row>
    <row r="21" spans="1:7" outlineLevel="1" x14ac:dyDescent="0.2">
      <c r="A21" s="7" t="s">
        <v>6718</v>
      </c>
      <c r="B21" s="886" t="s">
        <v>14</v>
      </c>
      <c r="C21" s="27">
        <f t="shared" si="1"/>
        <v>0</v>
      </c>
      <c r="D21" s="6"/>
      <c r="E21" s="888"/>
      <c r="F21" s="888"/>
      <c r="G21" s="888"/>
    </row>
    <row r="22" spans="1:7" outlineLevel="1" x14ac:dyDescent="0.2">
      <c r="A22" s="7" t="s">
        <v>6719</v>
      </c>
      <c r="B22" s="886" t="s">
        <v>15</v>
      </c>
      <c r="C22" s="27">
        <f t="shared" si="1"/>
        <v>0</v>
      </c>
      <c r="D22" s="6"/>
      <c r="E22" s="888"/>
      <c r="F22" s="888"/>
      <c r="G22" s="888"/>
    </row>
    <row r="23" spans="1:7" ht="11.4" outlineLevel="1" x14ac:dyDescent="0.2">
      <c r="A23" s="7" t="s">
        <v>6720</v>
      </c>
      <c r="B23" s="887" t="s">
        <v>16</v>
      </c>
      <c r="C23" s="53">
        <f t="shared" si="1"/>
        <v>0</v>
      </c>
      <c r="D23" s="6"/>
      <c r="E23" s="889"/>
      <c r="F23" s="889"/>
      <c r="G23" s="889"/>
    </row>
    <row r="24" spans="1:7" outlineLevel="1" x14ac:dyDescent="0.2">
      <c r="A24" s="7" t="s">
        <v>6721</v>
      </c>
      <c r="B24" s="879" t="s">
        <v>12</v>
      </c>
      <c r="C24" s="29">
        <f t="shared" si="1"/>
        <v>0</v>
      </c>
      <c r="D24" s="6"/>
      <c r="E24" s="30">
        <f>SUM(E20:E23)</f>
        <v>0</v>
      </c>
      <c r="F24" s="30">
        <f>SUM(F20:F23)</f>
        <v>0</v>
      </c>
      <c r="G24" s="30">
        <f>SUM(G20:G23)</f>
        <v>0</v>
      </c>
    </row>
    <row r="25" spans="1:7" outlineLevel="1" x14ac:dyDescent="0.2">
      <c r="A25" s="7" t="s">
        <v>8736</v>
      </c>
      <c r="B25" s="26" t="s">
        <v>19</v>
      </c>
      <c r="C25" s="704">
        <f t="shared" si="1"/>
        <v>0</v>
      </c>
      <c r="D25" s="6"/>
      <c r="E25" s="706">
        <f>SUM(E26:E29)</f>
        <v>0</v>
      </c>
      <c r="F25" s="706">
        <f>SUM(F26:F29)</f>
        <v>0</v>
      </c>
      <c r="G25" s="706">
        <f>SUM(G26:G29)</f>
        <v>0</v>
      </c>
    </row>
    <row r="26" spans="1:7" outlineLevel="1" x14ac:dyDescent="0.2">
      <c r="A26" s="85" t="s">
        <v>8737</v>
      </c>
      <c r="B26" s="1061" t="s">
        <v>20</v>
      </c>
      <c r="C26" s="1064">
        <f t="shared" si="1"/>
        <v>0</v>
      </c>
      <c r="D26" s="6"/>
      <c r="E26" s="888"/>
      <c r="F26" s="888"/>
      <c r="G26" s="888"/>
    </row>
    <row r="27" spans="1:7" outlineLevel="1" x14ac:dyDescent="0.2">
      <c r="A27" s="85" t="s">
        <v>8738</v>
      </c>
      <c r="B27" s="1061" t="s">
        <v>21</v>
      </c>
      <c r="C27" s="27">
        <f t="shared" si="1"/>
        <v>0</v>
      </c>
      <c r="D27" s="6"/>
      <c r="E27" s="888"/>
      <c r="F27" s="888"/>
      <c r="G27" s="888"/>
    </row>
    <row r="28" spans="1:7" outlineLevel="1" x14ac:dyDescent="0.2">
      <c r="A28" s="85" t="s">
        <v>8739</v>
      </c>
      <c r="B28" s="1061" t="s">
        <v>22</v>
      </c>
      <c r="C28" s="27">
        <f t="shared" si="1"/>
        <v>0</v>
      </c>
      <c r="D28" s="6"/>
      <c r="E28" s="888"/>
      <c r="F28" s="888"/>
      <c r="G28" s="888"/>
    </row>
    <row r="29" spans="1:7" outlineLevel="1" x14ac:dyDescent="0.2">
      <c r="A29" s="85" t="s">
        <v>8740</v>
      </c>
      <c r="B29" s="1062" t="s">
        <v>23</v>
      </c>
      <c r="C29" s="29">
        <f t="shared" si="1"/>
        <v>0</v>
      </c>
      <c r="D29" s="6"/>
      <c r="E29" s="1063"/>
      <c r="F29" s="1063"/>
      <c r="G29" s="1063"/>
    </row>
    <row r="30" spans="1:7" outlineLevel="1" x14ac:dyDescent="0.2">
      <c r="C30" s="25"/>
      <c r="D30" s="6"/>
      <c r="E30" s="5"/>
      <c r="F30" s="5"/>
      <c r="G30" s="5"/>
    </row>
    <row r="31" spans="1:7" ht="11.4" x14ac:dyDescent="0.2">
      <c r="A31" s="31" t="s">
        <v>6722</v>
      </c>
      <c r="B31" s="700" t="s">
        <v>6703</v>
      </c>
      <c r="C31" s="896">
        <f>SUM(E31:AAA31)</f>
        <v>0</v>
      </c>
      <c r="D31" s="6"/>
      <c r="E31" s="897">
        <f>E5+E18</f>
        <v>0</v>
      </c>
      <c r="F31" s="897">
        <f>F5+F18</f>
        <v>0</v>
      </c>
      <c r="G31" s="897">
        <f>G5+G18</f>
        <v>0</v>
      </c>
    </row>
    <row r="33" spans="1:7" ht="11.4" outlineLevel="1" x14ac:dyDescent="0.2">
      <c r="A33" s="31" t="s">
        <v>6723</v>
      </c>
      <c r="B33" s="700" t="s">
        <v>6704</v>
      </c>
      <c r="C33" s="896">
        <f>SUM(E33:AAA33)</f>
        <v>0</v>
      </c>
      <c r="D33" s="6"/>
      <c r="E33" s="897">
        <f>SUM(E34:E37)+E40+E44</f>
        <v>0</v>
      </c>
      <c r="F33" s="897">
        <f>SUM(F34:F37)+F40+F44</f>
        <v>0</v>
      </c>
      <c r="G33" s="897">
        <f>SUM(G34:G37)+G40+G44</f>
        <v>0</v>
      </c>
    </row>
    <row r="34" spans="1:7" outlineLevel="1" x14ac:dyDescent="0.2">
      <c r="A34" s="7" t="s">
        <v>6724</v>
      </c>
      <c r="B34" s="14" t="s">
        <v>1</v>
      </c>
      <c r="C34" s="15">
        <f t="shared" ref="C34:C38" si="2">SUM(E34:AAA34)</f>
        <v>0</v>
      </c>
      <c r="D34" s="6"/>
      <c r="E34" s="16">
        <f>E6*(1+'Parametri MTR-3'!$I$6)</f>
        <v>0</v>
      </c>
      <c r="F34" s="16">
        <f>F6*(1+'Parametri MTR-3'!$I$6)</f>
        <v>0</v>
      </c>
      <c r="G34" s="16">
        <f>G6*(1+'Parametri MTR-3'!$I$6)</f>
        <v>0</v>
      </c>
    </row>
    <row r="35" spans="1:7" outlineLevel="1" x14ac:dyDescent="0.2">
      <c r="A35" s="7" t="s">
        <v>6725</v>
      </c>
      <c r="B35" s="14" t="s">
        <v>3</v>
      </c>
      <c r="C35" s="15">
        <f t="shared" si="2"/>
        <v>0</v>
      </c>
      <c r="D35" s="6"/>
      <c r="E35" s="16">
        <f>E7*(1+'Parametri MTR-3'!$I$6)</f>
        <v>0</v>
      </c>
      <c r="F35" s="16">
        <f>F7*(1+'Parametri MTR-3'!$I$6)</f>
        <v>0</v>
      </c>
      <c r="G35" s="16">
        <f>G7*(1+'Parametri MTR-3'!$I$6)</f>
        <v>0</v>
      </c>
    </row>
    <row r="36" spans="1:7" outlineLevel="1" x14ac:dyDescent="0.2">
      <c r="A36" s="7" t="s">
        <v>6726</v>
      </c>
      <c r="B36" s="14" t="s">
        <v>4</v>
      </c>
      <c r="C36" s="15">
        <f t="shared" si="2"/>
        <v>0</v>
      </c>
      <c r="D36" s="6"/>
      <c r="E36" s="16">
        <f>E8*(1+'Parametri MTR-3'!$I$6)</f>
        <v>0</v>
      </c>
      <c r="F36" s="16">
        <f>F8*(1+'Parametri MTR-3'!$I$6)</f>
        <v>0</v>
      </c>
      <c r="G36" s="16">
        <f>G8*(1+'Parametri MTR-3'!$I$6)</f>
        <v>0</v>
      </c>
    </row>
    <row r="37" spans="1:7" outlineLevel="1" x14ac:dyDescent="0.2">
      <c r="A37" s="7" t="s">
        <v>6727</v>
      </c>
      <c r="B37" s="14" t="s">
        <v>5</v>
      </c>
      <c r="C37" s="15">
        <f t="shared" si="2"/>
        <v>0</v>
      </c>
      <c r="D37" s="6"/>
      <c r="E37" s="16">
        <f>E9*(1+'Parametri MTR-3'!$I$6)</f>
        <v>0</v>
      </c>
      <c r="F37" s="16">
        <f>F9*(1+'Parametri MTR-3'!$I$6)</f>
        <v>0</v>
      </c>
      <c r="G37" s="16">
        <f>G9*(1+'Parametri MTR-3'!$I$6)</f>
        <v>0</v>
      </c>
    </row>
    <row r="38" spans="1:7" outlineLevel="1" x14ac:dyDescent="0.2">
      <c r="A38" s="7" t="s">
        <v>6728</v>
      </c>
      <c r="B38" s="14" t="s">
        <v>6</v>
      </c>
      <c r="C38" s="15">
        <f t="shared" si="2"/>
        <v>0</v>
      </c>
      <c r="D38" s="6"/>
      <c r="E38" s="16">
        <f>E10*(1+'Parametri MTR-3'!$I$6)</f>
        <v>0</v>
      </c>
      <c r="F38" s="16">
        <f>F10*(1+'Parametri MTR-3'!$I$6)</f>
        <v>0</v>
      </c>
      <c r="G38" s="16">
        <f>G10*(1+'Parametri MTR-3'!$I$6)</f>
        <v>0</v>
      </c>
    </row>
    <row r="39" spans="1:7" outlineLevel="1" x14ac:dyDescent="0.2">
      <c r="A39" s="85" t="s">
        <v>149</v>
      </c>
      <c r="B39" s="76" t="s">
        <v>7</v>
      </c>
      <c r="C39" s="885"/>
      <c r="D39" s="6"/>
      <c r="E39" s="890">
        <f>E11</f>
        <v>0</v>
      </c>
      <c r="F39" s="890">
        <f>F11</f>
        <v>0</v>
      </c>
      <c r="G39" s="890">
        <f>G11</f>
        <v>0</v>
      </c>
    </row>
    <row r="40" spans="1:7" outlineLevel="1" x14ac:dyDescent="0.2">
      <c r="A40" s="7" t="s">
        <v>6729</v>
      </c>
      <c r="B40" s="14" t="s">
        <v>6651</v>
      </c>
      <c r="C40" s="15">
        <f t="shared" ref="C40:C41" si="3">SUM(E40:AAA40)</f>
        <v>0</v>
      </c>
      <c r="D40" s="6"/>
      <c r="E40" s="16">
        <f>-(E39*E38)</f>
        <v>0</v>
      </c>
      <c r="F40" s="16">
        <f>-(F39*F38)</f>
        <v>0</v>
      </c>
      <c r="G40" s="16">
        <f>-(G39*G38)</f>
        <v>0</v>
      </c>
    </row>
    <row r="41" spans="1:7" ht="11.4" outlineLevel="1" x14ac:dyDescent="0.2">
      <c r="A41" s="7" t="s">
        <v>6730</v>
      </c>
      <c r="B41" s="14" t="s">
        <v>101</v>
      </c>
      <c r="C41" s="15">
        <f t="shared" si="3"/>
        <v>0</v>
      </c>
      <c r="D41" s="6"/>
      <c r="E41" s="16">
        <f>E13*(1+'Parametri MTR-3'!$I$6)</f>
        <v>0</v>
      </c>
      <c r="F41" s="16">
        <f>F13*(1+'Parametri MTR-3'!$I$6)</f>
        <v>0</v>
      </c>
      <c r="G41" s="16">
        <f>G13*(1+'Parametri MTR-3'!$I$6)</f>
        <v>0</v>
      </c>
    </row>
    <row r="42" spans="1:7" outlineLevel="1" x14ac:dyDescent="0.2">
      <c r="A42" s="85" t="s">
        <v>6653</v>
      </c>
      <c r="B42" s="76" t="s">
        <v>6654</v>
      </c>
      <c r="C42" s="885"/>
      <c r="D42" s="6"/>
      <c r="E42" s="890">
        <f>E14*(1+'Parametri MTR-3'!$I$6)</f>
        <v>0</v>
      </c>
      <c r="F42" s="890">
        <f>F14*(1+'Parametri MTR-3'!$I$6)</f>
        <v>0</v>
      </c>
      <c r="G42" s="890">
        <f>G14*(1+'Parametri MTR-3'!$I$6)</f>
        <v>0</v>
      </c>
    </row>
    <row r="43" spans="1:7" outlineLevel="1" x14ac:dyDescent="0.2">
      <c r="A43" s="7" t="s">
        <v>6713</v>
      </c>
      <c r="B43" s="20" t="s">
        <v>6656</v>
      </c>
      <c r="C43" s="877"/>
      <c r="D43" s="6"/>
      <c r="E43" s="878">
        <f>(E39*(1+E42))</f>
        <v>0</v>
      </c>
      <c r="F43" s="878">
        <f>(F39*(1+F42))</f>
        <v>0</v>
      </c>
      <c r="G43" s="878">
        <f>(G39*(1+G42))</f>
        <v>0</v>
      </c>
    </row>
    <row r="44" spans="1:7" ht="11.4" outlineLevel="1" x14ac:dyDescent="0.2">
      <c r="A44" s="7" t="s">
        <v>6731</v>
      </c>
      <c r="B44" s="14" t="s">
        <v>6658</v>
      </c>
      <c r="C44" s="15">
        <f t="shared" ref="C44" si="4">SUM(E44:AAA44)</f>
        <v>0</v>
      </c>
      <c r="D44" s="6"/>
      <c r="E44" s="16">
        <f>-(E43*E41)</f>
        <v>0</v>
      </c>
      <c r="F44" s="16">
        <f>-(F43*F41)</f>
        <v>0</v>
      </c>
      <c r="G44" s="16">
        <f>-(G43*G41)</f>
        <v>0</v>
      </c>
    </row>
    <row r="45" spans="1:7" outlineLevel="1" x14ac:dyDescent="0.2">
      <c r="B45" s="24"/>
      <c r="C45" s="25"/>
      <c r="D45" s="6"/>
      <c r="E45" s="5"/>
      <c r="F45" s="5"/>
      <c r="G45" s="5"/>
    </row>
    <row r="46" spans="1:7" ht="11.4" outlineLevel="1" x14ac:dyDescent="0.2">
      <c r="A46" s="31" t="s">
        <v>6732</v>
      </c>
      <c r="B46" s="700" t="s">
        <v>6705</v>
      </c>
      <c r="C46" s="896">
        <f t="shared" ref="C46:C57" si="5">SUM(E46:AAA46)</f>
        <v>0</v>
      </c>
      <c r="D46" s="6"/>
      <c r="E46" s="897">
        <f>E47+E52+E53</f>
        <v>0</v>
      </c>
      <c r="F46" s="897">
        <f>F47+F52+F53</f>
        <v>0</v>
      </c>
      <c r="G46" s="897">
        <f>G47+G52+G53</f>
        <v>0</v>
      </c>
    </row>
    <row r="47" spans="1:7" outlineLevel="1" x14ac:dyDescent="0.2">
      <c r="A47" s="7" t="s">
        <v>6733</v>
      </c>
      <c r="B47" s="14" t="s">
        <v>11</v>
      </c>
      <c r="C47" s="15">
        <f t="shared" si="5"/>
        <v>0</v>
      </c>
      <c r="D47" s="6"/>
      <c r="E47" s="16">
        <f>E19*(1+'Parametri MTR-3'!$I$6)</f>
        <v>0</v>
      </c>
      <c r="F47" s="16">
        <f>F19*(1+'Parametri MTR-3'!$I$6)</f>
        <v>0</v>
      </c>
      <c r="G47" s="16">
        <f>G19*(1+'Parametri MTR-3'!$I$6)</f>
        <v>0</v>
      </c>
    </row>
    <row r="48" spans="1:7" outlineLevel="1" x14ac:dyDescent="0.2">
      <c r="A48" s="7" t="s">
        <v>6734</v>
      </c>
      <c r="B48" s="26" t="s">
        <v>13</v>
      </c>
      <c r="C48" s="27">
        <f t="shared" si="5"/>
        <v>0</v>
      </c>
      <c r="D48" s="6"/>
      <c r="E48" s="28">
        <f>E20*(1+'Parametri MTR-3'!$I$6)</f>
        <v>0</v>
      </c>
      <c r="F48" s="28">
        <f>F20*(1+'Parametri MTR-3'!$I$6)</f>
        <v>0</v>
      </c>
      <c r="G48" s="28">
        <f>G20*(1+'Parametri MTR-3'!$I$6)</f>
        <v>0</v>
      </c>
    </row>
    <row r="49" spans="1:7" outlineLevel="1" x14ac:dyDescent="0.2">
      <c r="A49" s="7" t="s">
        <v>6735</v>
      </c>
      <c r="B49" s="26" t="s">
        <v>14</v>
      </c>
      <c r="C49" s="27">
        <f t="shared" si="5"/>
        <v>0</v>
      </c>
      <c r="D49" s="6"/>
      <c r="E49" s="28">
        <f>E21*(1+'Parametri MTR-3'!$I$6)</f>
        <v>0</v>
      </c>
      <c r="F49" s="28">
        <f>F21*(1+'Parametri MTR-3'!$I$6)</f>
        <v>0</v>
      </c>
      <c r="G49" s="28">
        <f>G21*(1+'Parametri MTR-3'!$I$6)</f>
        <v>0</v>
      </c>
    </row>
    <row r="50" spans="1:7" outlineLevel="1" x14ac:dyDescent="0.2">
      <c r="A50" s="7" t="s">
        <v>6736</v>
      </c>
      <c r="B50" s="26" t="s">
        <v>15</v>
      </c>
      <c r="C50" s="27">
        <f t="shared" si="5"/>
        <v>0</v>
      </c>
      <c r="D50" s="6"/>
      <c r="E50" s="28">
        <f>E22*(1+'Parametri MTR-3'!$I$6)</f>
        <v>0</v>
      </c>
      <c r="F50" s="28">
        <f>F22*(1+'Parametri MTR-3'!$I$6)</f>
        <v>0</v>
      </c>
      <c r="G50" s="28">
        <f>G22*(1+'Parametri MTR-3'!$I$6)</f>
        <v>0</v>
      </c>
    </row>
    <row r="51" spans="1:7" ht="11.4" outlineLevel="1" x14ac:dyDescent="0.2">
      <c r="A51" s="7" t="s">
        <v>6737</v>
      </c>
      <c r="B51" s="52" t="s">
        <v>16</v>
      </c>
      <c r="C51" s="53">
        <f t="shared" si="5"/>
        <v>0</v>
      </c>
      <c r="D51" s="6"/>
      <c r="E51" s="54">
        <f>E23*(1+'Parametri MTR-3'!$I$6)</f>
        <v>0</v>
      </c>
      <c r="F51" s="54">
        <f>F23*(1+'Parametri MTR-3'!$I$6)</f>
        <v>0</v>
      </c>
      <c r="G51" s="54">
        <f>G23*(1+'Parametri MTR-3'!$I$6)</f>
        <v>0</v>
      </c>
    </row>
    <row r="52" spans="1:7" outlineLevel="1" x14ac:dyDescent="0.2">
      <c r="A52" s="7" t="s">
        <v>6738</v>
      </c>
      <c r="B52" s="879" t="s">
        <v>12</v>
      </c>
      <c r="C52" s="29">
        <f t="shared" si="5"/>
        <v>0</v>
      </c>
      <c r="D52" s="6"/>
      <c r="E52" s="30">
        <f>SUM(E48:E51)</f>
        <v>0</v>
      </c>
      <c r="F52" s="30">
        <f>SUM(F48:F51)</f>
        <v>0</v>
      </c>
      <c r="G52" s="30">
        <f>SUM(G48:G51)</f>
        <v>0</v>
      </c>
    </row>
    <row r="53" spans="1:7" outlineLevel="1" x14ac:dyDescent="0.2">
      <c r="A53" s="7" t="s">
        <v>8736</v>
      </c>
      <c r="B53" s="26" t="s">
        <v>19</v>
      </c>
      <c r="C53" s="704">
        <f t="shared" si="5"/>
        <v>0</v>
      </c>
      <c r="D53" s="6"/>
      <c r="E53" s="706">
        <f>SUM(E54:E57)</f>
        <v>0</v>
      </c>
      <c r="F53" s="706">
        <f>SUM(F54:F57)</f>
        <v>0</v>
      </c>
      <c r="G53" s="706">
        <f>SUM(G54:G57)</f>
        <v>0</v>
      </c>
    </row>
    <row r="54" spans="1:7" outlineLevel="1" x14ac:dyDescent="0.2">
      <c r="A54" s="85" t="s">
        <v>8741</v>
      </c>
      <c r="B54" s="1065" t="s">
        <v>20</v>
      </c>
      <c r="C54" s="1064">
        <f t="shared" si="5"/>
        <v>0</v>
      </c>
      <c r="D54" s="6"/>
      <c r="E54" s="28">
        <f>E26*(1+'Parametri MTR-3'!$I$6)</f>
        <v>0</v>
      </c>
      <c r="F54" s="28">
        <f>F26*(1+'Parametri MTR-3'!$I$6)</f>
        <v>0</v>
      </c>
      <c r="G54" s="28">
        <f>G26*(1+'Parametri MTR-3'!$I$6)</f>
        <v>0</v>
      </c>
    </row>
    <row r="55" spans="1:7" outlineLevel="1" x14ac:dyDescent="0.2">
      <c r="A55" s="85" t="s">
        <v>8742</v>
      </c>
      <c r="B55" s="1065" t="s">
        <v>21</v>
      </c>
      <c r="C55" s="27">
        <f t="shared" si="5"/>
        <v>0</v>
      </c>
      <c r="D55" s="6"/>
      <c r="E55" s="28">
        <f>E27*(1+'Parametri MTR-3'!$I$6)</f>
        <v>0</v>
      </c>
      <c r="F55" s="28">
        <f>F27*(1+'Parametri MTR-3'!$I$6)</f>
        <v>0</v>
      </c>
      <c r="G55" s="28">
        <f>G27*(1+'Parametri MTR-3'!$I$6)</f>
        <v>0</v>
      </c>
    </row>
    <row r="56" spans="1:7" outlineLevel="1" x14ac:dyDescent="0.2">
      <c r="A56" s="85" t="s">
        <v>8743</v>
      </c>
      <c r="B56" s="1065" t="s">
        <v>22</v>
      </c>
      <c r="C56" s="27">
        <f t="shared" si="5"/>
        <v>0</v>
      </c>
      <c r="D56" s="6"/>
      <c r="E56" s="28">
        <f>E28*(1+'Parametri MTR-3'!$I$6)</f>
        <v>0</v>
      </c>
      <c r="F56" s="28">
        <f>F28*(1+'Parametri MTR-3'!$I$6)</f>
        <v>0</v>
      </c>
      <c r="G56" s="28">
        <f>G28*(1+'Parametri MTR-3'!$I$6)</f>
        <v>0</v>
      </c>
    </row>
    <row r="57" spans="1:7" outlineLevel="1" x14ac:dyDescent="0.2">
      <c r="A57" s="85" t="s">
        <v>8744</v>
      </c>
      <c r="B57" s="485" t="s">
        <v>23</v>
      </c>
      <c r="C57" s="29">
        <f t="shared" si="5"/>
        <v>0</v>
      </c>
      <c r="D57" s="6"/>
      <c r="E57" s="30">
        <f>E29*(1+'Parametri MTR-3'!$I$6)</f>
        <v>0</v>
      </c>
      <c r="F57" s="30">
        <f>F29*(1+'Parametri MTR-3'!$I$6)</f>
        <v>0</v>
      </c>
      <c r="G57" s="30">
        <f>G29*(1+'Parametri MTR-3'!$I$6)</f>
        <v>0</v>
      </c>
    </row>
    <row r="58" spans="1:7" outlineLevel="1" x14ac:dyDescent="0.2">
      <c r="C58" s="25"/>
      <c r="D58" s="6"/>
      <c r="E58" s="5"/>
      <c r="F58" s="5"/>
      <c r="G58" s="5"/>
    </row>
    <row r="59" spans="1:7" ht="11.4" x14ac:dyDescent="0.2">
      <c r="A59" s="31" t="s">
        <v>6739</v>
      </c>
      <c r="B59" s="700" t="s">
        <v>6706</v>
      </c>
      <c r="C59" s="896">
        <f>SUM(E59:AAA59)</f>
        <v>0</v>
      </c>
      <c r="D59" s="6"/>
      <c r="E59" s="897">
        <f>E33+E46</f>
        <v>0</v>
      </c>
      <c r="F59" s="897">
        <f>F33+F46</f>
        <v>0</v>
      </c>
      <c r="G59" s="897">
        <f>G33+G46</f>
        <v>0</v>
      </c>
    </row>
    <row r="62" spans="1:7" ht="11.4" x14ac:dyDescent="0.2">
      <c r="A62" s="31" t="s">
        <v>6707</v>
      </c>
      <c r="B62" s="173" t="s">
        <v>6695</v>
      </c>
      <c r="C62" s="893">
        <f t="shared" ref="C62:C68" si="6">SUM(E62:AAA62)</f>
        <v>0</v>
      </c>
      <c r="D62" s="891"/>
      <c r="E62" s="893">
        <f>E5</f>
        <v>0</v>
      </c>
      <c r="F62" s="893">
        <f>F5</f>
        <v>0</v>
      </c>
      <c r="G62" s="893">
        <f>G5</f>
        <v>0</v>
      </c>
    </row>
    <row r="63" spans="1:7" ht="11.4" x14ac:dyDescent="0.2">
      <c r="A63" s="31" t="s">
        <v>6723</v>
      </c>
      <c r="B63" s="175" t="s">
        <v>6696</v>
      </c>
      <c r="C63" s="894">
        <f t="shared" si="6"/>
        <v>0</v>
      </c>
      <c r="D63" s="891"/>
      <c r="E63" s="894">
        <f>E33</f>
        <v>0</v>
      </c>
      <c r="F63" s="894">
        <f>F33</f>
        <v>0</v>
      </c>
      <c r="G63" s="894">
        <f>G33</f>
        <v>0</v>
      </c>
    </row>
    <row r="64" spans="1:7" ht="11.4" x14ac:dyDescent="0.2">
      <c r="A64" s="7" t="s">
        <v>6753</v>
      </c>
      <c r="B64" s="145" t="s">
        <v>6741</v>
      </c>
      <c r="C64" s="895">
        <f t="shared" si="6"/>
        <v>0</v>
      </c>
      <c r="D64" s="892"/>
      <c r="E64" s="895">
        <f>E63-E62</f>
        <v>0</v>
      </c>
      <c r="F64" s="895">
        <f>F63-F62</f>
        <v>0</v>
      </c>
      <c r="G64" s="895">
        <f>G63-G62</f>
        <v>0</v>
      </c>
    </row>
    <row r="65" spans="1:7" x14ac:dyDescent="0.2">
      <c r="B65" s="147"/>
      <c r="C65" s="905"/>
      <c r="D65" s="147"/>
      <c r="E65" s="905"/>
      <c r="F65" s="905"/>
      <c r="G65" s="905"/>
    </row>
    <row r="66" spans="1:7" ht="11.4" x14ac:dyDescent="0.25">
      <c r="A66" s="7" t="s">
        <v>2787</v>
      </c>
      <c r="B66" s="440" t="s">
        <v>6755</v>
      </c>
      <c r="C66" s="1089">
        <f t="shared" si="6"/>
        <v>0</v>
      </c>
      <c r="D66" s="147"/>
      <c r="E66" s="908">
        <v>0</v>
      </c>
      <c r="F66" s="908">
        <v>0</v>
      </c>
      <c r="G66" s="908">
        <v>0</v>
      </c>
    </row>
    <row r="67" spans="1:7" ht="11.4" x14ac:dyDescent="0.25">
      <c r="A67" s="7" t="s">
        <v>2796</v>
      </c>
      <c r="B67" s="443" t="s">
        <v>6756</v>
      </c>
      <c r="C67" s="1090">
        <f t="shared" si="6"/>
        <v>0</v>
      </c>
      <c r="D67" s="147"/>
      <c r="E67" s="909">
        <v>0</v>
      </c>
      <c r="F67" s="909">
        <v>0</v>
      </c>
      <c r="G67" s="909">
        <v>0</v>
      </c>
    </row>
    <row r="68" spans="1:7" x14ac:dyDescent="0.2">
      <c r="B68" s="907" t="s">
        <v>632</v>
      </c>
      <c r="C68" s="906">
        <f t="shared" si="6"/>
        <v>0</v>
      </c>
      <c r="E68" s="906">
        <f>SUM(E66:E67)-E64</f>
        <v>0</v>
      </c>
      <c r="F68" s="906">
        <f>SUM(F66:F67)-F64</f>
        <v>0</v>
      </c>
      <c r="G68" s="906">
        <f>SUM(G66:G67)-G64</f>
        <v>0</v>
      </c>
    </row>
    <row r="69" spans="1:7" x14ac:dyDescent="0.2">
      <c r="C69" s="1091"/>
    </row>
    <row r="70" spans="1:7" ht="11.4" x14ac:dyDescent="0.2">
      <c r="A70" s="31" t="s">
        <v>6715</v>
      </c>
      <c r="B70" s="173" t="s">
        <v>6698</v>
      </c>
      <c r="C70" s="893">
        <f t="shared" ref="C70:C72" si="7">SUM(E70:AAA70)</f>
        <v>0</v>
      </c>
      <c r="D70" s="891"/>
      <c r="E70" s="893">
        <f>E18</f>
        <v>0</v>
      </c>
      <c r="F70" s="893">
        <f>F18</f>
        <v>0</v>
      </c>
      <c r="G70" s="893">
        <f>G18</f>
        <v>0</v>
      </c>
    </row>
    <row r="71" spans="1:7" ht="11.4" x14ac:dyDescent="0.2">
      <c r="A71" s="31" t="s">
        <v>6732</v>
      </c>
      <c r="B71" s="175" t="s">
        <v>6699</v>
      </c>
      <c r="C71" s="894">
        <f t="shared" si="7"/>
        <v>0</v>
      </c>
      <c r="D71" s="891"/>
      <c r="E71" s="894">
        <f>E46</f>
        <v>0</v>
      </c>
      <c r="F71" s="894">
        <f>F46</f>
        <v>0</v>
      </c>
      <c r="G71" s="894">
        <f>G46</f>
        <v>0</v>
      </c>
    </row>
    <row r="72" spans="1:7" ht="11.4" x14ac:dyDescent="0.2">
      <c r="A72" s="7" t="s">
        <v>6754</v>
      </c>
      <c r="B72" s="145" t="s">
        <v>6750</v>
      </c>
      <c r="C72" s="895">
        <f t="shared" si="7"/>
        <v>0</v>
      </c>
      <c r="D72" s="892"/>
      <c r="E72" s="895">
        <f>E71-E70</f>
        <v>0</v>
      </c>
      <c r="F72" s="895">
        <f>F71-F70</f>
        <v>0</v>
      </c>
      <c r="G72" s="895">
        <f>G71-G70</f>
        <v>0</v>
      </c>
    </row>
    <row r="73" spans="1:7" x14ac:dyDescent="0.2">
      <c r="C73" s="1092"/>
    </row>
    <row r="74" spans="1:7" ht="11.4" x14ac:dyDescent="0.25">
      <c r="A74" s="7" t="s">
        <v>2790</v>
      </c>
      <c r="B74" s="440" t="s">
        <v>6759</v>
      </c>
      <c r="C74" s="1089">
        <f t="shared" ref="C74:C76" si="8">SUM(E74:AAA74)</f>
        <v>0</v>
      </c>
      <c r="D74" s="147"/>
      <c r="E74" s="908">
        <v>0</v>
      </c>
      <c r="F74" s="908">
        <v>0</v>
      </c>
      <c r="G74" s="908">
        <v>0</v>
      </c>
    </row>
    <row r="75" spans="1:7" ht="11.4" x14ac:dyDescent="0.25">
      <c r="A75" s="7" t="s">
        <v>2799</v>
      </c>
      <c r="B75" s="443" t="s">
        <v>6760</v>
      </c>
      <c r="C75" s="1090">
        <f t="shared" si="8"/>
        <v>0</v>
      </c>
      <c r="D75" s="147"/>
      <c r="E75" s="909">
        <v>0</v>
      </c>
      <c r="F75" s="909">
        <v>0</v>
      </c>
      <c r="G75" s="909">
        <v>0</v>
      </c>
    </row>
    <row r="76" spans="1:7" x14ac:dyDescent="0.2">
      <c r="B76" s="907" t="s">
        <v>632</v>
      </c>
      <c r="C76" s="906">
        <f t="shared" si="8"/>
        <v>0</v>
      </c>
      <c r="E76" s="906">
        <f>SUM(E74:E75)-E72</f>
        <v>0</v>
      </c>
      <c r="F76" s="906">
        <f>SUM(F74:F75)-F72</f>
        <v>0</v>
      </c>
      <c r="G76" s="906">
        <f>SUM(G74:G75)-G72</f>
        <v>0</v>
      </c>
    </row>
  </sheetData>
  <sheetProtection formatColumns="0" formatRows="0"/>
  <pageMargins left="0.70866141732283472" right="0.70866141732283472" top="0.74803149606299213" bottom="0.74803149606299213" header="0.31496062992125984" footer="0.31496062992125984"/>
  <pageSetup paperSize="9" scale="26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48595A-CA88-497A-9D43-CD1E9611B0AC}">
  <sheetPr codeName="Foglio17">
    <tabColor rgb="FFFFFFCC"/>
    <pageSetUpPr fitToPage="1"/>
  </sheetPr>
  <dimension ref="A1:G236"/>
  <sheetViews>
    <sheetView showGridLines="0" zoomScaleNormal="10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F3" sqref="F3"/>
    </sheetView>
  </sheetViews>
  <sheetFormatPr defaultColWidth="17.6640625" defaultRowHeight="10.199999999999999" outlineLevelRow="1" x14ac:dyDescent="0.2"/>
  <cols>
    <col min="1" max="1" width="23.109375" style="122" bestFit="1" customWidth="1"/>
    <col min="2" max="2" width="64.88671875" style="90" bestFit="1" customWidth="1"/>
    <col min="3" max="3" width="15" style="89" bestFit="1" customWidth="1"/>
    <col min="4" max="4" width="2.5546875" style="89" customWidth="1"/>
    <col min="5" max="5" width="11.5546875" style="89" bestFit="1" customWidth="1"/>
    <col min="6" max="6" width="12.5546875" style="89" bestFit="1" customWidth="1"/>
    <col min="7" max="7" width="8.5546875" style="89" bestFit="1" customWidth="1"/>
    <col min="8" max="16384" width="17.6640625" style="89"/>
  </cols>
  <sheetData>
    <row r="1" spans="1:7" ht="12" customHeight="1" x14ac:dyDescent="0.2">
      <c r="B1" s="1135" t="s">
        <v>2047</v>
      </c>
      <c r="C1" s="1136"/>
    </row>
    <row r="2" spans="1:7" ht="12" customHeight="1" x14ac:dyDescent="0.2"/>
    <row r="3" spans="1:7" s="365" customFormat="1" ht="20.399999999999999" x14ac:dyDescent="0.2">
      <c r="A3" s="364"/>
      <c r="B3" s="641"/>
      <c r="C3" s="642"/>
      <c r="E3" s="368" t="str">
        <f>Ambiti!B4</f>
        <v>BUSTO ARSIZIO</v>
      </c>
      <c r="F3" s="368" t="str">
        <f>Ambiti!C4</f>
        <v>FAGNANO OLONA</v>
      </c>
      <c r="G3" s="368" t="str">
        <f>Ambiti!D4</f>
        <v>VENEGONO SUPERIORE</v>
      </c>
    </row>
    <row r="4" spans="1:7" ht="12" customHeight="1" x14ac:dyDescent="0.2">
      <c r="B4" s="1137" t="s">
        <v>1125</v>
      </c>
      <c r="C4" s="1137"/>
      <c r="E4" s="120"/>
      <c r="F4" s="120"/>
      <c r="G4" s="120"/>
    </row>
    <row r="5" spans="1:7" ht="12" customHeight="1" x14ac:dyDescent="0.2">
      <c r="B5" s="120"/>
      <c r="C5" s="121"/>
      <c r="E5" s="120"/>
      <c r="F5" s="120"/>
      <c r="G5" s="120"/>
    </row>
    <row r="6" spans="1:7" ht="12" customHeight="1" x14ac:dyDescent="0.2">
      <c r="B6" s="1128">
        <v>2024</v>
      </c>
      <c r="C6" s="1128"/>
      <c r="E6" s="120"/>
      <c r="F6" s="120"/>
      <c r="G6" s="120"/>
    </row>
    <row r="7" spans="1:7" ht="12" customHeight="1" x14ac:dyDescent="0.2">
      <c r="B7" s="635" t="s">
        <v>2049</v>
      </c>
      <c r="C7" s="634">
        <v>6.3E-2</v>
      </c>
      <c r="E7" s="120"/>
      <c r="F7" s="120"/>
      <c r="G7" s="120"/>
    </row>
    <row r="8" spans="1:7" ht="12" customHeight="1" x14ac:dyDescent="0.2">
      <c r="B8" s="635" t="s">
        <v>2205</v>
      </c>
      <c r="C8" s="634">
        <v>5.1999999999999998E-2</v>
      </c>
      <c r="E8" s="120"/>
      <c r="F8" s="120"/>
      <c r="G8" s="120"/>
    </row>
    <row r="9" spans="1:7" ht="12" customHeight="1" x14ac:dyDescent="0.2">
      <c r="B9" s="635" t="s">
        <v>2207</v>
      </c>
      <c r="C9" s="634">
        <v>1.8599999999999998E-2</v>
      </c>
      <c r="E9" s="120"/>
      <c r="F9" s="120"/>
      <c r="G9" s="120"/>
    </row>
    <row r="10" spans="1:7" ht="12" customHeight="1" x14ac:dyDescent="0.2">
      <c r="B10" s="636"/>
      <c r="C10" s="636"/>
      <c r="E10" s="120"/>
      <c r="F10" s="120"/>
      <c r="G10" s="120"/>
    </row>
    <row r="11" spans="1:7" ht="12" customHeight="1" x14ac:dyDescent="0.2">
      <c r="A11" s="85" t="s">
        <v>1126</v>
      </c>
      <c r="B11" s="91" t="s">
        <v>165</v>
      </c>
      <c r="C11" s="410">
        <f>SUM(E11:G11)</f>
        <v>694963.30090228538</v>
      </c>
      <c r="D11" s="93"/>
      <c r="E11" s="94">
        <f t="shared" ref="E11" si="0">+MAX((E21+E24-E22)*E18+E36*(E17-E18),0)</f>
        <v>694963.30090228538</v>
      </c>
      <c r="F11" s="94">
        <f t="shared" ref="F11:G11" si="1">+MAX((F21+F24-F22)*F18+F36*(F17-F18),0)</f>
        <v>0</v>
      </c>
      <c r="G11" s="94">
        <f t="shared" si="1"/>
        <v>0</v>
      </c>
    </row>
    <row r="12" spans="1:7" ht="12" customHeight="1" x14ac:dyDescent="0.2">
      <c r="A12" s="85" t="s">
        <v>1127</v>
      </c>
      <c r="B12" s="91" t="s">
        <v>166</v>
      </c>
      <c r="C12" s="410">
        <f>SUM(E12:G12)</f>
        <v>7160.2557760389418</v>
      </c>
      <c r="D12" s="93"/>
      <c r="E12" s="94">
        <f>E39</f>
        <v>7160.2557760389418</v>
      </c>
      <c r="F12" s="94">
        <f>F39</f>
        <v>0</v>
      </c>
      <c r="G12" s="94">
        <f>G39</f>
        <v>0</v>
      </c>
    </row>
    <row r="13" spans="1:7" ht="12" customHeight="1" x14ac:dyDescent="0.2">
      <c r="A13" s="85" t="s">
        <v>1128</v>
      </c>
      <c r="B13" s="91" t="s">
        <v>167</v>
      </c>
      <c r="C13" s="410">
        <f>SUM(E13:G13)</f>
        <v>0</v>
      </c>
      <c r="D13" s="93"/>
      <c r="E13" s="94">
        <f>E38</f>
        <v>0</v>
      </c>
      <c r="F13" s="94">
        <f>F38</f>
        <v>0</v>
      </c>
      <c r="G13" s="94">
        <f>G38</f>
        <v>0</v>
      </c>
    </row>
    <row r="14" spans="1:7" ht="12" customHeight="1" x14ac:dyDescent="0.2">
      <c r="A14" s="85" t="s">
        <v>1129</v>
      </c>
      <c r="B14" s="91" t="s">
        <v>168</v>
      </c>
      <c r="C14" s="410">
        <f>SUM(E14:G14)</f>
        <v>0</v>
      </c>
      <c r="D14" s="93"/>
      <c r="E14" s="94">
        <f>E40</f>
        <v>0</v>
      </c>
      <c r="F14" s="94">
        <f>F40</f>
        <v>0</v>
      </c>
      <c r="G14" s="94">
        <f>G40</f>
        <v>0</v>
      </c>
    </row>
    <row r="15" spans="1:7" ht="12" customHeight="1" x14ac:dyDescent="0.2">
      <c r="C15" s="90"/>
    </row>
    <row r="16" spans="1:7" ht="12" customHeight="1" outlineLevel="1" x14ac:dyDescent="0.2">
      <c r="B16" s="95" t="s">
        <v>171</v>
      </c>
      <c r="C16" s="410">
        <f>SUM(E16:G16)</f>
        <v>10629161.821386751</v>
      </c>
      <c r="E16" s="96">
        <f>E20</f>
        <v>10629161.821386751</v>
      </c>
      <c r="F16" s="96">
        <f>F20</f>
        <v>0</v>
      </c>
      <c r="G16" s="96">
        <f>G20</f>
        <v>0</v>
      </c>
    </row>
    <row r="17" spans="1:7" ht="12" customHeight="1" outlineLevel="1" x14ac:dyDescent="0.2">
      <c r="B17" s="97" t="s">
        <v>169</v>
      </c>
      <c r="C17" s="98">
        <f>C18+1%</f>
        <v>7.2999999999999995E-2</v>
      </c>
      <c r="E17" s="99">
        <f>$C$17</f>
        <v>7.2999999999999995E-2</v>
      </c>
      <c r="F17" s="99">
        <f>$C$17</f>
        <v>7.2999999999999995E-2</v>
      </c>
      <c r="G17" s="99">
        <f>$C$17</f>
        <v>7.2999999999999995E-2</v>
      </c>
    </row>
    <row r="18" spans="1:7" ht="12" customHeight="1" outlineLevel="1" x14ac:dyDescent="0.2">
      <c r="B18" s="97" t="s">
        <v>170</v>
      </c>
      <c r="C18" s="98">
        <f>C7</f>
        <v>6.3E-2</v>
      </c>
      <c r="E18" s="99">
        <f>$C$18</f>
        <v>6.3E-2</v>
      </c>
      <c r="F18" s="99">
        <f>$C$18</f>
        <v>6.3E-2</v>
      </c>
      <c r="G18" s="99">
        <f>$C$18</f>
        <v>6.3E-2</v>
      </c>
    </row>
    <row r="19" spans="1:7" ht="12" customHeight="1" outlineLevel="1" x14ac:dyDescent="0.2">
      <c r="C19" s="90"/>
    </row>
    <row r="20" spans="1:7" ht="12" customHeight="1" outlineLevel="1" x14ac:dyDescent="0.2">
      <c r="B20" s="95" t="s">
        <v>171</v>
      </c>
      <c r="C20" s="410">
        <f>SUM(E20:G20)</f>
        <v>10629161.821386751</v>
      </c>
      <c r="E20" s="101">
        <f>MAX((E21+E24-E22),0)</f>
        <v>10629161.821386751</v>
      </c>
      <c r="F20" s="101">
        <f>MAX((F21+F24-F22),0)</f>
        <v>0</v>
      </c>
      <c r="G20" s="101">
        <f>MAX((G21+G24-G22),0)</f>
        <v>0</v>
      </c>
    </row>
    <row r="21" spans="1:7" ht="12" customHeight="1" outlineLevel="1" x14ac:dyDescent="0.2">
      <c r="B21" s="95" t="s">
        <v>172</v>
      </c>
      <c r="C21" s="410">
        <f>SUM(E21:G21)</f>
        <v>8517916.6376467571</v>
      </c>
      <c r="E21" s="102">
        <f>E35</f>
        <v>8517916.6376467571</v>
      </c>
      <c r="F21" s="102">
        <f>F35</f>
        <v>0</v>
      </c>
      <c r="G21" s="102">
        <f>G35</f>
        <v>0</v>
      </c>
    </row>
    <row r="22" spans="1:7" ht="12" customHeight="1" outlineLevel="1" x14ac:dyDescent="0.2">
      <c r="B22" s="100" t="s">
        <v>7040</v>
      </c>
      <c r="C22" s="425">
        <f>SUM(E22:G22)</f>
        <v>431820.41911203694</v>
      </c>
      <c r="E22" s="101">
        <f>E227</f>
        <v>431820.41911203694</v>
      </c>
      <c r="F22" s="101">
        <f>F227</f>
        <v>0</v>
      </c>
      <c r="G22" s="101">
        <f>G227</f>
        <v>0</v>
      </c>
    </row>
    <row r="23" spans="1:7" ht="12" customHeight="1" outlineLevel="1" x14ac:dyDescent="0.2">
      <c r="C23" s="90"/>
      <c r="E23" s="103"/>
      <c r="F23" s="103"/>
      <c r="G23" s="103"/>
    </row>
    <row r="24" spans="1:7" ht="12" customHeight="1" outlineLevel="1" x14ac:dyDescent="0.2">
      <c r="B24" s="100" t="s">
        <v>173</v>
      </c>
      <c r="C24" s="410">
        <f>SUM(E24:G24)</f>
        <v>2543065.6028520321</v>
      </c>
      <c r="E24" s="104">
        <f>E226</f>
        <v>2543065.6028520321</v>
      </c>
      <c r="F24" s="104">
        <f>F226</f>
        <v>0</v>
      </c>
      <c r="G24" s="104">
        <f>G226</f>
        <v>0</v>
      </c>
    </row>
    <row r="25" spans="1:7" ht="12" customHeight="1" outlineLevel="1" x14ac:dyDescent="0.2">
      <c r="C25" s="90"/>
      <c r="E25" s="103"/>
      <c r="F25" s="103"/>
      <c r="G25" s="103"/>
    </row>
    <row r="26" spans="1:7" ht="12" customHeight="1" outlineLevel="1" x14ac:dyDescent="0.2">
      <c r="A26" s="123"/>
      <c r="B26" s="1014" t="s">
        <v>159</v>
      </c>
      <c r="C26" s="1015">
        <f>SUM(E26:G26)</f>
        <v>0</v>
      </c>
      <c r="E26" s="1016">
        <v>0</v>
      </c>
      <c r="F26" s="1016">
        <v>0</v>
      </c>
      <c r="G26" s="1016">
        <v>0</v>
      </c>
    </row>
    <row r="27" spans="1:7" ht="12" customHeight="1" outlineLevel="1" x14ac:dyDescent="0.2">
      <c r="C27" s="106"/>
      <c r="E27" s="103"/>
      <c r="F27" s="103"/>
      <c r="G27" s="103"/>
    </row>
    <row r="28" spans="1:7" ht="12" customHeight="1" outlineLevel="1" x14ac:dyDescent="0.2">
      <c r="B28" s="1014" t="s">
        <v>160</v>
      </c>
      <c r="C28" s="1015">
        <f>SUM(E28:G28)</f>
        <v>0</v>
      </c>
      <c r="E28" s="1016">
        <v>0</v>
      </c>
      <c r="F28" s="1016">
        <v>0</v>
      </c>
      <c r="G28" s="1016">
        <v>0</v>
      </c>
    </row>
    <row r="29" spans="1:7" ht="12" customHeight="1" outlineLevel="1" x14ac:dyDescent="0.2">
      <c r="C29" s="106"/>
    </row>
    <row r="30" spans="1:7" ht="12" customHeight="1" outlineLevel="1" x14ac:dyDescent="0.2">
      <c r="C30" s="106"/>
    </row>
    <row r="31" spans="1:7" ht="12" customHeight="1" outlineLevel="1" x14ac:dyDescent="0.2">
      <c r="B31" s="107" t="s">
        <v>161</v>
      </c>
      <c r="C31" s="108">
        <f>'Parametri MTR-3'!$E$6</f>
        <v>4.4999999999999998E-2</v>
      </c>
    </row>
    <row r="32" spans="1:7" ht="12" customHeight="1" outlineLevel="1" x14ac:dyDescent="0.2">
      <c r="B32" s="107" t="s">
        <v>511</v>
      </c>
      <c r="C32" s="108">
        <f>'Parametri MTR-3'!$F$6</f>
        <v>8.7999999999999995E-2</v>
      </c>
    </row>
    <row r="33" spans="1:7" s="386" customFormat="1" ht="12" customHeight="1" outlineLevel="1" x14ac:dyDescent="0.2">
      <c r="A33" s="122"/>
      <c r="B33" s="385"/>
      <c r="E33" s="387"/>
      <c r="F33" s="387"/>
      <c r="G33" s="387"/>
    </row>
    <row r="34" spans="1:7" s="367" customFormat="1" ht="20.399999999999999" outlineLevel="1" x14ac:dyDescent="0.2">
      <c r="A34" s="364"/>
      <c r="B34" s="388"/>
      <c r="C34" s="121"/>
      <c r="E34" s="368" t="str">
        <f t="shared" ref="E34" si="2">E3</f>
        <v>BUSTO ARSIZIO</v>
      </c>
      <c r="F34" s="368" t="str">
        <f t="shared" ref="F34:G34" si="3">F3</f>
        <v>FAGNANO OLONA</v>
      </c>
      <c r="G34" s="368" t="str">
        <f t="shared" si="3"/>
        <v>VENEGONO SUPERIORE</v>
      </c>
    </row>
    <row r="35" spans="1:7" ht="12" customHeight="1" outlineLevel="1" x14ac:dyDescent="0.2">
      <c r="B35" s="95" t="s">
        <v>172</v>
      </c>
      <c r="C35" s="411">
        <f t="shared" ref="C35:C40" si="4">SUM(E35:G35)</f>
        <v>8517916.6376467571</v>
      </c>
      <c r="E35" s="110">
        <f>SUM(E36:E37)</f>
        <v>8517916.6376467571</v>
      </c>
      <c r="F35" s="110">
        <f>SUM(F36:F37)</f>
        <v>0</v>
      </c>
      <c r="G35" s="110">
        <f>SUM(G36:G37)</f>
        <v>0</v>
      </c>
    </row>
    <row r="36" spans="1:7" ht="12" customHeight="1" outlineLevel="1" x14ac:dyDescent="0.2">
      <c r="B36" s="111" t="s">
        <v>150</v>
      </c>
      <c r="C36" s="426">
        <f t="shared" si="4"/>
        <v>2532610.6154920091</v>
      </c>
      <c r="E36" s="113">
        <f>E225</f>
        <v>2532610.6154920091</v>
      </c>
      <c r="F36" s="113">
        <f>F225</f>
        <v>0</v>
      </c>
      <c r="G36" s="113">
        <f>G225</f>
        <v>0</v>
      </c>
    </row>
    <row r="37" spans="1:7" ht="12" customHeight="1" outlineLevel="1" x14ac:dyDescent="0.2">
      <c r="B37" s="114" t="s">
        <v>151</v>
      </c>
      <c r="C37" s="427">
        <f t="shared" si="4"/>
        <v>5985306.0221547475</v>
      </c>
      <c r="E37" s="116">
        <f>E224</f>
        <v>5985306.0221547475</v>
      </c>
      <c r="F37" s="116">
        <f>F224</f>
        <v>0</v>
      </c>
      <c r="G37" s="116">
        <f>G224</f>
        <v>0</v>
      </c>
    </row>
    <row r="38" spans="1:7" ht="12" customHeight="1" outlineLevel="1" x14ac:dyDescent="0.2">
      <c r="B38" s="1018" t="s">
        <v>174</v>
      </c>
      <c r="C38" s="1019">
        <f t="shared" si="4"/>
        <v>0</v>
      </c>
      <c r="E38" s="1017">
        <v>0</v>
      </c>
      <c r="F38" s="1017">
        <v>0</v>
      </c>
      <c r="G38" s="1017">
        <v>0</v>
      </c>
    </row>
    <row r="39" spans="1:7" ht="12" customHeight="1" outlineLevel="1" x14ac:dyDescent="0.2">
      <c r="B39" s="117" t="s">
        <v>466</v>
      </c>
      <c r="C39" s="429">
        <f t="shared" si="4"/>
        <v>7160.2557760389418</v>
      </c>
      <c r="E39" s="110">
        <f>IF($C$8=5.2%,SUMPRODUCT(E43:E46,'Parametri MTR-3'!$F$11:$F$14),IF($C$8=5%,SUMPRODUCT(E43:E46,'Parametri MTR-3'!$H$11:$H$14),0))</f>
        <v>7160.2557760389418</v>
      </c>
      <c r="F39" s="110">
        <f>IF($C$8=5.2%,SUMPRODUCT(F43:F46,'Parametri MTR-3'!$F$11:$F$14),IF($C$8=5%,SUMPRODUCT(F43:F46,'Parametri MTR-3'!$H$11:$H$14),0))</f>
        <v>0</v>
      </c>
      <c r="G39" s="110">
        <f>IF($C$8=5.2%,SUMPRODUCT(G43:G46,'Parametri MTR-3'!$F$11:$F$14),IF($C$8=5%,SUMPRODUCT(G43:G46,'Parametri MTR-3'!$H$11:$H$14),0))</f>
        <v>0</v>
      </c>
    </row>
    <row r="40" spans="1:7" ht="12" customHeight="1" outlineLevel="1" x14ac:dyDescent="0.2">
      <c r="B40" s="1018" t="s">
        <v>175</v>
      </c>
      <c r="C40" s="1019">
        <f t="shared" si="4"/>
        <v>0</v>
      </c>
      <c r="E40" s="1020">
        <v>0</v>
      </c>
      <c r="F40" s="1020">
        <v>0</v>
      </c>
      <c r="G40" s="1020">
        <v>0</v>
      </c>
    </row>
    <row r="41" spans="1:7" outlineLevel="1" x14ac:dyDescent="0.2">
      <c r="C41" s="119"/>
    </row>
    <row r="42" spans="1:7" ht="11.4" outlineLevel="1" x14ac:dyDescent="0.25">
      <c r="B42" s="413" t="s">
        <v>1134</v>
      </c>
      <c r="C42" s="436">
        <f>SUM(E42:G42)</f>
        <v>146029.86387664391</v>
      </c>
      <c r="E42" s="435">
        <f>SUM(E43:E46)</f>
        <v>146029.86387664391</v>
      </c>
      <c r="F42" s="435">
        <f>SUM(F43:F46)</f>
        <v>0</v>
      </c>
      <c r="G42" s="435">
        <f>SUM(G43:G46)</f>
        <v>0</v>
      </c>
    </row>
    <row r="43" spans="1:7" outlineLevel="1" x14ac:dyDescent="0.2">
      <c r="A43" s="122" t="s">
        <v>1136</v>
      </c>
      <c r="B43" s="421" t="s">
        <v>1135</v>
      </c>
      <c r="C43" s="418">
        <f>SUM(E43:G43)</f>
        <v>128066.27117018178</v>
      </c>
      <c r="E43" s="418">
        <v>128066.27117018178</v>
      </c>
      <c r="F43" s="418">
        <v>0</v>
      </c>
      <c r="G43" s="418">
        <v>0</v>
      </c>
    </row>
    <row r="44" spans="1:7" outlineLevel="1" x14ac:dyDescent="0.2">
      <c r="A44" s="122" t="s">
        <v>1137</v>
      </c>
      <c r="B44" s="422" t="s">
        <v>507</v>
      </c>
      <c r="C44" s="419">
        <f>SUM(E44:G44)</f>
        <v>4989.936415387443</v>
      </c>
      <c r="E44" s="419">
        <v>4989.936415387443</v>
      </c>
      <c r="F44" s="419">
        <v>0</v>
      </c>
      <c r="G44" s="419">
        <v>0</v>
      </c>
    </row>
    <row r="45" spans="1:7" outlineLevel="1" x14ac:dyDescent="0.2">
      <c r="A45" s="122" t="s">
        <v>1138</v>
      </c>
      <c r="B45" s="422" t="s">
        <v>508</v>
      </c>
      <c r="C45" s="419">
        <f>SUM(E45:G45)</f>
        <v>4992</v>
      </c>
      <c r="E45" s="419">
        <v>4992</v>
      </c>
      <c r="F45" s="419">
        <v>0</v>
      </c>
      <c r="G45" s="419">
        <v>0</v>
      </c>
    </row>
    <row r="46" spans="1:7" outlineLevel="1" x14ac:dyDescent="0.2">
      <c r="A46" s="122" t="s">
        <v>1139</v>
      </c>
      <c r="B46" s="423" t="s">
        <v>509</v>
      </c>
      <c r="C46" s="420">
        <f>SUM(E46:G46)</f>
        <v>7981.6562910747152</v>
      </c>
      <c r="E46" s="420">
        <v>7981.6562910747152</v>
      </c>
      <c r="F46" s="420">
        <v>0</v>
      </c>
      <c r="G46" s="420">
        <v>0</v>
      </c>
    </row>
    <row r="47" spans="1:7" outlineLevel="1" x14ac:dyDescent="0.2">
      <c r="C47" s="424" t="s">
        <v>510</v>
      </c>
      <c r="E47" s="387" t="str">
        <f>IF(SUMPRODUCT(E43:E46,'Parametri MTR-3'!$F$11:$F$14)=E39,"ok","errore")</f>
        <v>ok</v>
      </c>
      <c r="F47" s="387" t="str">
        <f>IF(SUMPRODUCT(F43:F46,'Parametri MTR-3'!$F$11:$F$14)=F39,"ok","errore")</f>
        <v>ok</v>
      </c>
      <c r="G47" s="387" t="str">
        <f>IF(SUMPRODUCT(G43:G46,'Parametri MTR-3'!$F$11:$F$14)=G39,"ok","errore")</f>
        <v>ok</v>
      </c>
    </row>
    <row r="48" spans="1:7" outlineLevel="1" x14ac:dyDescent="0.2">
      <c r="C48" s="424"/>
      <c r="E48" s="387"/>
      <c r="F48" s="387"/>
      <c r="G48" s="387"/>
    </row>
    <row r="49" spans="1:7" ht="11.4" outlineLevel="1" x14ac:dyDescent="0.25">
      <c r="B49" s="413" t="s">
        <v>1140</v>
      </c>
      <c r="C49" s="436">
        <f>SUM(E49:G49)</f>
        <v>0</v>
      </c>
      <c r="E49" s="435">
        <f>SUM(E50:E53)</f>
        <v>0</v>
      </c>
      <c r="F49" s="435">
        <f>SUM(F50:F53)</f>
        <v>0</v>
      </c>
      <c r="G49" s="435">
        <f>SUM(G50:G53)</f>
        <v>0</v>
      </c>
    </row>
    <row r="50" spans="1:7" ht="11.4" outlineLevel="1" x14ac:dyDescent="0.25">
      <c r="A50" s="122" t="s">
        <v>1142</v>
      </c>
      <c r="B50" s="421" t="s">
        <v>556</v>
      </c>
      <c r="C50" s="418">
        <f>SUM(E50:G50)</f>
        <v>0</v>
      </c>
      <c r="E50" s="418">
        <v>0</v>
      </c>
      <c r="F50" s="418">
        <v>0</v>
      </c>
      <c r="G50" s="418">
        <v>0</v>
      </c>
    </row>
    <row r="51" spans="1:7" ht="11.4" outlineLevel="1" x14ac:dyDescent="0.25">
      <c r="A51" s="122" t="s">
        <v>1143</v>
      </c>
      <c r="B51" s="422" t="s">
        <v>557</v>
      </c>
      <c r="C51" s="419">
        <f>SUM(E51:G51)</f>
        <v>0</v>
      </c>
      <c r="E51" s="419">
        <v>0</v>
      </c>
      <c r="F51" s="419">
        <v>0</v>
      </c>
      <c r="G51" s="419">
        <v>0</v>
      </c>
    </row>
    <row r="52" spans="1:7" ht="11.4" outlineLevel="1" x14ac:dyDescent="0.25">
      <c r="A52" s="122" t="s">
        <v>1144</v>
      </c>
      <c r="B52" s="422" t="s">
        <v>558</v>
      </c>
      <c r="C52" s="419">
        <f>SUM(E52:G52)</f>
        <v>0</v>
      </c>
      <c r="E52" s="419">
        <v>0</v>
      </c>
      <c r="F52" s="419">
        <v>0</v>
      </c>
      <c r="G52" s="419">
        <v>0</v>
      </c>
    </row>
    <row r="53" spans="1:7" ht="11.4" outlineLevel="1" x14ac:dyDescent="0.25">
      <c r="A53" s="122" t="s">
        <v>1145</v>
      </c>
      <c r="B53" s="422" t="s">
        <v>559</v>
      </c>
      <c r="C53" s="419">
        <f>SUM(E53:G53)</f>
        <v>0</v>
      </c>
      <c r="E53" s="419">
        <v>0</v>
      </c>
      <c r="F53" s="419">
        <v>0</v>
      </c>
      <c r="G53" s="419">
        <v>0</v>
      </c>
    </row>
    <row r="54" spans="1:7" outlineLevel="1" x14ac:dyDescent="0.2">
      <c r="A54" s="122" t="s">
        <v>2103</v>
      </c>
      <c r="B54" s="423" t="s">
        <v>1141</v>
      </c>
      <c r="C54" s="459"/>
      <c r="E54" s="564" t="s">
        <v>105</v>
      </c>
      <c r="F54" s="564" t="s">
        <v>105</v>
      </c>
      <c r="G54" s="564" t="s">
        <v>105</v>
      </c>
    </row>
    <row r="55" spans="1:7" x14ac:dyDescent="0.2">
      <c r="C55" s="119"/>
    </row>
    <row r="56" spans="1:7" x14ac:dyDescent="0.2">
      <c r="B56" s="1128">
        <v>2025</v>
      </c>
      <c r="C56" s="1128"/>
      <c r="E56" s="120"/>
      <c r="F56" s="120"/>
      <c r="G56" s="120"/>
    </row>
    <row r="57" spans="1:7" ht="12" customHeight="1" x14ac:dyDescent="0.2">
      <c r="B57" s="645" t="s">
        <v>2050</v>
      </c>
      <c r="C57" s="1008">
        <f>C7</f>
        <v>6.3E-2</v>
      </c>
      <c r="E57" s="120"/>
      <c r="F57" s="120"/>
      <c r="G57" s="120"/>
    </row>
    <row r="58" spans="1:7" ht="12" customHeight="1" x14ac:dyDescent="0.2">
      <c r="B58" s="645" t="s">
        <v>2206</v>
      </c>
      <c r="C58" s="1008">
        <f t="shared" ref="C58:C59" si="5">C8</f>
        <v>5.1999999999999998E-2</v>
      </c>
      <c r="E58" s="120"/>
      <c r="F58" s="120"/>
      <c r="G58" s="120"/>
    </row>
    <row r="59" spans="1:7" ht="12" customHeight="1" x14ac:dyDescent="0.2">
      <c r="B59" s="645" t="s">
        <v>2208</v>
      </c>
      <c r="C59" s="1008">
        <f t="shared" si="5"/>
        <v>1.8599999999999998E-2</v>
      </c>
      <c r="E59" s="120"/>
      <c r="F59" s="120"/>
      <c r="G59" s="120"/>
    </row>
    <row r="60" spans="1:7" ht="12" customHeight="1" x14ac:dyDescent="0.2">
      <c r="B60" s="636"/>
      <c r="C60" s="636"/>
      <c r="E60" s="120"/>
      <c r="F60" s="120"/>
      <c r="G60" s="120"/>
    </row>
    <row r="61" spans="1:7" ht="11.4" x14ac:dyDescent="0.2">
      <c r="A61" s="85" t="s">
        <v>1146</v>
      </c>
      <c r="B61" s="91" t="s">
        <v>176</v>
      </c>
      <c r="C61" s="410">
        <f>SUM(E61:G61)</f>
        <v>668847.86017221631</v>
      </c>
      <c r="D61" s="93"/>
      <c r="E61" s="94">
        <f t="shared" ref="E61" si="6">+MAX((E71+E74-E72)*E68+E86*(E67-E68),0)</f>
        <v>668847.86017221631</v>
      </c>
      <c r="F61" s="94">
        <f t="shared" ref="F61:G61" si="7">+MAX((F71+F74-F72)*F68+F86*(F67-F68),0)</f>
        <v>0</v>
      </c>
      <c r="G61" s="94">
        <f t="shared" si="7"/>
        <v>0</v>
      </c>
    </row>
    <row r="62" spans="1:7" ht="11.4" x14ac:dyDescent="0.2">
      <c r="A62" s="85" t="s">
        <v>1147</v>
      </c>
      <c r="B62" s="91" t="s">
        <v>177</v>
      </c>
      <c r="C62" s="410">
        <f>SUM(E62:G62)</f>
        <v>12790.341557470856</v>
      </c>
      <c r="D62" s="93"/>
      <c r="E62" s="94">
        <f>E89</f>
        <v>12790.341557470856</v>
      </c>
      <c r="F62" s="94">
        <f>F89</f>
        <v>0</v>
      </c>
      <c r="G62" s="94">
        <f>G89</f>
        <v>0</v>
      </c>
    </row>
    <row r="63" spans="1:7" ht="11.4" x14ac:dyDescent="0.2">
      <c r="A63" s="85" t="s">
        <v>1148</v>
      </c>
      <c r="B63" s="91" t="s">
        <v>178</v>
      </c>
      <c r="C63" s="410">
        <f>SUM(E63:G63)</f>
        <v>0</v>
      </c>
      <c r="D63" s="93"/>
      <c r="E63" s="94">
        <f>E88</f>
        <v>0</v>
      </c>
      <c r="F63" s="94">
        <f>F88</f>
        <v>0</v>
      </c>
      <c r="G63" s="94">
        <f>G88</f>
        <v>0</v>
      </c>
    </row>
    <row r="64" spans="1:7" ht="11.4" x14ac:dyDescent="0.2">
      <c r="A64" s="85" t="s">
        <v>1149</v>
      </c>
      <c r="B64" s="91" t="s">
        <v>179</v>
      </c>
      <c r="C64" s="410">
        <f>SUM(E64:G64)</f>
        <v>0</v>
      </c>
      <c r="D64" s="93"/>
      <c r="E64" s="94">
        <f>E90</f>
        <v>0</v>
      </c>
      <c r="F64" s="94">
        <f>F90</f>
        <v>0</v>
      </c>
      <c r="G64" s="94">
        <f>G90</f>
        <v>0</v>
      </c>
    </row>
    <row r="65" spans="1:7" x14ac:dyDescent="0.2">
      <c r="C65" s="90"/>
    </row>
    <row r="66" spans="1:7" ht="11.4" outlineLevel="1" x14ac:dyDescent="0.2">
      <c r="B66" s="95" t="s">
        <v>180</v>
      </c>
      <c r="C66" s="410">
        <f>SUM(E66:G66)</f>
        <v>10237041.912943467</v>
      </c>
      <c r="E66" s="96">
        <f>E70</f>
        <v>10237041.912943467</v>
      </c>
      <c r="F66" s="96">
        <f>F70</f>
        <v>0</v>
      </c>
      <c r="G66" s="96">
        <f>G70</f>
        <v>0</v>
      </c>
    </row>
    <row r="67" spans="1:7" ht="11.4" outlineLevel="1" x14ac:dyDescent="0.2">
      <c r="B67" s="97" t="s">
        <v>181</v>
      </c>
      <c r="C67" s="98">
        <f>C68+1%</f>
        <v>7.2999999999999995E-2</v>
      </c>
      <c r="E67" s="99">
        <f>$C$67</f>
        <v>7.2999999999999995E-2</v>
      </c>
      <c r="F67" s="99">
        <f>$C$67</f>
        <v>7.2999999999999995E-2</v>
      </c>
      <c r="G67" s="99">
        <f>$C$67</f>
        <v>7.2999999999999995E-2</v>
      </c>
    </row>
    <row r="68" spans="1:7" ht="11.4" outlineLevel="1" x14ac:dyDescent="0.2">
      <c r="B68" s="97" t="s">
        <v>182</v>
      </c>
      <c r="C68" s="98">
        <f>$C$57</f>
        <v>6.3E-2</v>
      </c>
      <c r="E68" s="99">
        <f>$C$68</f>
        <v>6.3E-2</v>
      </c>
      <c r="F68" s="99">
        <f>$C$68</f>
        <v>6.3E-2</v>
      </c>
      <c r="G68" s="99">
        <f>$C$68</f>
        <v>6.3E-2</v>
      </c>
    </row>
    <row r="69" spans="1:7" outlineLevel="1" x14ac:dyDescent="0.2">
      <c r="C69" s="90"/>
    </row>
    <row r="70" spans="1:7" ht="11.4" outlineLevel="1" x14ac:dyDescent="0.2">
      <c r="B70" s="95" t="s">
        <v>180</v>
      </c>
      <c r="C70" s="410">
        <f>SUM(E70:G70)</f>
        <v>10237041.912943467</v>
      </c>
      <c r="E70" s="101">
        <f>MAX((E71+E74-E72),0)</f>
        <v>10237041.912943467</v>
      </c>
      <c r="F70" s="101">
        <f>MAX((F71+F74-F72),0)</f>
        <v>0</v>
      </c>
      <c r="G70" s="101">
        <f>MAX((G71+G74-G72),0)</f>
        <v>0</v>
      </c>
    </row>
    <row r="71" spans="1:7" ht="11.4" outlineLevel="1" x14ac:dyDescent="0.2">
      <c r="B71" s="95" t="s">
        <v>183</v>
      </c>
      <c r="C71" s="410">
        <f>SUM(E71:G71)</f>
        <v>8190180.2434347048</v>
      </c>
      <c r="E71" s="102">
        <f>E85</f>
        <v>8190180.2434347048</v>
      </c>
      <c r="F71" s="102">
        <f>F85</f>
        <v>0</v>
      </c>
      <c r="G71" s="102">
        <f>G85</f>
        <v>0</v>
      </c>
    </row>
    <row r="72" spans="1:7" ht="11.4" outlineLevel="1" x14ac:dyDescent="0.2">
      <c r="B72" s="100" t="s">
        <v>7039</v>
      </c>
      <c r="C72" s="425">
        <f>SUM(E72:G72)</f>
        <v>431820.41911203694</v>
      </c>
      <c r="E72" s="101">
        <f>E235</f>
        <v>431820.41911203694</v>
      </c>
      <c r="F72" s="101">
        <f>F235</f>
        <v>0</v>
      </c>
      <c r="G72" s="101">
        <f>G235</f>
        <v>0</v>
      </c>
    </row>
    <row r="73" spans="1:7" outlineLevel="1" x14ac:dyDescent="0.2">
      <c r="C73" s="90"/>
      <c r="E73" s="103"/>
      <c r="F73" s="103"/>
      <c r="G73" s="103"/>
    </row>
    <row r="74" spans="1:7" ht="11.4" outlineLevel="1" x14ac:dyDescent="0.2">
      <c r="B74" s="100" t="s">
        <v>184</v>
      </c>
      <c r="C74" s="410">
        <f>SUM(E74:G74)</f>
        <v>2478682.0886208001</v>
      </c>
      <c r="E74" s="104">
        <f>E234</f>
        <v>2478682.0886208001</v>
      </c>
      <c r="F74" s="104">
        <f>F234</f>
        <v>0</v>
      </c>
      <c r="G74" s="104">
        <f>G234</f>
        <v>0</v>
      </c>
    </row>
    <row r="75" spans="1:7" outlineLevel="1" x14ac:dyDescent="0.2">
      <c r="C75" s="90"/>
      <c r="E75" s="103"/>
      <c r="F75" s="103"/>
      <c r="G75" s="103"/>
    </row>
    <row r="76" spans="1:7" ht="11.4" outlineLevel="1" x14ac:dyDescent="0.2">
      <c r="A76" s="123"/>
      <c r="B76" s="1014" t="s">
        <v>185</v>
      </c>
      <c r="C76" s="1015">
        <f>SUM(E76:G76)</f>
        <v>0</v>
      </c>
      <c r="E76" s="1016">
        <v>0</v>
      </c>
      <c r="F76" s="1016">
        <v>0</v>
      </c>
      <c r="G76" s="1016">
        <v>0</v>
      </c>
    </row>
    <row r="77" spans="1:7" outlineLevel="1" x14ac:dyDescent="0.2">
      <c r="C77" s="106"/>
      <c r="E77" s="103"/>
      <c r="F77" s="103"/>
      <c r="G77" s="103"/>
    </row>
    <row r="78" spans="1:7" ht="11.4" outlineLevel="1" x14ac:dyDescent="0.2">
      <c r="B78" s="1014" t="s">
        <v>186</v>
      </c>
      <c r="C78" s="1015">
        <f>SUM(E78:G78)</f>
        <v>0</v>
      </c>
      <c r="E78" s="1016">
        <v>0</v>
      </c>
      <c r="F78" s="1016">
        <v>0</v>
      </c>
      <c r="G78" s="1016">
        <v>0</v>
      </c>
    </row>
    <row r="79" spans="1:7" outlineLevel="1" x14ac:dyDescent="0.2">
      <c r="C79" s="106"/>
    </row>
    <row r="80" spans="1:7" outlineLevel="1" x14ac:dyDescent="0.2">
      <c r="C80" s="106"/>
    </row>
    <row r="81" spans="1:7" ht="11.4" outlineLevel="1" x14ac:dyDescent="0.2">
      <c r="B81" s="107" t="s">
        <v>511</v>
      </c>
      <c r="C81" s="108">
        <f>'Parametri MTR-3'!$F$6</f>
        <v>8.7999999999999995E-2</v>
      </c>
    </row>
    <row r="82" spans="1:7" ht="11.4" outlineLevel="1" x14ac:dyDescent="0.2">
      <c r="B82" s="107" t="s">
        <v>512</v>
      </c>
      <c r="C82" s="108">
        <f>'Parametri MTR-3'!$G$6</f>
        <v>0</v>
      </c>
    </row>
    <row r="83" spans="1:7" outlineLevel="1" x14ac:dyDescent="0.2">
      <c r="E83" s="387"/>
      <c r="F83" s="387"/>
      <c r="G83" s="387"/>
    </row>
    <row r="84" spans="1:7" s="365" customFormat="1" ht="20.399999999999999" outlineLevel="1" x14ac:dyDescent="0.2">
      <c r="A84" s="364"/>
      <c r="B84" s="388"/>
      <c r="C84" s="121"/>
      <c r="D84" s="367"/>
      <c r="E84" s="368" t="str">
        <f t="shared" ref="E84" si="8">E3</f>
        <v>BUSTO ARSIZIO</v>
      </c>
      <c r="F84" s="368" t="str">
        <f t="shared" ref="F84:G84" si="9">F3</f>
        <v>FAGNANO OLONA</v>
      </c>
      <c r="G84" s="368" t="str">
        <f t="shared" si="9"/>
        <v>VENEGONO SUPERIORE</v>
      </c>
    </row>
    <row r="85" spans="1:7" ht="11.4" outlineLevel="1" x14ac:dyDescent="0.2">
      <c r="B85" s="95" t="s">
        <v>183</v>
      </c>
      <c r="C85" s="411">
        <f t="shared" ref="C85:C90" si="10">SUM(E85:G85)</f>
        <v>8190180.2434347048</v>
      </c>
      <c r="E85" s="110">
        <f>SUM(E86:E87)</f>
        <v>8190180.2434347048</v>
      </c>
      <c r="F85" s="110">
        <f>SUM(F86:F87)</f>
        <v>0</v>
      </c>
      <c r="G85" s="110">
        <f>SUM(G86:G87)</f>
        <v>0</v>
      </c>
    </row>
    <row r="86" spans="1:7" outlineLevel="1" x14ac:dyDescent="0.2">
      <c r="B86" s="111" t="s">
        <v>150</v>
      </c>
      <c r="C86" s="426">
        <f t="shared" si="10"/>
        <v>2391421.9656777782</v>
      </c>
      <c r="E86" s="113">
        <f>E233</f>
        <v>2391421.9656777782</v>
      </c>
      <c r="F86" s="113">
        <f>F233</f>
        <v>0</v>
      </c>
      <c r="G86" s="113">
        <f>G233</f>
        <v>0</v>
      </c>
    </row>
    <row r="87" spans="1:7" outlineLevel="1" x14ac:dyDescent="0.2">
      <c r="B87" s="114" t="s">
        <v>151</v>
      </c>
      <c r="C87" s="427">
        <f t="shared" si="10"/>
        <v>5798758.2777569266</v>
      </c>
      <c r="E87" s="116">
        <f>E232</f>
        <v>5798758.2777569266</v>
      </c>
      <c r="F87" s="116">
        <f>F232</f>
        <v>0</v>
      </c>
      <c r="G87" s="116">
        <f>G232</f>
        <v>0</v>
      </c>
    </row>
    <row r="88" spans="1:7" ht="11.4" outlineLevel="1" x14ac:dyDescent="0.2">
      <c r="B88" s="1018" t="s">
        <v>187</v>
      </c>
      <c r="C88" s="1019">
        <f t="shared" si="10"/>
        <v>0</v>
      </c>
      <c r="E88" s="1017">
        <v>0</v>
      </c>
      <c r="F88" s="1017">
        <v>0</v>
      </c>
      <c r="G88" s="1017">
        <v>0</v>
      </c>
    </row>
    <row r="89" spans="1:7" ht="11.4" outlineLevel="1" x14ac:dyDescent="0.2">
      <c r="B89" s="117" t="s">
        <v>467</v>
      </c>
      <c r="C89" s="429">
        <f t="shared" si="10"/>
        <v>12790.341557470856</v>
      </c>
      <c r="E89" s="110">
        <f>IF($C$58=5.2%,SUMPRODUCT(E93:E96,'Parametri MTR-3'!$F$11:$F$14),IF($C$58=5%,SUMPRODUCT(E93:E96,'Parametri MTR-3'!$H$11:$H$14),0))</f>
        <v>12790.341557470856</v>
      </c>
      <c r="F89" s="110">
        <f>IF($C$58=5.2%,SUMPRODUCT(F93:F96,'Parametri MTR-3'!$F$11:$F$14),IF($C$58=5%,SUMPRODUCT(F93:F96,'Parametri MTR-3'!$H$11:$H$14),0))</f>
        <v>0</v>
      </c>
      <c r="G89" s="110">
        <f>IF($C$58=5.2%,SUMPRODUCT(G93:G96,'Parametri MTR-3'!$F$11:$F$14),IF($C$58=5%,SUMPRODUCT(G93:G96,'Parametri MTR-3'!$H$11:$H$14),0))</f>
        <v>0</v>
      </c>
    </row>
    <row r="90" spans="1:7" ht="11.4" outlineLevel="1" x14ac:dyDescent="0.2">
      <c r="B90" s="1018" t="s">
        <v>188</v>
      </c>
      <c r="C90" s="1019">
        <f t="shared" si="10"/>
        <v>0</v>
      </c>
      <c r="E90" s="1020">
        <v>0</v>
      </c>
      <c r="F90" s="1020">
        <v>0</v>
      </c>
      <c r="G90" s="1020">
        <v>0</v>
      </c>
    </row>
    <row r="91" spans="1:7" outlineLevel="1" x14ac:dyDescent="0.2"/>
    <row r="92" spans="1:7" ht="11.4" outlineLevel="1" x14ac:dyDescent="0.25">
      <c r="B92" s="413" t="s">
        <v>1154</v>
      </c>
      <c r="C92" s="414">
        <f>SUM(E92:G92)</f>
        <v>278388.21912528877</v>
      </c>
      <c r="E92" s="435">
        <f>SUM(E93:E96)</f>
        <v>278388.21912528877</v>
      </c>
      <c r="F92" s="435">
        <f>SUM(F93:F96)</f>
        <v>0</v>
      </c>
      <c r="G92" s="435">
        <f>SUM(G93:G96)</f>
        <v>0</v>
      </c>
    </row>
    <row r="93" spans="1:7" outlineLevel="1" x14ac:dyDescent="0.2">
      <c r="A93" s="122" t="s">
        <v>1156</v>
      </c>
      <c r="B93" s="421" t="s">
        <v>1155</v>
      </c>
      <c r="C93" s="418">
        <f>SUM(E93:G93)</f>
        <v>141938.87676425482</v>
      </c>
      <c r="E93" s="418">
        <v>141938.87676425482</v>
      </c>
      <c r="F93" s="418">
        <v>0</v>
      </c>
      <c r="G93" s="418">
        <v>0</v>
      </c>
    </row>
    <row r="94" spans="1:7" outlineLevel="1" x14ac:dyDescent="0.2">
      <c r="A94" s="122" t="s">
        <v>1157</v>
      </c>
      <c r="B94" s="422" t="s">
        <v>1135</v>
      </c>
      <c r="C94" s="419">
        <f>SUM(E94:G94)</f>
        <v>126467.40594564649</v>
      </c>
      <c r="E94" s="419">
        <v>126467.40594564649</v>
      </c>
      <c r="F94" s="419">
        <v>0</v>
      </c>
      <c r="G94" s="419">
        <v>0</v>
      </c>
    </row>
    <row r="95" spans="1:7" outlineLevel="1" x14ac:dyDescent="0.2">
      <c r="A95" s="122" t="s">
        <v>1158</v>
      </c>
      <c r="B95" s="422" t="s">
        <v>507</v>
      </c>
      <c r="C95" s="419">
        <f>SUM(E95:G95)</f>
        <v>4989.936415387443</v>
      </c>
      <c r="E95" s="419">
        <v>4989.936415387443</v>
      </c>
      <c r="F95" s="419">
        <v>0</v>
      </c>
      <c r="G95" s="419">
        <v>0</v>
      </c>
    </row>
    <row r="96" spans="1:7" outlineLevel="1" x14ac:dyDescent="0.2">
      <c r="A96" s="122" t="s">
        <v>1159</v>
      </c>
      <c r="B96" s="423" t="s">
        <v>508</v>
      </c>
      <c r="C96" s="420">
        <f>SUM(E96:G96)</f>
        <v>4992</v>
      </c>
      <c r="E96" s="420">
        <v>4992</v>
      </c>
      <c r="F96" s="420">
        <v>0</v>
      </c>
      <c r="G96" s="420">
        <v>0</v>
      </c>
    </row>
    <row r="97" spans="1:7" outlineLevel="1" x14ac:dyDescent="0.2">
      <c r="C97" s="424" t="s">
        <v>510</v>
      </c>
      <c r="E97" s="387" t="str">
        <f>IF(SUMPRODUCT(E93:E96,'Parametri MTR-3'!$G$11:$G$14)=E89,"ok","errore")</f>
        <v>ok</v>
      </c>
      <c r="F97" s="387" t="str">
        <f>IF(SUMPRODUCT(F93:F96,'Parametri MTR-3'!$G$11:$G$14)=F89,"ok","errore")</f>
        <v>ok</v>
      </c>
      <c r="G97" s="387" t="str">
        <f>IF(SUMPRODUCT(G93:G96,'Parametri MTR-3'!$G$11:$G$14)=G89,"ok","errore")</f>
        <v>ok</v>
      </c>
    </row>
    <row r="98" spans="1:7" outlineLevel="1" x14ac:dyDescent="0.2">
      <c r="C98" s="424"/>
      <c r="E98" s="387"/>
      <c r="F98" s="387"/>
      <c r="G98" s="387"/>
    </row>
    <row r="99" spans="1:7" ht="11.4" outlineLevel="1" x14ac:dyDescent="0.25">
      <c r="B99" s="413" t="s">
        <v>1160</v>
      </c>
      <c r="C99" s="436">
        <f>SUM(E99:G99)</f>
        <v>0</v>
      </c>
      <c r="E99" s="435">
        <f>SUM(E100:E103)</f>
        <v>0</v>
      </c>
      <c r="F99" s="435">
        <f>SUM(F100:F103)</f>
        <v>0</v>
      </c>
      <c r="G99" s="435">
        <f>SUM(G100:G103)</f>
        <v>0</v>
      </c>
    </row>
    <row r="100" spans="1:7" ht="11.4" outlineLevel="1" x14ac:dyDescent="0.25">
      <c r="A100" s="122" t="s">
        <v>1162</v>
      </c>
      <c r="B100" s="421" t="s">
        <v>552</v>
      </c>
      <c r="C100" s="418">
        <f>SUM(E100:G100)</f>
        <v>0</v>
      </c>
      <c r="E100" s="418">
        <v>0</v>
      </c>
      <c r="F100" s="418">
        <v>0</v>
      </c>
      <c r="G100" s="418">
        <v>0</v>
      </c>
    </row>
    <row r="101" spans="1:7" ht="11.4" outlineLevel="1" x14ac:dyDescent="0.25">
      <c r="A101" s="122" t="s">
        <v>1163</v>
      </c>
      <c r="B101" s="422" t="s">
        <v>553</v>
      </c>
      <c r="C101" s="419">
        <f>SUM(E101:G101)</f>
        <v>0</v>
      </c>
      <c r="E101" s="419">
        <v>0</v>
      </c>
      <c r="F101" s="419">
        <v>0</v>
      </c>
      <c r="G101" s="419">
        <v>0</v>
      </c>
    </row>
    <row r="102" spans="1:7" ht="11.4" outlineLevel="1" x14ac:dyDescent="0.25">
      <c r="A102" s="122" t="s">
        <v>1164</v>
      </c>
      <c r="B102" s="422" t="s">
        <v>554</v>
      </c>
      <c r="C102" s="419">
        <f>SUM(E102:G102)</f>
        <v>0</v>
      </c>
      <c r="E102" s="419">
        <v>0</v>
      </c>
      <c r="F102" s="419">
        <v>0</v>
      </c>
      <c r="G102" s="419">
        <v>0</v>
      </c>
    </row>
    <row r="103" spans="1:7" ht="11.4" outlineLevel="1" x14ac:dyDescent="0.25">
      <c r="A103" s="122" t="s">
        <v>1165</v>
      </c>
      <c r="B103" s="422" t="s">
        <v>555</v>
      </c>
      <c r="C103" s="419">
        <f>SUM(E103:G103)</f>
        <v>0</v>
      </c>
      <c r="E103" s="419">
        <v>0</v>
      </c>
      <c r="F103" s="419">
        <v>0</v>
      </c>
      <c r="G103" s="419">
        <v>0</v>
      </c>
    </row>
    <row r="104" spans="1:7" outlineLevel="1" x14ac:dyDescent="0.2">
      <c r="A104" s="122" t="s">
        <v>2104</v>
      </c>
      <c r="B104" s="423" t="s">
        <v>1161</v>
      </c>
      <c r="C104" s="459"/>
      <c r="E104" s="564" t="s">
        <v>105</v>
      </c>
      <c r="F104" s="564" t="s">
        <v>105</v>
      </c>
      <c r="G104" s="564" t="s">
        <v>105</v>
      </c>
    </row>
    <row r="105" spans="1:7" x14ac:dyDescent="0.2">
      <c r="C105" s="424"/>
      <c r="E105" s="387"/>
      <c r="F105" s="387"/>
      <c r="G105" s="387"/>
    </row>
    <row r="106" spans="1:7" ht="20.399999999999999" x14ac:dyDescent="0.2">
      <c r="B106" s="1137" t="s">
        <v>2053</v>
      </c>
      <c r="C106" s="1137"/>
      <c r="D106" s="365"/>
      <c r="E106" s="368" t="str">
        <f t="shared" ref="E106" si="11">E3</f>
        <v>BUSTO ARSIZIO</v>
      </c>
      <c r="F106" s="368" t="str">
        <f t="shared" ref="F106:G106" si="12">F3</f>
        <v>FAGNANO OLONA</v>
      </c>
      <c r="G106" s="368" t="str">
        <f t="shared" si="12"/>
        <v>VENEGONO SUPERIORE</v>
      </c>
    </row>
    <row r="108" spans="1:7" ht="12" customHeight="1" x14ac:dyDescent="0.2">
      <c r="B108" s="1128">
        <v>2024</v>
      </c>
      <c r="C108" s="1128"/>
      <c r="E108" s="120"/>
      <c r="F108" s="120"/>
      <c r="G108" s="120"/>
    </row>
    <row r="109" spans="1:7" ht="12" customHeight="1" x14ac:dyDescent="0.2">
      <c r="A109" s="85" t="s">
        <v>1166</v>
      </c>
      <c r="B109" s="91" t="s">
        <v>1170</v>
      </c>
      <c r="C109" s="410">
        <f>SUM(E109:G109)</f>
        <v>694963.30090228538</v>
      </c>
      <c r="D109" s="93"/>
      <c r="E109" s="94">
        <f t="shared" ref="E109" si="13">+MAX((E119+E122-E120)*E116+E134*(E115-E116),0)</f>
        <v>694963.30090228538</v>
      </c>
      <c r="F109" s="94">
        <f t="shared" ref="F109:G109" si="14">+MAX((F119+F122-F120)*F116+F134*(F115-F116),0)</f>
        <v>0</v>
      </c>
      <c r="G109" s="94">
        <f t="shared" si="14"/>
        <v>0</v>
      </c>
    </row>
    <row r="110" spans="1:7" ht="12" customHeight="1" x14ac:dyDescent="0.2">
      <c r="A110" s="85" t="s">
        <v>1167</v>
      </c>
      <c r="B110" s="91" t="s">
        <v>1171</v>
      </c>
      <c r="C110" s="410">
        <f>SUM(E110:G110)</f>
        <v>6865.6014545997477</v>
      </c>
      <c r="D110" s="93"/>
      <c r="E110" s="94">
        <f>E137</f>
        <v>6865.6014545997477</v>
      </c>
      <c r="F110" s="94">
        <f>F137</f>
        <v>0</v>
      </c>
      <c r="G110" s="94">
        <f>G137</f>
        <v>0</v>
      </c>
    </row>
    <row r="111" spans="1:7" ht="12" customHeight="1" x14ac:dyDescent="0.2">
      <c r="A111" s="85" t="s">
        <v>1168</v>
      </c>
      <c r="B111" s="91" t="s">
        <v>1172</v>
      </c>
      <c r="C111" s="410">
        <f>SUM(E111:G111)</f>
        <v>0</v>
      </c>
      <c r="D111" s="93"/>
      <c r="E111" s="94">
        <f>E136</f>
        <v>0</v>
      </c>
      <c r="F111" s="94">
        <f>F136</f>
        <v>0</v>
      </c>
      <c r="G111" s="94">
        <f>G136</f>
        <v>0</v>
      </c>
    </row>
    <row r="112" spans="1:7" ht="12" customHeight="1" x14ac:dyDescent="0.2">
      <c r="A112" s="85" t="s">
        <v>1169</v>
      </c>
      <c r="B112" s="91" t="s">
        <v>2056</v>
      </c>
      <c r="C112" s="410">
        <f>SUM(E112:G112)</f>
        <v>0</v>
      </c>
      <c r="D112" s="93"/>
      <c r="E112" s="94">
        <f>E138</f>
        <v>0</v>
      </c>
      <c r="F112" s="94">
        <f>F138</f>
        <v>0</v>
      </c>
      <c r="G112" s="94">
        <f>G138</f>
        <v>0</v>
      </c>
    </row>
    <row r="113" spans="1:7" ht="12" customHeight="1" x14ac:dyDescent="0.2">
      <c r="C113" s="90"/>
    </row>
    <row r="114" spans="1:7" ht="12" customHeight="1" outlineLevel="1" x14ac:dyDescent="0.2">
      <c r="B114" s="95" t="s">
        <v>171</v>
      </c>
      <c r="C114" s="410">
        <f>SUM(E114:G114)</f>
        <v>10629161.821386751</v>
      </c>
      <c r="E114" s="96">
        <f>E118</f>
        <v>10629161.821386751</v>
      </c>
      <c r="F114" s="96">
        <f>F118</f>
        <v>0</v>
      </c>
      <c r="G114" s="96">
        <f>G118</f>
        <v>0</v>
      </c>
    </row>
    <row r="115" spans="1:7" ht="12" customHeight="1" outlineLevel="1" x14ac:dyDescent="0.2">
      <c r="B115" s="97" t="s">
        <v>2054</v>
      </c>
      <c r="C115" s="98">
        <f>C116+1%</f>
        <v>7.2999999999999995E-2</v>
      </c>
      <c r="E115" s="99">
        <f>$C$115</f>
        <v>7.2999999999999995E-2</v>
      </c>
      <c r="F115" s="99">
        <f>$C$115</f>
        <v>7.2999999999999995E-2</v>
      </c>
      <c r="G115" s="99">
        <f>$C$115</f>
        <v>7.2999999999999995E-2</v>
      </c>
    </row>
    <row r="116" spans="1:7" ht="12" customHeight="1" outlineLevel="1" x14ac:dyDescent="0.2">
      <c r="B116" s="97" t="s">
        <v>2055</v>
      </c>
      <c r="C116" s="98">
        <f>'Parametri MTR-3'!$H$9</f>
        <v>6.3E-2</v>
      </c>
      <c r="E116" s="99">
        <f>$C$116</f>
        <v>6.3E-2</v>
      </c>
      <c r="F116" s="99">
        <f>$C$116</f>
        <v>6.3E-2</v>
      </c>
      <c r="G116" s="99">
        <f>$C$116</f>
        <v>6.3E-2</v>
      </c>
    </row>
    <row r="117" spans="1:7" ht="12" customHeight="1" outlineLevel="1" x14ac:dyDescent="0.2">
      <c r="C117" s="90"/>
    </row>
    <row r="118" spans="1:7" ht="12" customHeight="1" outlineLevel="1" x14ac:dyDescent="0.2">
      <c r="B118" s="95" t="s">
        <v>171</v>
      </c>
      <c r="C118" s="410">
        <f>SUM(E118:G118)</f>
        <v>10629161.821386751</v>
      </c>
      <c r="E118" s="101">
        <f>MAX((E119+E122-E120),0)</f>
        <v>10629161.821386751</v>
      </c>
      <c r="F118" s="101">
        <f>MAX((F119+F122-F120),0)</f>
        <v>0</v>
      </c>
      <c r="G118" s="101">
        <f>MAX((G119+G122-G120),0)</f>
        <v>0</v>
      </c>
    </row>
    <row r="119" spans="1:7" ht="12" customHeight="1" outlineLevel="1" x14ac:dyDescent="0.2">
      <c r="B119" s="95" t="s">
        <v>172</v>
      </c>
      <c r="C119" s="410">
        <f>SUM(E119:G119)</f>
        <v>8517916.6376467571</v>
      </c>
      <c r="E119" s="102">
        <f>E133</f>
        <v>8517916.6376467571</v>
      </c>
      <c r="F119" s="102">
        <f>F133</f>
        <v>0</v>
      </c>
      <c r="G119" s="102">
        <f>G133</f>
        <v>0</v>
      </c>
    </row>
    <row r="120" spans="1:7" ht="12" customHeight="1" outlineLevel="1" x14ac:dyDescent="0.2">
      <c r="B120" s="100" t="s">
        <v>152</v>
      </c>
      <c r="C120" s="425">
        <f>SUM(E120:G120)</f>
        <v>431820.41911203694</v>
      </c>
      <c r="E120" s="102">
        <f t="shared" ref="E120:E122" si="15">E22</f>
        <v>431820.41911203694</v>
      </c>
      <c r="F120" s="102">
        <f t="shared" ref="F120:G120" si="16">F22</f>
        <v>0</v>
      </c>
      <c r="G120" s="102">
        <f t="shared" si="16"/>
        <v>0</v>
      </c>
    </row>
    <row r="121" spans="1:7" ht="12" customHeight="1" outlineLevel="1" x14ac:dyDescent="0.2">
      <c r="C121" s="90"/>
      <c r="E121" s="103"/>
      <c r="F121" s="103"/>
      <c r="G121" s="103"/>
    </row>
    <row r="122" spans="1:7" ht="12" customHeight="1" outlineLevel="1" x14ac:dyDescent="0.2">
      <c r="B122" s="100" t="s">
        <v>173</v>
      </c>
      <c r="C122" s="410">
        <f>SUM(E122:G122)</f>
        <v>2543065.6028520321</v>
      </c>
      <c r="E122" s="102">
        <f t="shared" si="15"/>
        <v>2543065.6028520321</v>
      </c>
      <c r="F122" s="102">
        <f t="shared" ref="F122:G122" si="17">F24</f>
        <v>0</v>
      </c>
      <c r="G122" s="102">
        <f t="shared" si="17"/>
        <v>0</v>
      </c>
    </row>
    <row r="123" spans="1:7" ht="12" customHeight="1" outlineLevel="1" x14ac:dyDescent="0.2">
      <c r="C123" s="90"/>
      <c r="E123" s="103"/>
      <c r="F123" s="103"/>
      <c r="G123" s="103"/>
    </row>
    <row r="124" spans="1:7" ht="12" customHeight="1" outlineLevel="1" x14ac:dyDescent="0.2">
      <c r="A124" s="123"/>
      <c r="B124" s="1014" t="s">
        <v>159</v>
      </c>
      <c r="C124" s="1015">
        <f>SUM(E124:G124)</f>
        <v>0</v>
      </c>
      <c r="E124" s="1016">
        <f t="shared" ref="E124" si="18">E26</f>
        <v>0</v>
      </c>
      <c r="F124" s="1016">
        <f t="shared" ref="F124:G124" si="19">F26</f>
        <v>0</v>
      </c>
      <c r="G124" s="1016">
        <f t="shared" si="19"/>
        <v>0</v>
      </c>
    </row>
    <row r="125" spans="1:7" ht="12" customHeight="1" outlineLevel="1" x14ac:dyDescent="0.2">
      <c r="C125" s="106"/>
      <c r="E125" s="103"/>
      <c r="F125" s="103"/>
      <c r="G125" s="103"/>
    </row>
    <row r="126" spans="1:7" ht="12" customHeight="1" outlineLevel="1" x14ac:dyDescent="0.2">
      <c r="B126" s="1014" t="s">
        <v>160</v>
      </c>
      <c r="C126" s="1015">
        <f>SUM(E126:G126)</f>
        <v>0</v>
      </c>
      <c r="E126" s="1016">
        <f t="shared" ref="E126" si="20">E28</f>
        <v>0</v>
      </c>
      <c r="F126" s="1016">
        <f t="shared" ref="F126:G126" si="21">F28</f>
        <v>0</v>
      </c>
      <c r="G126" s="1016">
        <f t="shared" si="21"/>
        <v>0</v>
      </c>
    </row>
    <row r="127" spans="1:7" ht="12" customHeight="1" outlineLevel="1" x14ac:dyDescent="0.2">
      <c r="C127" s="106"/>
    </row>
    <row r="128" spans="1:7" ht="12" customHeight="1" outlineLevel="1" x14ac:dyDescent="0.2">
      <c r="C128" s="106"/>
    </row>
    <row r="129" spans="1:7" ht="12" customHeight="1" outlineLevel="1" x14ac:dyDescent="0.2">
      <c r="B129" s="107" t="s">
        <v>161</v>
      </c>
      <c r="C129" s="108">
        <f>C31</f>
        <v>4.4999999999999998E-2</v>
      </c>
    </row>
    <row r="130" spans="1:7" ht="12" customHeight="1" outlineLevel="1" x14ac:dyDescent="0.2">
      <c r="B130" s="107" t="s">
        <v>511</v>
      </c>
      <c r="C130" s="108">
        <f>C32</f>
        <v>8.7999999999999995E-2</v>
      </c>
    </row>
    <row r="131" spans="1:7" s="386" customFormat="1" ht="12" customHeight="1" outlineLevel="1" x14ac:dyDescent="0.2">
      <c r="A131" s="122"/>
      <c r="B131" s="385"/>
      <c r="E131" s="387"/>
      <c r="F131" s="387"/>
      <c r="G131" s="387"/>
    </row>
    <row r="132" spans="1:7" s="367" customFormat="1" ht="20.399999999999999" outlineLevel="1" x14ac:dyDescent="0.2">
      <c r="A132" s="364"/>
      <c r="B132" s="388"/>
      <c r="C132" s="121"/>
      <c r="E132" s="368" t="str">
        <f t="shared" ref="E132" si="22">E106</f>
        <v>BUSTO ARSIZIO</v>
      </c>
      <c r="F132" s="368" t="str">
        <f t="shared" ref="F132:G132" si="23">F106</f>
        <v>FAGNANO OLONA</v>
      </c>
      <c r="G132" s="368" t="str">
        <f t="shared" si="23"/>
        <v>VENEGONO SUPERIORE</v>
      </c>
    </row>
    <row r="133" spans="1:7" ht="12" customHeight="1" outlineLevel="1" x14ac:dyDescent="0.2">
      <c r="B133" s="95" t="s">
        <v>172</v>
      </c>
      <c r="C133" s="411">
        <f t="shared" ref="C133:C138" si="24">SUM(E133:G133)</f>
        <v>8517916.6376467571</v>
      </c>
      <c r="E133" s="110">
        <f>SUM(E134:E135)</f>
        <v>8517916.6376467571</v>
      </c>
      <c r="F133" s="110">
        <f>SUM(F134:F135)</f>
        <v>0</v>
      </c>
      <c r="G133" s="110">
        <f>SUM(G134:G135)</f>
        <v>0</v>
      </c>
    </row>
    <row r="134" spans="1:7" ht="12" customHeight="1" outlineLevel="1" x14ac:dyDescent="0.2">
      <c r="B134" s="111" t="s">
        <v>150</v>
      </c>
      <c r="C134" s="426">
        <f t="shared" si="24"/>
        <v>2532610.6154920091</v>
      </c>
      <c r="E134" s="113">
        <f t="shared" ref="E134" si="25">E36</f>
        <v>2532610.6154920091</v>
      </c>
      <c r="F134" s="113">
        <f t="shared" ref="F134:G134" si="26">F36</f>
        <v>0</v>
      </c>
      <c r="G134" s="113">
        <f t="shared" si="26"/>
        <v>0</v>
      </c>
    </row>
    <row r="135" spans="1:7" ht="12" customHeight="1" outlineLevel="1" x14ac:dyDescent="0.2">
      <c r="B135" s="114" t="s">
        <v>151</v>
      </c>
      <c r="C135" s="427">
        <f t="shared" si="24"/>
        <v>5985306.0221547475</v>
      </c>
      <c r="E135" s="116">
        <f t="shared" ref="E135" si="27">E37</f>
        <v>5985306.0221547475</v>
      </c>
      <c r="F135" s="116">
        <f t="shared" ref="F135:G135" si="28">F37</f>
        <v>0</v>
      </c>
      <c r="G135" s="116">
        <f t="shared" si="28"/>
        <v>0</v>
      </c>
    </row>
    <row r="136" spans="1:7" ht="12" customHeight="1" outlineLevel="1" x14ac:dyDescent="0.2">
      <c r="B136" s="95" t="s">
        <v>174</v>
      </c>
      <c r="C136" s="428">
        <f t="shared" si="24"/>
        <v>0</v>
      </c>
      <c r="E136" s="110">
        <f t="shared" ref="E136" si="29">E38</f>
        <v>0</v>
      </c>
      <c r="F136" s="110">
        <f t="shared" ref="F136:G136" si="30">F38</f>
        <v>0</v>
      </c>
      <c r="G136" s="110">
        <f t="shared" si="30"/>
        <v>0</v>
      </c>
    </row>
    <row r="137" spans="1:7" ht="12" customHeight="1" outlineLevel="1" x14ac:dyDescent="0.2">
      <c r="B137" s="117" t="s">
        <v>1173</v>
      </c>
      <c r="C137" s="429">
        <f t="shared" si="24"/>
        <v>6865.6014545997477</v>
      </c>
      <c r="E137" s="110">
        <f>SUMPRODUCT(E141:E144,'Parametri MTR-3'!$H$11:$H$14)</f>
        <v>6865.6014545997477</v>
      </c>
      <c r="F137" s="110">
        <f>SUMPRODUCT(F141:F144,'Parametri MTR-3'!$H$11:$H$14)</f>
        <v>0</v>
      </c>
      <c r="G137" s="110">
        <f>SUMPRODUCT(G141:G144,'Parametri MTR-3'!$H$11:$H$14)</f>
        <v>0</v>
      </c>
    </row>
    <row r="138" spans="1:7" ht="12" customHeight="1" outlineLevel="1" x14ac:dyDescent="0.2">
      <c r="B138" s="95" t="s">
        <v>175</v>
      </c>
      <c r="C138" s="428">
        <f t="shared" si="24"/>
        <v>0</v>
      </c>
      <c r="E138" s="389">
        <f t="shared" ref="E138" si="31">E40</f>
        <v>0</v>
      </c>
      <c r="F138" s="389">
        <f t="shared" ref="F138:G138" si="32">F40</f>
        <v>0</v>
      </c>
      <c r="G138" s="389">
        <f t="shared" si="32"/>
        <v>0</v>
      </c>
    </row>
    <row r="139" spans="1:7" outlineLevel="1" x14ac:dyDescent="0.2">
      <c r="C139" s="119"/>
    </row>
    <row r="140" spans="1:7" ht="11.4" outlineLevel="1" x14ac:dyDescent="0.25">
      <c r="B140" s="413" t="s">
        <v>1134</v>
      </c>
      <c r="C140" s="436">
        <f>SUM(E140:G140)</f>
        <v>146029.86387664391</v>
      </c>
      <c r="E140" s="435">
        <f>SUM(E141:E144)</f>
        <v>146029.86387664391</v>
      </c>
      <c r="F140" s="435">
        <f>SUM(F141:F144)</f>
        <v>0</v>
      </c>
      <c r="G140" s="435">
        <f>SUM(G141:G144)</f>
        <v>0</v>
      </c>
    </row>
    <row r="141" spans="1:7" outlineLevel="1" x14ac:dyDescent="0.2">
      <c r="B141" s="430" t="s">
        <v>1135</v>
      </c>
      <c r="C141" s="415">
        <f>SUM(E141:G141)</f>
        <v>128066.27117018178</v>
      </c>
      <c r="E141" s="415">
        <f t="shared" ref="E141" si="33">E43</f>
        <v>128066.27117018178</v>
      </c>
      <c r="F141" s="415">
        <f t="shared" ref="F141:G141" si="34">F43</f>
        <v>0</v>
      </c>
      <c r="G141" s="415">
        <f t="shared" si="34"/>
        <v>0</v>
      </c>
    </row>
    <row r="142" spans="1:7" outlineLevel="1" x14ac:dyDescent="0.2">
      <c r="B142" s="431" t="s">
        <v>507</v>
      </c>
      <c r="C142" s="416">
        <f>SUM(E142:G142)</f>
        <v>4989.936415387443</v>
      </c>
      <c r="E142" s="416">
        <f t="shared" ref="E142" si="35">E44</f>
        <v>4989.936415387443</v>
      </c>
      <c r="F142" s="416">
        <f t="shared" ref="F142:G142" si="36">F44</f>
        <v>0</v>
      </c>
      <c r="G142" s="416">
        <f t="shared" si="36"/>
        <v>0</v>
      </c>
    </row>
    <row r="143" spans="1:7" outlineLevel="1" x14ac:dyDescent="0.2">
      <c r="B143" s="431" t="s">
        <v>508</v>
      </c>
      <c r="C143" s="416">
        <f>SUM(E143:G143)</f>
        <v>4992</v>
      </c>
      <c r="E143" s="416">
        <f t="shared" ref="E143" si="37">E45</f>
        <v>4992</v>
      </c>
      <c r="F143" s="416">
        <f t="shared" ref="F143:G143" si="38">F45</f>
        <v>0</v>
      </c>
      <c r="G143" s="416">
        <f t="shared" si="38"/>
        <v>0</v>
      </c>
    </row>
    <row r="144" spans="1:7" outlineLevel="1" x14ac:dyDescent="0.2">
      <c r="B144" s="432" t="s">
        <v>509</v>
      </c>
      <c r="C144" s="417">
        <f>SUM(E144:G144)</f>
        <v>7981.6562910747152</v>
      </c>
      <c r="E144" s="417">
        <f t="shared" ref="E144" si="39">E46</f>
        <v>7981.6562910747152</v>
      </c>
      <c r="F144" s="417">
        <f t="shared" ref="F144:G144" si="40">F46</f>
        <v>0</v>
      </c>
      <c r="G144" s="417">
        <f t="shared" si="40"/>
        <v>0</v>
      </c>
    </row>
    <row r="145" spans="1:7" x14ac:dyDescent="0.2">
      <c r="C145" s="119"/>
    </row>
    <row r="146" spans="1:7" x14ac:dyDescent="0.2">
      <c r="B146" s="1128">
        <v>2025</v>
      </c>
      <c r="C146" s="1128"/>
      <c r="E146" s="120"/>
      <c r="F146" s="120"/>
      <c r="G146" s="120"/>
    </row>
    <row r="147" spans="1:7" ht="11.4" x14ac:dyDescent="0.2">
      <c r="A147" s="85" t="s">
        <v>1177</v>
      </c>
      <c r="B147" s="91" t="s">
        <v>1174</v>
      </c>
      <c r="C147" s="410">
        <f>SUM(E147:G147)</f>
        <v>668847.86017221631</v>
      </c>
      <c r="D147" s="93"/>
      <c r="E147" s="94">
        <f t="shared" ref="E147" si="41">+MAX((E157+E160-E158)*E154+E172*(E153-E154),0)</f>
        <v>668847.86017221631</v>
      </c>
      <c r="F147" s="94">
        <f t="shared" ref="F147:G147" si="42">+MAX((F157+F160-F158)*F154+F172*(F153-F154),0)</f>
        <v>0</v>
      </c>
      <c r="G147" s="94">
        <f t="shared" si="42"/>
        <v>0</v>
      </c>
    </row>
    <row r="148" spans="1:7" ht="11.4" x14ac:dyDescent="0.2">
      <c r="A148" s="85" t="s">
        <v>1178</v>
      </c>
      <c r="B148" s="91" t="s">
        <v>1175</v>
      </c>
      <c r="C148" s="410">
        <f>SUM(E148:G148)</f>
        <v>12223.470233968519</v>
      </c>
      <c r="D148" s="93"/>
      <c r="E148" s="94">
        <f>E175</f>
        <v>12223.470233968519</v>
      </c>
      <c r="F148" s="94">
        <f>F175</f>
        <v>0</v>
      </c>
      <c r="G148" s="94">
        <f>G175</f>
        <v>0</v>
      </c>
    </row>
    <row r="149" spans="1:7" ht="11.4" x14ac:dyDescent="0.2">
      <c r="A149" s="85" t="s">
        <v>1179</v>
      </c>
      <c r="B149" s="91" t="s">
        <v>1176</v>
      </c>
      <c r="C149" s="410">
        <f>SUM(E149:G149)</f>
        <v>0</v>
      </c>
      <c r="D149" s="93"/>
      <c r="E149" s="94">
        <f>E174</f>
        <v>0</v>
      </c>
      <c r="F149" s="94">
        <f>F174</f>
        <v>0</v>
      </c>
      <c r="G149" s="94">
        <f>G174</f>
        <v>0</v>
      </c>
    </row>
    <row r="150" spans="1:7" ht="11.4" x14ac:dyDescent="0.2">
      <c r="A150" s="85" t="s">
        <v>1180</v>
      </c>
      <c r="B150" s="91" t="s">
        <v>2057</v>
      </c>
      <c r="C150" s="410">
        <f>SUM(E150:G150)</f>
        <v>0</v>
      </c>
      <c r="D150" s="93"/>
      <c r="E150" s="94">
        <f>E176</f>
        <v>0</v>
      </c>
      <c r="F150" s="94">
        <f>F176</f>
        <v>0</v>
      </c>
      <c r="G150" s="94">
        <f>G176</f>
        <v>0</v>
      </c>
    </row>
    <row r="151" spans="1:7" x14ac:dyDescent="0.2">
      <c r="C151" s="90"/>
    </row>
    <row r="152" spans="1:7" ht="11.4" outlineLevel="1" x14ac:dyDescent="0.2">
      <c r="B152" s="95" t="s">
        <v>180</v>
      </c>
      <c r="C152" s="410">
        <f>SUM(E152:G152)</f>
        <v>10237041.912943467</v>
      </c>
      <c r="E152" s="96">
        <f>E156</f>
        <v>10237041.912943467</v>
      </c>
      <c r="F152" s="96">
        <f>F156</f>
        <v>0</v>
      </c>
      <c r="G152" s="96">
        <f>G156</f>
        <v>0</v>
      </c>
    </row>
    <row r="153" spans="1:7" ht="11.4" outlineLevel="1" x14ac:dyDescent="0.2">
      <c r="B153" s="97" t="s">
        <v>1181</v>
      </c>
      <c r="C153" s="98">
        <f>C154+1%</f>
        <v>7.2999999999999995E-2</v>
      </c>
      <c r="E153" s="99">
        <f>$C$153</f>
        <v>7.2999999999999995E-2</v>
      </c>
      <c r="F153" s="99">
        <f>$C$153</f>
        <v>7.2999999999999995E-2</v>
      </c>
      <c r="G153" s="99">
        <f>$C$153</f>
        <v>7.2999999999999995E-2</v>
      </c>
    </row>
    <row r="154" spans="1:7" ht="11.4" outlineLevel="1" x14ac:dyDescent="0.2">
      <c r="B154" s="97" t="s">
        <v>1182</v>
      </c>
      <c r="C154" s="98">
        <f>'Parametri MTR-3'!$I$9</f>
        <v>6.3E-2</v>
      </c>
      <c r="E154" s="99">
        <f>$C$154</f>
        <v>6.3E-2</v>
      </c>
      <c r="F154" s="99">
        <f>$C$154</f>
        <v>6.3E-2</v>
      </c>
      <c r="G154" s="99">
        <f>$C$154</f>
        <v>6.3E-2</v>
      </c>
    </row>
    <row r="155" spans="1:7" outlineLevel="1" x14ac:dyDescent="0.2">
      <c r="C155" s="90"/>
    </row>
    <row r="156" spans="1:7" ht="11.4" outlineLevel="1" x14ac:dyDescent="0.2">
      <c r="B156" s="95" t="s">
        <v>180</v>
      </c>
      <c r="C156" s="410">
        <f>SUM(E156:G156)</f>
        <v>10237041.912943467</v>
      </c>
      <c r="E156" s="101">
        <f>MAX((E157+E160-E158),0)</f>
        <v>10237041.912943467</v>
      </c>
      <c r="F156" s="101">
        <f>MAX((F157+F160-F158),0)</f>
        <v>0</v>
      </c>
      <c r="G156" s="101">
        <f>MAX((G157+G160-G158),0)</f>
        <v>0</v>
      </c>
    </row>
    <row r="157" spans="1:7" ht="11.4" outlineLevel="1" x14ac:dyDescent="0.2">
      <c r="B157" s="95" t="s">
        <v>183</v>
      </c>
      <c r="C157" s="410">
        <f>SUM(E157:G157)</f>
        <v>8190180.2434347048</v>
      </c>
      <c r="E157" s="102">
        <f>E171</f>
        <v>8190180.2434347048</v>
      </c>
      <c r="F157" s="102">
        <f>F171</f>
        <v>0</v>
      </c>
      <c r="G157" s="102">
        <f>G171</f>
        <v>0</v>
      </c>
    </row>
    <row r="158" spans="1:7" ht="11.4" outlineLevel="1" x14ac:dyDescent="0.2">
      <c r="B158" s="100" t="s">
        <v>162</v>
      </c>
      <c r="C158" s="425">
        <f>SUM(E158:G158)</f>
        <v>431820.41911203694</v>
      </c>
      <c r="E158" s="102">
        <f>E72</f>
        <v>431820.41911203694</v>
      </c>
      <c r="F158" s="102">
        <f>F72</f>
        <v>0</v>
      </c>
      <c r="G158" s="102">
        <f>G72</f>
        <v>0</v>
      </c>
    </row>
    <row r="159" spans="1:7" outlineLevel="1" x14ac:dyDescent="0.2">
      <c r="C159" s="90"/>
      <c r="E159" s="103"/>
      <c r="F159" s="103"/>
      <c r="G159" s="103"/>
    </row>
    <row r="160" spans="1:7" ht="11.4" outlineLevel="1" x14ac:dyDescent="0.2">
      <c r="B160" s="100" t="s">
        <v>184</v>
      </c>
      <c r="C160" s="410">
        <f>SUM(E160:G160)</f>
        <v>2478682.0886208001</v>
      </c>
      <c r="E160" s="102">
        <f>E74</f>
        <v>2478682.0886208001</v>
      </c>
      <c r="F160" s="102">
        <f>F74</f>
        <v>0</v>
      </c>
      <c r="G160" s="102">
        <f>G74</f>
        <v>0</v>
      </c>
    </row>
    <row r="161" spans="1:7" outlineLevel="1" x14ac:dyDescent="0.2">
      <c r="C161" s="90"/>
      <c r="E161" s="103"/>
      <c r="F161" s="103"/>
      <c r="G161" s="103"/>
    </row>
    <row r="162" spans="1:7" ht="11.4" outlineLevel="1" x14ac:dyDescent="0.2">
      <c r="A162" s="123"/>
      <c r="B162" s="1014" t="s">
        <v>163</v>
      </c>
      <c r="C162" s="1015">
        <f>SUM(E162:G162)</f>
        <v>0</v>
      </c>
      <c r="E162" s="1088">
        <f>E76</f>
        <v>0</v>
      </c>
      <c r="F162" s="1088">
        <f>F76</f>
        <v>0</v>
      </c>
      <c r="G162" s="1088">
        <f>G76</f>
        <v>0</v>
      </c>
    </row>
    <row r="163" spans="1:7" outlineLevel="1" x14ac:dyDescent="0.2">
      <c r="C163" s="106"/>
      <c r="E163" s="103"/>
      <c r="F163" s="103"/>
      <c r="G163" s="103"/>
    </row>
    <row r="164" spans="1:7" ht="11.4" outlineLevel="1" x14ac:dyDescent="0.2">
      <c r="B164" s="1014" t="s">
        <v>164</v>
      </c>
      <c r="C164" s="1015">
        <f>SUM(E164:G164)</f>
        <v>0</v>
      </c>
      <c r="E164" s="1088">
        <f>E78</f>
        <v>0</v>
      </c>
      <c r="F164" s="1088">
        <f>F78</f>
        <v>0</v>
      </c>
      <c r="G164" s="1088">
        <f>G78</f>
        <v>0</v>
      </c>
    </row>
    <row r="165" spans="1:7" outlineLevel="1" x14ac:dyDescent="0.2">
      <c r="C165" s="106"/>
    </row>
    <row r="166" spans="1:7" outlineLevel="1" x14ac:dyDescent="0.2">
      <c r="C166" s="106"/>
    </row>
    <row r="167" spans="1:7" ht="11.4" outlineLevel="1" x14ac:dyDescent="0.2">
      <c r="B167" s="107" t="s">
        <v>511</v>
      </c>
      <c r="C167" s="108">
        <f>C81</f>
        <v>8.7999999999999995E-2</v>
      </c>
    </row>
    <row r="168" spans="1:7" ht="11.4" outlineLevel="1" x14ac:dyDescent="0.2">
      <c r="B168" s="107" t="s">
        <v>512</v>
      </c>
      <c r="C168" s="108">
        <f>C82</f>
        <v>0</v>
      </c>
    </row>
    <row r="169" spans="1:7" outlineLevel="1" x14ac:dyDescent="0.2">
      <c r="E169" s="387"/>
      <c r="F169" s="387"/>
      <c r="G169" s="387"/>
    </row>
    <row r="170" spans="1:7" s="365" customFormat="1" ht="20.399999999999999" outlineLevel="1" x14ac:dyDescent="0.2">
      <c r="A170" s="364"/>
      <c r="B170" s="388"/>
      <c r="C170" s="121"/>
      <c r="D170" s="367"/>
      <c r="E170" s="368" t="str">
        <f t="shared" ref="E170" si="43">E106</f>
        <v>BUSTO ARSIZIO</v>
      </c>
      <c r="F170" s="368" t="str">
        <f t="shared" ref="F170:G170" si="44">F106</f>
        <v>FAGNANO OLONA</v>
      </c>
      <c r="G170" s="368" t="str">
        <f t="shared" si="44"/>
        <v>VENEGONO SUPERIORE</v>
      </c>
    </row>
    <row r="171" spans="1:7" ht="11.4" outlineLevel="1" x14ac:dyDescent="0.2">
      <c r="B171" s="95" t="s">
        <v>183</v>
      </c>
      <c r="C171" s="411">
        <f t="shared" ref="C171:C176" si="45">SUM(E171:G171)</f>
        <v>8190180.2434347048</v>
      </c>
      <c r="E171" s="110">
        <f>SUM(E172:E173)</f>
        <v>8190180.2434347048</v>
      </c>
      <c r="F171" s="110">
        <f>SUM(F172:F173)</f>
        <v>0</v>
      </c>
      <c r="G171" s="110">
        <f>SUM(G172:G173)</f>
        <v>0</v>
      </c>
    </row>
    <row r="172" spans="1:7" outlineLevel="1" x14ac:dyDescent="0.2">
      <c r="B172" s="111" t="s">
        <v>150</v>
      </c>
      <c r="C172" s="426">
        <f t="shared" si="45"/>
        <v>2391421.9656777782</v>
      </c>
      <c r="E172" s="113">
        <f t="shared" ref="E172" si="46">E86</f>
        <v>2391421.9656777782</v>
      </c>
      <c r="F172" s="113">
        <f t="shared" ref="F172:G172" si="47">F86</f>
        <v>0</v>
      </c>
      <c r="G172" s="113">
        <f t="shared" si="47"/>
        <v>0</v>
      </c>
    </row>
    <row r="173" spans="1:7" outlineLevel="1" x14ac:dyDescent="0.2">
      <c r="B173" s="114" t="s">
        <v>151</v>
      </c>
      <c r="C173" s="427">
        <f t="shared" si="45"/>
        <v>5798758.2777569266</v>
      </c>
      <c r="E173" s="116">
        <f t="shared" ref="E173" si="48">E87</f>
        <v>5798758.2777569266</v>
      </c>
      <c r="F173" s="116">
        <f t="shared" ref="F173:G173" si="49">F87</f>
        <v>0</v>
      </c>
      <c r="G173" s="116">
        <f t="shared" si="49"/>
        <v>0</v>
      </c>
    </row>
    <row r="174" spans="1:7" ht="11.4" outlineLevel="1" x14ac:dyDescent="0.2">
      <c r="B174" s="95" t="s">
        <v>187</v>
      </c>
      <c r="C174" s="428">
        <f t="shared" si="45"/>
        <v>0</v>
      </c>
      <c r="E174" s="110">
        <f t="shared" ref="E174" si="50">E88</f>
        <v>0</v>
      </c>
      <c r="F174" s="110">
        <f t="shared" ref="F174:G174" si="51">F88</f>
        <v>0</v>
      </c>
      <c r="G174" s="110">
        <f t="shared" si="51"/>
        <v>0</v>
      </c>
    </row>
    <row r="175" spans="1:7" ht="11.4" outlineLevel="1" x14ac:dyDescent="0.2">
      <c r="B175" s="117" t="s">
        <v>1183</v>
      </c>
      <c r="C175" s="429">
        <f t="shared" si="45"/>
        <v>12223.470233968519</v>
      </c>
      <c r="E175" s="110">
        <f>SUMPRODUCT(E179:E182,'Parametri MTR-3'!$I$11:$I$14)</f>
        <v>12223.470233968519</v>
      </c>
      <c r="F175" s="110">
        <f>SUMPRODUCT(F179:F182,'Parametri MTR-3'!$I$11:$I$14)</f>
        <v>0</v>
      </c>
      <c r="G175" s="110">
        <f>SUMPRODUCT(G179:G182,'Parametri MTR-3'!$I$11:$I$14)</f>
        <v>0</v>
      </c>
    </row>
    <row r="176" spans="1:7" ht="11.4" outlineLevel="1" x14ac:dyDescent="0.2">
      <c r="B176" s="95" t="s">
        <v>188</v>
      </c>
      <c r="C176" s="428">
        <f t="shared" si="45"/>
        <v>0</v>
      </c>
      <c r="E176" s="437">
        <f t="shared" ref="E176" si="52">E90</f>
        <v>0</v>
      </c>
      <c r="F176" s="437">
        <f t="shared" ref="F176:G176" si="53">F90</f>
        <v>0</v>
      </c>
      <c r="G176" s="437">
        <f t="shared" si="53"/>
        <v>0</v>
      </c>
    </row>
    <row r="177" spans="1:7" outlineLevel="1" x14ac:dyDescent="0.2"/>
    <row r="178" spans="1:7" ht="11.4" outlineLevel="1" x14ac:dyDescent="0.25">
      <c r="B178" s="413" t="s">
        <v>1154</v>
      </c>
      <c r="C178" s="436">
        <f>SUM(E178:G178)</f>
        <v>278388.21912528877</v>
      </c>
      <c r="E178" s="435">
        <f>SUM(E179:E182)</f>
        <v>278388.21912528877</v>
      </c>
      <c r="F178" s="435">
        <f>SUM(F179:F182)</f>
        <v>0</v>
      </c>
      <c r="G178" s="435">
        <f>SUM(G179:G182)</f>
        <v>0</v>
      </c>
    </row>
    <row r="179" spans="1:7" outlineLevel="1" x14ac:dyDescent="0.2">
      <c r="B179" s="430" t="s">
        <v>1155</v>
      </c>
      <c r="C179" s="415">
        <f>SUM(E179:G179)</f>
        <v>141938.87676425482</v>
      </c>
      <c r="E179" s="415">
        <f t="shared" ref="E179" si="54">E93</f>
        <v>141938.87676425482</v>
      </c>
      <c r="F179" s="415">
        <f t="shared" ref="F179:G179" si="55">F93</f>
        <v>0</v>
      </c>
      <c r="G179" s="415">
        <f t="shared" si="55"/>
        <v>0</v>
      </c>
    </row>
    <row r="180" spans="1:7" outlineLevel="1" x14ac:dyDescent="0.2">
      <c r="B180" s="431" t="s">
        <v>1135</v>
      </c>
      <c r="C180" s="416">
        <f>SUM(E180:G180)</f>
        <v>126467.40594564649</v>
      </c>
      <c r="E180" s="416">
        <f t="shared" ref="E180" si="56">E94</f>
        <v>126467.40594564649</v>
      </c>
      <c r="F180" s="416">
        <f t="shared" ref="F180:G180" si="57">F94</f>
        <v>0</v>
      </c>
      <c r="G180" s="416">
        <f t="shared" si="57"/>
        <v>0</v>
      </c>
    </row>
    <row r="181" spans="1:7" outlineLevel="1" x14ac:dyDescent="0.2">
      <c r="B181" s="431" t="s">
        <v>507</v>
      </c>
      <c r="C181" s="416">
        <f>SUM(E181:G181)</f>
        <v>4989.936415387443</v>
      </c>
      <c r="E181" s="416">
        <f t="shared" ref="E181" si="58">E95</f>
        <v>4989.936415387443</v>
      </c>
      <c r="F181" s="416">
        <f t="shared" ref="F181:G181" si="59">F95</f>
        <v>0</v>
      </c>
      <c r="G181" s="416">
        <f t="shared" si="59"/>
        <v>0</v>
      </c>
    </row>
    <row r="182" spans="1:7" outlineLevel="1" x14ac:dyDescent="0.2">
      <c r="B182" s="432" t="s">
        <v>508</v>
      </c>
      <c r="C182" s="417">
        <f>SUM(E182:G182)</f>
        <v>4992</v>
      </c>
      <c r="E182" s="417">
        <f t="shared" ref="E182" si="60">E96</f>
        <v>4992</v>
      </c>
      <c r="F182" s="417">
        <f t="shared" ref="F182:G182" si="61">F96</f>
        <v>0</v>
      </c>
      <c r="G182" s="417">
        <f t="shared" si="61"/>
        <v>0</v>
      </c>
    </row>
    <row r="183" spans="1:7" x14ac:dyDescent="0.2">
      <c r="C183" s="424"/>
      <c r="E183" s="387"/>
      <c r="F183" s="387"/>
      <c r="G183" s="387"/>
    </row>
    <row r="184" spans="1:7" ht="20.399999999999999" x14ac:dyDescent="0.2">
      <c r="B184" s="1137" t="s">
        <v>551</v>
      </c>
      <c r="C184" s="1137"/>
      <c r="D184" s="365"/>
      <c r="E184" s="368" t="str">
        <f t="shared" ref="E184" si="62">E3</f>
        <v>BUSTO ARSIZIO</v>
      </c>
      <c r="F184" s="368" t="str">
        <f t="shared" ref="F184:G184" si="63">F3</f>
        <v>FAGNANO OLONA</v>
      </c>
      <c r="G184" s="368" t="str">
        <f t="shared" si="63"/>
        <v>VENEGONO SUPERIORE</v>
      </c>
    </row>
    <row r="186" spans="1:7" ht="12" customHeight="1" x14ac:dyDescent="0.2">
      <c r="B186" s="1128">
        <v>2026</v>
      </c>
      <c r="C186" s="1128"/>
      <c r="E186" s="120"/>
      <c r="F186" s="120"/>
      <c r="G186" s="120"/>
    </row>
    <row r="187" spans="1:7" ht="12" customHeight="1" x14ac:dyDescent="0.2">
      <c r="A187" s="85" t="s">
        <v>2059</v>
      </c>
      <c r="B187" s="91" t="s">
        <v>2063</v>
      </c>
      <c r="C187" s="410">
        <f>SUM(E187:G187)</f>
        <v>0</v>
      </c>
      <c r="D187" s="93"/>
      <c r="E187" s="1022">
        <f t="shared" ref="E187" si="64">E109-E11</f>
        <v>0</v>
      </c>
      <c r="F187" s="1022">
        <f t="shared" ref="F187:G187" si="65">F109-F11</f>
        <v>0</v>
      </c>
      <c r="G187" s="1022">
        <f t="shared" si="65"/>
        <v>0</v>
      </c>
    </row>
    <row r="188" spans="1:7" ht="12" customHeight="1" x14ac:dyDescent="0.2">
      <c r="A188" s="85" t="s">
        <v>2060</v>
      </c>
      <c r="B188" s="91" t="s">
        <v>2064</v>
      </c>
      <c r="C188" s="410">
        <f>SUM(E188:G188)</f>
        <v>-294.65432143919406</v>
      </c>
      <c r="D188" s="93"/>
      <c r="E188" s="1022">
        <f t="shared" ref="E188" si="66">E110-E12</f>
        <v>-294.65432143919406</v>
      </c>
      <c r="F188" s="1022">
        <f t="shared" ref="F188:G188" si="67">F110-F12</f>
        <v>0</v>
      </c>
      <c r="G188" s="1022">
        <f t="shared" si="67"/>
        <v>0</v>
      </c>
    </row>
    <row r="189" spans="1:7" ht="12" customHeight="1" x14ac:dyDescent="0.2">
      <c r="A189" s="85" t="s">
        <v>2061</v>
      </c>
      <c r="B189" s="91" t="s">
        <v>2065</v>
      </c>
      <c r="C189" s="410">
        <f>SUM(E189:G189)</f>
        <v>0</v>
      </c>
      <c r="D189" s="93"/>
      <c r="E189" s="1022">
        <f t="shared" ref="E189" si="68">E111-E13</f>
        <v>0</v>
      </c>
      <c r="F189" s="1022">
        <f t="shared" ref="F189:G189" si="69">F111-F13</f>
        <v>0</v>
      </c>
      <c r="G189" s="1022">
        <f t="shared" si="69"/>
        <v>0</v>
      </c>
    </row>
    <row r="190" spans="1:7" ht="12" customHeight="1" x14ac:dyDescent="0.2">
      <c r="A190" s="85" t="s">
        <v>2062</v>
      </c>
      <c r="B190" s="91" t="s">
        <v>2066</v>
      </c>
      <c r="C190" s="410">
        <f>SUM(E190:G190)</f>
        <v>0</v>
      </c>
      <c r="D190" s="93"/>
      <c r="E190" s="1022">
        <f t="shared" ref="E190" si="70">E112-E14</f>
        <v>0</v>
      </c>
      <c r="F190" s="1022">
        <f t="shared" ref="F190:G190" si="71">F112-F14</f>
        <v>0</v>
      </c>
      <c r="G190" s="1022">
        <f t="shared" si="71"/>
        <v>0</v>
      </c>
    </row>
    <row r="191" spans="1:7" ht="11.4" x14ac:dyDescent="0.2">
      <c r="A191" s="122" t="s">
        <v>1185</v>
      </c>
      <c r="B191" s="91" t="s">
        <v>1184</v>
      </c>
      <c r="C191" s="410">
        <f>SUM(C187:C190)</f>
        <v>-294.65432143919406</v>
      </c>
      <c r="E191" s="1023">
        <f>SUM(E187:E190)</f>
        <v>-294.65432143919406</v>
      </c>
      <c r="F191" s="1023">
        <f>SUM(F187:F190)</f>
        <v>0</v>
      </c>
      <c r="G191" s="1023">
        <f>SUM(G187:G190)</f>
        <v>0</v>
      </c>
    </row>
    <row r="192" spans="1:7" x14ac:dyDescent="0.2">
      <c r="E192" s="1024"/>
      <c r="F192" s="1024"/>
      <c r="G192" s="1024"/>
    </row>
    <row r="193" spans="1:7" ht="12" customHeight="1" x14ac:dyDescent="0.2">
      <c r="B193" s="1128">
        <v>2027</v>
      </c>
      <c r="C193" s="1128"/>
      <c r="E193" s="1025"/>
      <c r="F193" s="1025"/>
      <c r="G193" s="1025"/>
    </row>
    <row r="194" spans="1:7" ht="12" customHeight="1" x14ac:dyDescent="0.2">
      <c r="A194" s="85" t="s">
        <v>2068</v>
      </c>
      <c r="B194" s="91" t="s">
        <v>2083</v>
      </c>
      <c r="C194" s="410">
        <f>SUM(E194:G194)</f>
        <v>0</v>
      </c>
      <c r="D194" s="93"/>
      <c r="E194" s="1022">
        <f t="shared" ref="E194" si="72">E147-E61</f>
        <v>0</v>
      </c>
      <c r="F194" s="1022">
        <f t="shared" ref="F194:G194" si="73">F147-F61</f>
        <v>0</v>
      </c>
      <c r="G194" s="1022">
        <f t="shared" si="73"/>
        <v>0</v>
      </c>
    </row>
    <row r="195" spans="1:7" ht="12" customHeight="1" x14ac:dyDescent="0.2">
      <c r="A195" s="85" t="s">
        <v>2069</v>
      </c>
      <c r="B195" s="91" t="s">
        <v>2084</v>
      </c>
      <c r="C195" s="410">
        <f>SUM(E195:G195)</f>
        <v>-566.87132350233696</v>
      </c>
      <c r="D195" s="93"/>
      <c r="E195" s="1022">
        <f t="shared" ref="E195" si="74">E148-E62</f>
        <v>-566.87132350233696</v>
      </c>
      <c r="F195" s="1022">
        <f t="shared" ref="F195:G195" si="75">F148-F62</f>
        <v>0</v>
      </c>
      <c r="G195" s="1022">
        <f t="shared" si="75"/>
        <v>0</v>
      </c>
    </row>
    <row r="196" spans="1:7" ht="12" customHeight="1" x14ac:dyDescent="0.2">
      <c r="A196" s="85" t="s">
        <v>2070</v>
      </c>
      <c r="B196" s="91" t="s">
        <v>2085</v>
      </c>
      <c r="C196" s="410">
        <f>SUM(E196:G196)</f>
        <v>0</v>
      </c>
      <c r="D196" s="93"/>
      <c r="E196" s="1022">
        <f t="shared" ref="E196" si="76">E149-E63</f>
        <v>0</v>
      </c>
      <c r="F196" s="1022">
        <f t="shared" ref="F196:G196" si="77">F149-F63</f>
        <v>0</v>
      </c>
      <c r="G196" s="1022">
        <f t="shared" si="77"/>
        <v>0</v>
      </c>
    </row>
    <row r="197" spans="1:7" ht="12" customHeight="1" x14ac:dyDescent="0.2">
      <c r="A197" s="85" t="s">
        <v>2071</v>
      </c>
      <c r="B197" s="91" t="s">
        <v>2086</v>
      </c>
      <c r="C197" s="410">
        <f>SUM(E197:G197)</f>
        <v>0</v>
      </c>
      <c r="D197" s="93"/>
      <c r="E197" s="1022">
        <f t="shared" ref="E197" si="78">E150-E64</f>
        <v>0</v>
      </c>
      <c r="F197" s="1022">
        <f t="shared" ref="F197:G197" si="79">F150-F64</f>
        <v>0</v>
      </c>
      <c r="G197" s="1022">
        <f t="shared" si="79"/>
        <v>0</v>
      </c>
    </row>
    <row r="198" spans="1:7" ht="11.4" x14ac:dyDescent="0.2">
      <c r="A198" s="122" t="s">
        <v>2072</v>
      </c>
      <c r="B198" s="91" t="s">
        <v>2067</v>
      </c>
      <c r="C198" s="410">
        <f>SUM(C194:C197)</f>
        <v>-566.87132350233696</v>
      </c>
      <c r="E198" s="1023">
        <f>SUM(E194:E197)</f>
        <v>-566.87132350233696</v>
      </c>
      <c r="F198" s="1023">
        <f>SUM(F194:F197)</f>
        <v>0</v>
      </c>
      <c r="G198" s="1023">
        <f>SUM(G194:G197)</f>
        <v>0</v>
      </c>
    </row>
    <row r="200" spans="1:7" x14ac:dyDescent="0.2">
      <c r="A200" s="7"/>
      <c r="B200" s="89"/>
    </row>
    <row r="201" spans="1:7" x14ac:dyDescent="0.2">
      <c r="A201" s="7"/>
      <c r="B201" s="5"/>
    </row>
    <row r="202" spans="1:7" ht="10.5" customHeight="1" x14ac:dyDescent="0.2">
      <c r="B202" s="1129" t="s">
        <v>2058</v>
      </c>
      <c r="C202" s="1130"/>
    </row>
    <row r="203" spans="1:7" x14ac:dyDescent="0.2">
      <c r="B203" s="1131"/>
      <c r="C203" s="1132"/>
    </row>
    <row r="204" spans="1:7" x14ac:dyDescent="0.2">
      <c r="B204" s="1131"/>
      <c r="C204" s="1132"/>
    </row>
    <row r="205" spans="1:7" x14ac:dyDescent="0.2">
      <c r="B205" s="1131"/>
      <c r="C205" s="1132"/>
    </row>
    <row r="206" spans="1:7" x14ac:dyDescent="0.2">
      <c r="B206" s="1131"/>
      <c r="C206" s="1132"/>
    </row>
    <row r="207" spans="1:7" x14ac:dyDescent="0.2">
      <c r="B207" s="1131"/>
      <c r="C207" s="1132"/>
    </row>
    <row r="208" spans="1:7" x14ac:dyDescent="0.2">
      <c r="B208" s="1131"/>
      <c r="C208" s="1132"/>
    </row>
    <row r="209" spans="1:7" x14ac:dyDescent="0.2">
      <c r="B209" s="1131"/>
      <c r="C209" s="1132"/>
    </row>
    <row r="210" spans="1:7" x14ac:dyDescent="0.2">
      <c r="B210" s="1131"/>
      <c r="C210" s="1132"/>
    </row>
    <row r="211" spans="1:7" x14ac:dyDescent="0.2">
      <c r="B211" s="1131"/>
      <c r="C211" s="1132"/>
    </row>
    <row r="212" spans="1:7" x14ac:dyDescent="0.2">
      <c r="B212" s="1131"/>
      <c r="C212" s="1132"/>
    </row>
    <row r="213" spans="1:7" x14ac:dyDescent="0.2">
      <c r="B213" s="1131"/>
      <c r="C213" s="1132"/>
    </row>
    <row r="214" spans="1:7" x14ac:dyDescent="0.2">
      <c r="B214" s="1131"/>
      <c r="C214" s="1132"/>
    </row>
    <row r="215" spans="1:7" x14ac:dyDescent="0.2">
      <c r="B215" s="1131"/>
      <c r="C215" s="1132"/>
    </row>
    <row r="216" spans="1:7" x14ac:dyDescent="0.2">
      <c r="B216" s="1131"/>
      <c r="C216" s="1132"/>
    </row>
    <row r="217" spans="1:7" x14ac:dyDescent="0.2">
      <c r="B217" s="1131"/>
      <c r="C217" s="1132"/>
    </row>
    <row r="218" spans="1:7" x14ac:dyDescent="0.2">
      <c r="B218" s="1131"/>
      <c r="C218" s="1132"/>
    </row>
    <row r="219" spans="1:7" x14ac:dyDescent="0.2">
      <c r="B219" s="1133"/>
      <c r="C219" s="1134"/>
    </row>
    <row r="221" spans="1:7" x14ac:dyDescent="0.2">
      <c r="B221" s="1009" t="s">
        <v>7027</v>
      </c>
    </row>
    <row r="222" spans="1:7" x14ac:dyDescent="0.2">
      <c r="B222" s="1128">
        <v>2024</v>
      </c>
      <c r="C222" s="1128"/>
    </row>
    <row r="223" spans="1:7" ht="11.4" x14ac:dyDescent="0.25">
      <c r="A223" s="122" t="s">
        <v>1131</v>
      </c>
      <c r="B223" s="1012" t="s">
        <v>172</v>
      </c>
      <c r="C223" s="410">
        <f t="shared" ref="C223:C228" si="80">SUM(E223:BJ223)</f>
        <v>8517916.6376467571</v>
      </c>
      <c r="E223" s="1013">
        <v>8517916.6376467571</v>
      </c>
      <c r="F223" s="1013">
        <v>0</v>
      </c>
      <c r="G223" s="1013">
        <v>0</v>
      </c>
    </row>
    <row r="224" spans="1:7" ht="11.4" x14ac:dyDescent="0.25">
      <c r="A224" s="122" t="s">
        <v>1133</v>
      </c>
      <c r="B224" s="1012" t="s">
        <v>7028</v>
      </c>
      <c r="C224" s="410">
        <f t="shared" si="80"/>
        <v>5985306.0221547475</v>
      </c>
      <c r="E224" s="1013">
        <v>5985306.0221547475</v>
      </c>
      <c r="F224" s="1013">
        <v>0</v>
      </c>
      <c r="G224" s="1013">
        <v>0</v>
      </c>
    </row>
    <row r="225" spans="1:7" ht="11.4" x14ac:dyDescent="0.25">
      <c r="A225" s="122" t="s">
        <v>1132</v>
      </c>
      <c r="B225" s="1012" t="s">
        <v>7029</v>
      </c>
      <c r="C225" s="410">
        <f t="shared" si="80"/>
        <v>2532610.6154920091</v>
      </c>
      <c r="E225" s="1013">
        <v>2532610.6154920091</v>
      </c>
      <c r="F225" s="1013">
        <v>0</v>
      </c>
      <c r="G225" s="1013">
        <v>0</v>
      </c>
    </row>
    <row r="226" spans="1:7" ht="11.4" x14ac:dyDescent="0.25">
      <c r="A226" s="122" t="s">
        <v>1130</v>
      </c>
      <c r="B226" s="1012" t="s">
        <v>7030</v>
      </c>
      <c r="C226" s="410">
        <f t="shared" si="80"/>
        <v>2543065.6028520321</v>
      </c>
      <c r="E226" s="1013">
        <v>2543065.6028520321</v>
      </c>
      <c r="F226" s="1013">
        <v>0</v>
      </c>
      <c r="G226" s="1013">
        <v>0</v>
      </c>
    </row>
    <row r="227" spans="1:7" ht="11.4" x14ac:dyDescent="0.25">
      <c r="A227" s="122" t="s">
        <v>7031</v>
      </c>
      <c r="B227" s="1012" t="s">
        <v>7032</v>
      </c>
      <c r="C227" s="410">
        <f t="shared" si="80"/>
        <v>431820.41911203694</v>
      </c>
      <c r="E227" s="1013">
        <v>431820.41911203694</v>
      </c>
      <c r="F227" s="1013">
        <v>0</v>
      </c>
      <c r="G227" s="1013">
        <v>0</v>
      </c>
    </row>
    <row r="228" spans="1:7" ht="11.4" x14ac:dyDescent="0.25">
      <c r="B228" s="1010" t="s">
        <v>171</v>
      </c>
      <c r="C228" s="410">
        <f t="shared" si="80"/>
        <v>10629161.821386751</v>
      </c>
      <c r="E228" s="1011">
        <f t="shared" ref="E228" si="81">+MAX(E223+E226-E227,0)</f>
        <v>10629161.821386751</v>
      </c>
      <c r="F228" s="1011">
        <f t="shared" ref="F228:G228" si="82">+MAX(F223+F226-F227,0)</f>
        <v>0</v>
      </c>
      <c r="G228" s="1011">
        <f t="shared" si="82"/>
        <v>0</v>
      </c>
    </row>
    <row r="230" spans="1:7" x14ac:dyDescent="0.2">
      <c r="B230" s="1128">
        <v>2025</v>
      </c>
      <c r="C230" s="1128"/>
    </row>
    <row r="231" spans="1:7" ht="11.4" x14ac:dyDescent="0.25">
      <c r="A231" s="122" t="s">
        <v>1151</v>
      </c>
      <c r="B231" s="1012" t="s">
        <v>183</v>
      </c>
      <c r="C231" s="410">
        <f t="shared" ref="C231:C236" si="83">SUM(E231:BJ231)</f>
        <v>8190180.2434347048</v>
      </c>
      <c r="E231" s="1013">
        <v>8190180.2434347048</v>
      </c>
      <c r="F231" s="1013">
        <v>0</v>
      </c>
      <c r="G231" s="1013">
        <v>0</v>
      </c>
    </row>
    <row r="232" spans="1:7" ht="11.4" x14ac:dyDescent="0.25">
      <c r="A232" s="122" t="s">
        <v>1153</v>
      </c>
      <c r="B232" s="1012" t="s">
        <v>7028</v>
      </c>
      <c r="C232" s="410">
        <f t="shared" si="83"/>
        <v>5798758.2777569266</v>
      </c>
      <c r="E232" s="1013">
        <v>5798758.2777569266</v>
      </c>
      <c r="F232" s="1013">
        <v>0</v>
      </c>
      <c r="G232" s="1013">
        <v>0</v>
      </c>
    </row>
    <row r="233" spans="1:7" ht="11.4" x14ac:dyDescent="0.25">
      <c r="A233" s="122" t="s">
        <v>1152</v>
      </c>
      <c r="B233" s="1012" t="s">
        <v>7029</v>
      </c>
      <c r="C233" s="410">
        <f t="shared" si="83"/>
        <v>2391421.9656777782</v>
      </c>
      <c r="E233" s="1013">
        <v>2391421.9656777782</v>
      </c>
      <c r="F233" s="1013">
        <v>0</v>
      </c>
      <c r="G233" s="1013">
        <v>0</v>
      </c>
    </row>
    <row r="234" spans="1:7" ht="11.4" x14ac:dyDescent="0.25">
      <c r="A234" s="122" t="s">
        <v>1150</v>
      </c>
      <c r="B234" s="1012" t="s">
        <v>7033</v>
      </c>
      <c r="C234" s="410">
        <f t="shared" si="83"/>
        <v>2478682.0886208001</v>
      </c>
      <c r="E234" s="1013">
        <v>2478682.0886208001</v>
      </c>
      <c r="F234" s="1013">
        <v>0</v>
      </c>
      <c r="G234" s="1013">
        <v>0</v>
      </c>
    </row>
    <row r="235" spans="1:7" ht="11.4" x14ac:dyDescent="0.25">
      <c r="A235" s="122" t="s">
        <v>7034</v>
      </c>
      <c r="B235" s="1012" t="s">
        <v>7035</v>
      </c>
      <c r="C235" s="410">
        <f t="shared" si="83"/>
        <v>431820.41911203694</v>
      </c>
      <c r="E235" s="1013">
        <v>431820.41911203694</v>
      </c>
      <c r="F235" s="1013">
        <v>0</v>
      </c>
      <c r="G235" s="1013">
        <v>0</v>
      </c>
    </row>
    <row r="236" spans="1:7" ht="11.4" x14ac:dyDescent="0.25">
      <c r="B236" s="1010" t="s">
        <v>180</v>
      </c>
      <c r="C236" s="410">
        <f t="shared" si="83"/>
        <v>10237041.912943467</v>
      </c>
      <c r="E236" s="1011">
        <f t="shared" ref="E236" si="84">+MAX(E231+E234-E235,0)</f>
        <v>10237041.912943467</v>
      </c>
      <c r="F236" s="1011">
        <f t="shared" ref="F236:G236" si="85">+MAX(F231+F234-F235,0)</f>
        <v>0</v>
      </c>
      <c r="G236" s="1011">
        <f t="shared" si="85"/>
        <v>0</v>
      </c>
    </row>
  </sheetData>
  <sheetProtection formatColumns="0" formatRows="0"/>
  <mergeCells count="13">
    <mergeCell ref="B222:C222"/>
    <mergeCell ref="B230:C230"/>
    <mergeCell ref="B202:C219"/>
    <mergeCell ref="B1:C1"/>
    <mergeCell ref="B4:C4"/>
    <mergeCell ref="B6:C6"/>
    <mergeCell ref="B56:C56"/>
    <mergeCell ref="B106:C106"/>
    <mergeCell ref="B108:C108"/>
    <mergeCell ref="B146:C146"/>
    <mergeCell ref="B184:C184"/>
    <mergeCell ref="B186:C186"/>
    <mergeCell ref="B193:C193"/>
  </mergeCells>
  <pageMargins left="0.70866141732283472" right="0.70866141732283472" top="0.74803149606299213" bottom="0.74803149606299213" header="0.31496062992125984" footer="0.31496062992125984"/>
  <pageSetup paperSize="9" scale="26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AD4B898A-E740-436C-84A6-162DEDD2DE4F}">
          <x14:formula1>
            <xm:f>'Parametri MTR-3'!$C$33:$C$35</xm:f>
          </x14:formula1>
          <xm:sqref>E104:G104 E54:G54</xm:sqref>
        </x14:dataValidation>
        <x14:dataValidation type="list" allowBlank="1" showInputMessage="1" showErrorMessage="1" xr:uid="{5B2F3EB7-3862-48FB-9E95-8A6FC40519D2}">
          <x14:formula1>
            <xm:f>'Parametri MTR-3'!$C$68:$C$69</xm:f>
          </x14:formula1>
          <xm:sqref>C7</xm:sqref>
        </x14:dataValidation>
        <x14:dataValidation type="list" allowBlank="1" showInputMessage="1" showErrorMessage="1" xr:uid="{F6131248-4B4D-42E5-A4EB-BF66C72B7AB2}">
          <x14:formula1>
            <xm:f>'Parametri MTR-3'!$C$71:$C$72</xm:f>
          </x14:formula1>
          <xm:sqref>C8</xm:sqref>
        </x14:dataValidation>
        <x14:dataValidation type="list" allowBlank="1" showInputMessage="1" showErrorMessage="1" xr:uid="{C34BBFD3-B2DB-4706-B150-152130A60C0E}">
          <x14:formula1>
            <xm:f>'Parametri MTR-3'!$C$74:$C$75</xm:f>
          </x14:formula1>
          <xm:sqref>C9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948B0-9F56-4254-9DE3-623376197D62}">
  <sheetPr codeName="Foglio18">
    <tabColor rgb="FFFFFFCC"/>
    <pageSetUpPr fitToPage="1"/>
  </sheetPr>
  <dimension ref="A1:G236"/>
  <sheetViews>
    <sheetView showGridLines="0" zoomScaleNormal="10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J20" sqref="J20"/>
    </sheetView>
  </sheetViews>
  <sheetFormatPr defaultColWidth="17.6640625" defaultRowHeight="10.199999999999999" outlineLevelRow="1" x14ac:dyDescent="0.2"/>
  <cols>
    <col min="1" max="1" width="23.109375" style="122" bestFit="1" customWidth="1"/>
    <col min="2" max="2" width="64.88671875" style="90" bestFit="1" customWidth="1"/>
    <col min="3" max="3" width="15" style="89" bestFit="1" customWidth="1"/>
    <col min="4" max="4" width="2.5546875" style="89" customWidth="1"/>
    <col min="5" max="7" width="13.6640625" style="89" customWidth="1"/>
    <col min="8" max="16384" width="17.6640625" style="89"/>
  </cols>
  <sheetData>
    <row r="1" spans="1:7" ht="12" customHeight="1" x14ac:dyDescent="0.2">
      <c r="B1" s="1140" t="s">
        <v>2048</v>
      </c>
      <c r="C1" s="1141"/>
    </row>
    <row r="2" spans="1:7" ht="12" customHeight="1" x14ac:dyDescent="0.2"/>
    <row r="3" spans="1:7" s="365" customFormat="1" ht="20.399999999999999" x14ac:dyDescent="0.2">
      <c r="A3" s="364"/>
      <c r="B3" s="643"/>
      <c r="C3" s="644"/>
      <c r="E3" s="368" t="str">
        <f>Ambiti!B4</f>
        <v>BUSTO ARSIZIO</v>
      </c>
      <c r="F3" s="368" t="str">
        <f>Ambiti!C4</f>
        <v>FAGNANO OLONA</v>
      </c>
      <c r="G3" s="368" t="str">
        <f>Ambiti!D4</f>
        <v>VENEGONO SUPERIORE</v>
      </c>
    </row>
    <row r="4" spans="1:7" ht="12" customHeight="1" x14ac:dyDescent="0.2">
      <c r="B4" s="1139" t="s">
        <v>1125</v>
      </c>
      <c r="C4" s="1139"/>
      <c r="E4" s="120"/>
      <c r="F4" s="120"/>
      <c r="G4" s="120"/>
    </row>
    <row r="5" spans="1:7" ht="12" customHeight="1" x14ac:dyDescent="0.2">
      <c r="B5" s="120"/>
      <c r="C5" s="121"/>
      <c r="E5" s="120"/>
      <c r="F5" s="120"/>
      <c r="G5" s="120"/>
    </row>
    <row r="6" spans="1:7" ht="12" customHeight="1" x14ac:dyDescent="0.2">
      <c r="B6" s="1138">
        <v>2024</v>
      </c>
      <c r="C6" s="1138"/>
      <c r="E6" s="120"/>
      <c r="F6" s="120"/>
      <c r="G6" s="120"/>
    </row>
    <row r="7" spans="1:7" ht="12" customHeight="1" x14ac:dyDescent="0.2">
      <c r="B7" s="635" t="s">
        <v>2049</v>
      </c>
      <c r="C7" s="634">
        <v>5.6000000000000001E-2</v>
      </c>
      <c r="E7" s="120"/>
      <c r="F7" s="120"/>
      <c r="G7" s="120"/>
    </row>
    <row r="8" spans="1:7" ht="12" customHeight="1" x14ac:dyDescent="0.2">
      <c r="B8" s="635" t="s">
        <v>2205</v>
      </c>
      <c r="C8" s="634">
        <v>5.1999999999999998E-2</v>
      </c>
      <c r="E8" s="120"/>
      <c r="F8" s="120"/>
      <c r="G8" s="120"/>
    </row>
    <row r="9" spans="1:7" ht="12" customHeight="1" x14ac:dyDescent="0.2">
      <c r="B9" s="635" t="s">
        <v>2207</v>
      </c>
      <c r="C9" s="634">
        <v>1.8599999999999998E-2</v>
      </c>
      <c r="E9" s="120"/>
      <c r="F9" s="120"/>
      <c r="G9" s="120"/>
    </row>
    <row r="10" spans="1:7" ht="12" customHeight="1" x14ac:dyDescent="0.2">
      <c r="B10" s="636"/>
      <c r="C10" s="636"/>
      <c r="E10" s="120"/>
      <c r="F10" s="120"/>
      <c r="G10" s="120"/>
    </row>
    <row r="11" spans="1:7" ht="12" customHeight="1" x14ac:dyDescent="0.2">
      <c r="A11" s="85" t="s">
        <v>2087</v>
      </c>
      <c r="B11" s="91" t="s">
        <v>165</v>
      </c>
      <c r="C11" s="637">
        <f>SUM(E11:G11)</f>
        <v>0</v>
      </c>
      <c r="D11" s="93"/>
      <c r="E11" s="94">
        <f t="shared" ref="E11" si="0">+MAX((E21+E24-E22)*E18+E36*(E17-E18),0)</f>
        <v>0</v>
      </c>
      <c r="F11" s="94">
        <f t="shared" ref="F11:G11" si="1">+MAX((F21+F24-F22)*F18+F36*(F17-F18),0)</f>
        <v>0</v>
      </c>
      <c r="G11" s="94">
        <f t="shared" si="1"/>
        <v>0</v>
      </c>
    </row>
    <row r="12" spans="1:7" ht="12" customHeight="1" x14ac:dyDescent="0.2">
      <c r="A12" s="85" t="s">
        <v>2088</v>
      </c>
      <c r="B12" s="91" t="s">
        <v>166</v>
      </c>
      <c r="C12" s="637">
        <f>SUM(E12:G12)</f>
        <v>0</v>
      </c>
      <c r="D12" s="93"/>
      <c r="E12" s="94">
        <f>E39</f>
        <v>0</v>
      </c>
      <c r="F12" s="94">
        <f>F39</f>
        <v>0</v>
      </c>
      <c r="G12" s="94">
        <f>G39</f>
        <v>0</v>
      </c>
    </row>
    <row r="13" spans="1:7" ht="12" customHeight="1" x14ac:dyDescent="0.2">
      <c r="A13" s="85" t="s">
        <v>2089</v>
      </c>
      <c r="B13" s="91" t="s">
        <v>167</v>
      </c>
      <c r="C13" s="637">
        <f>SUM(E13:G13)</f>
        <v>0</v>
      </c>
      <c r="D13" s="93"/>
      <c r="E13" s="94">
        <f>E38</f>
        <v>0</v>
      </c>
      <c r="F13" s="94">
        <f>F38</f>
        <v>0</v>
      </c>
      <c r="G13" s="94">
        <f>G38</f>
        <v>0</v>
      </c>
    </row>
    <row r="14" spans="1:7" ht="12" customHeight="1" x14ac:dyDescent="0.2">
      <c r="A14" s="85" t="s">
        <v>2090</v>
      </c>
      <c r="B14" s="91" t="s">
        <v>168</v>
      </c>
      <c r="C14" s="637">
        <f>SUM(E14:G14)</f>
        <v>0</v>
      </c>
      <c r="D14" s="93"/>
      <c r="E14" s="94">
        <f>E40</f>
        <v>0</v>
      </c>
      <c r="F14" s="94">
        <f>F40</f>
        <v>0</v>
      </c>
      <c r="G14" s="94">
        <f>G40</f>
        <v>0</v>
      </c>
    </row>
    <row r="15" spans="1:7" ht="12" customHeight="1" x14ac:dyDescent="0.2">
      <c r="C15" s="90"/>
    </row>
    <row r="16" spans="1:7" ht="12" customHeight="1" outlineLevel="1" x14ac:dyDescent="0.2">
      <c r="B16" s="95" t="s">
        <v>171</v>
      </c>
      <c r="C16" s="637">
        <f>SUM(E16:G16)</f>
        <v>0</v>
      </c>
      <c r="E16" s="96">
        <f>E20</f>
        <v>0</v>
      </c>
      <c r="F16" s="96">
        <f>F20</f>
        <v>0</v>
      </c>
      <c r="G16" s="96">
        <f>G20</f>
        <v>0</v>
      </c>
    </row>
    <row r="17" spans="1:7" ht="12" customHeight="1" outlineLevel="1" x14ac:dyDescent="0.2">
      <c r="B17" s="97" t="s">
        <v>169</v>
      </c>
      <c r="C17" s="98">
        <f>C18+1%</f>
        <v>6.6000000000000003E-2</v>
      </c>
      <c r="E17" s="99">
        <f>$C$17</f>
        <v>6.6000000000000003E-2</v>
      </c>
      <c r="F17" s="99">
        <f>$C$17</f>
        <v>6.6000000000000003E-2</v>
      </c>
      <c r="G17" s="99">
        <f>$C$17</f>
        <v>6.6000000000000003E-2</v>
      </c>
    </row>
    <row r="18" spans="1:7" ht="12" customHeight="1" outlineLevel="1" x14ac:dyDescent="0.2">
      <c r="B18" s="97" t="s">
        <v>170</v>
      </c>
      <c r="C18" s="98">
        <f>C7</f>
        <v>5.6000000000000001E-2</v>
      </c>
      <c r="E18" s="99">
        <f>$C$18</f>
        <v>5.6000000000000001E-2</v>
      </c>
      <c r="F18" s="99">
        <f>$C$18</f>
        <v>5.6000000000000001E-2</v>
      </c>
      <c r="G18" s="99">
        <f>$C$18</f>
        <v>5.6000000000000001E-2</v>
      </c>
    </row>
    <row r="19" spans="1:7" ht="12" customHeight="1" outlineLevel="1" x14ac:dyDescent="0.2">
      <c r="C19" s="90"/>
    </row>
    <row r="20" spans="1:7" ht="12" customHeight="1" outlineLevel="1" x14ac:dyDescent="0.2">
      <c r="B20" s="95" t="s">
        <v>171</v>
      </c>
      <c r="C20" s="637">
        <f>SUM(E20:G20)</f>
        <v>0</v>
      </c>
      <c r="E20" s="101">
        <f>MAX((E21+E24-E22),0)</f>
        <v>0</v>
      </c>
      <c r="F20" s="101">
        <f>MAX((F21+F24-F22),0)</f>
        <v>0</v>
      </c>
      <c r="G20" s="101">
        <f>MAX((G21+G24-G22),0)</f>
        <v>0</v>
      </c>
    </row>
    <row r="21" spans="1:7" ht="12" customHeight="1" outlineLevel="1" x14ac:dyDescent="0.2">
      <c r="B21" s="95" t="s">
        <v>172</v>
      </c>
      <c r="C21" s="637">
        <f>SUM(E21:G21)</f>
        <v>0</v>
      </c>
      <c r="E21" s="102">
        <f>E35</f>
        <v>0</v>
      </c>
      <c r="F21" s="102">
        <f>F35</f>
        <v>0</v>
      </c>
      <c r="G21" s="102">
        <f>G35</f>
        <v>0</v>
      </c>
    </row>
    <row r="22" spans="1:7" ht="12" customHeight="1" outlineLevel="1" x14ac:dyDescent="0.2">
      <c r="B22" s="100" t="s">
        <v>7040</v>
      </c>
      <c r="C22" s="425">
        <f>SUM(E22:G22)</f>
        <v>0</v>
      </c>
      <c r="E22" s="101">
        <f>E227</f>
        <v>0</v>
      </c>
      <c r="F22" s="101">
        <f>F227</f>
        <v>0</v>
      </c>
      <c r="G22" s="101">
        <f>G227</f>
        <v>0</v>
      </c>
    </row>
    <row r="23" spans="1:7" ht="12" customHeight="1" outlineLevel="1" x14ac:dyDescent="0.2">
      <c r="C23" s="90"/>
      <c r="E23" s="103"/>
      <c r="F23" s="103"/>
      <c r="G23" s="103"/>
    </row>
    <row r="24" spans="1:7" ht="12" customHeight="1" outlineLevel="1" x14ac:dyDescent="0.2">
      <c r="B24" s="100" t="s">
        <v>173</v>
      </c>
      <c r="C24" s="637">
        <f>SUM(E24:G24)</f>
        <v>0</v>
      </c>
      <c r="E24" s="104">
        <f>E226</f>
        <v>0</v>
      </c>
      <c r="F24" s="104">
        <f>F226</f>
        <v>0</v>
      </c>
      <c r="G24" s="104">
        <f>G226</f>
        <v>0</v>
      </c>
    </row>
    <row r="25" spans="1:7" ht="12" customHeight="1" outlineLevel="1" x14ac:dyDescent="0.2">
      <c r="C25" s="90"/>
      <c r="E25" s="103"/>
      <c r="F25" s="103"/>
      <c r="G25" s="103"/>
    </row>
    <row r="26" spans="1:7" ht="12" customHeight="1" outlineLevel="1" x14ac:dyDescent="0.2">
      <c r="A26" s="123"/>
      <c r="B26" s="1014" t="s">
        <v>159</v>
      </c>
      <c r="C26" s="1015">
        <f>SUM(E26:G26)</f>
        <v>0</v>
      </c>
      <c r="E26" s="1016">
        <f>E226</f>
        <v>0</v>
      </c>
      <c r="F26" s="1016">
        <f>F226</f>
        <v>0</v>
      </c>
      <c r="G26" s="1016">
        <f>G226</f>
        <v>0</v>
      </c>
    </row>
    <row r="27" spans="1:7" ht="12" customHeight="1" outlineLevel="1" x14ac:dyDescent="0.2">
      <c r="C27" s="106"/>
      <c r="E27" s="103"/>
      <c r="F27" s="103"/>
      <c r="G27" s="103"/>
    </row>
    <row r="28" spans="1:7" ht="12" customHeight="1" outlineLevel="1" x14ac:dyDescent="0.2">
      <c r="B28" s="1014" t="s">
        <v>160</v>
      </c>
      <c r="C28" s="1015">
        <f>SUM(E28:G28)</f>
        <v>0</v>
      </c>
      <c r="E28" s="1016">
        <v>0</v>
      </c>
      <c r="F28" s="1016">
        <v>0</v>
      </c>
      <c r="G28" s="1016">
        <v>0</v>
      </c>
    </row>
    <row r="29" spans="1:7" ht="12" customHeight="1" outlineLevel="1" x14ac:dyDescent="0.2">
      <c r="C29" s="106"/>
    </row>
    <row r="30" spans="1:7" ht="12" customHeight="1" outlineLevel="1" x14ac:dyDescent="0.2">
      <c r="C30" s="106"/>
    </row>
    <row r="31" spans="1:7" ht="12" customHeight="1" outlineLevel="1" x14ac:dyDescent="0.2">
      <c r="B31" s="107" t="s">
        <v>161</v>
      </c>
      <c r="C31" s="108">
        <f>'Parametri MTR-3'!$E$6</f>
        <v>4.4999999999999998E-2</v>
      </c>
    </row>
    <row r="32" spans="1:7" ht="12" customHeight="1" outlineLevel="1" x14ac:dyDescent="0.2">
      <c r="B32" s="107" t="s">
        <v>511</v>
      </c>
      <c r="C32" s="108">
        <f>'Parametri MTR-3'!$F$6</f>
        <v>8.7999999999999995E-2</v>
      </c>
    </row>
    <row r="33" spans="1:7" s="386" customFormat="1" ht="12" customHeight="1" outlineLevel="1" x14ac:dyDescent="0.2">
      <c r="A33" s="122"/>
      <c r="B33" s="385"/>
      <c r="E33" s="387"/>
      <c r="F33" s="387"/>
      <c r="G33" s="387"/>
    </row>
    <row r="34" spans="1:7" s="367" customFormat="1" ht="20.399999999999999" outlineLevel="1" x14ac:dyDescent="0.2">
      <c r="A34" s="364"/>
      <c r="B34" s="388"/>
      <c r="C34" s="121"/>
      <c r="E34" s="368" t="str">
        <f t="shared" ref="E34" si="2">E3</f>
        <v>BUSTO ARSIZIO</v>
      </c>
      <c r="F34" s="368" t="str">
        <f t="shared" ref="F34:G34" si="3">F3</f>
        <v>FAGNANO OLONA</v>
      </c>
      <c r="G34" s="368" t="str">
        <f t="shared" si="3"/>
        <v>VENEGONO SUPERIORE</v>
      </c>
    </row>
    <row r="35" spans="1:7" ht="12" customHeight="1" outlineLevel="1" x14ac:dyDescent="0.2">
      <c r="B35" s="95" t="s">
        <v>172</v>
      </c>
      <c r="C35" s="638">
        <f t="shared" ref="C35:C40" si="4">SUM(E35:G35)</f>
        <v>0</v>
      </c>
      <c r="E35" s="110">
        <f>SUM(E36:E37)</f>
        <v>0</v>
      </c>
      <c r="F35" s="110">
        <f>SUM(F36:F37)</f>
        <v>0</v>
      </c>
      <c r="G35" s="110">
        <f>SUM(G36:G37)</f>
        <v>0</v>
      </c>
    </row>
    <row r="36" spans="1:7" ht="12" customHeight="1" outlineLevel="1" x14ac:dyDescent="0.2">
      <c r="B36" s="111" t="s">
        <v>150</v>
      </c>
      <c r="C36" s="426">
        <f t="shared" si="4"/>
        <v>0</v>
      </c>
      <c r="E36" s="113">
        <f>E225</f>
        <v>0</v>
      </c>
      <c r="F36" s="113">
        <f>F225</f>
        <v>0</v>
      </c>
      <c r="G36" s="113">
        <f>G225</f>
        <v>0</v>
      </c>
    </row>
    <row r="37" spans="1:7" ht="12" customHeight="1" outlineLevel="1" x14ac:dyDescent="0.2">
      <c r="B37" s="114" t="s">
        <v>151</v>
      </c>
      <c r="C37" s="427">
        <f t="shared" si="4"/>
        <v>0</v>
      </c>
      <c r="E37" s="116">
        <f>E224</f>
        <v>0</v>
      </c>
      <c r="F37" s="116">
        <f>F224</f>
        <v>0</v>
      </c>
      <c r="G37" s="116">
        <f>G224</f>
        <v>0</v>
      </c>
    </row>
    <row r="38" spans="1:7" ht="12" customHeight="1" outlineLevel="1" x14ac:dyDescent="0.2">
      <c r="B38" s="1018" t="s">
        <v>174</v>
      </c>
      <c r="C38" s="1019">
        <f t="shared" si="4"/>
        <v>0</v>
      </c>
      <c r="E38" s="1017">
        <v>0</v>
      </c>
      <c r="F38" s="1017">
        <v>0</v>
      </c>
      <c r="G38" s="1017">
        <v>0</v>
      </c>
    </row>
    <row r="39" spans="1:7" ht="12" customHeight="1" outlineLevel="1" x14ac:dyDescent="0.2">
      <c r="B39" s="117" t="s">
        <v>466</v>
      </c>
      <c r="C39" s="429">
        <f t="shared" si="4"/>
        <v>0</v>
      </c>
      <c r="E39" s="110">
        <f>IF($C$8=5.2%,SUMPRODUCT(E43:E46,'Parametri MTR-3'!$F$11:$F$14),IF($C$8=5%,SUMPRODUCT(E43:E46,'Parametri MTR-3'!$H$11:$H$14),0))</f>
        <v>0</v>
      </c>
      <c r="F39" s="110">
        <f>IF($C$8=5.2%,SUMPRODUCT(F43:F46,'Parametri MTR-3'!$F$11:$F$14),IF($C$8=5%,SUMPRODUCT(F43:F46,'Parametri MTR-3'!$H$11:$H$14),0))</f>
        <v>0</v>
      </c>
      <c r="G39" s="110">
        <f>IF($C$8=5.2%,SUMPRODUCT(G43:G46,'Parametri MTR-3'!$F$11:$F$14),IF($C$8=5%,SUMPRODUCT(G43:G46,'Parametri MTR-3'!$H$11:$H$14),0))</f>
        <v>0</v>
      </c>
    </row>
    <row r="40" spans="1:7" ht="12" customHeight="1" outlineLevel="1" x14ac:dyDescent="0.2">
      <c r="B40" s="1018" t="s">
        <v>175</v>
      </c>
      <c r="C40" s="1019">
        <f t="shared" si="4"/>
        <v>0</v>
      </c>
      <c r="E40" s="1020">
        <v>0</v>
      </c>
      <c r="F40" s="1020">
        <v>0</v>
      </c>
      <c r="G40" s="1020">
        <v>0</v>
      </c>
    </row>
    <row r="41" spans="1:7" outlineLevel="1" x14ac:dyDescent="0.2">
      <c r="C41" s="119"/>
    </row>
    <row r="42" spans="1:7" ht="11.4" outlineLevel="1" x14ac:dyDescent="0.25">
      <c r="B42" s="413" t="s">
        <v>1134</v>
      </c>
      <c r="C42" s="639">
        <f>SUM(E42:G42)</f>
        <v>0</v>
      </c>
      <c r="E42" s="435">
        <f>SUM(E43:E46)</f>
        <v>0</v>
      </c>
      <c r="F42" s="435">
        <f>SUM(F43:F46)</f>
        <v>0</v>
      </c>
      <c r="G42" s="435">
        <f>SUM(G43:G46)</f>
        <v>0</v>
      </c>
    </row>
    <row r="43" spans="1:7" outlineLevel="1" x14ac:dyDescent="0.2">
      <c r="A43" s="122" t="s">
        <v>2109</v>
      </c>
      <c r="B43" s="421" t="s">
        <v>1135</v>
      </c>
      <c r="C43" s="418">
        <f>SUM(E43:G43)</f>
        <v>0</v>
      </c>
      <c r="E43" s="418">
        <v>0</v>
      </c>
      <c r="F43" s="418">
        <v>0</v>
      </c>
      <c r="G43" s="418">
        <v>0</v>
      </c>
    </row>
    <row r="44" spans="1:7" outlineLevel="1" x14ac:dyDescent="0.2">
      <c r="A44" s="122" t="s">
        <v>2110</v>
      </c>
      <c r="B44" s="422" t="s">
        <v>507</v>
      </c>
      <c r="C44" s="419">
        <f>SUM(E44:G44)</f>
        <v>0</v>
      </c>
      <c r="E44" s="419">
        <v>0</v>
      </c>
      <c r="F44" s="419">
        <v>0</v>
      </c>
      <c r="G44" s="419">
        <v>0</v>
      </c>
    </row>
    <row r="45" spans="1:7" outlineLevel="1" x14ac:dyDescent="0.2">
      <c r="A45" s="122" t="s">
        <v>2111</v>
      </c>
      <c r="B45" s="422" t="s">
        <v>508</v>
      </c>
      <c r="C45" s="419">
        <f>SUM(E45:G45)</f>
        <v>0</v>
      </c>
      <c r="E45" s="419">
        <v>0</v>
      </c>
      <c r="F45" s="419">
        <v>0</v>
      </c>
      <c r="G45" s="419">
        <v>0</v>
      </c>
    </row>
    <row r="46" spans="1:7" outlineLevel="1" x14ac:dyDescent="0.2">
      <c r="A46" s="122" t="s">
        <v>2112</v>
      </c>
      <c r="B46" s="423" t="s">
        <v>509</v>
      </c>
      <c r="C46" s="420">
        <f>SUM(E46:G46)</f>
        <v>0</v>
      </c>
      <c r="E46" s="420">
        <v>0</v>
      </c>
      <c r="F46" s="420">
        <v>0</v>
      </c>
      <c r="G46" s="420">
        <v>0</v>
      </c>
    </row>
    <row r="47" spans="1:7" outlineLevel="1" x14ac:dyDescent="0.2">
      <c r="C47" s="424" t="s">
        <v>510</v>
      </c>
      <c r="E47" s="387" t="str">
        <f>IF(SUMPRODUCT(E43:E46,'Parametri MTR-3'!$F$11:$F$14)=E39,"ok","errore")</f>
        <v>ok</v>
      </c>
      <c r="F47" s="387" t="str">
        <f>IF(SUMPRODUCT(F43:F46,'Parametri MTR-3'!$F$11:$F$14)=F39,"ok","errore")</f>
        <v>ok</v>
      </c>
      <c r="G47" s="387" t="str">
        <f>IF(SUMPRODUCT(G43:G46,'Parametri MTR-3'!$F$11:$F$14)=G39,"ok","errore")</f>
        <v>ok</v>
      </c>
    </row>
    <row r="48" spans="1:7" outlineLevel="1" x14ac:dyDescent="0.2">
      <c r="C48" s="424"/>
      <c r="E48" s="387"/>
      <c r="F48" s="387"/>
      <c r="G48" s="387"/>
    </row>
    <row r="49" spans="1:7" ht="11.4" outlineLevel="1" x14ac:dyDescent="0.25">
      <c r="B49" s="413" t="s">
        <v>1140</v>
      </c>
      <c r="C49" s="639">
        <f>SUM(E49:G49)</f>
        <v>0</v>
      </c>
      <c r="E49" s="435">
        <f>SUM(E50:E53)</f>
        <v>0</v>
      </c>
      <c r="F49" s="435">
        <f>SUM(F50:F53)</f>
        <v>0</v>
      </c>
      <c r="G49" s="435">
        <f>SUM(G50:G53)</f>
        <v>0</v>
      </c>
    </row>
    <row r="50" spans="1:7" ht="11.4" outlineLevel="1" x14ac:dyDescent="0.25">
      <c r="A50" s="122" t="s">
        <v>2113</v>
      </c>
      <c r="B50" s="421" t="s">
        <v>556</v>
      </c>
      <c r="C50" s="418">
        <f>SUM(E50:G50)</f>
        <v>0</v>
      </c>
      <c r="E50" s="418">
        <v>0</v>
      </c>
      <c r="F50" s="418">
        <v>0</v>
      </c>
      <c r="G50" s="418">
        <v>0</v>
      </c>
    </row>
    <row r="51" spans="1:7" ht="11.4" outlineLevel="1" x14ac:dyDescent="0.25">
      <c r="A51" s="122" t="s">
        <v>2114</v>
      </c>
      <c r="B51" s="422" t="s">
        <v>557</v>
      </c>
      <c r="C51" s="419">
        <f>SUM(E51:G51)</f>
        <v>0</v>
      </c>
      <c r="E51" s="419">
        <v>0</v>
      </c>
      <c r="F51" s="419">
        <v>0</v>
      </c>
      <c r="G51" s="419">
        <v>0</v>
      </c>
    </row>
    <row r="52" spans="1:7" ht="11.4" outlineLevel="1" x14ac:dyDescent="0.25">
      <c r="A52" s="122" t="s">
        <v>2115</v>
      </c>
      <c r="B52" s="422" t="s">
        <v>558</v>
      </c>
      <c r="C52" s="419">
        <f>SUM(E52:G52)</f>
        <v>0</v>
      </c>
      <c r="E52" s="419">
        <v>0</v>
      </c>
      <c r="F52" s="419">
        <v>0</v>
      </c>
      <c r="G52" s="419">
        <v>0</v>
      </c>
    </row>
    <row r="53" spans="1:7" ht="11.4" outlineLevel="1" x14ac:dyDescent="0.25">
      <c r="A53" s="122" t="s">
        <v>2116</v>
      </c>
      <c r="B53" s="422" t="s">
        <v>559</v>
      </c>
      <c r="C53" s="419">
        <f>SUM(E53:G53)</f>
        <v>0</v>
      </c>
      <c r="E53" s="419">
        <v>0</v>
      </c>
      <c r="F53" s="419">
        <v>0</v>
      </c>
      <c r="G53" s="419">
        <v>0</v>
      </c>
    </row>
    <row r="54" spans="1:7" outlineLevel="1" x14ac:dyDescent="0.2">
      <c r="A54" s="122" t="s">
        <v>2117</v>
      </c>
      <c r="B54" s="423" t="s">
        <v>1141</v>
      </c>
      <c r="C54" s="459"/>
      <c r="E54" s="564" t="s">
        <v>105</v>
      </c>
      <c r="F54" s="564" t="s">
        <v>105</v>
      </c>
      <c r="G54" s="564" t="s">
        <v>105</v>
      </c>
    </row>
    <row r="55" spans="1:7" x14ac:dyDescent="0.2">
      <c r="C55" s="119"/>
    </row>
    <row r="56" spans="1:7" x14ac:dyDescent="0.2">
      <c r="B56" s="1138">
        <v>2025</v>
      </c>
      <c r="C56" s="1138"/>
      <c r="E56" s="120"/>
      <c r="F56" s="120"/>
      <c r="G56" s="120"/>
    </row>
    <row r="57" spans="1:7" ht="12" customHeight="1" x14ac:dyDescent="0.2">
      <c r="B57" s="645" t="s">
        <v>2050</v>
      </c>
      <c r="C57" s="1008">
        <f>C7</f>
        <v>5.6000000000000001E-2</v>
      </c>
      <c r="E57" s="120"/>
      <c r="F57" s="120"/>
      <c r="G57" s="120"/>
    </row>
    <row r="58" spans="1:7" ht="12" customHeight="1" x14ac:dyDescent="0.2">
      <c r="B58" s="645" t="s">
        <v>2206</v>
      </c>
      <c r="C58" s="1008">
        <f t="shared" ref="C58:C59" si="5">C8</f>
        <v>5.1999999999999998E-2</v>
      </c>
      <c r="E58" s="120"/>
      <c r="F58" s="120"/>
      <c r="G58" s="120"/>
    </row>
    <row r="59" spans="1:7" ht="12" customHeight="1" x14ac:dyDescent="0.2">
      <c r="B59" s="645" t="s">
        <v>2208</v>
      </c>
      <c r="C59" s="1008">
        <f t="shared" si="5"/>
        <v>1.8599999999999998E-2</v>
      </c>
      <c r="E59" s="120"/>
      <c r="F59" s="120"/>
      <c r="G59" s="120"/>
    </row>
    <row r="60" spans="1:7" ht="12" customHeight="1" x14ac:dyDescent="0.2">
      <c r="B60" s="636"/>
      <c r="C60" s="636"/>
      <c r="E60" s="120"/>
      <c r="F60" s="120"/>
      <c r="G60" s="120"/>
    </row>
    <row r="61" spans="1:7" ht="11.4" x14ac:dyDescent="0.2">
      <c r="A61" s="85" t="s">
        <v>2095</v>
      </c>
      <c r="B61" s="91" t="s">
        <v>176</v>
      </c>
      <c r="C61" s="637">
        <f>SUM(E61:G61)</f>
        <v>0</v>
      </c>
      <c r="D61" s="93"/>
      <c r="E61" s="94">
        <f t="shared" ref="E61" si="6">+MAX((E71+E74-E72)*E68+E86*(E67-E68),0)</f>
        <v>0</v>
      </c>
      <c r="F61" s="94">
        <f t="shared" ref="F61:G61" si="7">+MAX((F71+F74-F72)*F68+F86*(F67-F68),0)</f>
        <v>0</v>
      </c>
      <c r="G61" s="94">
        <f t="shared" si="7"/>
        <v>0</v>
      </c>
    </row>
    <row r="62" spans="1:7" ht="11.4" x14ac:dyDescent="0.2">
      <c r="A62" s="85" t="s">
        <v>2096</v>
      </c>
      <c r="B62" s="91" t="s">
        <v>177</v>
      </c>
      <c r="C62" s="637">
        <f>SUM(E62:G62)</f>
        <v>0</v>
      </c>
      <c r="D62" s="93"/>
      <c r="E62" s="94">
        <f>E89</f>
        <v>0</v>
      </c>
      <c r="F62" s="94">
        <f>F89</f>
        <v>0</v>
      </c>
      <c r="G62" s="94">
        <f>G89</f>
        <v>0</v>
      </c>
    </row>
    <row r="63" spans="1:7" ht="11.4" x14ac:dyDescent="0.2">
      <c r="A63" s="85" t="s">
        <v>2097</v>
      </c>
      <c r="B63" s="91" t="s">
        <v>178</v>
      </c>
      <c r="C63" s="637">
        <f>SUM(E63:G63)</f>
        <v>0</v>
      </c>
      <c r="D63" s="93"/>
      <c r="E63" s="94">
        <f>E88</f>
        <v>0</v>
      </c>
      <c r="F63" s="94">
        <f>F88</f>
        <v>0</v>
      </c>
      <c r="G63" s="94">
        <f>G88</f>
        <v>0</v>
      </c>
    </row>
    <row r="64" spans="1:7" ht="11.4" x14ac:dyDescent="0.2">
      <c r="A64" s="85" t="s">
        <v>2098</v>
      </c>
      <c r="B64" s="91" t="s">
        <v>179</v>
      </c>
      <c r="C64" s="637">
        <f>SUM(E64:G64)</f>
        <v>0</v>
      </c>
      <c r="D64" s="93"/>
      <c r="E64" s="94">
        <f>E90</f>
        <v>0</v>
      </c>
      <c r="F64" s="94">
        <f>F90</f>
        <v>0</v>
      </c>
      <c r="G64" s="94">
        <f>G90</f>
        <v>0</v>
      </c>
    </row>
    <row r="65" spans="1:7" x14ac:dyDescent="0.2">
      <c r="C65" s="90"/>
    </row>
    <row r="66" spans="1:7" ht="11.4" outlineLevel="1" x14ac:dyDescent="0.2">
      <c r="B66" s="95" t="s">
        <v>180</v>
      </c>
      <c r="C66" s="637">
        <f>SUM(E66:G66)</f>
        <v>0</v>
      </c>
      <c r="E66" s="96">
        <f>E70</f>
        <v>0</v>
      </c>
      <c r="F66" s="96">
        <f>F70</f>
        <v>0</v>
      </c>
      <c r="G66" s="96">
        <f>G70</f>
        <v>0</v>
      </c>
    </row>
    <row r="67" spans="1:7" ht="11.4" outlineLevel="1" x14ac:dyDescent="0.2">
      <c r="B67" s="97" t="s">
        <v>181</v>
      </c>
      <c r="C67" s="98">
        <f>C68+1%</f>
        <v>6.6000000000000003E-2</v>
      </c>
      <c r="E67" s="99">
        <f>$C$67</f>
        <v>6.6000000000000003E-2</v>
      </c>
      <c r="F67" s="99">
        <f>$C$67</f>
        <v>6.6000000000000003E-2</v>
      </c>
      <c r="G67" s="99">
        <f>$C$67</f>
        <v>6.6000000000000003E-2</v>
      </c>
    </row>
    <row r="68" spans="1:7" ht="11.4" outlineLevel="1" x14ac:dyDescent="0.2">
      <c r="B68" s="97" t="s">
        <v>182</v>
      </c>
      <c r="C68" s="98">
        <f>$C$57</f>
        <v>5.6000000000000001E-2</v>
      </c>
      <c r="E68" s="99">
        <f>$C$68</f>
        <v>5.6000000000000001E-2</v>
      </c>
      <c r="F68" s="99">
        <f>$C$68</f>
        <v>5.6000000000000001E-2</v>
      </c>
      <c r="G68" s="99">
        <f>$C$68</f>
        <v>5.6000000000000001E-2</v>
      </c>
    </row>
    <row r="69" spans="1:7" outlineLevel="1" x14ac:dyDescent="0.2">
      <c r="C69" s="90"/>
    </row>
    <row r="70" spans="1:7" ht="11.4" outlineLevel="1" x14ac:dyDescent="0.2">
      <c r="B70" s="95" t="s">
        <v>180</v>
      </c>
      <c r="C70" s="637">
        <f>SUM(E70:G70)</f>
        <v>0</v>
      </c>
      <c r="E70" s="101">
        <f>MAX((E71+E74-E72),0)</f>
        <v>0</v>
      </c>
      <c r="F70" s="101">
        <f>MAX((F71+F74-F72),0)</f>
        <v>0</v>
      </c>
      <c r="G70" s="101">
        <f>MAX((G71+G74-G72),0)</f>
        <v>0</v>
      </c>
    </row>
    <row r="71" spans="1:7" ht="11.4" outlineLevel="1" x14ac:dyDescent="0.2">
      <c r="B71" s="95" t="s">
        <v>183</v>
      </c>
      <c r="C71" s="637">
        <f>SUM(E71:G71)</f>
        <v>0</v>
      </c>
      <c r="E71" s="102">
        <f>E85</f>
        <v>0</v>
      </c>
      <c r="F71" s="102">
        <f>F85</f>
        <v>0</v>
      </c>
      <c r="G71" s="102">
        <f>G85</f>
        <v>0</v>
      </c>
    </row>
    <row r="72" spans="1:7" ht="11.4" outlineLevel="1" x14ac:dyDescent="0.2">
      <c r="B72" s="100" t="s">
        <v>7039</v>
      </c>
      <c r="C72" s="425">
        <f>SUM(E72:G72)</f>
        <v>0</v>
      </c>
      <c r="E72" s="101">
        <f>E235</f>
        <v>0</v>
      </c>
      <c r="F72" s="101">
        <f>F235</f>
        <v>0</v>
      </c>
      <c r="G72" s="101">
        <f>G235</f>
        <v>0</v>
      </c>
    </row>
    <row r="73" spans="1:7" outlineLevel="1" x14ac:dyDescent="0.2">
      <c r="C73" s="90"/>
      <c r="E73" s="103"/>
      <c r="F73" s="103"/>
      <c r="G73" s="103"/>
    </row>
    <row r="74" spans="1:7" ht="11.4" outlineLevel="1" x14ac:dyDescent="0.2">
      <c r="B74" s="100" t="s">
        <v>184</v>
      </c>
      <c r="C74" s="637">
        <f>SUM(E74:G74)</f>
        <v>0</v>
      </c>
      <c r="E74" s="104">
        <f>E234</f>
        <v>0</v>
      </c>
      <c r="F74" s="104">
        <f>F234</f>
        <v>0</v>
      </c>
      <c r="G74" s="104">
        <f>G234</f>
        <v>0</v>
      </c>
    </row>
    <row r="75" spans="1:7" outlineLevel="1" x14ac:dyDescent="0.2">
      <c r="C75" s="90"/>
      <c r="E75" s="103"/>
      <c r="F75" s="103"/>
      <c r="G75" s="103"/>
    </row>
    <row r="76" spans="1:7" ht="11.4" outlineLevel="1" x14ac:dyDescent="0.2">
      <c r="A76" s="123"/>
      <c r="B76" s="1014" t="s">
        <v>185</v>
      </c>
      <c r="C76" s="1015">
        <f>SUM(E76:G76)</f>
        <v>0</v>
      </c>
      <c r="E76" s="1016">
        <v>0</v>
      </c>
      <c r="F76" s="1016">
        <v>0</v>
      </c>
      <c r="G76" s="1016">
        <v>0</v>
      </c>
    </row>
    <row r="77" spans="1:7" outlineLevel="1" x14ac:dyDescent="0.2">
      <c r="C77" s="106"/>
      <c r="E77" s="103"/>
      <c r="F77" s="103"/>
      <c r="G77" s="103"/>
    </row>
    <row r="78" spans="1:7" ht="11.4" outlineLevel="1" x14ac:dyDescent="0.2">
      <c r="B78" s="1014" t="s">
        <v>186</v>
      </c>
      <c r="C78" s="1015">
        <f>SUM(E78:G78)</f>
        <v>0</v>
      </c>
      <c r="E78" s="1016">
        <v>0</v>
      </c>
      <c r="F78" s="1016">
        <v>0</v>
      </c>
      <c r="G78" s="1016">
        <v>0</v>
      </c>
    </row>
    <row r="79" spans="1:7" outlineLevel="1" x14ac:dyDescent="0.2">
      <c r="C79" s="106"/>
    </row>
    <row r="80" spans="1:7" outlineLevel="1" x14ac:dyDescent="0.2">
      <c r="C80" s="106"/>
    </row>
    <row r="81" spans="1:7" ht="11.4" outlineLevel="1" x14ac:dyDescent="0.2">
      <c r="B81" s="107" t="s">
        <v>511</v>
      </c>
      <c r="C81" s="108">
        <f>'Parametri MTR-3'!$F$6</f>
        <v>8.7999999999999995E-2</v>
      </c>
    </row>
    <row r="82" spans="1:7" ht="11.4" outlineLevel="1" x14ac:dyDescent="0.2">
      <c r="B82" s="107" t="s">
        <v>512</v>
      </c>
      <c r="C82" s="108">
        <f>'Parametri MTR-3'!$G$6</f>
        <v>0</v>
      </c>
    </row>
    <row r="83" spans="1:7" outlineLevel="1" x14ac:dyDescent="0.2">
      <c r="E83" s="387"/>
      <c r="F83" s="387"/>
      <c r="G83" s="387"/>
    </row>
    <row r="84" spans="1:7" s="365" customFormat="1" ht="20.399999999999999" outlineLevel="1" x14ac:dyDescent="0.2">
      <c r="A84" s="364"/>
      <c r="B84" s="388"/>
      <c r="C84" s="121"/>
      <c r="D84" s="367"/>
      <c r="E84" s="368" t="str">
        <f t="shared" ref="E84" si="8">E3</f>
        <v>BUSTO ARSIZIO</v>
      </c>
      <c r="F84" s="368" t="str">
        <f t="shared" ref="F84:G84" si="9">F3</f>
        <v>FAGNANO OLONA</v>
      </c>
      <c r="G84" s="368" t="str">
        <f t="shared" si="9"/>
        <v>VENEGONO SUPERIORE</v>
      </c>
    </row>
    <row r="85" spans="1:7" ht="11.4" outlineLevel="1" x14ac:dyDescent="0.2">
      <c r="B85" s="95" t="s">
        <v>183</v>
      </c>
      <c r="C85" s="638">
        <f t="shared" ref="C85:C90" si="10">SUM(E85:G85)</f>
        <v>0</v>
      </c>
      <c r="E85" s="110">
        <f>SUM(E86:E87)</f>
        <v>0</v>
      </c>
      <c r="F85" s="110">
        <f>SUM(F86:F87)</f>
        <v>0</v>
      </c>
      <c r="G85" s="110">
        <f>SUM(G86:G87)</f>
        <v>0</v>
      </c>
    </row>
    <row r="86" spans="1:7" outlineLevel="1" x14ac:dyDescent="0.2">
      <c r="B86" s="111" t="s">
        <v>150</v>
      </c>
      <c r="C86" s="426">
        <f t="shared" si="10"/>
        <v>0</v>
      </c>
      <c r="E86" s="113">
        <f>E233</f>
        <v>0</v>
      </c>
      <c r="F86" s="113">
        <f>F233</f>
        <v>0</v>
      </c>
      <c r="G86" s="113">
        <f>G233</f>
        <v>0</v>
      </c>
    </row>
    <row r="87" spans="1:7" outlineLevel="1" x14ac:dyDescent="0.2">
      <c r="B87" s="114" t="s">
        <v>151</v>
      </c>
      <c r="C87" s="427">
        <f t="shared" si="10"/>
        <v>0</v>
      </c>
      <c r="E87" s="116">
        <f>E232</f>
        <v>0</v>
      </c>
      <c r="F87" s="116">
        <f>F232</f>
        <v>0</v>
      </c>
      <c r="G87" s="116">
        <f>G232</f>
        <v>0</v>
      </c>
    </row>
    <row r="88" spans="1:7" ht="11.4" outlineLevel="1" x14ac:dyDescent="0.2">
      <c r="B88" s="1018" t="s">
        <v>187</v>
      </c>
      <c r="C88" s="1019">
        <f t="shared" si="10"/>
        <v>0</v>
      </c>
      <c r="E88" s="1017">
        <v>0</v>
      </c>
      <c r="F88" s="1017">
        <v>0</v>
      </c>
      <c r="G88" s="1017">
        <v>0</v>
      </c>
    </row>
    <row r="89" spans="1:7" ht="11.4" outlineLevel="1" x14ac:dyDescent="0.2">
      <c r="B89" s="117" t="s">
        <v>467</v>
      </c>
      <c r="C89" s="429">
        <f t="shared" si="10"/>
        <v>0</v>
      </c>
      <c r="E89" s="110">
        <f>IF($C$58=5.2%,SUMPRODUCT(E93:E96,'Parametri MTR-3'!$F$11:$F$14),IF($C$58=5%,SUMPRODUCT(E93:E96,'Parametri MTR-3'!$H$11:$H$14),0))</f>
        <v>0</v>
      </c>
      <c r="F89" s="110">
        <f>IF($C$58=5.2%,SUMPRODUCT(F93:F96,'Parametri MTR-3'!$F$11:$F$14),IF($C$58=5%,SUMPRODUCT(F93:F96,'Parametri MTR-3'!$H$11:$H$14),0))</f>
        <v>0</v>
      </c>
      <c r="G89" s="110">
        <f>IF($C$58=5.2%,SUMPRODUCT(G93:G96,'Parametri MTR-3'!$F$11:$F$14),IF($C$58=5%,SUMPRODUCT(G93:G96,'Parametri MTR-3'!$H$11:$H$14),0))</f>
        <v>0</v>
      </c>
    </row>
    <row r="90" spans="1:7" ht="11.4" outlineLevel="1" x14ac:dyDescent="0.2">
      <c r="B90" s="1018" t="s">
        <v>188</v>
      </c>
      <c r="C90" s="1019">
        <f t="shared" si="10"/>
        <v>0</v>
      </c>
      <c r="E90" s="1020">
        <v>0</v>
      </c>
      <c r="F90" s="1020">
        <v>0</v>
      </c>
      <c r="G90" s="1020">
        <v>0</v>
      </c>
    </row>
    <row r="91" spans="1:7" outlineLevel="1" x14ac:dyDescent="0.2"/>
    <row r="92" spans="1:7" ht="11.4" outlineLevel="1" x14ac:dyDescent="0.25">
      <c r="B92" s="413" t="s">
        <v>1154</v>
      </c>
      <c r="C92" s="640">
        <f>SUM(E92:G92)</f>
        <v>0</v>
      </c>
      <c r="E92" s="435">
        <f>SUM(E93:E96)</f>
        <v>0</v>
      </c>
      <c r="F92" s="435">
        <f>SUM(F93:F96)</f>
        <v>0</v>
      </c>
      <c r="G92" s="435">
        <f>SUM(G93:G96)</f>
        <v>0</v>
      </c>
    </row>
    <row r="93" spans="1:7" outlineLevel="1" x14ac:dyDescent="0.2">
      <c r="A93" s="122" t="s">
        <v>2122</v>
      </c>
      <c r="B93" s="421" t="s">
        <v>1155</v>
      </c>
      <c r="C93" s="418">
        <f>SUM(E93:G93)</f>
        <v>0</v>
      </c>
      <c r="E93" s="418">
        <v>0</v>
      </c>
      <c r="F93" s="418">
        <v>0</v>
      </c>
      <c r="G93" s="418">
        <v>0</v>
      </c>
    </row>
    <row r="94" spans="1:7" outlineLevel="1" x14ac:dyDescent="0.2">
      <c r="A94" s="122" t="s">
        <v>2123</v>
      </c>
      <c r="B94" s="422" t="s">
        <v>1135</v>
      </c>
      <c r="C94" s="419">
        <f>SUM(E94:G94)</f>
        <v>0</v>
      </c>
      <c r="E94" s="419">
        <v>0</v>
      </c>
      <c r="F94" s="419">
        <v>0</v>
      </c>
      <c r="G94" s="419">
        <v>0</v>
      </c>
    </row>
    <row r="95" spans="1:7" outlineLevel="1" x14ac:dyDescent="0.2">
      <c r="A95" s="122" t="s">
        <v>2124</v>
      </c>
      <c r="B95" s="422" t="s">
        <v>507</v>
      </c>
      <c r="C95" s="419">
        <f>SUM(E95:G95)</f>
        <v>0</v>
      </c>
      <c r="E95" s="419">
        <v>0</v>
      </c>
      <c r="F95" s="419">
        <v>0</v>
      </c>
      <c r="G95" s="419">
        <v>0</v>
      </c>
    </row>
    <row r="96" spans="1:7" outlineLevel="1" x14ac:dyDescent="0.2">
      <c r="A96" s="122" t="s">
        <v>2125</v>
      </c>
      <c r="B96" s="423" t="s">
        <v>508</v>
      </c>
      <c r="C96" s="420">
        <f>SUM(E96:G96)</f>
        <v>0</v>
      </c>
      <c r="E96" s="420">
        <v>0</v>
      </c>
      <c r="F96" s="420">
        <v>0</v>
      </c>
      <c r="G96" s="420">
        <v>0</v>
      </c>
    </row>
    <row r="97" spans="1:7" outlineLevel="1" x14ac:dyDescent="0.2">
      <c r="C97" s="424" t="s">
        <v>510</v>
      </c>
      <c r="E97" s="387" t="str">
        <f>IF(SUMPRODUCT(E93:E96,'Parametri MTR-3'!$G$11:$G$14)=E89,"ok","errore")</f>
        <v>ok</v>
      </c>
      <c r="F97" s="387" t="str">
        <f>IF(SUMPRODUCT(F93:F96,'Parametri MTR-3'!$G$11:$G$14)=F89,"ok","errore")</f>
        <v>ok</v>
      </c>
      <c r="G97" s="387" t="str">
        <f>IF(SUMPRODUCT(G93:G96,'Parametri MTR-3'!$G$11:$G$14)=G89,"ok","errore")</f>
        <v>ok</v>
      </c>
    </row>
    <row r="98" spans="1:7" outlineLevel="1" x14ac:dyDescent="0.2">
      <c r="C98" s="424"/>
      <c r="E98" s="387"/>
      <c r="F98" s="387"/>
      <c r="G98" s="387"/>
    </row>
    <row r="99" spans="1:7" ht="11.4" outlineLevel="1" x14ac:dyDescent="0.25">
      <c r="B99" s="413" t="s">
        <v>1160</v>
      </c>
      <c r="C99" s="639">
        <f>SUM(E99:G99)</f>
        <v>0</v>
      </c>
      <c r="E99" s="435">
        <f>SUM(E100:E103)</f>
        <v>0</v>
      </c>
      <c r="F99" s="435">
        <f>SUM(F100:F103)</f>
        <v>0</v>
      </c>
      <c r="G99" s="435">
        <f>SUM(G100:G103)</f>
        <v>0</v>
      </c>
    </row>
    <row r="100" spans="1:7" ht="11.4" outlineLevel="1" x14ac:dyDescent="0.25">
      <c r="A100" s="122" t="s">
        <v>2126</v>
      </c>
      <c r="B100" s="421" t="s">
        <v>552</v>
      </c>
      <c r="C100" s="418">
        <f>SUM(E100:G100)</f>
        <v>0</v>
      </c>
      <c r="E100" s="418">
        <v>0</v>
      </c>
      <c r="F100" s="418">
        <v>0</v>
      </c>
      <c r="G100" s="418">
        <v>0</v>
      </c>
    </row>
    <row r="101" spans="1:7" ht="11.4" outlineLevel="1" x14ac:dyDescent="0.25">
      <c r="A101" s="122" t="s">
        <v>2127</v>
      </c>
      <c r="B101" s="422" t="s">
        <v>553</v>
      </c>
      <c r="C101" s="419">
        <f>SUM(E101:G101)</f>
        <v>0</v>
      </c>
      <c r="E101" s="419">
        <v>0</v>
      </c>
      <c r="F101" s="419">
        <v>0</v>
      </c>
      <c r="G101" s="419">
        <v>0</v>
      </c>
    </row>
    <row r="102" spans="1:7" ht="11.4" outlineLevel="1" x14ac:dyDescent="0.25">
      <c r="A102" s="122" t="s">
        <v>2128</v>
      </c>
      <c r="B102" s="422" t="s">
        <v>554</v>
      </c>
      <c r="C102" s="419">
        <f>SUM(E102:G102)</f>
        <v>0</v>
      </c>
      <c r="E102" s="419">
        <v>0</v>
      </c>
      <c r="F102" s="419">
        <v>0</v>
      </c>
      <c r="G102" s="419">
        <v>0</v>
      </c>
    </row>
    <row r="103" spans="1:7" ht="11.4" outlineLevel="1" x14ac:dyDescent="0.25">
      <c r="A103" s="122" t="s">
        <v>2129</v>
      </c>
      <c r="B103" s="422" t="s">
        <v>555</v>
      </c>
      <c r="C103" s="419">
        <f>SUM(E103:G103)</f>
        <v>0</v>
      </c>
      <c r="E103" s="419">
        <v>0</v>
      </c>
      <c r="F103" s="419">
        <v>0</v>
      </c>
      <c r="G103" s="419">
        <v>0</v>
      </c>
    </row>
    <row r="104" spans="1:7" outlineLevel="1" x14ac:dyDescent="0.2">
      <c r="A104" s="122" t="s">
        <v>2130</v>
      </c>
      <c r="B104" s="423" t="s">
        <v>1161</v>
      </c>
      <c r="C104" s="459"/>
      <c r="E104" s="564" t="s">
        <v>105</v>
      </c>
      <c r="F104" s="564" t="s">
        <v>105</v>
      </c>
      <c r="G104" s="564" t="s">
        <v>105</v>
      </c>
    </row>
    <row r="105" spans="1:7" x14ac:dyDescent="0.2">
      <c r="C105" s="424"/>
      <c r="E105" s="387"/>
      <c r="F105" s="387"/>
      <c r="G105" s="387"/>
    </row>
    <row r="106" spans="1:7" ht="20.399999999999999" x14ac:dyDescent="0.2">
      <c r="B106" s="1139" t="s">
        <v>2053</v>
      </c>
      <c r="C106" s="1139"/>
      <c r="D106" s="365"/>
      <c r="E106" s="368" t="str">
        <f t="shared" ref="E106" si="11">E3</f>
        <v>BUSTO ARSIZIO</v>
      </c>
      <c r="F106" s="368" t="str">
        <f t="shared" ref="F106:G106" si="12">F3</f>
        <v>FAGNANO OLONA</v>
      </c>
      <c r="G106" s="368" t="str">
        <f t="shared" si="12"/>
        <v>VENEGONO SUPERIORE</v>
      </c>
    </row>
    <row r="108" spans="1:7" ht="12" customHeight="1" x14ac:dyDescent="0.2">
      <c r="B108" s="1138">
        <v>2024</v>
      </c>
      <c r="C108" s="1138"/>
      <c r="E108" s="120"/>
      <c r="F108" s="120"/>
      <c r="G108" s="120"/>
    </row>
    <row r="109" spans="1:7" ht="12" customHeight="1" x14ac:dyDescent="0.2">
      <c r="A109" s="85" t="s">
        <v>2091</v>
      </c>
      <c r="B109" s="91" t="s">
        <v>1170</v>
      </c>
      <c r="C109" s="637">
        <f>SUM(E109:G109)</f>
        <v>0</v>
      </c>
      <c r="D109" s="93"/>
      <c r="E109" s="94">
        <f t="shared" ref="E109" si="13">+MAX((E119+E122-E120)*E116+E134*(E115-E116),0)</f>
        <v>0</v>
      </c>
      <c r="F109" s="94">
        <f t="shared" ref="F109:G109" si="14">+MAX((F119+F122-F120)*F116+F134*(F115-F116),0)</f>
        <v>0</v>
      </c>
      <c r="G109" s="94">
        <f t="shared" si="14"/>
        <v>0</v>
      </c>
    </row>
    <row r="110" spans="1:7" ht="12" customHeight="1" x14ac:dyDescent="0.2">
      <c r="A110" s="85" t="s">
        <v>2092</v>
      </c>
      <c r="B110" s="91" t="s">
        <v>1171</v>
      </c>
      <c r="C110" s="637">
        <f>SUM(E110:G110)</f>
        <v>0</v>
      </c>
      <c r="D110" s="93"/>
      <c r="E110" s="94">
        <f>E137</f>
        <v>0</v>
      </c>
      <c r="F110" s="94">
        <f>F137</f>
        <v>0</v>
      </c>
      <c r="G110" s="94">
        <f>G137</f>
        <v>0</v>
      </c>
    </row>
    <row r="111" spans="1:7" ht="12" customHeight="1" x14ac:dyDescent="0.2">
      <c r="A111" s="85" t="s">
        <v>2093</v>
      </c>
      <c r="B111" s="91" t="s">
        <v>1172</v>
      </c>
      <c r="C111" s="637">
        <f>SUM(E111:G111)</f>
        <v>0</v>
      </c>
      <c r="D111" s="93"/>
      <c r="E111" s="94">
        <f>E136</f>
        <v>0</v>
      </c>
      <c r="F111" s="94">
        <f>F136</f>
        <v>0</v>
      </c>
      <c r="G111" s="94">
        <f>G136</f>
        <v>0</v>
      </c>
    </row>
    <row r="112" spans="1:7" ht="12" customHeight="1" x14ac:dyDescent="0.2">
      <c r="A112" s="85" t="s">
        <v>2094</v>
      </c>
      <c r="B112" s="91" t="s">
        <v>2056</v>
      </c>
      <c r="C112" s="637">
        <f>SUM(E112:G112)</f>
        <v>0</v>
      </c>
      <c r="D112" s="93"/>
      <c r="E112" s="94">
        <f>E138</f>
        <v>0</v>
      </c>
      <c r="F112" s="94">
        <f>F138</f>
        <v>0</v>
      </c>
      <c r="G112" s="94">
        <f>G138</f>
        <v>0</v>
      </c>
    </row>
    <row r="113" spans="1:7" ht="12" customHeight="1" x14ac:dyDescent="0.2">
      <c r="C113" s="90"/>
    </row>
    <row r="114" spans="1:7" ht="12" customHeight="1" outlineLevel="1" x14ac:dyDescent="0.2">
      <c r="B114" s="95" t="s">
        <v>171</v>
      </c>
      <c r="C114" s="637">
        <f>SUM(E114:G114)</f>
        <v>0</v>
      </c>
      <c r="E114" s="96">
        <f>E118</f>
        <v>0</v>
      </c>
      <c r="F114" s="96">
        <f>F118</f>
        <v>0</v>
      </c>
      <c r="G114" s="96">
        <f>G118</f>
        <v>0</v>
      </c>
    </row>
    <row r="115" spans="1:7" ht="12" customHeight="1" outlineLevel="1" x14ac:dyDescent="0.2">
      <c r="B115" s="97" t="s">
        <v>2054</v>
      </c>
      <c r="C115" s="98">
        <f>C116+1%</f>
        <v>7.2999999999999995E-2</v>
      </c>
      <c r="E115" s="99">
        <f>$C$115</f>
        <v>7.2999999999999995E-2</v>
      </c>
      <c r="F115" s="99">
        <f>$C$115</f>
        <v>7.2999999999999995E-2</v>
      </c>
      <c r="G115" s="99">
        <f>$C$115</f>
        <v>7.2999999999999995E-2</v>
      </c>
    </row>
    <row r="116" spans="1:7" ht="12" customHeight="1" outlineLevel="1" x14ac:dyDescent="0.2">
      <c r="B116" s="97" t="s">
        <v>2055</v>
      </c>
      <c r="C116" s="98">
        <f>'Parametri MTR-3'!$H$9</f>
        <v>6.3E-2</v>
      </c>
      <c r="E116" s="99">
        <f>$C$116</f>
        <v>6.3E-2</v>
      </c>
      <c r="F116" s="99">
        <f>$C$116</f>
        <v>6.3E-2</v>
      </c>
      <c r="G116" s="99">
        <f>$C$116</f>
        <v>6.3E-2</v>
      </c>
    </row>
    <row r="117" spans="1:7" ht="12" customHeight="1" outlineLevel="1" x14ac:dyDescent="0.2">
      <c r="C117" s="90"/>
    </row>
    <row r="118" spans="1:7" ht="12" customHeight="1" outlineLevel="1" x14ac:dyDescent="0.2">
      <c r="B118" s="95" t="s">
        <v>171</v>
      </c>
      <c r="C118" s="637">
        <f>SUM(E118:G118)</f>
        <v>0</v>
      </c>
      <c r="E118" s="101">
        <f>MAX((E119+E122-E120),0)</f>
        <v>0</v>
      </c>
      <c r="F118" s="101">
        <f>MAX((F119+F122-F120),0)</f>
        <v>0</v>
      </c>
      <c r="G118" s="101">
        <f>MAX((G119+G122-G120),0)</f>
        <v>0</v>
      </c>
    </row>
    <row r="119" spans="1:7" ht="12" customHeight="1" outlineLevel="1" x14ac:dyDescent="0.2">
      <c r="B119" s="95" t="s">
        <v>172</v>
      </c>
      <c r="C119" s="637">
        <f>SUM(E119:G119)</f>
        <v>0</v>
      </c>
      <c r="E119" s="102">
        <f>E133</f>
        <v>0</v>
      </c>
      <c r="F119" s="102">
        <f>F133</f>
        <v>0</v>
      </c>
      <c r="G119" s="102">
        <f>G133</f>
        <v>0</v>
      </c>
    </row>
    <row r="120" spans="1:7" ht="12" customHeight="1" outlineLevel="1" x14ac:dyDescent="0.2">
      <c r="B120" s="100" t="s">
        <v>152</v>
      </c>
      <c r="C120" s="425">
        <f>SUM(E120:G120)</f>
        <v>0</v>
      </c>
      <c r="E120" s="102">
        <f t="shared" ref="E120:E122" si="15">E22</f>
        <v>0</v>
      </c>
      <c r="F120" s="102">
        <f t="shared" ref="F120:G120" si="16">F22</f>
        <v>0</v>
      </c>
      <c r="G120" s="102">
        <f t="shared" si="16"/>
        <v>0</v>
      </c>
    </row>
    <row r="121" spans="1:7" ht="12" customHeight="1" outlineLevel="1" x14ac:dyDescent="0.2">
      <c r="C121" s="90"/>
      <c r="E121" s="103"/>
      <c r="F121" s="103"/>
      <c r="G121" s="103"/>
    </row>
    <row r="122" spans="1:7" ht="12" customHeight="1" outlineLevel="1" x14ac:dyDescent="0.2">
      <c r="B122" s="100" t="s">
        <v>173</v>
      </c>
      <c r="C122" s="637">
        <f>SUM(E122:G122)</f>
        <v>0</v>
      </c>
      <c r="E122" s="102">
        <f t="shared" si="15"/>
        <v>0</v>
      </c>
      <c r="F122" s="102">
        <f t="shared" ref="F122:G122" si="17">F24</f>
        <v>0</v>
      </c>
      <c r="G122" s="102">
        <f t="shared" si="17"/>
        <v>0</v>
      </c>
    </row>
    <row r="123" spans="1:7" ht="12" customHeight="1" outlineLevel="1" x14ac:dyDescent="0.2">
      <c r="C123" s="90"/>
      <c r="E123" s="103"/>
      <c r="F123" s="103"/>
      <c r="G123" s="103"/>
    </row>
    <row r="124" spans="1:7" ht="12" customHeight="1" outlineLevel="1" x14ac:dyDescent="0.2">
      <c r="A124" s="123"/>
      <c r="B124" s="1014" t="s">
        <v>159</v>
      </c>
      <c r="C124" s="1015">
        <f>SUM(E124:G124)</f>
        <v>0</v>
      </c>
      <c r="E124" s="1016">
        <f t="shared" ref="E124" si="18">E26</f>
        <v>0</v>
      </c>
      <c r="F124" s="1016">
        <f t="shared" ref="F124:G124" si="19">F26</f>
        <v>0</v>
      </c>
      <c r="G124" s="1016">
        <f t="shared" si="19"/>
        <v>0</v>
      </c>
    </row>
    <row r="125" spans="1:7" ht="12" customHeight="1" outlineLevel="1" x14ac:dyDescent="0.2">
      <c r="C125" s="106"/>
      <c r="E125" s="103"/>
      <c r="F125" s="103"/>
      <c r="G125" s="103"/>
    </row>
    <row r="126" spans="1:7" ht="12" customHeight="1" outlineLevel="1" x14ac:dyDescent="0.2">
      <c r="B126" s="1014" t="s">
        <v>160</v>
      </c>
      <c r="C126" s="1015">
        <f>SUM(E126:G126)</f>
        <v>0</v>
      </c>
      <c r="E126" s="1016">
        <f t="shared" ref="E126" si="20">E28</f>
        <v>0</v>
      </c>
      <c r="F126" s="1016">
        <f t="shared" ref="F126:G126" si="21">F28</f>
        <v>0</v>
      </c>
      <c r="G126" s="1016">
        <f t="shared" si="21"/>
        <v>0</v>
      </c>
    </row>
    <row r="127" spans="1:7" ht="12" customHeight="1" outlineLevel="1" x14ac:dyDescent="0.2">
      <c r="C127" s="106"/>
    </row>
    <row r="128" spans="1:7" ht="12" customHeight="1" outlineLevel="1" x14ac:dyDescent="0.2">
      <c r="C128" s="106"/>
    </row>
    <row r="129" spans="1:7" ht="12" customHeight="1" outlineLevel="1" x14ac:dyDescent="0.2">
      <c r="B129" s="107" t="s">
        <v>161</v>
      </c>
      <c r="C129" s="108">
        <f>C31</f>
        <v>4.4999999999999998E-2</v>
      </c>
    </row>
    <row r="130" spans="1:7" ht="12" customHeight="1" outlineLevel="1" x14ac:dyDescent="0.2">
      <c r="B130" s="107" t="s">
        <v>511</v>
      </c>
      <c r="C130" s="108">
        <f>C32</f>
        <v>8.7999999999999995E-2</v>
      </c>
    </row>
    <row r="131" spans="1:7" s="386" customFormat="1" ht="12" customHeight="1" outlineLevel="1" x14ac:dyDescent="0.2">
      <c r="A131" s="122"/>
      <c r="B131" s="385"/>
      <c r="E131" s="387"/>
      <c r="F131" s="387"/>
      <c r="G131" s="387"/>
    </row>
    <row r="132" spans="1:7" s="367" customFormat="1" ht="20.399999999999999" outlineLevel="1" x14ac:dyDescent="0.2">
      <c r="A132" s="364"/>
      <c r="B132" s="388"/>
      <c r="C132" s="121"/>
      <c r="E132" s="368" t="str">
        <f t="shared" ref="E132" si="22">E106</f>
        <v>BUSTO ARSIZIO</v>
      </c>
      <c r="F132" s="368" t="str">
        <f t="shared" ref="F132:G132" si="23">F106</f>
        <v>FAGNANO OLONA</v>
      </c>
      <c r="G132" s="368" t="str">
        <f t="shared" si="23"/>
        <v>VENEGONO SUPERIORE</v>
      </c>
    </row>
    <row r="133" spans="1:7" ht="12" customHeight="1" outlineLevel="1" x14ac:dyDescent="0.2">
      <c r="B133" s="95" t="s">
        <v>172</v>
      </c>
      <c r="C133" s="638">
        <f t="shared" ref="C133:C138" si="24">SUM(E133:G133)</f>
        <v>0</v>
      </c>
      <c r="E133" s="110">
        <f>SUM(E134:E135)</f>
        <v>0</v>
      </c>
      <c r="F133" s="110">
        <f>SUM(F134:F135)</f>
        <v>0</v>
      </c>
      <c r="G133" s="110">
        <f>SUM(G134:G135)</f>
        <v>0</v>
      </c>
    </row>
    <row r="134" spans="1:7" ht="12" customHeight="1" outlineLevel="1" x14ac:dyDescent="0.2">
      <c r="B134" s="111" t="s">
        <v>150</v>
      </c>
      <c r="C134" s="426">
        <f t="shared" si="24"/>
        <v>0</v>
      </c>
      <c r="E134" s="113">
        <f t="shared" ref="E134" si="25">E36</f>
        <v>0</v>
      </c>
      <c r="F134" s="113">
        <f t="shared" ref="F134:G134" si="26">F36</f>
        <v>0</v>
      </c>
      <c r="G134" s="113">
        <f t="shared" si="26"/>
        <v>0</v>
      </c>
    </row>
    <row r="135" spans="1:7" ht="12" customHeight="1" outlineLevel="1" x14ac:dyDescent="0.2">
      <c r="B135" s="114" t="s">
        <v>151</v>
      </c>
      <c r="C135" s="427">
        <f t="shared" si="24"/>
        <v>0</v>
      </c>
      <c r="E135" s="116">
        <f t="shared" ref="E135" si="27">E37</f>
        <v>0</v>
      </c>
      <c r="F135" s="116">
        <f t="shared" ref="F135:G135" si="28">F37</f>
        <v>0</v>
      </c>
      <c r="G135" s="116">
        <f t="shared" si="28"/>
        <v>0</v>
      </c>
    </row>
    <row r="136" spans="1:7" ht="12" customHeight="1" outlineLevel="1" x14ac:dyDescent="0.2">
      <c r="B136" s="95" t="s">
        <v>174</v>
      </c>
      <c r="C136" s="428">
        <f t="shared" si="24"/>
        <v>0</v>
      </c>
      <c r="E136" s="110">
        <f t="shared" ref="E136" si="29">E38</f>
        <v>0</v>
      </c>
      <c r="F136" s="110">
        <f t="shared" ref="F136:G136" si="30">F38</f>
        <v>0</v>
      </c>
      <c r="G136" s="110">
        <f t="shared" si="30"/>
        <v>0</v>
      </c>
    </row>
    <row r="137" spans="1:7" ht="12" customHeight="1" outlineLevel="1" x14ac:dyDescent="0.2">
      <c r="B137" s="117" t="s">
        <v>1173</v>
      </c>
      <c r="C137" s="429">
        <f t="shared" si="24"/>
        <v>0</v>
      </c>
      <c r="E137" s="110">
        <f>SUMPRODUCT(E141:E144,'Parametri MTR-3'!$H$11:$H$14)</f>
        <v>0</v>
      </c>
      <c r="F137" s="110">
        <f>SUMPRODUCT(F141:F144,'Parametri MTR-3'!$H$11:$H$14)</f>
        <v>0</v>
      </c>
      <c r="G137" s="110">
        <f>SUMPRODUCT(G141:G144,'Parametri MTR-3'!$H$11:$H$14)</f>
        <v>0</v>
      </c>
    </row>
    <row r="138" spans="1:7" ht="12" customHeight="1" outlineLevel="1" x14ac:dyDescent="0.2">
      <c r="B138" s="95" t="s">
        <v>175</v>
      </c>
      <c r="C138" s="428">
        <f t="shared" si="24"/>
        <v>0</v>
      </c>
      <c r="E138" s="389">
        <f t="shared" ref="E138" si="31">E40</f>
        <v>0</v>
      </c>
      <c r="F138" s="389">
        <f t="shared" ref="F138:G138" si="32">F40</f>
        <v>0</v>
      </c>
      <c r="G138" s="389">
        <f t="shared" si="32"/>
        <v>0</v>
      </c>
    </row>
    <row r="139" spans="1:7" outlineLevel="1" x14ac:dyDescent="0.2">
      <c r="C139" s="119"/>
    </row>
    <row r="140" spans="1:7" ht="11.4" outlineLevel="1" x14ac:dyDescent="0.25">
      <c r="B140" s="413" t="s">
        <v>1134</v>
      </c>
      <c r="C140" s="639">
        <f>SUM(E140:G140)</f>
        <v>0</v>
      </c>
      <c r="E140" s="435">
        <f>SUM(E141:E144)</f>
        <v>0</v>
      </c>
      <c r="F140" s="435">
        <f>SUM(F141:F144)</f>
        <v>0</v>
      </c>
      <c r="G140" s="435">
        <f>SUM(G141:G144)</f>
        <v>0</v>
      </c>
    </row>
    <row r="141" spans="1:7" outlineLevel="1" x14ac:dyDescent="0.2">
      <c r="B141" s="430" t="s">
        <v>1135</v>
      </c>
      <c r="C141" s="415">
        <f>SUM(E141:G141)</f>
        <v>0</v>
      </c>
      <c r="E141" s="415">
        <f t="shared" ref="E141" si="33">E43</f>
        <v>0</v>
      </c>
      <c r="F141" s="415">
        <f t="shared" ref="F141:G141" si="34">F43</f>
        <v>0</v>
      </c>
      <c r="G141" s="415">
        <f t="shared" si="34"/>
        <v>0</v>
      </c>
    </row>
    <row r="142" spans="1:7" outlineLevel="1" x14ac:dyDescent="0.2">
      <c r="B142" s="431" t="s">
        <v>507</v>
      </c>
      <c r="C142" s="416">
        <f>SUM(E142:G142)</f>
        <v>0</v>
      </c>
      <c r="E142" s="416">
        <f t="shared" ref="E142" si="35">E44</f>
        <v>0</v>
      </c>
      <c r="F142" s="416">
        <f t="shared" ref="F142:G142" si="36">F44</f>
        <v>0</v>
      </c>
      <c r="G142" s="416">
        <f t="shared" si="36"/>
        <v>0</v>
      </c>
    </row>
    <row r="143" spans="1:7" outlineLevel="1" x14ac:dyDescent="0.2">
      <c r="B143" s="431" t="s">
        <v>508</v>
      </c>
      <c r="C143" s="416">
        <f>SUM(E143:G143)</f>
        <v>0</v>
      </c>
      <c r="E143" s="416">
        <f t="shared" ref="E143" si="37">E45</f>
        <v>0</v>
      </c>
      <c r="F143" s="416">
        <f t="shared" ref="F143:G143" si="38">F45</f>
        <v>0</v>
      </c>
      <c r="G143" s="416">
        <f t="shared" si="38"/>
        <v>0</v>
      </c>
    </row>
    <row r="144" spans="1:7" outlineLevel="1" x14ac:dyDescent="0.2">
      <c r="B144" s="432" t="s">
        <v>509</v>
      </c>
      <c r="C144" s="417">
        <f>SUM(E144:G144)</f>
        <v>0</v>
      </c>
      <c r="E144" s="417">
        <f t="shared" ref="E144" si="39">E46</f>
        <v>0</v>
      </c>
      <c r="F144" s="417">
        <f t="shared" ref="F144:G144" si="40">F46</f>
        <v>0</v>
      </c>
      <c r="G144" s="417">
        <f t="shared" si="40"/>
        <v>0</v>
      </c>
    </row>
    <row r="145" spans="1:7" x14ac:dyDescent="0.2">
      <c r="C145" s="119"/>
    </row>
    <row r="146" spans="1:7" x14ac:dyDescent="0.2">
      <c r="B146" s="1138">
        <v>2025</v>
      </c>
      <c r="C146" s="1138"/>
      <c r="E146" s="120"/>
      <c r="F146" s="120"/>
      <c r="G146" s="120"/>
    </row>
    <row r="147" spans="1:7" ht="11.4" x14ac:dyDescent="0.2">
      <c r="A147" s="85" t="s">
        <v>2099</v>
      </c>
      <c r="B147" s="91" t="s">
        <v>1174</v>
      </c>
      <c r="C147" s="637">
        <f>SUM(E147:G147)</f>
        <v>0</v>
      </c>
      <c r="D147" s="93"/>
      <c r="E147" s="94">
        <f t="shared" ref="E147" si="41">+MAX((E157+E160-E158)*E154+E172*(E153-E154),0)</f>
        <v>0</v>
      </c>
      <c r="F147" s="94">
        <f t="shared" ref="F147:G147" si="42">+MAX((F157+F160-F158)*F154+F172*(F153-F154),0)</f>
        <v>0</v>
      </c>
      <c r="G147" s="94">
        <f t="shared" si="42"/>
        <v>0</v>
      </c>
    </row>
    <row r="148" spans="1:7" ht="11.4" x14ac:dyDescent="0.2">
      <c r="A148" s="85" t="s">
        <v>2100</v>
      </c>
      <c r="B148" s="91" t="s">
        <v>1175</v>
      </c>
      <c r="C148" s="637">
        <f>SUM(E148:G148)</f>
        <v>0</v>
      </c>
      <c r="D148" s="93"/>
      <c r="E148" s="94">
        <f>E175</f>
        <v>0</v>
      </c>
      <c r="F148" s="94">
        <f>F175</f>
        <v>0</v>
      </c>
      <c r="G148" s="94">
        <f>G175</f>
        <v>0</v>
      </c>
    </row>
    <row r="149" spans="1:7" ht="11.4" x14ac:dyDescent="0.2">
      <c r="A149" s="85" t="s">
        <v>2101</v>
      </c>
      <c r="B149" s="91" t="s">
        <v>1176</v>
      </c>
      <c r="C149" s="637">
        <f>SUM(E149:G149)</f>
        <v>0</v>
      </c>
      <c r="D149" s="93"/>
      <c r="E149" s="94">
        <f>E174</f>
        <v>0</v>
      </c>
      <c r="F149" s="94">
        <f>F174</f>
        <v>0</v>
      </c>
      <c r="G149" s="94">
        <f>G174</f>
        <v>0</v>
      </c>
    </row>
    <row r="150" spans="1:7" ht="11.4" x14ac:dyDescent="0.2">
      <c r="A150" s="85" t="s">
        <v>2102</v>
      </c>
      <c r="B150" s="91" t="s">
        <v>2057</v>
      </c>
      <c r="C150" s="637">
        <f>SUM(E150:G150)</f>
        <v>0</v>
      </c>
      <c r="D150" s="93"/>
      <c r="E150" s="94">
        <f>E176</f>
        <v>0</v>
      </c>
      <c r="F150" s="94">
        <f>F176</f>
        <v>0</v>
      </c>
      <c r="G150" s="94">
        <f>G176</f>
        <v>0</v>
      </c>
    </row>
    <row r="151" spans="1:7" x14ac:dyDescent="0.2">
      <c r="C151" s="90"/>
    </row>
    <row r="152" spans="1:7" ht="11.4" outlineLevel="1" x14ac:dyDescent="0.2">
      <c r="B152" s="95" t="s">
        <v>180</v>
      </c>
      <c r="C152" s="637">
        <f>SUM(E152:G152)</f>
        <v>0</v>
      </c>
      <c r="E152" s="96">
        <f>E156</f>
        <v>0</v>
      </c>
      <c r="F152" s="96">
        <f>F156</f>
        <v>0</v>
      </c>
      <c r="G152" s="96">
        <f>G156</f>
        <v>0</v>
      </c>
    </row>
    <row r="153" spans="1:7" ht="11.4" outlineLevel="1" x14ac:dyDescent="0.2">
      <c r="B153" s="97" t="s">
        <v>1181</v>
      </c>
      <c r="C153" s="98">
        <f>C154+1%</f>
        <v>7.2999999999999995E-2</v>
      </c>
      <c r="E153" s="99">
        <f>$C$153</f>
        <v>7.2999999999999995E-2</v>
      </c>
      <c r="F153" s="99">
        <f>$C$153</f>
        <v>7.2999999999999995E-2</v>
      </c>
      <c r="G153" s="99">
        <f>$C$153</f>
        <v>7.2999999999999995E-2</v>
      </c>
    </row>
    <row r="154" spans="1:7" ht="11.4" outlineLevel="1" x14ac:dyDescent="0.2">
      <c r="B154" s="97" t="s">
        <v>1182</v>
      </c>
      <c r="C154" s="98">
        <f>'Parametri MTR-3'!$I$9</f>
        <v>6.3E-2</v>
      </c>
      <c r="E154" s="99">
        <f>$C$154</f>
        <v>6.3E-2</v>
      </c>
      <c r="F154" s="99">
        <f>$C$154</f>
        <v>6.3E-2</v>
      </c>
      <c r="G154" s="99">
        <f>$C$154</f>
        <v>6.3E-2</v>
      </c>
    </row>
    <row r="155" spans="1:7" outlineLevel="1" x14ac:dyDescent="0.2">
      <c r="C155" s="90"/>
    </row>
    <row r="156" spans="1:7" ht="11.4" outlineLevel="1" x14ac:dyDescent="0.2">
      <c r="B156" s="95" t="s">
        <v>180</v>
      </c>
      <c r="C156" s="637">
        <f>SUM(E156:G156)</f>
        <v>0</v>
      </c>
      <c r="E156" s="101">
        <f>MAX((E157+E160-E158),0)</f>
        <v>0</v>
      </c>
      <c r="F156" s="101">
        <f>MAX((F157+F160-F158),0)</f>
        <v>0</v>
      </c>
      <c r="G156" s="101">
        <f>MAX((G157+G160-G158),0)</f>
        <v>0</v>
      </c>
    </row>
    <row r="157" spans="1:7" ht="11.4" outlineLevel="1" x14ac:dyDescent="0.2">
      <c r="B157" s="95" t="s">
        <v>183</v>
      </c>
      <c r="C157" s="637">
        <f>SUM(E157:G157)</f>
        <v>0</v>
      </c>
      <c r="E157" s="102">
        <f>E171</f>
        <v>0</v>
      </c>
      <c r="F157" s="102">
        <f>F171</f>
        <v>0</v>
      </c>
      <c r="G157" s="102">
        <f>G171</f>
        <v>0</v>
      </c>
    </row>
    <row r="158" spans="1:7" ht="11.4" outlineLevel="1" x14ac:dyDescent="0.2">
      <c r="B158" s="100" t="s">
        <v>162</v>
      </c>
      <c r="C158" s="425">
        <f>SUM(E158:G158)</f>
        <v>0</v>
      </c>
      <c r="E158" s="102">
        <f>E72</f>
        <v>0</v>
      </c>
      <c r="F158" s="102">
        <f>F72</f>
        <v>0</v>
      </c>
      <c r="G158" s="102">
        <f>G72</f>
        <v>0</v>
      </c>
    </row>
    <row r="159" spans="1:7" outlineLevel="1" x14ac:dyDescent="0.2">
      <c r="C159" s="90"/>
      <c r="E159" s="103"/>
      <c r="F159" s="103"/>
      <c r="G159" s="103"/>
    </row>
    <row r="160" spans="1:7" ht="11.4" outlineLevel="1" x14ac:dyDescent="0.2">
      <c r="B160" s="100" t="s">
        <v>184</v>
      </c>
      <c r="C160" s="637">
        <f>SUM(E160:G160)</f>
        <v>0</v>
      </c>
      <c r="E160" s="102">
        <f>E74</f>
        <v>0</v>
      </c>
      <c r="F160" s="102">
        <f>F74</f>
        <v>0</v>
      </c>
      <c r="G160" s="102">
        <f>G74</f>
        <v>0</v>
      </c>
    </row>
    <row r="161" spans="1:7" outlineLevel="1" x14ac:dyDescent="0.2">
      <c r="C161" s="90"/>
      <c r="E161" s="103"/>
      <c r="F161" s="103"/>
      <c r="G161" s="103"/>
    </row>
    <row r="162" spans="1:7" ht="11.4" outlineLevel="1" x14ac:dyDescent="0.2">
      <c r="A162" s="123"/>
      <c r="B162" s="1014" t="s">
        <v>163</v>
      </c>
      <c r="C162" s="1015">
        <f>SUM(E162:G162)</f>
        <v>0</v>
      </c>
      <c r="E162" s="1088">
        <f>E76</f>
        <v>0</v>
      </c>
      <c r="F162" s="1088">
        <f>F76</f>
        <v>0</v>
      </c>
      <c r="G162" s="1088">
        <f>G76</f>
        <v>0</v>
      </c>
    </row>
    <row r="163" spans="1:7" outlineLevel="1" x14ac:dyDescent="0.2">
      <c r="C163" s="106"/>
      <c r="E163" s="103"/>
      <c r="F163" s="103"/>
      <c r="G163" s="103"/>
    </row>
    <row r="164" spans="1:7" ht="11.4" outlineLevel="1" x14ac:dyDescent="0.2">
      <c r="B164" s="1014" t="s">
        <v>164</v>
      </c>
      <c r="C164" s="1015">
        <f>SUM(E164:G164)</f>
        <v>0</v>
      </c>
      <c r="E164" s="1088">
        <f>E78</f>
        <v>0</v>
      </c>
      <c r="F164" s="1088">
        <f>F78</f>
        <v>0</v>
      </c>
      <c r="G164" s="1088">
        <f>G78</f>
        <v>0</v>
      </c>
    </row>
    <row r="165" spans="1:7" outlineLevel="1" x14ac:dyDescent="0.2">
      <c r="C165" s="106"/>
    </row>
    <row r="166" spans="1:7" outlineLevel="1" x14ac:dyDescent="0.2">
      <c r="C166" s="106"/>
    </row>
    <row r="167" spans="1:7" ht="11.4" outlineLevel="1" x14ac:dyDescent="0.2">
      <c r="B167" s="107" t="s">
        <v>511</v>
      </c>
      <c r="C167" s="108">
        <f>C81</f>
        <v>8.7999999999999995E-2</v>
      </c>
    </row>
    <row r="168" spans="1:7" ht="11.4" outlineLevel="1" x14ac:dyDescent="0.2">
      <c r="B168" s="107" t="s">
        <v>512</v>
      </c>
      <c r="C168" s="108">
        <f>C82</f>
        <v>0</v>
      </c>
    </row>
    <row r="169" spans="1:7" outlineLevel="1" x14ac:dyDescent="0.2">
      <c r="E169" s="387"/>
      <c r="F169" s="387"/>
      <c r="G169" s="387"/>
    </row>
    <row r="170" spans="1:7" s="365" customFormat="1" ht="20.399999999999999" outlineLevel="1" x14ac:dyDescent="0.2">
      <c r="A170" s="364"/>
      <c r="B170" s="388"/>
      <c r="C170" s="121"/>
      <c r="D170" s="367"/>
      <c r="E170" s="368" t="str">
        <f t="shared" ref="E170" si="43">E106</f>
        <v>BUSTO ARSIZIO</v>
      </c>
      <c r="F170" s="368" t="str">
        <f t="shared" ref="F170:G170" si="44">F106</f>
        <v>FAGNANO OLONA</v>
      </c>
      <c r="G170" s="368" t="str">
        <f t="shared" si="44"/>
        <v>VENEGONO SUPERIORE</v>
      </c>
    </row>
    <row r="171" spans="1:7" ht="11.4" outlineLevel="1" x14ac:dyDescent="0.2">
      <c r="B171" s="95" t="s">
        <v>183</v>
      </c>
      <c r="C171" s="638">
        <f t="shared" ref="C171:C176" si="45">SUM(E171:G171)</f>
        <v>0</v>
      </c>
      <c r="E171" s="110">
        <f>SUM(E172:E173)</f>
        <v>0</v>
      </c>
      <c r="F171" s="110">
        <f>SUM(F172:F173)</f>
        <v>0</v>
      </c>
      <c r="G171" s="110">
        <f>SUM(G172:G173)</f>
        <v>0</v>
      </c>
    </row>
    <row r="172" spans="1:7" outlineLevel="1" x14ac:dyDescent="0.2">
      <c r="B172" s="111" t="s">
        <v>150</v>
      </c>
      <c r="C172" s="426">
        <f t="shared" si="45"/>
        <v>0</v>
      </c>
      <c r="E172" s="113">
        <f t="shared" ref="E172:E174" si="46">E86</f>
        <v>0</v>
      </c>
      <c r="F172" s="113">
        <f t="shared" ref="F172:G172" si="47">F86</f>
        <v>0</v>
      </c>
      <c r="G172" s="113">
        <f t="shared" si="47"/>
        <v>0</v>
      </c>
    </row>
    <row r="173" spans="1:7" outlineLevel="1" x14ac:dyDescent="0.2">
      <c r="B173" s="114" t="s">
        <v>151</v>
      </c>
      <c r="C173" s="427">
        <f t="shared" si="45"/>
        <v>0</v>
      </c>
      <c r="E173" s="116">
        <f t="shared" si="46"/>
        <v>0</v>
      </c>
      <c r="F173" s="116">
        <f t="shared" ref="F173:G173" si="48">F87</f>
        <v>0</v>
      </c>
      <c r="G173" s="116">
        <f t="shared" si="48"/>
        <v>0</v>
      </c>
    </row>
    <row r="174" spans="1:7" ht="11.4" outlineLevel="1" x14ac:dyDescent="0.2">
      <c r="B174" s="95" t="s">
        <v>187</v>
      </c>
      <c r="C174" s="428">
        <f t="shared" si="45"/>
        <v>0</v>
      </c>
      <c r="E174" s="110">
        <f t="shared" si="46"/>
        <v>0</v>
      </c>
      <c r="F174" s="110">
        <f t="shared" ref="F174:G174" si="49">F88</f>
        <v>0</v>
      </c>
      <c r="G174" s="110">
        <f t="shared" si="49"/>
        <v>0</v>
      </c>
    </row>
    <row r="175" spans="1:7" ht="11.4" outlineLevel="1" x14ac:dyDescent="0.2">
      <c r="B175" s="117" t="s">
        <v>1183</v>
      </c>
      <c r="C175" s="429">
        <f t="shared" si="45"/>
        <v>0</v>
      </c>
      <c r="E175" s="110">
        <f>SUMPRODUCT(E179:E182,'Parametri MTR-3'!$I$11:$I$14)</f>
        <v>0</v>
      </c>
      <c r="F175" s="110">
        <f>SUMPRODUCT(F179:F182,'Parametri MTR-3'!$I$11:$I$14)</f>
        <v>0</v>
      </c>
      <c r="G175" s="110">
        <f>SUMPRODUCT(G179:G182,'Parametri MTR-3'!$I$11:$I$14)</f>
        <v>0</v>
      </c>
    </row>
    <row r="176" spans="1:7" ht="11.4" outlineLevel="1" x14ac:dyDescent="0.2">
      <c r="B176" s="95" t="s">
        <v>188</v>
      </c>
      <c r="C176" s="428">
        <f t="shared" si="45"/>
        <v>0</v>
      </c>
      <c r="E176" s="437">
        <f t="shared" ref="E176" si="50">E90</f>
        <v>0</v>
      </c>
      <c r="F176" s="437">
        <f t="shared" ref="F176:G176" si="51">F90</f>
        <v>0</v>
      </c>
      <c r="G176" s="437">
        <f t="shared" si="51"/>
        <v>0</v>
      </c>
    </row>
    <row r="177" spans="1:7" outlineLevel="1" x14ac:dyDescent="0.2"/>
    <row r="178" spans="1:7" ht="11.4" outlineLevel="1" x14ac:dyDescent="0.25">
      <c r="B178" s="413" t="s">
        <v>1154</v>
      </c>
      <c r="C178" s="639">
        <f>SUM(E178:G178)</f>
        <v>0</v>
      </c>
      <c r="E178" s="435">
        <f>SUM(E179:E182)</f>
        <v>0</v>
      </c>
      <c r="F178" s="435">
        <f>SUM(F179:F182)</f>
        <v>0</v>
      </c>
      <c r="G178" s="435">
        <f>SUM(G179:G182)</f>
        <v>0</v>
      </c>
    </row>
    <row r="179" spans="1:7" outlineLevel="1" x14ac:dyDescent="0.2">
      <c r="B179" s="430" t="s">
        <v>1155</v>
      </c>
      <c r="C179" s="415">
        <f>SUM(E179:G179)</f>
        <v>0</v>
      </c>
      <c r="E179" s="415">
        <f t="shared" ref="E179:E182" si="52">E93</f>
        <v>0</v>
      </c>
      <c r="F179" s="415">
        <f t="shared" ref="F179:G179" si="53">F93</f>
        <v>0</v>
      </c>
      <c r="G179" s="415">
        <f t="shared" si="53"/>
        <v>0</v>
      </c>
    </row>
    <row r="180" spans="1:7" outlineLevel="1" x14ac:dyDescent="0.2">
      <c r="B180" s="431" t="s">
        <v>1135</v>
      </c>
      <c r="C180" s="416">
        <f>SUM(E180:G180)</f>
        <v>0</v>
      </c>
      <c r="E180" s="416">
        <f t="shared" si="52"/>
        <v>0</v>
      </c>
      <c r="F180" s="416">
        <f t="shared" ref="F180:G180" si="54">F94</f>
        <v>0</v>
      </c>
      <c r="G180" s="416">
        <f t="shared" si="54"/>
        <v>0</v>
      </c>
    </row>
    <row r="181" spans="1:7" outlineLevel="1" x14ac:dyDescent="0.2">
      <c r="B181" s="431" t="s">
        <v>507</v>
      </c>
      <c r="C181" s="416">
        <f>SUM(E181:G181)</f>
        <v>0</v>
      </c>
      <c r="E181" s="416">
        <f t="shared" si="52"/>
        <v>0</v>
      </c>
      <c r="F181" s="416">
        <f t="shared" ref="F181:G181" si="55">F95</f>
        <v>0</v>
      </c>
      <c r="G181" s="416">
        <f t="shared" si="55"/>
        <v>0</v>
      </c>
    </row>
    <row r="182" spans="1:7" outlineLevel="1" x14ac:dyDescent="0.2">
      <c r="B182" s="432" t="s">
        <v>508</v>
      </c>
      <c r="C182" s="417">
        <f>SUM(E182:G182)</f>
        <v>0</v>
      </c>
      <c r="E182" s="417">
        <f t="shared" si="52"/>
        <v>0</v>
      </c>
      <c r="F182" s="417">
        <f t="shared" ref="F182:G182" si="56">F96</f>
        <v>0</v>
      </c>
      <c r="G182" s="417">
        <f t="shared" si="56"/>
        <v>0</v>
      </c>
    </row>
    <row r="183" spans="1:7" x14ac:dyDescent="0.2">
      <c r="C183" s="424"/>
      <c r="E183" s="387"/>
      <c r="F183" s="387"/>
      <c r="G183" s="387"/>
    </row>
    <row r="184" spans="1:7" ht="20.399999999999999" x14ac:dyDescent="0.2">
      <c r="B184" s="1139" t="s">
        <v>551</v>
      </c>
      <c r="C184" s="1139"/>
      <c r="D184" s="365"/>
      <c r="E184" s="368" t="str">
        <f t="shared" ref="E184" si="57">E3</f>
        <v>BUSTO ARSIZIO</v>
      </c>
      <c r="F184" s="368" t="str">
        <f t="shared" ref="F184:G184" si="58">F3</f>
        <v>FAGNANO OLONA</v>
      </c>
      <c r="G184" s="368" t="str">
        <f t="shared" si="58"/>
        <v>VENEGONO SUPERIORE</v>
      </c>
    </row>
    <row r="186" spans="1:7" ht="12" customHeight="1" x14ac:dyDescent="0.2">
      <c r="B186" s="1138">
        <v>2026</v>
      </c>
      <c r="C186" s="1138"/>
      <c r="E186" s="120"/>
      <c r="F186" s="120"/>
      <c r="G186" s="120"/>
    </row>
    <row r="187" spans="1:7" ht="12" customHeight="1" x14ac:dyDescent="0.2">
      <c r="A187" s="85" t="s">
        <v>2073</v>
      </c>
      <c r="B187" s="91" t="s">
        <v>2063</v>
      </c>
      <c r="C187" s="637">
        <f>SUM(E187:G187)</f>
        <v>0</v>
      </c>
      <c r="D187" s="93"/>
      <c r="E187" s="1022">
        <f t="shared" ref="E187" si="59">E109-E11</f>
        <v>0</v>
      </c>
      <c r="F187" s="1022">
        <f t="shared" ref="F187:G187" si="60">F109-F11</f>
        <v>0</v>
      </c>
      <c r="G187" s="1022">
        <f t="shared" si="60"/>
        <v>0</v>
      </c>
    </row>
    <row r="188" spans="1:7" ht="12" customHeight="1" x14ac:dyDescent="0.2">
      <c r="A188" s="85" t="s">
        <v>2074</v>
      </c>
      <c r="B188" s="91" t="s">
        <v>2064</v>
      </c>
      <c r="C188" s="637">
        <f>SUM(E188:G188)</f>
        <v>0</v>
      </c>
      <c r="D188" s="93"/>
      <c r="E188" s="1022">
        <f t="shared" ref="E188" si="61">E110-E12</f>
        <v>0</v>
      </c>
      <c r="F188" s="1022">
        <f t="shared" ref="F188:G188" si="62">F110-F12</f>
        <v>0</v>
      </c>
      <c r="G188" s="1022">
        <f t="shared" si="62"/>
        <v>0</v>
      </c>
    </row>
    <row r="189" spans="1:7" ht="12" customHeight="1" x14ac:dyDescent="0.2">
      <c r="A189" s="85" t="s">
        <v>2075</v>
      </c>
      <c r="B189" s="91" t="s">
        <v>2065</v>
      </c>
      <c r="C189" s="637">
        <f>SUM(E189:G189)</f>
        <v>0</v>
      </c>
      <c r="D189" s="93"/>
      <c r="E189" s="1022">
        <f t="shared" ref="E189" si="63">E111-E13</f>
        <v>0</v>
      </c>
      <c r="F189" s="1022">
        <f t="shared" ref="F189:G189" si="64">F111-F13</f>
        <v>0</v>
      </c>
      <c r="G189" s="1022">
        <f t="shared" si="64"/>
        <v>0</v>
      </c>
    </row>
    <row r="190" spans="1:7" ht="12" customHeight="1" x14ac:dyDescent="0.2">
      <c r="A190" s="85" t="s">
        <v>2076</v>
      </c>
      <c r="B190" s="91" t="s">
        <v>2066</v>
      </c>
      <c r="C190" s="637">
        <f>SUM(E190:G190)</f>
        <v>0</v>
      </c>
      <c r="D190" s="93"/>
      <c r="E190" s="1022">
        <f t="shared" ref="E190" si="65">E112-E14</f>
        <v>0</v>
      </c>
      <c r="F190" s="1022">
        <f t="shared" ref="F190:G190" si="66">F112-F14</f>
        <v>0</v>
      </c>
      <c r="G190" s="1022">
        <f t="shared" si="66"/>
        <v>0</v>
      </c>
    </row>
    <row r="191" spans="1:7" ht="11.4" x14ac:dyDescent="0.2">
      <c r="A191" s="122" t="s">
        <v>2077</v>
      </c>
      <c r="B191" s="91" t="s">
        <v>2131</v>
      </c>
      <c r="C191" s="637">
        <f>SUM(C187:C190)</f>
        <v>0</v>
      </c>
      <c r="E191" s="1023">
        <f>SUM(E187:E190)</f>
        <v>0</v>
      </c>
      <c r="F191" s="1023">
        <f>SUM(F187:F190)</f>
        <v>0</v>
      </c>
      <c r="G191" s="1023">
        <f>SUM(G187:G190)</f>
        <v>0</v>
      </c>
    </row>
    <row r="192" spans="1:7" x14ac:dyDescent="0.2">
      <c r="E192" s="1024"/>
      <c r="F192" s="1024"/>
      <c r="G192" s="1024"/>
    </row>
    <row r="193" spans="1:7" ht="12" customHeight="1" x14ac:dyDescent="0.2">
      <c r="B193" s="1138">
        <v>2027</v>
      </c>
      <c r="C193" s="1138"/>
      <c r="E193" s="1025"/>
      <c r="F193" s="1025"/>
      <c r="G193" s="1025"/>
    </row>
    <row r="194" spans="1:7" ht="12" customHeight="1" x14ac:dyDescent="0.2">
      <c r="A194" s="85" t="s">
        <v>2078</v>
      </c>
      <c r="B194" s="91" t="s">
        <v>2083</v>
      </c>
      <c r="C194" s="637">
        <f>SUM(E194:G194)</f>
        <v>0</v>
      </c>
      <c r="D194" s="93"/>
      <c r="E194" s="1022">
        <f t="shared" ref="E194:E197" si="67">E147-E61</f>
        <v>0</v>
      </c>
      <c r="F194" s="1022">
        <f t="shared" ref="F194:G194" si="68">F147-F61</f>
        <v>0</v>
      </c>
      <c r="G194" s="1022">
        <f t="shared" si="68"/>
        <v>0</v>
      </c>
    </row>
    <row r="195" spans="1:7" ht="12" customHeight="1" x14ac:dyDescent="0.2">
      <c r="A195" s="85" t="s">
        <v>2079</v>
      </c>
      <c r="B195" s="91" t="s">
        <v>2084</v>
      </c>
      <c r="C195" s="637">
        <f>SUM(E195:G195)</f>
        <v>0</v>
      </c>
      <c r="D195" s="93"/>
      <c r="E195" s="1022">
        <f t="shared" si="67"/>
        <v>0</v>
      </c>
      <c r="F195" s="1022">
        <f t="shared" ref="F195:G195" si="69">F148-F62</f>
        <v>0</v>
      </c>
      <c r="G195" s="1022">
        <f t="shared" si="69"/>
        <v>0</v>
      </c>
    </row>
    <row r="196" spans="1:7" ht="12" customHeight="1" x14ac:dyDescent="0.2">
      <c r="A196" s="85" t="s">
        <v>2080</v>
      </c>
      <c r="B196" s="91" t="s">
        <v>2085</v>
      </c>
      <c r="C196" s="637">
        <f>SUM(E196:G196)</f>
        <v>0</v>
      </c>
      <c r="D196" s="93"/>
      <c r="E196" s="1022">
        <f t="shared" si="67"/>
        <v>0</v>
      </c>
      <c r="F196" s="1022">
        <f t="shared" ref="F196:G196" si="70">F149-F63</f>
        <v>0</v>
      </c>
      <c r="G196" s="1022">
        <f t="shared" si="70"/>
        <v>0</v>
      </c>
    </row>
    <row r="197" spans="1:7" ht="12" customHeight="1" x14ac:dyDescent="0.2">
      <c r="A197" s="85" t="s">
        <v>2081</v>
      </c>
      <c r="B197" s="91" t="s">
        <v>2086</v>
      </c>
      <c r="C197" s="637">
        <f>SUM(E197:G197)</f>
        <v>0</v>
      </c>
      <c r="D197" s="93"/>
      <c r="E197" s="1022">
        <f t="shared" si="67"/>
        <v>0</v>
      </c>
      <c r="F197" s="1022">
        <f t="shared" ref="F197:G197" si="71">F150-F64</f>
        <v>0</v>
      </c>
      <c r="G197" s="1022">
        <f t="shared" si="71"/>
        <v>0</v>
      </c>
    </row>
    <row r="198" spans="1:7" ht="11.4" x14ac:dyDescent="0.2">
      <c r="A198" s="122" t="s">
        <v>2082</v>
      </c>
      <c r="B198" s="91" t="s">
        <v>2132</v>
      </c>
      <c r="C198" s="637">
        <f>SUM(C194:C197)</f>
        <v>0</v>
      </c>
      <c r="E198" s="1023">
        <f>SUM(E194:E197)</f>
        <v>0</v>
      </c>
      <c r="F198" s="1023">
        <f>SUM(F194:F197)</f>
        <v>0</v>
      </c>
      <c r="G198" s="1023">
        <f>SUM(G194:G197)</f>
        <v>0</v>
      </c>
    </row>
    <row r="200" spans="1:7" x14ac:dyDescent="0.2">
      <c r="A200" s="7"/>
      <c r="B200" s="89"/>
    </row>
    <row r="201" spans="1:7" x14ac:dyDescent="0.2">
      <c r="A201" s="7"/>
      <c r="B201" s="5"/>
    </row>
    <row r="202" spans="1:7" ht="10.5" customHeight="1" x14ac:dyDescent="0.2">
      <c r="B202" s="1129" t="s">
        <v>2058</v>
      </c>
      <c r="C202" s="1130"/>
    </row>
    <row r="203" spans="1:7" x14ac:dyDescent="0.2">
      <c r="B203" s="1131"/>
      <c r="C203" s="1132"/>
    </row>
    <row r="204" spans="1:7" x14ac:dyDescent="0.2">
      <c r="B204" s="1131"/>
      <c r="C204" s="1132"/>
    </row>
    <row r="205" spans="1:7" x14ac:dyDescent="0.2">
      <c r="B205" s="1131"/>
      <c r="C205" s="1132"/>
    </row>
    <row r="206" spans="1:7" x14ac:dyDescent="0.2">
      <c r="B206" s="1131"/>
      <c r="C206" s="1132"/>
    </row>
    <row r="207" spans="1:7" x14ac:dyDescent="0.2">
      <c r="B207" s="1131"/>
      <c r="C207" s="1132"/>
    </row>
    <row r="208" spans="1:7" x14ac:dyDescent="0.2">
      <c r="B208" s="1131"/>
      <c r="C208" s="1132"/>
    </row>
    <row r="209" spans="1:7" x14ac:dyDescent="0.2">
      <c r="B209" s="1131"/>
      <c r="C209" s="1132"/>
    </row>
    <row r="210" spans="1:7" x14ac:dyDescent="0.2">
      <c r="B210" s="1131"/>
      <c r="C210" s="1132"/>
    </row>
    <row r="211" spans="1:7" x14ac:dyDescent="0.2">
      <c r="B211" s="1131"/>
      <c r="C211" s="1132"/>
    </row>
    <row r="212" spans="1:7" x14ac:dyDescent="0.2">
      <c r="B212" s="1131"/>
      <c r="C212" s="1132"/>
    </row>
    <row r="213" spans="1:7" x14ac:dyDescent="0.2">
      <c r="B213" s="1131"/>
      <c r="C213" s="1132"/>
    </row>
    <row r="214" spans="1:7" x14ac:dyDescent="0.2">
      <c r="B214" s="1131"/>
      <c r="C214" s="1132"/>
    </row>
    <row r="215" spans="1:7" x14ac:dyDescent="0.2">
      <c r="B215" s="1131"/>
      <c r="C215" s="1132"/>
    </row>
    <row r="216" spans="1:7" x14ac:dyDescent="0.2">
      <c r="B216" s="1131"/>
      <c r="C216" s="1132"/>
    </row>
    <row r="217" spans="1:7" x14ac:dyDescent="0.2">
      <c r="B217" s="1131"/>
      <c r="C217" s="1132"/>
    </row>
    <row r="218" spans="1:7" x14ac:dyDescent="0.2">
      <c r="B218" s="1131"/>
      <c r="C218" s="1132"/>
    </row>
    <row r="219" spans="1:7" x14ac:dyDescent="0.2">
      <c r="B219" s="1133"/>
      <c r="C219" s="1134"/>
    </row>
    <row r="221" spans="1:7" x14ac:dyDescent="0.2">
      <c r="B221" s="1009" t="s">
        <v>7027</v>
      </c>
    </row>
    <row r="222" spans="1:7" x14ac:dyDescent="0.2">
      <c r="B222" s="1138">
        <v>2024</v>
      </c>
      <c r="C222" s="1138"/>
    </row>
    <row r="223" spans="1:7" ht="11.4" x14ac:dyDescent="0.25">
      <c r="A223" s="122" t="s">
        <v>2106</v>
      </c>
      <c r="B223" s="1012" t="s">
        <v>172</v>
      </c>
      <c r="C223" s="637">
        <f t="shared" ref="C223:C228" si="72">SUM(E223:BJ223)</f>
        <v>0</v>
      </c>
      <c r="E223" s="1013">
        <v>0</v>
      </c>
      <c r="F223" s="1013">
        <v>0</v>
      </c>
      <c r="G223" s="1013">
        <v>0</v>
      </c>
    </row>
    <row r="224" spans="1:7" ht="11.4" x14ac:dyDescent="0.25">
      <c r="A224" s="122" t="s">
        <v>2108</v>
      </c>
      <c r="B224" s="1012" t="s">
        <v>7028</v>
      </c>
      <c r="C224" s="637">
        <f t="shared" si="72"/>
        <v>0</v>
      </c>
      <c r="E224" s="1013">
        <v>0</v>
      </c>
      <c r="F224" s="1013">
        <v>0</v>
      </c>
      <c r="G224" s="1013">
        <v>0</v>
      </c>
    </row>
    <row r="225" spans="1:7" ht="11.4" x14ac:dyDescent="0.25">
      <c r="A225" s="122" t="s">
        <v>2107</v>
      </c>
      <c r="B225" s="1012" t="s">
        <v>7029</v>
      </c>
      <c r="C225" s="637">
        <f t="shared" si="72"/>
        <v>0</v>
      </c>
      <c r="E225" s="1013">
        <v>0</v>
      </c>
      <c r="F225" s="1013">
        <v>0</v>
      </c>
      <c r="G225" s="1013">
        <v>0</v>
      </c>
    </row>
    <row r="226" spans="1:7" ht="11.4" x14ac:dyDescent="0.25">
      <c r="A226" s="122" t="s">
        <v>2105</v>
      </c>
      <c r="B226" s="1012" t="s">
        <v>7030</v>
      </c>
      <c r="C226" s="637">
        <f t="shared" si="72"/>
        <v>0</v>
      </c>
      <c r="E226" s="1013">
        <v>0</v>
      </c>
      <c r="F226" s="1013">
        <v>0</v>
      </c>
      <c r="G226" s="1013">
        <v>0</v>
      </c>
    </row>
    <row r="227" spans="1:7" ht="11.4" x14ac:dyDescent="0.25">
      <c r="A227" s="122" t="s">
        <v>7036</v>
      </c>
      <c r="B227" s="1012" t="s">
        <v>7032</v>
      </c>
      <c r="C227" s="637">
        <f t="shared" si="72"/>
        <v>0</v>
      </c>
      <c r="E227" s="1013">
        <v>0</v>
      </c>
      <c r="F227" s="1013">
        <v>0</v>
      </c>
      <c r="G227" s="1013">
        <v>0</v>
      </c>
    </row>
    <row r="228" spans="1:7" ht="11.4" x14ac:dyDescent="0.25">
      <c r="B228" s="1010" t="s">
        <v>171</v>
      </c>
      <c r="C228" s="637">
        <f t="shared" si="72"/>
        <v>0</v>
      </c>
      <c r="E228" s="1011">
        <f t="shared" ref="E228" si="73">+MAX(E223+E226-E227,0)</f>
        <v>0</v>
      </c>
      <c r="F228" s="1011">
        <f t="shared" ref="F228:G228" si="74">+MAX(F223+F226-F227,0)</f>
        <v>0</v>
      </c>
      <c r="G228" s="1011">
        <f t="shared" si="74"/>
        <v>0</v>
      </c>
    </row>
    <row r="230" spans="1:7" x14ac:dyDescent="0.2">
      <c r="B230" s="1138">
        <v>2025</v>
      </c>
      <c r="C230" s="1138"/>
    </row>
    <row r="231" spans="1:7" ht="11.4" x14ac:dyDescent="0.25">
      <c r="A231" s="122" t="s">
        <v>2119</v>
      </c>
      <c r="B231" s="1012" t="s">
        <v>183</v>
      </c>
      <c r="C231" s="637">
        <f t="shared" ref="C231:C236" si="75">SUM(E231:BJ231)</f>
        <v>0</v>
      </c>
      <c r="E231" s="1013">
        <v>0</v>
      </c>
      <c r="F231" s="1013">
        <v>0</v>
      </c>
      <c r="G231" s="1013">
        <v>0</v>
      </c>
    </row>
    <row r="232" spans="1:7" ht="11.4" x14ac:dyDescent="0.25">
      <c r="A232" s="122" t="s">
        <v>2121</v>
      </c>
      <c r="B232" s="1012" t="s">
        <v>7028</v>
      </c>
      <c r="C232" s="637">
        <f t="shared" si="75"/>
        <v>0</v>
      </c>
      <c r="E232" s="1013">
        <v>0</v>
      </c>
      <c r="F232" s="1013">
        <v>0</v>
      </c>
      <c r="G232" s="1013">
        <v>0</v>
      </c>
    </row>
    <row r="233" spans="1:7" ht="11.4" x14ac:dyDescent="0.25">
      <c r="A233" s="122" t="s">
        <v>2120</v>
      </c>
      <c r="B233" s="1012" t="s">
        <v>7029</v>
      </c>
      <c r="C233" s="637">
        <f t="shared" si="75"/>
        <v>0</v>
      </c>
      <c r="E233" s="1013">
        <v>0</v>
      </c>
      <c r="F233" s="1013">
        <v>0</v>
      </c>
      <c r="G233" s="1013">
        <v>0</v>
      </c>
    </row>
    <row r="234" spans="1:7" ht="11.4" x14ac:dyDescent="0.25">
      <c r="A234" s="122" t="s">
        <v>2118</v>
      </c>
      <c r="B234" s="1012" t="s">
        <v>7033</v>
      </c>
      <c r="C234" s="637">
        <f t="shared" si="75"/>
        <v>0</v>
      </c>
      <c r="E234" s="1013">
        <v>0</v>
      </c>
      <c r="F234" s="1013">
        <v>0</v>
      </c>
      <c r="G234" s="1013">
        <v>0</v>
      </c>
    </row>
    <row r="235" spans="1:7" ht="11.4" x14ac:dyDescent="0.25">
      <c r="A235" s="122" t="s">
        <v>7037</v>
      </c>
      <c r="B235" s="1012" t="s">
        <v>7035</v>
      </c>
      <c r="C235" s="637">
        <f t="shared" si="75"/>
        <v>0</v>
      </c>
      <c r="E235" s="1013">
        <v>0</v>
      </c>
      <c r="F235" s="1013">
        <v>0</v>
      </c>
      <c r="G235" s="1013">
        <v>0</v>
      </c>
    </row>
    <row r="236" spans="1:7" ht="11.4" x14ac:dyDescent="0.25">
      <c r="B236" s="1010" t="s">
        <v>180</v>
      </c>
      <c r="C236" s="637">
        <f t="shared" si="75"/>
        <v>0</v>
      </c>
      <c r="E236" s="1011">
        <f t="shared" ref="E236" si="76">+MAX(E231+E234-E235,0)</f>
        <v>0</v>
      </c>
      <c r="F236" s="1011">
        <f t="shared" ref="F236:G236" si="77">+MAX(F231+F234-F235,0)</f>
        <v>0</v>
      </c>
      <c r="G236" s="1011">
        <f t="shared" si="77"/>
        <v>0</v>
      </c>
    </row>
  </sheetData>
  <sheetProtection formatColumns="0" formatRows="0"/>
  <mergeCells count="13">
    <mergeCell ref="B108:C108"/>
    <mergeCell ref="B1:C1"/>
    <mergeCell ref="B4:C4"/>
    <mergeCell ref="B6:C6"/>
    <mergeCell ref="B56:C56"/>
    <mergeCell ref="B106:C106"/>
    <mergeCell ref="B222:C222"/>
    <mergeCell ref="B230:C230"/>
    <mergeCell ref="B146:C146"/>
    <mergeCell ref="B184:C184"/>
    <mergeCell ref="B186:C186"/>
    <mergeCell ref="B193:C193"/>
    <mergeCell ref="B202:C219"/>
  </mergeCells>
  <pageMargins left="0.70866141732283472" right="0.70866141732283472" top="0.74803149606299213" bottom="0.74803149606299213" header="0.31496062992125984" footer="0.31496062992125984"/>
  <pageSetup paperSize="9" scale="26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9912B4F0-E356-4F3F-92B5-AE3418FBCEFE}">
          <x14:formula1>
            <xm:f>'Parametri MTR-3'!$C$68:$C$69</xm:f>
          </x14:formula1>
          <xm:sqref>C7</xm:sqref>
        </x14:dataValidation>
        <x14:dataValidation type="list" allowBlank="1" showInputMessage="1" showErrorMessage="1" xr:uid="{996881B8-12A2-4935-B1D5-B210E77BD3A2}">
          <x14:formula1>
            <xm:f>'Parametri MTR-3'!$C$33:$C$35</xm:f>
          </x14:formula1>
          <xm:sqref>E104:G104 E54:G54</xm:sqref>
        </x14:dataValidation>
        <x14:dataValidation type="list" allowBlank="1" showInputMessage="1" showErrorMessage="1" xr:uid="{2ED03F98-5C36-410A-B4B1-7E8CF8C882FA}">
          <x14:formula1>
            <xm:f>'Parametri MTR-3'!$C$74:$C$75</xm:f>
          </x14:formula1>
          <xm:sqref>C9</xm:sqref>
        </x14:dataValidation>
        <x14:dataValidation type="list" allowBlank="1" showInputMessage="1" showErrorMessage="1" xr:uid="{C46684B2-67D7-4625-8321-96B159BC3273}">
          <x14:formula1>
            <xm:f>'Parametri MTR-3'!$C$71:$C$72</xm:f>
          </x14:formula1>
          <xm:sqref>C8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85EF14-6219-48F9-836F-C0D027F7C5DB}">
  <sheetPr codeName="Foglio19">
    <tabColor rgb="FFFFFFCC"/>
  </sheetPr>
  <dimension ref="A1:E270"/>
  <sheetViews>
    <sheetView showGridLines="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129" sqref="C129"/>
    </sheetView>
  </sheetViews>
  <sheetFormatPr defaultColWidth="9.109375" defaultRowHeight="10.199999999999999" outlineLevelRow="1" x14ac:dyDescent="0.2"/>
  <cols>
    <col min="1" max="1" width="19.5546875" style="51" customWidth="1"/>
    <col min="2" max="2" width="52.44140625" style="51" customWidth="1"/>
    <col min="3" max="3" width="11.5546875" style="51" bestFit="1" customWidth="1"/>
    <col min="4" max="4" width="12.5546875" style="51" bestFit="1" customWidth="1"/>
    <col min="5" max="5" width="8.5546875" style="51" bestFit="1" customWidth="1"/>
    <col min="6" max="16384" width="9.109375" style="51"/>
  </cols>
  <sheetData>
    <row r="1" spans="1:5" x14ac:dyDescent="0.2">
      <c r="B1" s="454" t="s">
        <v>2133</v>
      </c>
      <c r="C1" s="61"/>
      <c r="D1" s="61"/>
      <c r="E1" s="61"/>
    </row>
    <row r="2" spans="1:5" x14ac:dyDescent="0.2">
      <c r="C2" s="61"/>
      <c r="D2" s="61"/>
      <c r="E2" s="61"/>
    </row>
    <row r="3" spans="1:5" s="351" customFormat="1" ht="20.399999999999999" x14ac:dyDescent="0.3">
      <c r="B3" s="344"/>
      <c r="C3" s="344" t="str">
        <f>Ambiti!B4</f>
        <v>BUSTO ARSIZIO</v>
      </c>
      <c r="D3" s="344" t="str">
        <f>Ambiti!C4</f>
        <v>FAGNANO OLONA</v>
      </c>
      <c r="E3" s="344" t="str">
        <f>Ambiti!D4</f>
        <v>VENEGONO SUPERIORE</v>
      </c>
    </row>
    <row r="5" spans="1:5" ht="11.4" x14ac:dyDescent="0.2">
      <c r="B5" s="454" t="s">
        <v>2490</v>
      </c>
    </row>
    <row r="6" spans="1:5" hidden="1" outlineLevel="1" x14ac:dyDescent="0.2">
      <c r="B6" s="79">
        <v>2026</v>
      </c>
    </row>
    <row r="7" spans="1:5" ht="12" hidden="1" outlineLevel="1" x14ac:dyDescent="0.25">
      <c r="A7" s="85" t="s">
        <v>2491</v>
      </c>
      <c r="B7" s="198" t="s">
        <v>2503</v>
      </c>
      <c r="C7" s="200">
        <v>0</v>
      </c>
      <c r="D7" s="200">
        <v>0</v>
      </c>
      <c r="E7" s="200">
        <v>0</v>
      </c>
    </row>
    <row r="8" spans="1:5" ht="12" hidden="1" outlineLevel="1" x14ac:dyDescent="0.25">
      <c r="A8" s="85" t="s">
        <v>2492</v>
      </c>
      <c r="B8" s="199" t="s">
        <v>2507</v>
      </c>
      <c r="C8" s="201">
        <v>0</v>
      </c>
      <c r="D8" s="201">
        <v>0</v>
      </c>
      <c r="E8" s="201">
        <v>0</v>
      </c>
    </row>
    <row r="9" spans="1:5" ht="12" hidden="1" outlineLevel="1" x14ac:dyDescent="0.25">
      <c r="A9" s="85" t="s">
        <v>2493</v>
      </c>
      <c r="B9" s="56" t="s">
        <v>2509</v>
      </c>
      <c r="C9" s="81">
        <f>SUM(C7:C8)</f>
        <v>0</v>
      </c>
      <c r="D9" s="81">
        <f>SUM(D7:D8)</f>
        <v>0</v>
      </c>
      <c r="E9" s="81">
        <f>SUM(E7:E8)</f>
        <v>0</v>
      </c>
    </row>
    <row r="10" spans="1:5" hidden="1" outlineLevel="1" x14ac:dyDescent="0.2"/>
    <row r="11" spans="1:5" hidden="1" outlineLevel="1" x14ac:dyDescent="0.2">
      <c r="B11" s="79">
        <v>2027</v>
      </c>
    </row>
    <row r="12" spans="1:5" ht="12" hidden="1" outlineLevel="1" x14ac:dyDescent="0.25">
      <c r="A12" s="85" t="s">
        <v>2494</v>
      </c>
      <c r="B12" s="198" t="s">
        <v>2504</v>
      </c>
      <c r="C12" s="200">
        <v>0</v>
      </c>
      <c r="D12" s="200">
        <v>0</v>
      </c>
      <c r="E12" s="200">
        <v>0</v>
      </c>
    </row>
    <row r="13" spans="1:5" ht="12" hidden="1" outlineLevel="1" x14ac:dyDescent="0.25">
      <c r="A13" s="85" t="s">
        <v>2495</v>
      </c>
      <c r="B13" s="199" t="s">
        <v>2508</v>
      </c>
      <c r="C13" s="201">
        <v>0</v>
      </c>
      <c r="D13" s="201">
        <v>0</v>
      </c>
      <c r="E13" s="201">
        <v>0</v>
      </c>
    </row>
    <row r="14" spans="1:5" ht="12" hidden="1" outlineLevel="1" x14ac:dyDescent="0.25">
      <c r="A14" s="85" t="s">
        <v>2496</v>
      </c>
      <c r="B14" s="56" t="s">
        <v>2510</v>
      </c>
      <c r="C14" s="81">
        <f>SUM(C12:C13)</f>
        <v>0</v>
      </c>
      <c r="D14" s="81">
        <f>SUM(D12:D13)</f>
        <v>0</v>
      </c>
      <c r="E14" s="81">
        <f>SUM(E12:E13)</f>
        <v>0</v>
      </c>
    </row>
    <row r="15" spans="1:5" hidden="1" outlineLevel="1" x14ac:dyDescent="0.2">
      <c r="A15" s="85"/>
      <c r="B15" s="82"/>
      <c r="C15" s="83"/>
      <c r="D15" s="83"/>
      <c r="E15" s="83"/>
    </row>
    <row r="16" spans="1:5" hidden="1" outlineLevel="1" x14ac:dyDescent="0.2">
      <c r="B16" s="79">
        <v>2028</v>
      </c>
    </row>
    <row r="17" spans="1:5" ht="12" hidden="1" outlineLevel="1" x14ac:dyDescent="0.25">
      <c r="A17" s="85" t="s">
        <v>2497</v>
      </c>
      <c r="B17" s="198" t="s">
        <v>2505</v>
      </c>
      <c r="C17" s="200">
        <v>0</v>
      </c>
      <c r="D17" s="200">
        <v>0</v>
      </c>
      <c r="E17" s="200">
        <v>0</v>
      </c>
    </row>
    <row r="18" spans="1:5" ht="12" hidden="1" outlineLevel="1" x14ac:dyDescent="0.25">
      <c r="A18" s="85" t="s">
        <v>2498</v>
      </c>
      <c r="B18" s="199" t="s">
        <v>2512</v>
      </c>
      <c r="C18" s="201">
        <v>0</v>
      </c>
      <c r="D18" s="201">
        <v>0</v>
      </c>
      <c r="E18" s="201">
        <v>0</v>
      </c>
    </row>
    <row r="19" spans="1:5" ht="12" hidden="1" outlineLevel="1" x14ac:dyDescent="0.25">
      <c r="A19" s="85" t="s">
        <v>2499</v>
      </c>
      <c r="B19" s="56" t="s">
        <v>2511</v>
      </c>
      <c r="C19" s="81">
        <f>SUM(C17:C18)</f>
        <v>0</v>
      </c>
      <c r="D19" s="81">
        <f>SUM(D17:D18)</f>
        <v>0</v>
      </c>
      <c r="E19" s="81">
        <f>SUM(E17:E18)</f>
        <v>0</v>
      </c>
    </row>
    <row r="20" spans="1:5" hidden="1" outlineLevel="1" x14ac:dyDescent="0.2"/>
    <row r="21" spans="1:5" hidden="1" outlineLevel="1" x14ac:dyDescent="0.2">
      <c r="B21" s="79">
        <v>2029</v>
      </c>
    </row>
    <row r="22" spans="1:5" ht="12" hidden="1" outlineLevel="1" x14ac:dyDescent="0.25">
      <c r="A22" s="85" t="s">
        <v>2500</v>
      </c>
      <c r="B22" s="198" t="s">
        <v>2506</v>
      </c>
      <c r="C22" s="200">
        <v>0</v>
      </c>
      <c r="D22" s="200">
        <v>0</v>
      </c>
      <c r="E22" s="200">
        <v>0</v>
      </c>
    </row>
    <row r="23" spans="1:5" ht="12" hidden="1" outlineLevel="1" x14ac:dyDescent="0.25">
      <c r="A23" s="85" t="s">
        <v>2501</v>
      </c>
      <c r="B23" s="199" t="s">
        <v>2513</v>
      </c>
      <c r="C23" s="201">
        <v>0</v>
      </c>
      <c r="D23" s="201">
        <v>0</v>
      </c>
      <c r="E23" s="201">
        <v>0</v>
      </c>
    </row>
    <row r="24" spans="1:5" ht="12" hidden="1" outlineLevel="1" x14ac:dyDescent="0.25">
      <c r="A24" s="85" t="s">
        <v>2502</v>
      </c>
      <c r="B24" s="56" t="s">
        <v>2514</v>
      </c>
      <c r="C24" s="81">
        <f>SUM(C22:C23)</f>
        <v>0</v>
      </c>
      <c r="D24" s="81">
        <f>SUM(D22:D23)</f>
        <v>0</v>
      </c>
      <c r="E24" s="81">
        <f>SUM(E22:E23)</f>
        <v>0</v>
      </c>
    </row>
    <row r="25" spans="1:5" collapsed="1" x14ac:dyDescent="0.2"/>
    <row r="26" spans="1:5" ht="12" x14ac:dyDescent="0.25">
      <c r="B26" s="454" t="s">
        <v>548</v>
      </c>
    </row>
    <row r="27" spans="1:5" hidden="1" outlineLevel="1" x14ac:dyDescent="0.2">
      <c r="B27" s="79">
        <v>2026</v>
      </c>
    </row>
    <row r="28" spans="1:5" ht="12" hidden="1" outlineLevel="1" x14ac:dyDescent="0.25">
      <c r="A28" s="85" t="s">
        <v>1044</v>
      </c>
      <c r="B28" s="198" t="s">
        <v>1071</v>
      </c>
      <c r="C28" s="200">
        <v>0</v>
      </c>
      <c r="D28" s="200">
        <v>0</v>
      </c>
      <c r="E28" s="200">
        <v>0</v>
      </c>
    </row>
    <row r="29" spans="1:5" ht="12" hidden="1" outlineLevel="1" x14ac:dyDescent="0.25">
      <c r="A29" s="85" t="s">
        <v>1045</v>
      </c>
      <c r="B29" s="199" t="s">
        <v>1072</v>
      </c>
      <c r="C29" s="201">
        <v>0</v>
      </c>
      <c r="D29" s="201">
        <v>0</v>
      </c>
      <c r="E29" s="201">
        <v>0</v>
      </c>
    </row>
    <row r="30" spans="1:5" ht="12" hidden="1" outlineLevel="1" x14ac:dyDescent="0.25">
      <c r="A30" s="85" t="s">
        <v>1046</v>
      </c>
      <c r="B30" s="56" t="s">
        <v>1073</v>
      </c>
      <c r="C30" s="81">
        <f>SUM(C28:C29)</f>
        <v>0</v>
      </c>
      <c r="D30" s="81">
        <f>SUM(D28:D29)</f>
        <v>0</v>
      </c>
      <c r="E30" s="81">
        <f>SUM(E28:E29)</f>
        <v>0</v>
      </c>
    </row>
    <row r="31" spans="1:5" ht="12" hidden="1" outlineLevel="1" x14ac:dyDescent="0.25">
      <c r="A31" s="85" t="s">
        <v>1047</v>
      </c>
      <c r="B31" s="198" t="s">
        <v>1074</v>
      </c>
      <c r="C31" s="200">
        <v>0</v>
      </c>
      <c r="D31" s="200">
        <v>0</v>
      </c>
      <c r="E31" s="200">
        <v>0</v>
      </c>
    </row>
    <row r="32" spans="1:5" ht="12" hidden="1" outlineLevel="1" x14ac:dyDescent="0.25">
      <c r="A32" s="85" t="s">
        <v>1048</v>
      </c>
      <c r="B32" s="199" t="s">
        <v>1075</v>
      </c>
      <c r="C32" s="201">
        <v>0</v>
      </c>
      <c r="D32" s="201">
        <v>0</v>
      </c>
      <c r="E32" s="201">
        <v>0</v>
      </c>
    </row>
    <row r="33" spans="1:5" ht="12" hidden="1" outlineLevel="1" x14ac:dyDescent="0.25">
      <c r="A33" s="85" t="s">
        <v>1049</v>
      </c>
      <c r="B33" s="56" t="s">
        <v>1076</v>
      </c>
      <c r="C33" s="81">
        <f>SUM(C31:C32)</f>
        <v>0</v>
      </c>
      <c r="D33" s="81">
        <f>SUM(D31:D32)</f>
        <v>0</v>
      </c>
      <c r="E33" s="81">
        <f>SUM(E31:E32)</f>
        <v>0</v>
      </c>
    </row>
    <row r="34" spans="1:5" hidden="1" outlineLevel="1" x14ac:dyDescent="0.2"/>
    <row r="35" spans="1:5" ht="12" hidden="1" outlineLevel="1" x14ac:dyDescent="0.25">
      <c r="A35" s="85" t="s">
        <v>1050</v>
      </c>
      <c r="B35" s="202" t="s">
        <v>1077</v>
      </c>
      <c r="C35" s="203">
        <f t="shared" ref="C35:E36" si="0">C28+C31</f>
        <v>0</v>
      </c>
      <c r="D35" s="203">
        <f t="shared" si="0"/>
        <v>0</v>
      </c>
      <c r="E35" s="203">
        <f t="shared" si="0"/>
        <v>0</v>
      </c>
    </row>
    <row r="36" spans="1:5" ht="12" hidden="1" outlineLevel="1" x14ac:dyDescent="0.25">
      <c r="A36" s="85" t="s">
        <v>1051</v>
      </c>
      <c r="B36" s="204" t="s">
        <v>1078</v>
      </c>
      <c r="C36" s="205">
        <f t="shared" si="0"/>
        <v>0</v>
      </c>
      <c r="D36" s="205">
        <f t="shared" si="0"/>
        <v>0</v>
      </c>
      <c r="E36" s="205">
        <f t="shared" si="0"/>
        <v>0</v>
      </c>
    </row>
    <row r="37" spans="1:5" ht="12" hidden="1" outlineLevel="1" x14ac:dyDescent="0.25">
      <c r="A37" s="85" t="s">
        <v>1052</v>
      </c>
      <c r="B37" s="56" t="s">
        <v>1079</v>
      </c>
      <c r="C37" s="81">
        <f>C35+C36</f>
        <v>0</v>
      </c>
      <c r="D37" s="81">
        <f>D35+D36</f>
        <v>0</v>
      </c>
      <c r="E37" s="81">
        <f>E35+E36</f>
        <v>0</v>
      </c>
    </row>
    <row r="38" spans="1:5" hidden="1" outlineLevel="1" x14ac:dyDescent="0.2"/>
    <row r="39" spans="1:5" hidden="1" outlineLevel="1" x14ac:dyDescent="0.2">
      <c r="B39" s="79">
        <v>2027</v>
      </c>
    </row>
    <row r="40" spans="1:5" ht="12" hidden="1" outlineLevel="1" x14ac:dyDescent="0.25">
      <c r="A40" s="85" t="s">
        <v>1017</v>
      </c>
      <c r="B40" s="198" t="s">
        <v>1080</v>
      </c>
      <c r="C40" s="200">
        <v>0</v>
      </c>
      <c r="D40" s="200">
        <v>0</v>
      </c>
      <c r="E40" s="200">
        <v>0</v>
      </c>
    </row>
    <row r="41" spans="1:5" ht="12" hidden="1" outlineLevel="1" x14ac:dyDescent="0.25">
      <c r="A41" s="85" t="s">
        <v>1018</v>
      </c>
      <c r="B41" s="199" t="s">
        <v>1081</v>
      </c>
      <c r="C41" s="201">
        <v>0</v>
      </c>
      <c r="D41" s="201">
        <v>0</v>
      </c>
      <c r="E41" s="201">
        <v>0</v>
      </c>
    </row>
    <row r="42" spans="1:5" ht="12" hidden="1" outlineLevel="1" x14ac:dyDescent="0.25">
      <c r="A42" s="85" t="s">
        <v>1019</v>
      </c>
      <c r="B42" s="56" t="s">
        <v>1082</v>
      </c>
      <c r="C42" s="81">
        <f>SUM(C40:C41)</f>
        <v>0</v>
      </c>
      <c r="D42" s="81">
        <f>SUM(D40:D41)</f>
        <v>0</v>
      </c>
      <c r="E42" s="81">
        <f>SUM(E40:E41)</f>
        <v>0</v>
      </c>
    </row>
    <row r="43" spans="1:5" ht="12" hidden="1" outlineLevel="1" x14ac:dyDescent="0.25">
      <c r="A43" s="85" t="s">
        <v>1020</v>
      </c>
      <c r="B43" s="198" t="s">
        <v>1083</v>
      </c>
      <c r="C43" s="200">
        <v>0</v>
      </c>
      <c r="D43" s="200">
        <v>0</v>
      </c>
      <c r="E43" s="200">
        <v>0</v>
      </c>
    </row>
    <row r="44" spans="1:5" ht="12" hidden="1" outlineLevel="1" x14ac:dyDescent="0.25">
      <c r="A44" s="85" t="s">
        <v>1021</v>
      </c>
      <c r="B44" s="199" t="s">
        <v>1084</v>
      </c>
      <c r="C44" s="201">
        <v>0</v>
      </c>
      <c r="D44" s="201">
        <v>0</v>
      </c>
      <c r="E44" s="201">
        <v>0</v>
      </c>
    </row>
    <row r="45" spans="1:5" ht="12" hidden="1" outlineLevel="1" x14ac:dyDescent="0.25">
      <c r="A45" s="85" t="s">
        <v>1022</v>
      </c>
      <c r="B45" s="56" t="s">
        <v>1085</v>
      </c>
      <c r="C45" s="81">
        <f>SUM(C43:C44)</f>
        <v>0</v>
      </c>
      <c r="D45" s="81">
        <f>SUM(D43:D44)</f>
        <v>0</v>
      </c>
      <c r="E45" s="81">
        <f>SUM(E43:E44)</f>
        <v>0</v>
      </c>
    </row>
    <row r="46" spans="1:5" hidden="1" outlineLevel="1" x14ac:dyDescent="0.2"/>
    <row r="47" spans="1:5" ht="12" hidden="1" outlineLevel="1" x14ac:dyDescent="0.25">
      <c r="A47" s="85" t="s">
        <v>1023</v>
      </c>
      <c r="B47" s="202" t="s">
        <v>1086</v>
      </c>
      <c r="C47" s="203">
        <f t="shared" ref="C47:E48" si="1">C40+C43</f>
        <v>0</v>
      </c>
      <c r="D47" s="203">
        <f t="shared" si="1"/>
        <v>0</v>
      </c>
      <c r="E47" s="203">
        <f t="shared" si="1"/>
        <v>0</v>
      </c>
    </row>
    <row r="48" spans="1:5" ht="12" hidden="1" outlineLevel="1" x14ac:dyDescent="0.25">
      <c r="A48" s="85" t="s">
        <v>1024</v>
      </c>
      <c r="B48" s="204" t="s">
        <v>1087</v>
      </c>
      <c r="C48" s="205">
        <f t="shared" si="1"/>
        <v>0</v>
      </c>
      <c r="D48" s="205">
        <f t="shared" si="1"/>
        <v>0</v>
      </c>
      <c r="E48" s="205">
        <f t="shared" si="1"/>
        <v>0</v>
      </c>
    </row>
    <row r="49" spans="1:5" ht="12" hidden="1" outlineLevel="1" x14ac:dyDescent="0.25">
      <c r="A49" s="85" t="s">
        <v>1025</v>
      </c>
      <c r="B49" s="56" t="s">
        <v>1088</v>
      </c>
      <c r="C49" s="81">
        <f>C47+C48</f>
        <v>0</v>
      </c>
      <c r="D49" s="81">
        <f>D47+D48</f>
        <v>0</v>
      </c>
      <c r="E49" s="81">
        <f>E47+E48</f>
        <v>0</v>
      </c>
    </row>
    <row r="50" spans="1:5" hidden="1" outlineLevel="1" x14ac:dyDescent="0.2">
      <c r="A50" s="85"/>
      <c r="B50" s="82"/>
      <c r="C50" s="83"/>
      <c r="D50" s="83"/>
      <c r="E50" s="83"/>
    </row>
    <row r="51" spans="1:5" hidden="1" outlineLevel="1" x14ac:dyDescent="0.2">
      <c r="B51" s="79">
        <v>2028</v>
      </c>
    </row>
    <row r="52" spans="1:5" ht="12" hidden="1" outlineLevel="1" x14ac:dyDescent="0.25">
      <c r="A52" s="85" t="s">
        <v>2134</v>
      </c>
      <c r="B52" s="198" t="s">
        <v>2152</v>
      </c>
      <c r="C52" s="200">
        <v>0</v>
      </c>
      <c r="D52" s="200">
        <v>0</v>
      </c>
      <c r="E52" s="200">
        <v>0</v>
      </c>
    </row>
    <row r="53" spans="1:5" ht="12" hidden="1" outlineLevel="1" x14ac:dyDescent="0.25">
      <c r="A53" s="85" t="s">
        <v>2135</v>
      </c>
      <c r="B53" s="199" t="s">
        <v>2153</v>
      </c>
      <c r="C53" s="201">
        <v>0</v>
      </c>
      <c r="D53" s="201">
        <v>0</v>
      </c>
      <c r="E53" s="201">
        <v>0</v>
      </c>
    </row>
    <row r="54" spans="1:5" ht="12" hidden="1" outlineLevel="1" x14ac:dyDescent="0.25">
      <c r="A54" s="85" t="s">
        <v>2136</v>
      </c>
      <c r="B54" s="56" t="s">
        <v>2154</v>
      </c>
      <c r="C54" s="81">
        <f>SUM(C52:C53)</f>
        <v>0</v>
      </c>
      <c r="D54" s="81">
        <f>SUM(D52:D53)</f>
        <v>0</v>
      </c>
      <c r="E54" s="81">
        <f>SUM(E52:E53)</f>
        <v>0</v>
      </c>
    </row>
    <row r="55" spans="1:5" ht="12" hidden="1" outlineLevel="1" x14ac:dyDescent="0.25">
      <c r="A55" s="85" t="s">
        <v>2137</v>
      </c>
      <c r="B55" s="198" t="s">
        <v>2155</v>
      </c>
      <c r="C55" s="200">
        <v>0</v>
      </c>
      <c r="D55" s="200">
        <v>0</v>
      </c>
      <c r="E55" s="200">
        <v>0</v>
      </c>
    </row>
    <row r="56" spans="1:5" ht="12" hidden="1" outlineLevel="1" x14ac:dyDescent="0.25">
      <c r="A56" s="85" t="s">
        <v>2138</v>
      </c>
      <c r="B56" s="199" t="s">
        <v>2156</v>
      </c>
      <c r="C56" s="201">
        <v>0</v>
      </c>
      <c r="D56" s="201">
        <v>0</v>
      </c>
      <c r="E56" s="201">
        <v>0</v>
      </c>
    </row>
    <row r="57" spans="1:5" ht="12" hidden="1" outlineLevel="1" x14ac:dyDescent="0.25">
      <c r="A57" s="85" t="s">
        <v>2139</v>
      </c>
      <c r="B57" s="56" t="s">
        <v>1076</v>
      </c>
      <c r="C57" s="81">
        <f>SUM(C55:C56)</f>
        <v>0</v>
      </c>
      <c r="D57" s="81">
        <f>SUM(D55:D56)</f>
        <v>0</v>
      </c>
      <c r="E57" s="81">
        <f>SUM(E55:E56)</f>
        <v>0</v>
      </c>
    </row>
    <row r="58" spans="1:5" hidden="1" outlineLevel="1" x14ac:dyDescent="0.2"/>
    <row r="59" spans="1:5" ht="12" hidden="1" outlineLevel="1" x14ac:dyDescent="0.25">
      <c r="A59" s="85" t="s">
        <v>2140</v>
      </c>
      <c r="B59" s="202" t="s">
        <v>2157</v>
      </c>
      <c r="C59" s="203">
        <f t="shared" ref="C59:E60" si="2">C52+C55</f>
        <v>0</v>
      </c>
      <c r="D59" s="203">
        <f t="shared" si="2"/>
        <v>0</v>
      </c>
      <c r="E59" s="203">
        <f t="shared" si="2"/>
        <v>0</v>
      </c>
    </row>
    <row r="60" spans="1:5" ht="12" hidden="1" outlineLevel="1" x14ac:dyDescent="0.25">
      <c r="A60" s="85" t="s">
        <v>2141</v>
      </c>
      <c r="B60" s="204" t="s">
        <v>2158</v>
      </c>
      <c r="C60" s="205">
        <f t="shared" si="2"/>
        <v>0</v>
      </c>
      <c r="D60" s="205">
        <f t="shared" si="2"/>
        <v>0</v>
      </c>
      <c r="E60" s="205">
        <f t="shared" si="2"/>
        <v>0</v>
      </c>
    </row>
    <row r="61" spans="1:5" ht="12" hidden="1" outlineLevel="1" x14ac:dyDescent="0.25">
      <c r="A61" s="85" t="s">
        <v>2142</v>
      </c>
      <c r="B61" s="56" t="s">
        <v>2159</v>
      </c>
      <c r="C61" s="81">
        <f>C59+C60</f>
        <v>0</v>
      </c>
      <c r="D61" s="81">
        <f>D59+D60</f>
        <v>0</v>
      </c>
      <c r="E61" s="81">
        <f>E59+E60</f>
        <v>0</v>
      </c>
    </row>
    <row r="62" spans="1:5" hidden="1" outlineLevel="1" x14ac:dyDescent="0.2"/>
    <row r="63" spans="1:5" hidden="1" outlineLevel="1" x14ac:dyDescent="0.2">
      <c r="B63" s="79">
        <v>2029</v>
      </c>
    </row>
    <row r="64" spans="1:5" ht="12" hidden="1" outlineLevel="1" x14ac:dyDescent="0.25">
      <c r="A64" s="85" t="s">
        <v>2143</v>
      </c>
      <c r="B64" s="198" t="s">
        <v>2160</v>
      </c>
      <c r="C64" s="200">
        <v>0</v>
      </c>
      <c r="D64" s="200">
        <v>0</v>
      </c>
      <c r="E64" s="200">
        <v>0</v>
      </c>
    </row>
    <row r="65" spans="1:5" ht="12" hidden="1" outlineLevel="1" x14ac:dyDescent="0.25">
      <c r="A65" s="85" t="s">
        <v>2144</v>
      </c>
      <c r="B65" s="199" t="s">
        <v>2161</v>
      </c>
      <c r="C65" s="201">
        <v>0</v>
      </c>
      <c r="D65" s="201">
        <v>0</v>
      </c>
      <c r="E65" s="201">
        <v>0</v>
      </c>
    </row>
    <row r="66" spans="1:5" ht="12" hidden="1" outlineLevel="1" x14ac:dyDescent="0.25">
      <c r="A66" s="85" t="s">
        <v>2145</v>
      </c>
      <c r="B66" s="56" t="s">
        <v>2162</v>
      </c>
      <c r="C66" s="81">
        <f>SUM(C64:C65)</f>
        <v>0</v>
      </c>
      <c r="D66" s="81">
        <f>SUM(D64:D65)</f>
        <v>0</v>
      </c>
      <c r="E66" s="81">
        <f>SUM(E64:E65)</f>
        <v>0</v>
      </c>
    </row>
    <row r="67" spans="1:5" ht="12" hidden="1" outlineLevel="1" x14ac:dyDescent="0.25">
      <c r="A67" s="85" t="s">
        <v>2146</v>
      </c>
      <c r="B67" s="198" t="s">
        <v>2163</v>
      </c>
      <c r="C67" s="200">
        <v>0</v>
      </c>
      <c r="D67" s="200">
        <v>0</v>
      </c>
      <c r="E67" s="200">
        <v>0</v>
      </c>
    </row>
    <row r="68" spans="1:5" ht="12" hidden="1" outlineLevel="1" x14ac:dyDescent="0.25">
      <c r="A68" s="85" t="s">
        <v>2147</v>
      </c>
      <c r="B68" s="199" t="s">
        <v>2164</v>
      </c>
      <c r="C68" s="201">
        <v>0</v>
      </c>
      <c r="D68" s="201">
        <v>0</v>
      </c>
      <c r="E68" s="201">
        <v>0</v>
      </c>
    </row>
    <row r="69" spans="1:5" ht="12" hidden="1" outlineLevel="1" x14ac:dyDescent="0.25">
      <c r="A69" s="85" t="s">
        <v>2148</v>
      </c>
      <c r="B69" s="56" t="s">
        <v>2165</v>
      </c>
      <c r="C69" s="81">
        <f>SUM(C67:C68)</f>
        <v>0</v>
      </c>
      <c r="D69" s="81">
        <f>SUM(D67:D68)</f>
        <v>0</v>
      </c>
      <c r="E69" s="81">
        <f>SUM(E67:E68)</f>
        <v>0</v>
      </c>
    </row>
    <row r="70" spans="1:5" hidden="1" outlineLevel="1" x14ac:dyDescent="0.2"/>
    <row r="71" spans="1:5" ht="12" hidden="1" outlineLevel="1" x14ac:dyDescent="0.25">
      <c r="A71" s="85" t="s">
        <v>2149</v>
      </c>
      <c r="B71" s="202" t="s">
        <v>2166</v>
      </c>
      <c r="C71" s="203">
        <f t="shared" ref="C71:E72" si="3">C64+C67</f>
        <v>0</v>
      </c>
      <c r="D71" s="203">
        <f t="shared" si="3"/>
        <v>0</v>
      </c>
      <c r="E71" s="203">
        <f t="shared" si="3"/>
        <v>0</v>
      </c>
    </row>
    <row r="72" spans="1:5" ht="12" hidden="1" outlineLevel="1" x14ac:dyDescent="0.25">
      <c r="A72" s="85" t="s">
        <v>2150</v>
      </c>
      <c r="B72" s="204" t="s">
        <v>2167</v>
      </c>
      <c r="C72" s="205">
        <f t="shared" si="3"/>
        <v>0</v>
      </c>
      <c r="D72" s="205">
        <f t="shared" si="3"/>
        <v>0</v>
      </c>
      <c r="E72" s="205">
        <f t="shared" si="3"/>
        <v>0</v>
      </c>
    </row>
    <row r="73" spans="1:5" ht="12" hidden="1" outlineLevel="1" x14ac:dyDescent="0.25">
      <c r="A73" s="85" t="s">
        <v>2151</v>
      </c>
      <c r="B73" s="56" t="s">
        <v>2168</v>
      </c>
      <c r="C73" s="81">
        <f>C71+C72</f>
        <v>0</v>
      </c>
      <c r="D73" s="81">
        <f>D71+D72</f>
        <v>0</v>
      </c>
      <c r="E73" s="81">
        <f>E71+E72</f>
        <v>0</v>
      </c>
    </row>
    <row r="74" spans="1:5" collapsed="1" x14ac:dyDescent="0.2"/>
    <row r="75" spans="1:5" ht="11.4" x14ac:dyDescent="0.2">
      <c r="B75" s="454" t="s">
        <v>549</v>
      </c>
    </row>
    <row r="76" spans="1:5" hidden="1" outlineLevel="1" x14ac:dyDescent="0.2">
      <c r="B76" s="79">
        <v>2026</v>
      </c>
    </row>
    <row r="77" spans="1:5" ht="12" hidden="1" outlineLevel="1" x14ac:dyDescent="0.25">
      <c r="A77" s="85" t="s">
        <v>1053</v>
      </c>
      <c r="B77" s="198" t="s">
        <v>1089</v>
      </c>
      <c r="C77" s="200">
        <v>0</v>
      </c>
      <c r="D77" s="200">
        <v>0</v>
      </c>
      <c r="E77" s="200">
        <v>0</v>
      </c>
    </row>
    <row r="78" spans="1:5" ht="12" hidden="1" outlineLevel="1" x14ac:dyDescent="0.25">
      <c r="A78" s="85" t="s">
        <v>1054</v>
      </c>
      <c r="B78" s="199" t="s">
        <v>1090</v>
      </c>
      <c r="C78" s="201">
        <v>0</v>
      </c>
      <c r="D78" s="201">
        <v>0</v>
      </c>
      <c r="E78" s="201">
        <v>0</v>
      </c>
    </row>
    <row r="79" spans="1:5" ht="12" hidden="1" outlineLevel="1" x14ac:dyDescent="0.25">
      <c r="A79" s="85" t="s">
        <v>1055</v>
      </c>
      <c r="B79" s="56" t="s">
        <v>1091</v>
      </c>
      <c r="C79" s="81">
        <f>SUM(C77:C78)</f>
        <v>0</v>
      </c>
      <c r="D79" s="81">
        <f>SUM(D77:D78)</f>
        <v>0</v>
      </c>
      <c r="E79" s="81">
        <f>SUM(E77:E78)</f>
        <v>0</v>
      </c>
    </row>
    <row r="80" spans="1:5" ht="12" hidden="1" outlineLevel="1" x14ac:dyDescent="0.25">
      <c r="A80" s="85" t="s">
        <v>1056</v>
      </c>
      <c r="B80" s="198" t="s">
        <v>1092</v>
      </c>
      <c r="C80" s="200">
        <v>0</v>
      </c>
      <c r="D80" s="200">
        <v>0</v>
      </c>
      <c r="E80" s="200">
        <v>0</v>
      </c>
    </row>
    <row r="81" spans="1:5" ht="12" hidden="1" outlineLevel="1" x14ac:dyDescent="0.25">
      <c r="A81" s="85" t="s">
        <v>1057</v>
      </c>
      <c r="B81" s="199" t="s">
        <v>1093</v>
      </c>
      <c r="C81" s="201">
        <v>0</v>
      </c>
      <c r="D81" s="201">
        <v>0</v>
      </c>
      <c r="E81" s="201">
        <v>0</v>
      </c>
    </row>
    <row r="82" spans="1:5" ht="12" hidden="1" outlineLevel="1" x14ac:dyDescent="0.25">
      <c r="A82" s="85" t="s">
        <v>1058</v>
      </c>
      <c r="B82" s="56" t="s">
        <v>1094</v>
      </c>
      <c r="C82" s="81">
        <f>SUM(C80:C81)</f>
        <v>0</v>
      </c>
      <c r="D82" s="81">
        <f>SUM(D80:D81)</f>
        <v>0</v>
      </c>
      <c r="E82" s="81">
        <f>SUM(E80:E81)</f>
        <v>0</v>
      </c>
    </row>
    <row r="83" spans="1:5" hidden="1" outlineLevel="1" x14ac:dyDescent="0.2"/>
    <row r="84" spans="1:5" ht="12" hidden="1" outlineLevel="1" x14ac:dyDescent="0.25">
      <c r="A84" s="85" t="s">
        <v>1059</v>
      </c>
      <c r="B84" s="202" t="s">
        <v>1095</v>
      </c>
      <c r="C84" s="203">
        <f t="shared" ref="C84:E85" si="4">C77+C80</f>
        <v>0</v>
      </c>
      <c r="D84" s="203">
        <f t="shared" si="4"/>
        <v>0</v>
      </c>
      <c r="E84" s="203">
        <f t="shared" si="4"/>
        <v>0</v>
      </c>
    </row>
    <row r="85" spans="1:5" ht="12" hidden="1" outlineLevel="1" x14ac:dyDescent="0.25">
      <c r="A85" s="85" t="s">
        <v>1060</v>
      </c>
      <c r="B85" s="204" t="s">
        <v>1096</v>
      </c>
      <c r="C85" s="205">
        <f t="shared" si="4"/>
        <v>0</v>
      </c>
      <c r="D85" s="205">
        <f t="shared" si="4"/>
        <v>0</v>
      </c>
      <c r="E85" s="205">
        <f t="shared" si="4"/>
        <v>0</v>
      </c>
    </row>
    <row r="86" spans="1:5" ht="12" hidden="1" outlineLevel="1" x14ac:dyDescent="0.25">
      <c r="A86" s="85" t="s">
        <v>1061</v>
      </c>
      <c r="B86" s="56" t="s">
        <v>1097</v>
      </c>
      <c r="C86" s="81">
        <f>C84+C85</f>
        <v>0</v>
      </c>
      <c r="D86" s="81">
        <f>D84+D85</f>
        <v>0</v>
      </c>
      <c r="E86" s="81">
        <f>E84+E85</f>
        <v>0</v>
      </c>
    </row>
    <row r="87" spans="1:5" hidden="1" outlineLevel="1" x14ac:dyDescent="0.2"/>
    <row r="88" spans="1:5" hidden="1" outlineLevel="1" x14ac:dyDescent="0.2">
      <c r="B88" s="79">
        <v>2027</v>
      </c>
    </row>
    <row r="89" spans="1:5" ht="12" hidden="1" outlineLevel="1" x14ac:dyDescent="0.25">
      <c r="A89" s="85" t="s">
        <v>1026</v>
      </c>
      <c r="B89" s="198" t="s">
        <v>1098</v>
      </c>
      <c r="C89" s="200">
        <v>0</v>
      </c>
      <c r="D89" s="200">
        <v>0</v>
      </c>
      <c r="E89" s="200">
        <v>0</v>
      </c>
    </row>
    <row r="90" spans="1:5" ht="12" hidden="1" outlineLevel="1" x14ac:dyDescent="0.25">
      <c r="A90" s="85" t="s">
        <v>1027</v>
      </c>
      <c r="B90" s="199" t="s">
        <v>1099</v>
      </c>
      <c r="C90" s="201">
        <v>0</v>
      </c>
      <c r="D90" s="201">
        <v>0</v>
      </c>
      <c r="E90" s="201">
        <v>0</v>
      </c>
    </row>
    <row r="91" spans="1:5" ht="12" hidden="1" outlineLevel="1" x14ac:dyDescent="0.25">
      <c r="A91" s="85" t="s">
        <v>1028</v>
      </c>
      <c r="B91" s="56" t="s">
        <v>1100</v>
      </c>
      <c r="C91" s="81">
        <f>SUM(C89:C90)</f>
        <v>0</v>
      </c>
      <c r="D91" s="81">
        <f>SUM(D89:D90)</f>
        <v>0</v>
      </c>
      <c r="E91" s="81">
        <f>SUM(E89:E90)</f>
        <v>0</v>
      </c>
    </row>
    <row r="92" spans="1:5" ht="12" hidden="1" outlineLevel="1" x14ac:dyDescent="0.25">
      <c r="A92" s="85" t="s">
        <v>1029</v>
      </c>
      <c r="B92" s="198" t="s">
        <v>1101</v>
      </c>
      <c r="C92" s="200">
        <v>0</v>
      </c>
      <c r="D92" s="200">
        <v>0</v>
      </c>
      <c r="E92" s="200">
        <v>0</v>
      </c>
    </row>
    <row r="93" spans="1:5" ht="12" hidden="1" outlineLevel="1" x14ac:dyDescent="0.25">
      <c r="A93" s="85" t="s">
        <v>1030</v>
      </c>
      <c r="B93" s="199" t="s">
        <v>1102</v>
      </c>
      <c r="C93" s="201">
        <v>0</v>
      </c>
      <c r="D93" s="201">
        <v>0</v>
      </c>
      <c r="E93" s="201">
        <v>0</v>
      </c>
    </row>
    <row r="94" spans="1:5" ht="12" hidden="1" outlineLevel="1" x14ac:dyDescent="0.25">
      <c r="A94" s="85" t="s">
        <v>1031</v>
      </c>
      <c r="B94" s="56" t="s">
        <v>1103</v>
      </c>
      <c r="C94" s="81">
        <f>SUM(C92:C93)</f>
        <v>0</v>
      </c>
      <c r="D94" s="81">
        <f>SUM(D92:D93)</f>
        <v>0</v>
      </c>
      <c r="E94" s="81">
        <f>SUM(E92:E93)</f>
        <v>0</v>
      </c>
    </row>
    <row r="95" spans="1:5" hidden="1" outlineLevel="1" x14ac:dyDescent="0.2"/>
    <row r="96" spans="1:5" ht="12" hidden="1" outlineLevel="1" x14ac:dyDescent="0.25">
      <c r="A96" s="85" t="s">
        <v>1032</v>
      </c>
      <c r="B96" s="202" t="s">
        <v>1104</v>
      </c>
      <c r="C96" s="203">
        <f t="shared" ref="C96:E97" si="5">C89+C92</f>
        <v>0</v>
      </c>
      <c r="D96" s="203">
        <f t="shared" si="5"/>
        <v>0</v>
      </c>
      <c r="E96" s="203">
        <f t="shared" si="5"/>
        <v>0</v>
      </c>
    </row>
    <row r="97" spans="1:5" ht="12" hidden="1" outlineLevel="1" x14ac:dyDescent="0.25">
      <c r="A97" s="85" t="s">
        <v>1033</v>
      </c>
      <c r="B97" s="204" t="s">
        <v>1105</v>
      </c>
      <c r="C97" s="205">
        <f t="shared" si="5"/>
        <v>0</v>
      </c>
      <c r="D97" s="205">
        <f t="shared" si="5"/>
        <v>0</v>
      </c>
      <c r="E97" s="205">
        <f t="shared" si="5"/>
        <v>0</v>
      </c>
    </row>
    <row r="98" spans="1:5" ht="12" hidden="1" outlineLevel="1" x14ac:dyDescent="0.25">
      <c r="A98" s="85" t="s">
        <v>1034</v>
      </c>
      <c r="B98" s="56" t="s">
        <v>1106</v>
      </c>
      <c r="C98" s="81">
        <f>C96+C97</f>
        <v>0</v>
      </c>
      <c r="D98" s="81">
        <f>D96+D97</f>
        <v>0</v>
      </c>
      <c r="E98" s="81">
        <f>E96+E97</f>
        <v>0</v>
      </c>
    </row>
    <row r="99" spans="1:5" hidden="1" outlineLevel="1" x14ac:dyDescent="0.2">
      <c r="A99" s="85"/>
      <c r="B99" s="82"/>
      <c r="C99" s="83"/>
      <c r="D99" s="83"/>
      <c r="E99" s="83"/>
    </row>
    <row r="100" spans="1:5" hidden="1" outlineLevel="1" x14ac:dyDescent="0.2">
      <c r="B100" s="79">
        <v>2028</v>
      </c>
    </row>
    <row r="101" spans="1:5" ht="12" hidden="1" outlineLevel="1" x14ac:dyDescent="0.25">
      <c r="A101" s="85" t="s">
        <v>2178</v>
      </c>
      <c r="B101" s="198" t="s">
        <v>2187</v>
      </c>
      <c r="C101" s="200">
        <v>0</v>
      </c>
      <c r="D101" s="200">
        <v>0</v>
      </c>
      <c r="E101" s="200">
        <v>0</v>
      </c>
    </row>
    <row r="102" spans="1:5" ht="12" hidden="1" outlineLevel="1" x14ac:dyDescent="0.25">
      <c r="A102" s="85" t="s">
        <v>2179</v>
      </c>
      <c r="B102" s="199" t="s">
        <v>2188</v>
      </c>
      <c r="C102" s="201">
        <v>0</v>
      </c>
      <c r="D102" s="201">
        <v>0</v>
      </c>
      <c r="E102" s="201">
        <v>0</v>
      </c>
    </row>
    <row r="103" spans="1:5" ht="12" hidden="1" outlineLevel="1" x14ac:dyDescent="0.25">
      <c r="A103" s="85" t="s">
        <v>2180</v>
      </c>
      <c r="B103" s="56" t="s">
        <v>2189</v>
      </c>
      <c r="C103" s="81">
        <f>SUM(C101:C102)</f>
        <v>0</v>
      </c>
      <c r="D103" s="81">
        <f>SUM(D101:D102)</f>
        <v>0</v>
      </c>
      <c r="E103" s="81">
        <f>SUM(E101:E102)</f>
        <v>0</v>
      </c>
    </row>
    <row r="104" spans="1:5" ht="12" hidden="1" outlineLevel="1" x14ac:dyDescent="0.25">
      <c r="A104" s="85" t="s">
        <v>2181</v>
      </c>
      <c r="B104" s="198" t="s">
        <v>2190</v>
      </c>
      <c r="C104" s="200">
        <v>0</v>
      </c>
      <c r="D104" s="200">
        <v>0</v>
      </c>
      <c r="E104" s="200">
        <v>0</v>
      </c>
    </row>
    <row r="105" spans="1:5" ht="12" hidden="1" outlineLevel="1" x14ac:dyDescent="0.25">
      <c r="A105" s="85" t="s">
        <v>2182</v>
      </c>
      <c r="B105" s="199" t="s">
        <v>2191</v>
      </c>
      <c r="C105" s="201">
        <v>0</v>
      </c>
      <c r="D105" s="201">
        <v>0</v>
      </c>
      <c r="E105" s="201">
        <v>0</v>
      </c>
    </row>
    <row r="106" spans="1:5" ht="12" hidden="1" outlineLevel="1" x14ac:dyDescent="0.25">
      <c r="A106" s="85" t="s">
        <v>2183</v>
      </c>
      <c r="B106" s="56" t="s">
        <v>2192</v>
      </c>
      <c r="C106" s="81">
        <f>SUM(C104:C105)</f>
        <v>0</v>
      </c>
      <c r="D106" s="81">
        <f>SUM(D104:D105)</f>
        <v>0</v>
      </c>
      <c r="E106" s="81">
        <f>SUM(E104:E105)</f>
        <v>0</v>
      </c>
    </row>
    <row r="107" spans="1:5" hidden="1" outlineLevel="1" x14ac:dyDescent="0.2"/>
    <row r="108" spans="1:5" ht="12" hidden="1" outlineLevel="1" x14ac:dyDescent="0.25">
      <c r="A108" s="85" t="s">
        <v>2184</v>
      </c>
      <c r="B108" s="202" t="s">
        <v>2193</v>
      </c>
      <c r="C108" s="203">
        <f t="shared" ref="C108:E109" si="6">C101+C104</f>
        <v>0</v>
      </c>
      <c r="D108" s="203">
        <f t="shared" si="6"/>
        <v>0</v>
      </c>
      <c r="E108" s="203">
        <f t="shared" si="6"/>
        <v>0</v>
      </c>
    </row>
    <row r="109" spans="1:5" ht="12" hidden="1" outlineLevel="1" x14ac:dyDescent="0.25">
      <c r="A109" s="85" t="s">
        <v>2185</v>
      </c>
      <c r="B109" s="204" t="s">
        <v>2194</v>
      </c>
      <c r="C109" s="205">
        <f t="shared" si="6"/>
        <v>0</v>
      </c>
      <c r="D109" s="205">
        <f t="shared" si="6"/>
        <v>0</v>
      </c>
      <c r="E109" s="205">
        <f t="shared" si="6"/>
        <v>0</v>
      </c>
    </row>
    <row r="110" spans="1:5" ht="12" hidden="1" outlineLevel="1" x14ac:dyDescent="0.25">
      <c r="A110" s="85" t="s">
        <v>2186</v>
      </c>
      <c r="B110" s="56" t="s">
        <v>2195</v>
      </c>
      <c r="C110" s="81">
        <f>C108+C109</f>
        <v>0</v>
      </c>
      <c r="D110" s="81">
        <f>D108+D109</f>
        <v>0</v>
      </c>
      <c r="E110" s="81">
        <f>E108+E109</f>
        <v>0</v>
      </c>
    </row>
    <row r="111" spans="1:5" hidden="1" outlineLevel="1" x14ac:dyDescent="0.2"/>
    <row r="112" spans="1:5" hidden="1" outlineLevel="1" x14ac:dyDescent="0.2">
      <c r="B112" s="79">
        <v>2029</v>
      </c>
    </row>
    <row r="113" spans="1:5" ht="12" hidden="1" outlineLevel="1" x14ac:dyDescent="0.25">
      <c r="A113" s="85" t="s">
        <v>2169</v>
      </c>
      <c r="B113" s="198" t="s">
        <v>2196</v>
      </c>
      <c r="C113" s="200">
        <v>0</v>
      </c>
      <c r="D113" s="200">
        <v>0</v>
      </c>
      <c r="E113" s="200">
        <v>0</v>
      </c>
    </row>
    <row r="114" spans="1:5" ht="12" hidden="1" outlineLevel="1" x14ac:dyDescent="0.25">
      <c r="A114" s="85" t="s">
        <v>2170</v>
      </c>
      <c r="B114" s="199" t="s">
        <v>2197</v>
      </c>
      <c r="C114" s="201">
        <v>0</v>
      </c>
      <c r="D114" s="201">
        <v>0</v>
      </c>
      <c r="E114" s="201">
        <v>0</v>
      </c>
    </row>
    <row r="115" spans="1:5" ht="12" hidden="1" outlineLevel="1" x14ac:dyDescent="0.25">
      <c r="A115" s="85" t="s">
        <v>2171</v>
      </c>
      <c r="B115" s="56" t="s">
        <v>2198</v>
      </c>
      <c r="C115" s="81">
        <f>SUM(C113:C114)</f>
        <v>0</v>
      </c>
      <c r="D115" s="81">
        <f>SUM(D113:D114)</f>
        <v>0</v>
      </c>
      <c r="E115" s="81">
        <f>SUM(E113:E114)</f>
        <v>0</v>
      </c>
    </row>
    <row r="116" spans="1:5" ht="12" hidden="1" outlineLevel="1" x14ac:dyDescent="0.25">
      <c r="A116" s="85" t="s">
        <v>2172</v>
      </c>
      <c r="B116" s="198" t="s">
        <v>2199</v>
      </c>
      <c r="C116" s="200">
        <v>0</v>
      </c>
      <c r="D116" s="200">
        <v>0</v>
      </c>
      <c r="E116" s="200">
        <v>0</v>
      </c>
    </row>
    <row r="117" spans="1:5" ht="12" hidden="1" outlineLevel="1" x14ac:dyDescent="0.25">
      <c r="A117" s="85" t="s">
        <v>2173</v>
      </c>
      <c r="B117" s="199" t="s">
        <v>2200</v>
      </c>
      <c r="C117" s="201">
        <v>0</v>
      </c>
      <c r="D117" s="201">
        <v>0</v>
      </c>
      <c r="E117" s="201">
        <v>0</v>
      </c>
    </row>
    <row r="118" spans="1:5" ht="12" hidden="1" outlineLevel="1" x14ac:dyDescent="0.25">
      <c r="A118" s="85" t="s">
        <v>2174</v>
      </c>
      <c r="B118" s="56" t="s">
        <v>2201</v>
      </c>
      <c r="C118" s="81">
        <f>SUM(C116:C117)</f>
        <v>0</v>
      </c>
      <c r="D118" s="81">
        <f>SUM(D116:D117)</f>
        <v>0</v>
      </c>
      <c r="E118" s="81">
        <f>SUM(E116:E117)</f>
        <v>0</v>
      </c>
    </row>
    <row r="119" spans="1:5" hidden="1" outlineLevel="1" x14ac:dyDescent="0.2"/>
    <row r="120" spans="1:5" ht="12" hidden="1" outlineLevel="1" x14ac:dyDescent="0.25">
      <c r="A120" s="85" t="s">
        <v>2175</v>
      </c>
      <c r="B120" s="202" t="s">
        <v>2202</v>
      </c>
      <c r="C120" s="203">
        <f t="shared" ref="C120:E121" si="7">C113+C116</f>
        <v>0</v>
      </c>
      <c r="D120" s="203">
        <f t="shared" si="7"/>
        <v>0</v>
      </c>
      <c r="E120" s="203">
        <f t="shared" si="7"/>
        <v>0</v>
      </c>
    </row>
    <row r="121" spans="1:5" ht="12" hidden="1" outlineLevel="1" x14ac:dyDescent="0.25">
      <c r="A121" s="85" t="s">
        <v>2176</v>
      </c>
      <c r="B121" s="204" t="s">
        <v>2203</v>
      </c>
      <c r="C121" s="205">
        <f t="shared" si="7"/>
        <v>0</v>
      </c>
      <c r="D121" s="205">
        <f t="shared" si="7"/>
        <v>0</v>
      </c>
      <c r="E121" s="205">
        <f t="shared" si="7"/>
        <v>0</v>
      </c>
    </row>
    <row r="122" spans="1:5" ht="12" hidden="1" outlineLevel="1" x14ac:dyDescent="0.25">
      <c r="A122" s="85" t="s">
        <v>2177</v>
      </c>
      <c r="B122" s="56" t="s">
        <v>2204</v>
      </c>
      <c r="C122" s="81">
        <f>C120+C121</f>
        <v>0</v>
      </c>
      <c r="D122" s="81">
        <f>D120+D121</f>
        <v>0</v>
      </c>
      <c r="E122" s="81">
        <f>E120+E121</f>
        <v>0</v>
      </c>
    </row>
    <row r="123" spans="1:5" collapsed="1" x14ac:dyDescent="0.2"/>
    <row r="124" spans="1:5" ht="11.4" x14ac:dyDescent="0.2">
      <c r="B124" s="454" t="s">
        <v>2209</v>
      </c>
    </row>
    <row r="125" spans="1:5" outlineLevel="1" x14ac:dyDescent="0.2">
      <c r="B125" s="79">
        <v>2026</v>
      </c>
    </row>
    <row r="126" spans="1:5" ht="11.4" outlineLevel="1" x14ac:dyDescent="0.25">
      <c r="A126" s="85" t="s">
        <v>2210</v>
      </c>
      <c r="B126" s="198" t="s">
        <v>2246</v>
      </c>
      <c r="C126" s="200">
        <v>0</v>
      </c>
      <c r="D126" s="200">
        <v>0</v>
      </c>
      <c r="E126" s="200">
        <v>0</v>
      </c>
    </row>
    <row r="127" spans="1:5" ht="11.4" outlineLevel="1" x14ac:dyDescent="0.25">
      <c r="A127" s="85" t="s">
        <v>2211</v>
      </c>
      <c r="B127" s="199" t="s">
        <v>2247</v>
      </c>
      <c r="C127" s="201">
        <v>0</v>
      </c>
      <c r="D127" s="201">
        <v>0</v>
      </c>
      <c r="E127" s="201">
        <v>0</v>
      </c>
    </row>
    <row r="128" spans="1:5" ht="12" outlineLevel="1" x14ac:dyDescent="0.25">
      <c r="A128" s="85" t="s">
        <v>2212</v>
      </c>
      <c r="B128" s="56" t="s">
        <v>2248</v>
      </c>
      <c r="C128" s="81">
        <f>SUM(C126:C127)</f>
        <v>0</v>
      </c>
      <c r="D128" s="81">
        <f>SUM(D126:D127)</f>
        <v>0</v>
      </c>
      <c r="E128" s="81">
        <f>SUM(E126:E127)</f>
        <v>0</v>
      </c>
    </row>
    <row r="129" spans="1:5" ht="12" outlineLevel="1" x14ac:dyDescent="0.25">
      <c r="A129" s="85" t="s">
        <v>2213</v>
      </c>
      <c r="B129" s="198" t="s">
        <v>2249</v>
      </c>
      <c r="C129" s="200">
        <v>534862</v>
      </c>
      <c r="D129" s="200">
        <v>0</v>
      </c>
      <c r="E129" s="200">
        <v>0</v>
      </c>
    </row>
    <row r="130" spans="1:5" ht="12" outlineLevel="1" x14ac:dyDescent="0.25">
      <c r="A130" s="85" t="s">
        <v>2214</v>
      </c>
      <c r="B130" s="199" t="s">
        <v>2250</v>
      </c>
      <c r="C130" s="201">
        <v>0</v>
      </c>
      <c r="D130" s="201">
        <v>0</v>
      </c>
      <c r="E130" s="201">
        <v>0</v>
      </c>
    </row>
    <row r="131" spans="1:5" ht="12" outlineLevel="1" x14ac:dyDescent="0.25">
      <c r="A131" s="85" t="s">
        <v>2215</v>
      </c>
      <c r="B131" s="56" t="s">
        <v>2251</v>
      </c>
      <c r="C131" s="81">
        <f>SUM(C129:C130)</f>
        <v>534862</v>
      </c>
      <c r="D131" s="81">
        <f>SUM(D129:D130)</f>
        <v>0</v>
      </c>
      <c r="E131" s="81">
        <f>SUM(E129:E130)</f>
        <v>0</v>
      </c>
    </row>
    <row r="132" spans="1:5" outlineLevel="1" x14ac:dyDescent="0.2"/>
    <row r="133" spans="1:5" ht="12" outlineLevel="1" x14ac:dyDescent="0.25">
      <c r="A133" s="85" t="s">
        <v>2216</v>
      </c>
      <c r="B133" s="202" t="s">
        <v>2252</v>
      </c>
      <c r="C133" s="203">
        <f t="shared" ref="C133:E134" si="8">C126+C129</f>
        <v>534862</v>
      </c>
      <c r="D133" s="203">
        <f t="shared" si="8"/>
        <v>0</v>
      </c>
      <c r="E133" s="203">
        <f t="shared" si="8"/>
        <v>0</v>
      </c>
    </row>
    <row r="134" spans="1:5" ht="12" outlineLevel="1" x14ac:dyDescent="0.25">
      <c r="A134" s="85" t="s">
        <v>2217</v>
      </c>
      <c r="B134" s="204" t="s">
        <v>2253</v>
      </c>
      <c r="C134" s="205">
        <f t="shared" si="8"/>
        <v>0</v>
      </c>
      <c r="D134" s="205">
        <f t="shared" si="8"/>
        <v>0</v>
      </c>
      <c r="E134" s="205">
        <f t="shared" si="8"/>
        <v>0</v>
      </c>
    </row>
    <row r="135" spans="1:5" ht="12" outlineLevel="1" x14ac:dyDescent="0.25">
      <c r="A135" s="85" t="s">
        <v>2218</v>
      </c>
      <c r="B135" s="56" t="s">
        <v>2254</v>
      </c>
      <c r="C135" s="81">
        <f>C133+C134</f>
        <v>534862</v>
      </c>
      <c r="D135" s="81">
        <f>D133+D134</f>
        <v>0</v>
      </c>
      <c r="E135" s="81">
        <f>E133+E134</f>
        <v>0</v>
      </c>
    </row>
    <row r="136" spans="1:5" outlineLevel="1" x14ac:dyDescent="0.2"/>
    <row r="137" spans="1:5" outlineLevel="1" x14ac:dyDescent="0.2">
      <c r="B137" s="79">
        <v>2027</v>
      </c>
    </row>
    <row r="138" spans="1:5" ht="12" outlineLevel="1" x14ac:dyDescent="0.25">
      <c r="A138" s="85" t="s">
        <v>2219</v>
      </c>
      <c r="B138" s="198" t="s">
        <v>2255</v>
      </c>
      <c r="C138" s="200">
        <v>0</v>
      </c>
      <c r="D138" s="200">
        <v>0</v>
      </c>
      <c r="E138" s="200">
        <v>0</v>
      </c>
    </row>
    <row r="139" spans="1:5" ht="12" outlineLevel="1" x14ac:dyDescent="0.25">
      <c r="A139" s="85" t="s">
        <v>2220</v>
      </c>
      <c r="B139" s="199" t="s">
        <v>2256</v>
      </c>
      <c r="C139" s="201">
        <v>0</v>
      </c>
      <c r="D139" s="201">
        <v>0</v>
      </c>
      <c r="E139" s="201">
        <v>0</v>
      </c>
    </row>
    <row r="140" spans="1:5" ht="12" outlineLevel="1" x14ac:dyDescent="0.25">
      <c r="A140" s="85" t="s">
        <v>2221</v>
      </c>
      <c r="B140" s="56" t="s">
        <v>2257</v>
      </c>
      <c r="C140" s="81">
        <f>SUM(C138:C139)</f>
        <v>0</v>
      </c>
      <c r="D140" s="81">
        <f>SUM(D138:D139)</f>
        <v>0</v>
      </c>
      <c r="E140" s="81">
        <f>SUM(E138:E139)</f>
        <v>0</v>
      </c>
    </row>
    <row r="141" spans="1:5" ht="12" outlineLevel="1" x14ac:dyDescent="0.25">
      <c r="A141" s="85" t="s">
        <v>2222</v>
      </c>
      <c r="B141" s="198" t="s">
        <v>2258</v>
      </c>
      <c r="C141" s="200">
        <v>0</v>
      </c>
      <c r="D141" s="200">
        <v>0</v>
      </c>
      <c r="E141" s="200">
        <v>0</v>
      </c>
    </row>
    <row r="142" spans="1:5" ht="12" outlineLevel="1" x14ac:dyDescent="0.25">
      <c r="A142" s="85" t="s">
        <v>2223</v>
      </c>
      <c r="B142" s="199" t="s">
        <v>2259</v>
      </c>
      <c r="C142" s="201">
        <v>0</v>
      </c>
      <c r="D142" s="201">
        <v>0</v>
      </c>
      <c r="E142" s="201">
        <v>0</v>
      </c>
    </row>
    <row r="143" spans="1:5" ht="12" outlineLevel="1" x14ac:dyDescent="0.25">
      <c r="A143" s="85" t="s">
        <v>2224</v>
      </c>
      <c r="B143" s="56" t="s">
        <v>2260</v>
      </c>
      <c r="C143" s="81">
        <f>SUM(C141:C142)</f>
        <v>0</v>
      </c>
      <c r="D143" s="81">
        <f>SUM(D141:D142)</f>
        <v>0</v>
      </c>
      <c r="E143" s="81">
        <f>SUM(E141:E142)</f>
        <v>0</v>
      </c>
    </row>
    <row r="144" spans="1:5" outlineLevel="1" x14ac:dyDescent="0.2"/>
    <row r="145" spans="1:5" ht="12" outlineLevel="1" x14ac:dyDescent="0.25">
      <c r="A145" s="85" t="s">
        <v>2225</v>
      </c>
      <c r="B145" s="202" t="s">
        <v>2261</v>
      </c>
      <c r="C145" s="203">
        <f t="shared" ref="C145:E146" si="9">C138+C141</f>
        <v>0</v>
      </c>
      <c r="D145" s="203">
        <f t="shared" si="9"/>
        <v>0</v>
      </c>
      <c r="E145" s="203">
        <f t="shared" si="9"/>
        <v>0</v>
      </c>
    </row>
    <row r="146" spans="1:5" ht="12" outlineLevel="1" x14ac:dyDescent="0.25">
      <c r="A146" s="85" t="s">
        <v>2226</v>
      </c>
      <c r="B146" s="204" t="s">
        <v>2262</v>
      </c>
      <c r="C146" s="205">
        <f t="shared" si="9"/>
        <v>0</v>
      </c>
      <c r="D146" s="205">
        <f t="shared" si="9"/>
        <v>0</v>
      </c>
      <c r="E146" s="205">
        <f t="shared" si="9"/>
        <v>0</v>
      </c>
    </row>
    <row r="147" spans="1:5" ht="12" outlineLevel="1" x14ac:dyDescent="0.25">
      <c r="A147" s="85" t="s">
        <v>2227</v>
      </c>
      <c r="B147" s="56" t="s">
        <v>2263</v>
      </c>
      <c r="C147" s="81">
        <f>C145+C146</f>
        <v>0</v>
      </c>
      <c r="D147" s="81">
        <f>D145+D146</f>
        <v>0</v>
      </c>
      <c r="E147" s="81">
        <f>E145+E146</f>
        <v>0</v>
      </c>
    </row>
    <row r="148" spans="1:5" outlineLevel="1" x14ac:dyDescent="0.2">
      <c r="A148" s="85"/>
      <c r="B148" s="82"/>
      <c r="C148" s="83"/>
      <c r="D148" s="83"/>
      <c r="E148" s="83"/>
    </row>
    <row r="149" spans="1:5" outlineLevel="1" x14ac:dyDescent="0.2">
      <c r="B149" s="79">
        <v>2028</v>
      </c>
    </row>
    <row r="150" spans="1:5" ht="12" outlineLevel="1" x14ac:dyDescent="0.25">
      <c r="A150" s="85" t="s">
        <v>2228</v>
      </c>
      <c r="B150" s="198" t="s">
        <v>2264</v>
      </c>
      <c r="C150" s="200">
        <v>0</v>
      </c>
      <c r="D150" s="200">
        <v>0</v>
      </c>
      <c r="E150" s="200">
        <v>0</v>
      </c>
    </row>
    <row r="151" spans="1:5" ht="12" outlineLevel="1" x14ac:dyDescent="0.25">
      <c r="A151" s="85" t="s">
        <v>2229</v>
      </c>
      <c r="B151" s="199" t="s">
        <v>2265</v>
      </c>
      <c r="C151" s="201">
        <v>0</v>
      </c>
      <c r="D151" s="201">
        <v>0</v>
      </c>
      <c r="E151" s="201">
        <v>0</v>
      </c>
    </row>
    <row r="152" spans="1:5" ht="12" outlineLevel="1" x14ac:dyDescent="0.25">
      <c r="A152" s="85" t="s">
        <v>2230</v>
      </c>
      <c r="B152" s="56" t="s">
        <v>2266</v>
      </c>
      <c r="C152" s="81">
        <f>SUM(C150:C151)</f>
        <v>0</v>
      </c>
      <c r="D152" s="81">
        <f>SUM(D150:D151)</f>
        <v>0</v>
      </c>
      <c r="E152" s="81">
        <f>SUM(E150:E151)</f>
        <v>0</v>
      </c>
    </row>
    <row r="153" spans="1:5" ht="12" outlineLevel="1" x14ac:dyDescent="0.25">
      <c r="A153" s="85" t="s">
        <v>2231</v>
      </c>
      <c r="B153" s="198" t="s">
        <v>2267</v>
      </c>
      <c r="C153" s="200">
        <v>0</v>
      </c>
      <c r="D153" s="200">
        <v>0</v>
      </c>
      <c r="E153" s="200">
        <v>0</v>
      </c>
    </row>
    <row r="154" spans="1:5" ht="12" outlineLevel="1" x14ac:dyDescent="0.25">
      <c r="A154" s="85" t="s">
        <v>2232</v>
      </c>
      <c r="B154" s="199" t="s">
        <v>2268</v>
      </c>
      <c r="C154" s="201">
        <v>0</v>
      </c>
      <c r="D154" s="201">
        <v>0</v>
      </c>
      <c r="E154" s="201">
        <v>0</v>
      </c>
    </row>
    <row r="155" spans="1:5" ht="12" outlineLevel="1" x14ac:dyDescent="0.25">
      <c r="A155" s="85" t="s">
        <v>2233</v>
      </c>
      <c r="B155" s="56" t="s">
        <v>2269</v>
      </c>
      <c r="C155" s="81">
        <f>SUM(C153:C154)</f>
        <v>0</v>
      </c>
      <c r="D155" s="81">
        <f>SUM(D153:D154)</f>
        <v>0</v>
      </c>
      <c r="E155" s="81">
        <f>SUM(E153:E154)</f>
        <v>0</v>
      </c>
    </row>
    <row r="156" spans="1:5" outlineLevel="1" x14ac:dyDescent="0.2"/>
    <row r="157" spans="1:5" ht="12" outlineLevel="1" x14ac:dyDescent="0.25">
      <c r="A157" s="85" t="s">
        <v>2234</v>
      </c>
      <c r="B157" s="202" t="s">
        <v>2270</v>
      </c>
      <c r="C157" s="203">
        <f t="shared" ref="C157:E158" si="10">C150+C153</f>
        <v>0</v>
      </c>
      <c r="D157" s="203">
        <f t="shared" si="10"/>
        <v>0</v>
      </c>
      <c r="E157" s="203">
        <f t="shared" si="10"/>
        <v>0</v>
      </c>
    </row>
    <row r="158" spans="1:5" ht="12" outlineLevel="1" x14ac:dyDescent="0.25">
      <c r="A158" s="85" t="s">
        <v>2235</v>
      </c>
      <c r="B158" s="204" t="s">
        <v>2271</v>
      </c>
      <c r="C158" s="205">
        <f t="shared" si="10"/>
        <v>0</v>
      </c>
      <c r="D158" s="205">
        <f t="shared" si="10"/>
        <v>0</v>
      </c>
      <c r="E158" s="205">
        <f t="shared" si="10"/>
        <v>0</v>
      </c>
    </row>
    <row r="159" spans="1:5" ht="12" outlineLevel="1" x14ac:dyDescent="0.25">
      <c r="A159" s="85" t="s">
        <v>2236</v>
      </c>
      <c r="B159" s="56" t="s">
        <v>2272</v>
      </c>
      <c r="C159" s="81">
        <f>C157+C158</f>
        <v>0</v>
      </c>
      <c r="D159" s="81">
        <f>D157+D158</f>
        <v>0</v>
      </c>
      <c r="E159" s="81">
        <f>E157+E158</f>
        <v>0</v>
      </c>
    </row>
    <row r="160" spans="1:5" outlineLevel="1" x14ac:dyDescent="0.2"/>
    <row r="161" spans="1:5" outlineLevel="1" x14ac:dyDescent="0.2">
      <c r="B161" s="79">
        <v>2029</v>
      </c>
    </row>
    <row r="162" spans="1:5" ht="12" outlineLevel="1" x14ac:dyDescent="0.25">
      <c r="A162" s="85" t="s">
        <v>2237</v>
      </c>
      <c r="B162" s="198" t="s">
        <v>2273</v>
      </c>
      <c r="C162" s="200">
        <v>0</v>
      </c>
      <c r="D162" s="200">
        <v>0</v>
      </c>
      <c r="E162" s="200">
        <v>0</v>
      </c>
    </row>
    <row r="163" spans="1:5" ht="12" outlineLevel="1" x14ac:dyDescent="0.25">
      <c r="A163" s="85" t="s">
        <v>2238</v>
      </c>
      <c r="B163" s="199" t="s">
        <v>2275</v>
      </c>
      <c r="C163" s="201">
        <v>0</v>
      </c>
      <c r="D163" s="201">
        <v>0</v>
      </c>
      <c r="E163" s="201">
        <v>0</v>
      </c>
    </row>
    <row r="164" spans="1:5" ht="12" outlineLevel="1" x14ac:dyDescent="0.25">
      <c r="A164" s="85" t="s">
        <v>2239</v>
      </c>
      <c r="B164" s="56" t="s">
        <v>2274</v>
      </c>
      <c r="C164" s="81">
        <f>SUM(C162:C163)</f>
        <v>0</v>
      </c>
      <c r="D164" s="81">
        <f>SUM(D162:D163)</f>
        <v>0</v>
      </c>
      <c r="E164" s="81">
        <f>SUM(E162:E163)</f>
        <v>0</v>
      </c>
    </row>
    <row r="165" spans="1:5" ht="12" outlineLevel="1" x14ac:dyDescent="0.25">
      <c r="A165" s="85" t="s">
        <v>2240</v>
      </c>
      <c r="B165" s="198" t="s">
        <v>2276</v>
      </c>
      <c r="C165" s="200">
        <v>0</v>
      </c>
      <c r="D165" s="200">
        <v>0</v>
      </c>
      <c r="E165" s="200">
        <v>0</v>
      </c>
    </row>
    <row r="166" spans="1:5" ht="12" outlineLevel="1" x14ac:dyDescent="0.25">
      <c r="A166" s="85" t="s">
        <v>2241</v>
      </c>
      <c r="B166" s="199" t="s">
        <v>2277</v>
      </c>
      <c r="C166" s="201">
        <v>0</v>
      </c>
      <c r="D166" s="201">
        <v>0</v>
      </c>
      <c r="E166" s="201">
        <v>0</v>
      </c>
    </row>
    <row r="167" spans="1:5" ht="12" outlineLevel="1" x14ac:dyDescent="0.25">
      <c r="A167" s="85" t="s">
        <v>2242</v>
      </c>
      <c r="B167" s="56" t="s">
        <v>2278</v>
      </c>
      <c r="C167" s="81">
        <f>SUM(C165:C166)</f>
        <v>0</v>
      </c>
      <c r="D167" s="81">
        <f>SUM(D165:D166)</f>
        <v>0</v>
      </c>
      <c r="E167" s="81">
        <f>SUM(E165:E166)</f>
        <v>0</v>
      </c>
    </row>
    <row r="168" spans="1:5" outlineLevel="1" x14ac:dyDescent="0.2"/>
    <row r="169" spans="1:5" ht="12" outlineLevel="1" x14ac:dyDescent="0.25">
      <c r="A169" s="85" t="s">
        <v>2243</v>
      </c>
      <c r="B169" s="202" t="s">
        <v>2279</v>
      </c>
      <c r="C169" s="203">
        <f t="shared" ref="C169:E170" si="11">C162+C165</f>
        <v>0</v>
      </c>
      <c r="D169" s="203">
        <f t="shared" si="11"/>
        <v>0</v>
      </c>
      <c r="E169" s="203">
        <f t="shared" si="11"/>
        <v>0</v>
      </c>
    </row>
    <row r="170" spans="1:5" ht="12" outlineLevel="1" x14ac:dyDescent="0.25">
      <c r="A170" s="85" t="s">
        <v>2244</v>
      </c>
      <c r="B170" s="204" t="s">
        <v>2280</v>
      </c>
      <c r="C170" s="205">
        <f t="shared" si="11"/>
        <v>0</v>
      </c>
      <c r="D170" s="205">
        <f t="shared" si="11"/>
        <v>0</v>
      </c>
      <c r="E170" s="205">
        <f t="shared" si="11"/>
        <v>0</v>
      </c>
    </row>
    <row r="171" spans="1:5" ht="12" outlineLevel="1" x14ac:dyDescent="0.25">
      <c r="A171" s="85" t="s">
        <v>2245</v>
      </c>
      <c r="B171" s="56" t="s">
        <v>2281</v>
      </c>
      <c r="C171" s="81">
        <f>C169+C170</f>
        <v>0</v>
      </c>
      <c r="D171" s="81">
        <f>D169+D170</f>
        <v>0</v>
      </c>
      <c r="E171" s="81">
        <f>E169+E170</f>
        <v>0</v>
      </c>
    </row>
    <row r="173" spans="1:5" ht="11.4" x14ac:dyDescent="0.2">
      <c r="B173" s="454" t="s">
        <v>2324</v>
      </c>
    </row>
    <row r="174" spans="1:5" hidden="1" outlineLevel="1" x14ac:dyDescent="0.2">
      <c r="B174" s="79">
        <v>2026</v>
      </c>
    </row>
    <row r="175" spans="1:5" ht="12" hidden="1" outlineLevel="1" x14ac:dyDescent="0.25">
      <c r="A175" s="85" t="s">
        <v>2282</v>
      </c>
      <c r="B175" s="198" t="s">
        <v>2318</v>
      </c>
      <c r="C175" s="200">
        <v>0</v>
      </c>
      <c r="D175" s="200">
        <v>0</v>
      </c>
      <c r="E175" s="200">
        <v>0</v>
      </c>
    </row>
    <row r="176" spans="1:5" ht="12" hidden="1" outlineLevel="1" x14ac:dyDescent="0.25">
      <c r="A176" s="85" t="s">
        <v>2283</v>
      </c>
      <c r="B176" s="199" t="s">
        <v>2319</v>
      </c>
      <c r="C176" s="201">
        <v>0</v>
      </c>
      <c r="D176" s="201">
        <v>0</v>
      </c>
      <c r="E176" s="201">
        <v>0</v>
      </c>
    </row>
    <row r="177" spans="1:5" ht="12" hidden="1" outlineLevel="1" x14ac:dyDescent="0.25">
      <c r="A177" s="85" t="s">
        <v>2284</v>
      </c>
      <c r="B177" s="56" t="s">
        <v>2320</v>
      </c>
      <c r="C177" s="81">
        <f>SUM(C175:C176)</f>
        <v>0</v>
      </c>
      <c r="D177" s="81">
        <f>SUM(D175:D176)</f>
        <v>0</v>
      </c>
      <c r="E177" s="81">
        <f>SUM(E175:E176)</f>
        <v>0</v>
      </c>
    </row>
    <row r="178" spans="1:5" ht="12" hidden="1" outlineLevel="1" x14ac:dyDescent="0.25">
      <c r="A178" s="85" t="s">
        <v>2285</v>
      </c>
      <c r="B178" s="198" t="s">
        <v>2321</v>
      </c>
      <c r="C178" s="200">
        <v>0</v>
      </c>
      <c r="D178" s="200">
        <v>0</v>
      </c>
      <c r="E178" s="200">
        <v>0</v>
      </c>
    </row>
    <row r="179" spans="1:5" ht="12" hidden="1" outlineLevel="1" x14ac:dyDescent="0.25">
      <c r="A179" s="85" t="s">
        <v>2286</v>
      </c>
      <c r="B179" s="199" t="s">
        <v>2322</v>
      </c>
      <c r="C179" s="201">
        <v>0</v>
      </c>
      <c r="D179" s="201">
        <v>0</v>
      </c>
      <c r="E179" s="201">
        <v>0</v>
      </c>
    </row>
    <row r="180" spans="1:5" ht="12" hidden="1" outlineLevel="1" x14ac:dyDescent="0.25">
      <c r="A180" s="85" t="s">
        <v>2287</v>
      </c>
      <c r="B180" s="56" t="s">
        <v>2323</v>
      </c>
      <c r="C180" s="81">
        <f>SUM(C178:C179)</f>
        <v>0</v>
      </c>
      <c r="D180" s="81">
        <f>SUM(D178:D179)</f>
        <v>0</v>
      </c>
      <c r="E180" s="81">
        <f>SUM(E178:E179)</f>
        <v>0</v>
      </c>
    </row>
    <row r="181" spans="1:5" hidden="1" outlineLevel="1" x14ac:dyDescent="0.2"/>
    <row r="182" spans="1:5" ht="12" hidden="1" outlineLevel="1" x14ac:dyDescent="0.25">
      <c r="A182" s="85" t="s">
        <v>2288</v>
      </c>
      <c r="B182" s="202" t="s">
        <v>2325</v>
      </c>
      <c r="C182" s="203">
        <f t="shared" ref="C182:E183" si="12">C175+C178</f>
        <v>0</v>
      </c>
      <c r="D182" s="203">
        <f t="shared" si="12"/>
        <v>0</v>
      </c>
      <c r="E182" s="203">
        <f t="shared" si="12"/>
        <v>0</v>
      </c>
    </row>
    <row r="183" spans="1:5" ht="12" hidden="1" outlineLevel="1" x14ac:dyDescent="0.25">
      <c r="A183" s="85" t="s">
        <v>2289</v>
      </c>
      <c r="B183" s="204" t="s">
        <v>2326</v>
      </c>
      <c r="C183" s="205">
        <f t="shared" si="12"/>
        <v>0</v>
      </c>
      <c r="D183" s="205">
        <f t="shared" si="12"/>
        <v>0</v>
      </c>
      <c r="E183" s="205">
        <f t="shared" si="12"/>
        <v>0</v>
      </c>
    </row>
    <row r="184" spans="1:5" ht="12" hidden="1" outlineLevel="1" x14ac:dyDescent="0.25">
      <c r="A184" s="85" t="s">
        <v>2290</v>
      </c>
      <c r="B184" s="56" t="s">
        <v>2327</v>
      </c>
      <c r="C184" s="81">
        <f>C182+C183</f>
        <v>0</v>
      </c>
      <c r="D184" s="81">
        <f>D182+D183</f>
        <v>0</v>
      </c>
      <c r="E184" s="81">
        <f>E182+E183</f>
        <v>0</v>
      </c>
    </row>
    <row r="185" spans="1:5" hidden="1" outlineLevel="1" x14ac:dyDescent="0.2"/>
    <row r="186" spans="1:5" hidden="1" outlineLevel="1" x14ac:dyDescent="0.2">
      <c r="B186" s="79">
        <v>2027</v>
      </c>
    </row>
    <row r="187" spans="1:5" ht="12" hidden="1" outlineLevel="1" x14ac:dyDescent="0.25">
      <c r="A187" s="85" t="s">
        <v>2291</v>
      </c>
      <c r="B187" s="198" t="s">
        <v>2328</v>
      </c>
      <c r="C187" s="200">
        <v>0</v>
      </c>
      <c r="D187" s="200">
        <v>0</v>
      </c>
      <c r="E187" s="200">
        <v>0</v>
      </c>
    </row>
    <row r="188" spans="1:5" ht="12" hidden="1" outlineLevel="1" x14ac:dyDescent="0.25">
      <c r="A188" s="85" t="s">
        <v>2292</v>
      </c>
      <c r="B188" s="199" t="s">
        <v>2329</v>
      </c>
      <c r="C188" s="201">
        <v>0</v>
      </c>
      <c r="D188" s="201">
        <v>0</v>
      </c>
      <c r="E188" s="201">
        <v>0</v>
      </c>
    </row>
    <row r="189" spans="1:5" ht="12" hidden="1" outlineLevel="1" x14ac:dyDescent="0.25">
      <c r="A189" s="85" t="s">
        <v>2293</v>
      </c>
      <c r="B189" s="56" t="s">
        <v>2330</v>
      </c>
      <c r="C189" s="81">
        <f>SUM(C187:C188)</f>
        <v>0</v>
      </c>
      <c r="D189" s="81">
        <f>SUM(D187:D188)</f>
        <v>0</v>
      </c>
      <c r="E189" s="81">
        <f>SUM(E187:E188)</f>
        <v>0</v>
      </c>
    </row>
    <row r="190" spans="1:5" ht="12" hidden="1" outlineLevel="1" x14ac:dyDescent="0.25">
      <c r="A190" s="85" t="s">
        <v>2294</v>
      </c>
      <c r="B190" s="198" t="s">
        <v>2331</v>
      </c>
      <c r="C190" s="200">
        <v>0</v>
      </c>
      <c r="D190" s="200">
        <v>0</v>
      </c>
      <c r="E190" s="200">
        <v>0</v>
      </c>
    </row>
    <row r="191" spans="1:5" ht="12" hidden="1" outlineLevel="1" x14ac:dyDescent="0.25">
      <c r="A191" s="85" t="s">
        <v>2295</v>
      </c>
      <c r="B191" s="199" t="s">
        <v>2332</v>
      </c>
      <c r="C191" s="201">
        <v>0</v>
      </c>
      <c r="D191" s="201">
        <v>0</v>
      </c>
      <c r="E191" s="201">
        <v>0</v>
      </c>
    </row>
    <row r="192" spans="1:5" ht="12" hidden="1" outlineLevel="1" x14ac:dyDescent="0.25">
      <c r="A192" s="85" t="s">
        <v>2296</v>
      </c>
      <c r="B192" s="56" t="s">
        <v>2333</v>
      </c>
      <c r="C192" s="81">
        <f>SUM(C190:C191)</f>
        <v>0</v>
      </c>
      <c r="D192" s="81">
        <f>SUM(D190:D191)</f>
        <v>0</v>
      </c>
      <c r="E192" s="81">
        <f>SUM(E190:E191)</f>
        <v>0</v>
      </c>
    </row>
    <row r="193" spans="1:5" hidden="1" outlineLevel="1" x14ac:dyDescent="0.2"/>
    <row r="194" spans="1:5" ht="12" hidden="1" outlineLevel="1" x14ac:dyDescent="0.25">
      <c r="A194" s="85" t="s">
        <v>2297</v>
      </c>
      <c r="B194" s="202" t="s">
        <v>2334</v>
      </c>
      <c r="C194" s="203">
        <f t="shared" ref="C194:E195" si="13">C187+C190</f>
        <v>0</v>
      </c>
      <c r="D194" s="203">
        <f t="shared" si="13"/>
        <v>0</v>
      </c>
      <c r="E194" s="203">
        <f t="shared" si="13"/>
        <v>0</v>
      </c>
    </row>
    <row r="195" spans="1:5" ht="12" hidden="1" outlineLevel="1" x14ac:dyDescent="0.25">
      <c r="A195" s="85" t="s">
        <v>2298</v>
      </c>
      <c r="B195" s="204" t="s">
        <v>2335</v>
      </c>
      <c r="C195" s="205">
        <f t="shared" si="13"/>
        <v>0</v>
      </c>
      <c r="D195" s="205">
        <f t="shared" si="13"/>
        <v>0</v>
      </c>
      <c r="E195" s="205">
        <f t="shared" si="13"/>
        <v>0</v>
      </c>
    </row>
    <row r="196" spans="1:5" ht="12" hidden="1" outlineLevel="1" x14ac:dyDescent="0.25">
      <c r="A196" s="85" t="s">
        <v>2299</v>
      </c>
      <c r="B196" s="56" t="s">
        <v>2336</v>
      </c>
      <c r="C196" s="81">
        <f>C194+C195</f>
        <v>0</v>
      </c>
      <c r="D196" s="81">
        <f>D194+D195</f>
        <v>0</v>
      </c>
      <c r="E196" s="81">
        <f>E194+E195</f>
        <v>0</v>
      </c>
    </row>
    <row r="197" spans="1:5" hidden="1" outlineLevel="1" x14ac:dyDescent="0.2">
      <c r="A197" s="85"/>
      <c r="B197" s="82"/>
      <c r="C197" s="83"/>
      <c r="D197" s="83"/>
      <c r="E197" s="83"/>
    </row>
    <row r="198" spans="1:5" hidden="1" outlineLevel="1" x14ac:dyDescent="0.2">
      <c r="B198" s="79">
        <v>2028</v>
      </c>
    </row>
    <row r="199" spans="1:5" ht="12" hidden="1" outlineLevel="1" x14ac:dyDescent="0.25">
      <c r="A199" s="85" t="s">
        <v>2300</v>
      </c>
      <c r="B199" s="198" t="s">
        <v>2337</v>
      </c>
      <c r="C199" s="200">
        <v>0</v>
      </c>
      <c r="D199" s="200">
        <v>0</v>
      </c>
      <c r="E199" s="200">
        <v>0</v>
      </c>
    </row>
    <row r="200" spans="1:5" ht="12" hidden="1" outlineLevel="1" x14ac:dyDescent="0.25">
      <c r="A200" s="85" t="s">
        <v>2301</v>
      </c>
      <c r="B200" s="199" t="s">
        <v>2338</v>
      </c>
      <c r="C200" s="201">
        <v>0</v>
      </c>
      <c r="D200" s="201">
        <v>0</v>
      </c>
      <c r="E200" s="201">
        <v>0</v>
      </c>
    </row>
    <row r="201" spans="1:5" ht="12" hidden="1" outlineLevel="1" x14ac:dyDescent="0.25">
      <c r="A201" s="85" t="s">
        <v>2302</v>
      </c>
      <c r="B201" s="56" t="s">
        <v>2339</v>
      </c>
      <c r="C201" s="81">
        <f>SUM(C199:C200)</f>
        <v>0</v>
      </c>
      <c r="D201" s="81">
        <f>SUM(D199:D200)</f>
        <v>0</v>
      </c>
      <c r="E201" s="81">
        <f>SUM(E199:E200)</f>
        <v>0</v>
      </c>
    </row>
    <row r="202" spans="1:5" ht="12" hidden="1" outlineLevel="1" x14ac:dyDescent="0.25">
      <c r="A202" s="85" t="s">
        <v>2303</v>
      </c>
      <c r="B202" s="198" t="s">
        <v>2340</v>
      </c>
      <c r="C202" s="200">
        <v>0</v>
      </c>
      <c r="D202" s="200">
        <v>0</v>
      </c>
      <c r="E202" s="200">
        <v>0</v>
      </c>
    </row>
    <row r="203" spans="1:5" ht="12" hidden="1" outlineLevel="1" x14ac:dyDescent="0.25">
      <c r="A203" s="85" t="s">
        <v>2304</v>
      </c>
      <c r="B203" s="199" t="s">
        <v>2341</v>
      </c>
      <c r="C203" s="201">
        <v>0</v>
      </c>
      <c r="D203" s="201">
        <v>0</v>
      </c>
      <c r="E203" s="201">
        <v>0</v>
      </c>
    </row>
    <row r="204" spans="1:5" ht="12" hidden="1" outlineLevel="1" x14ac:dyDescent="0.25">
      <c r="A204" s="85" t="s">
        <v>2305</v>
      </c>
      <c r="B204" s="56" t="s">
        <v>2342</v>
      </c>
      <c r="C204" s="81">
        <f>SUM(C202:C203)</f>
        <v>0</v>
      </c>
      <c r="D204" s="81">
        <f>SUM(D202:D203)</f>
        <v>0</v>
      </c>
      <c r="E204" s="81">
        <f>SUM(E202:E203)</f>
        <v>0</v>
      </c>
    </row>
    <row r="205" spans="1:5" hidden="1" outlineLevel="1" x14ac:dyDescent="0.2"/>
    <row r="206" spans="1:5" ht="12" hidden="1" outlineLevel="1" x14ac:dyDescent="0.25">
      <c r="A206" s="85" t="s">
        <v>2306</v>
      </c>
      <c r="B206" s="202" t="s">
        <v>2343</v>
      </c>
      <c r="C206" s="203">
        <f t="shared" ref="C206:E207" si="14">C199+C202</f>
        <v>0</v>
      </c>
      <c r="D206" s="203">
        <f t="shared" si="14"/>
        <v>0</v>
      </c>
      <c r="E206" s="203">
        <f t="shared" si="14"/>
        <v>0</v>
      </c>
    </row>
    <row r="207" spans="1:5" ht="12" hidden="1" outlineLevel="1" x14ac:dyDescent="0.25">
      <c r="A207" s="85" t="s">
        <v>2307</v>
      </c>
      <c r="B207" s="204" t="s">
        <v>2344</v>
      </c>
      <c r="C207" s="205">
        <f t="shared" si="14"/>
        <v>0</v>
      </c>
      <c r="D207" s="205">
        <f t="shared" si="14"/>
        <v>0</v>
      </c>
      <c r="E207" s="205">
        <f t="shared" si="14"/>
        <v>0</v>
      </c>
    </row>
    <row r="208" spans="1:5" ht="12" hidden="1" outlineLevel="1" x14ac:dyDescent="0.25">
      <c r="A208" s="85" t="s">
        <v>2308</v>
      </c>
      <c r="B208" s="56" t="s">
        <v>2345</v>
      </c>
      <c r="C208" s="81">
        <f>C206+C207</f>
        <v>0</v>
      </c>
      <c r="D208" s="81">
        <f>D206+D207</f>
        <v>0</v>
      </c>
      <c r="E208" s="81">
        <f>E206+E207</f>
        <v>0</v>
      </c>
    </row>
    <row r="209" spans="1:5" hidden="1" outlineLevel="1" x14ac:dyDescent="0.2"/>
    <row r="210" spans="1:5" hidden="1" outlineLevel="1" x14ac:dyDescent="0.2">
      <c r="B210" s="79">
        <v>2029</v>
      </c>
    </row>
    <row r="211" spans="1:5" ht="12" hidden="1" outlineLevel="1" x14ac:dyDescent="0.25">
      <c r="A211" s="85" t="s">
        <v>2309</v>
      </c>
      <c r="B211" s="198" t="s">
        <v>2346</v>
      </c>
      <c r="C211" s="200">
        <v>0</v>
      </c>
      <c r="D211" s="200">
        <v>0</v>
      </c>
      <c r="E211" s="200">
        <v>0</v>
      </c>
    </row>
    <row r="212" spans="1:5" ht="12" hidden="1" outlineLevel="1" x14ac:dyDescent="0.25">
      <c r="A212" s="85" t="s">
        <v>2310</v>
      </c>
      <c r="B212" s="199" t="s">
        <v>2347</v>
      </c>
      <c r="C212" s="201">
        <v>0</v>
      </c>
      <c r="D212" s="201">
        <v>0</v>
      </c>
      <c r="E212" s="201">
        <v>0</v>
      </c>
    </row>
    <row r="213" spans="1:5" ht="12" hidden="1" outlineLevel="1" x14ac:dyDescent="0.25">
      <c r="A213" s="85" t="s">
        <v>2311</v>
      </c>
      <c r="B213" s="56" t="s">
        <v>2348</v>
      </c>
      <c r="C213" s="81">
        <f>SUM(C211:C212)</f>
        <v>0</v>
      </c>
      <c r="D213" s="81">
        <f>SUM(D211:D212)</f>
        <v>0</v>
      </c>
      <c r="E213" s="81">
        <f>SUM(E211:E212)</f>
        <v>0</v>
      </c>
    </row>
    <row r="214" spans="1:5" ht="12" hidden="1" outlineLevel="1" x14ac:dyDescent="0.25">
      <c r="A214" s="85" t="s">
        <v>2312</v>
      </c>
      <c r="B214" s="198" t="s">
        <v>2349</v>
      </c>
      <c r="C214" s="200">
        <v>0</v>
      </c>
      <c r="D214" s="200">
        <v>0</v>
      </c>
      <c r="E214" s="200">
        <v>0</v>
      </c>
    </row>
    <row r="215" spans="1:5" ht="12" hidden="1" outlineLevel="1" x14ac:dyDescent="0.25">
      <c r="A215" s="85" t="s">
        <v>2313</v>
      </c>
      <c r="B215" s="199" t="s">
        <v>2350</v>
      </c>
      <c r="C215" s="201">
        <v>0</v>
      </c>
      <c r="D215" s="201">
        <v>0</v>
      </c>
      <c r="E215" s="201">
        <v>0</v>
      </c>
    </row>
    <row r="216" spans="1:5" ht="12" hidden="1" outlineLevel="1" x14ac:dyDescent="0.25">
      <c r="A216" s="85" t="s">
        <v>2314</v>
      </c>
      <c r="B216" s="56" t="s">
        <v>2351</v>
      </c>
      <c r="C216" s="81">
        <f>SUM(C214:C215)</f>
        <v>0</v>
      </c>
      <c r="D216" s="81">
        <f>SUM(D214:D215)</f>
        <v>0</v>
      </c>
      <c r="E216" s="81">
        <f>SUM(E214:E215)</f>
        <v>0</v>
      </c>
    </row>
    <row r="217" spans="1:5" hidden="1" outlineLevel="1" x14ac:dyDescent="0.2"/>
    <row r="218" spans="1:5" ht="12" hidden="1" outlineLevel="1" x14ac:dyDescent="0.25">
      <c r="A218" s="85" t="s">
        <v>2315</v>
      </c>
      <c r="B218" s="202" t="s">
        <v>2352</v>
      </c>
      <c r="C218" s="203">
        <f t="shared" ref="C218:E219" si="15">C211+C214</f>
        <v>0</v>
      </c>
      <c r="D218" s="203">
        <f t="shared" si="15"/>
        <v>0</v>
      </c>
      <c r="E218" s="203">
        <f t="shared" si="15"/>
        <v>0</v>
      </c>
    </row>
    <row r="219" spans="1:5" ht="12" hidden="1" outlineLevel="1" x14ac:dyDescent="0.25">
      <c r="A219" s="85" t="s">
        <v>2316</v>
      </c>
      <c r="B219" s="204" t="s">
        <v>2353</v>
      </c>
      <c r="C219" s="205">
        <f t="shared" si="15"/>
        <v>0</v>
      </c>
      <c r="D219" s="205">
        <f t="shared" si="15"/>
        <v>0</v>
      </c>
      <c r="E219" s="205">
        <f t="shared" si="15"/>
        <v>0</v>
      </c>
    </row>
    <row r="220" spans="1:5" ht="12" hidden="1" outlineLevel="1" x14ac:dyDescent="0.25">
      <c r="A220" s="85" t="s">
        <v>2317</v>
      </c>
      <c r="B220" s="56" t="s">
        <v>2354</v>
      </c>
      <c r="C220" s="81">
        <f>C218+C219</f>
        <v>0</v>
      </c>
      <c r="D220" s="81">
        <f>D218+D219</f>
        <v>0</v>
      </c>
      <c r="E220" s="81">
        <f>E218+E219</f>
        <v>0</v>
      </c>
    </row>
    <row r="221" spans="1:5" collapsed="1" x14ac:dyDescent="0.2"/>
    <row r="222" spans="1:5" ht="11.4" x14ac:dyDescent="0.2">
      <c r="B222" s="454" t="s">
        <v>550</v>
      </c>
    </row>
    <row r="223" spans="1:5" hidden="1" outlineLevel="1" x14ac:dyDescent="0.2">
      <c r="B223" s="79">
        <v>2026</v>
      </c>
    </row>
    <row r="224" spans="1:5" ht="12" hidden="1" outlineLevel="1" x14ac:dyDescent="0.25">
      <c r="A224" s="85" t="s">
        <v>1062</v>
      </c>
      <c r="B224" s="198" t="s">
        <v>1107</v>
      </c>
      <c r="C224" s="200">
        <v>0</v>
      </c>
      <c r="D224" s="200">
        <v>0</v>
      </c>
      <c r="E224" s="200">
        <v>0</v>
      </c>
    </row>
    <row r="225" spans="1:5" ht="12" hidden="1" outlineLevel="1" x14ac:dyDescent="0.25">
      <c r="A225" s="85" t="s">
        <v>1063</v>
      </c>
      <c r="B225" s="199" t="s">
        <v>1108</v>
      </c>
      <c r="C225" s="201">
        <v>0</v>
      </c>
      <c r="D225" s="201">
        <v>0</v>
      </c>
      <c r="E225" s="201">
        <v>0</v>
      </c>
    </row>
    <row r="226" spans="1:5" ht="12" hidden="1" outlineLevel="1" x14ac:dyDescent="0.25">
      <c r="A226" s="85" t="s">
        <v>1064</v>
      </c>
      <c r="B226" s="56" t="s">
        <v>1109</v>
      </c>
      <c r="C226" s="81">
        <f>SUM(C224:C225)</f>
        <v>0</v>
      </c>
      <c r="D226" s="81">
        <f>SUM(D224:D225)</f>
        <v>0</v>
      </c>
      <c r="E226" s="81">
        <f>SUM(E224:E225)</f>
        <v>0</v>
      </c>
    </row>
    <row r="227" spans="1:5" ht="12" hidden="1" outlineLevel="1" x14ac:dyDescent="0.25">
      <c r="A227" s="85" t="s">
        <v>1065</v>
      </c>
      <c r="B227" s="198" t="s">
        <v>1110</v>
      </c>
      <c r="C227" s="200">
        <v>0</v>
      </c>
      <c r="D227" s="200">
        <v>0</v>
      </c>
      <c r="E227" s="200">
        <v>0</v>
      </c>
    </row>
    <row r="228" spans="1:5" ht="12" hidden="1" outlineLevel="1" x14ac:dyDescent="0.25">
      <c r="A228" s="85" t="s">
        <v>1066</v>
      </c>
      <c r="B228" s="199" t="s">
        <v>1111</v>
      </c>
      <c r="C228" s="201">
        <v>0</v>
      </c>
      <c r="D228" s="201">
        <v>0</v>
      </c>
      <c r="E228" s="201">
        <v>0</v>
      </c>
    </row>
    <row r="229" spans="1:5" ht="12" hidden="1" outlineLevel="1" x14ac:dyDescent="0.25">
      <c r="A229" s="85" t="s">
        <v>1067</v>
      </c>
      <c r="B229" s="56" t="s">
        <v>1112</v>
      </c>
      <c r="C229" s="81">
        <f>SUM(C227:C228)</f>
        <v>0</v>
      </c>
      <c r="D229" s="81">
        <f>SUM(D227:D228)</f>
        <v>0</v>
      </c>
      <c r="E229" s="81">
        <f>SUM(E227:E228)</f>
        <v>0</v>
      </c>
    </row>
    <row r="230" spans="1:5" hidden="1" outlineLevel="1" x14ac:dyDescent="0.2"/>
    <row r="231" spans="1:5" ht="12" hidden="1" outlineLevel="1" x14ac:dyDescent="0.25">
      <c r="A231" s="85" t="s">
        <v>1068</v>
      </c>
      <c r="B231" s="202" t="s">
        <v>1113</v>
      </c>
      <c r="C231" s="203">
        <f t="shared" ref="C231:E232" si="16">C224+C227</f>
        <v>0</v>
      </c>
      <c r="D231" s="203">
        <f t="shared" si="16"/>
        <v>0</v>
      </c>
      <c r="E231" s="203">
        <f t="shared" si="16"/>
        <v>0</v>
      </c>
    </row>
    <row r="232" spans="1:5" ht="12" hidden="1" outlineLevel="1" x14ac:dyDescent="0.25">
      <c r="A232" s="85" t="s">
        <v>1069</v>
      </c>
      <c r="B232" s="204" t="s">
        <v>1114</v>
      </c>
      <c r="C232" s="205">
        <f t="shared" si="16"/>
        <v>0</v>
      </c>
      <c r="D232" s="205">
        <f t="shared" si="16"/>
        <v>0</v>
      </c>
      <c r="E232" s="205">
        <f t="shared" si="16"/>
        <v>0</v>
      </c>
    </row>
    <row r="233" spans="1:5" ht="12" hidden="1" outlineLevel="1" x14ac:dyDescent="0.25">
      <c r="A233" s="85" t="s">
        <v>1070</v>
      </c>
      <c r="B233" s="56" t="s">
        <v>1115</v>
      </c>
      <c r="C233" s="81">
        <f>C231+C232</f>
        <v>0</v>
      </c>
      <c r="D233" s="81">
        <f>D231+D232</f>
        <v>0</v>
      </c>
      <c r="E233" s="81">
        <f>E231+E232</f>
        <v>0</v>
      </c>
    </row>
    <row r="234" spans="1:5" hidden="1" outlineLevel="1" x14ac:dyDescent="0.2"/>
    <row r="235" spans="1:5" hidden="1" outlineLevel="1" x14ac:dyDescent="0.2">
      <c r="B235" s="79">
        <v>2027</v>
      </c>
    </row>
    <row r="236" spans="1:5" ht="12" hidden="1" outlineLevel="1" x14ac:dyDescent="0.25">
      <c r="A236" s="85" t="s">
        <v>1035</v>
      </c>
      <c r="B236" s="198" t="s">
        <v>1116</v>
      </c>
      <c r="C236" s="200">
        <v>0</v>
      </c>
      <c r="D236" s="200">
        <v>0</v>
      </c>
      <c r="E236" s="200">
        <v>0</v>
      </c>
    </row>
    <row r="237" spans="1:5" ht="12" hidden="1" outlineLevel="1" x14ac:dyDescent="0.25">
      <c r="A237" s="85" t="s">
        <v>1036</v>
      </c>
      <c r="B237" s="199" t="s">
        <v>1117</v>
      </c>
      <c r="C237" s="201">
        <v>0</v>
      </c>
      <c r="D237" s="201">
        <v>0</v>
      </c>
      <c r="E237" s="201">
        <v>0</v>
      </c>
    </row>
    <row r="238" spans="1:5" ht="12" hidden="1" outlineLevel="1" x14ac:dyDescent="0.25">
      <c r="A238" s="85" t="s">
        <v>1037</v>
      </c>
      <c r="B238" s="56" t="s">
        <v>1118</v>
      </c>
      <c r="C238" s="81">
        <f>SUM(C236:C237)</f>
        <v>0</v>
      </c>
      <c r="D238" s="81">
        <f>SUM(D236:D237)</f>
        <v>0</v>
      </c>
      <c r="E238" s="81">
        <f>SUM(E236:E237)</f>
        <v>0</v>
      </c>
    </row>
    <row r="239" spans="1:5" ht="12" hidden="1" outlineLevel="1" x14ac:dyDescent="0.25">
      <c r="A239" s="85" t="s">
        <v>1038</v>
      </c>
      <c r="B239" s="198" t="s">
        <v>1119</v>
      </c>
      <c r="C239" s="200">
        <v>0</v>
      </c>
      <c r="D239" s="200">
        <v>0</v>
      </c>
      <c r="E239" s="200">
        <v>0</v>
      </c>
    </row>
    <row r="240" spans="1:5" ht="12" hidden="1" outlineLevel="1" x14ac:dyDescent="0.25">
      <c r="A240" s="85" t="s">
        <v>1039</v>
      </c>
      <c r="B240" s="199" t="s">
        <v>1120</v>
      </c>
      <c r="C240" s="201">
        <v>0</v>
      </c>
      <c r="D240" s="201">
        <v>0</v>
      </c>
      <c r="E240" s="201">
        <v>0</v>
      </c>
    </row>
    <row r="241" spans="1:5" ht="12" hidden="1" outlineLevel="1" x14ac:dyDescent="0.25">
      <c r="A241" s="85" t="s">
        <v>1040</v>
      </c>
      <c r="B241" s="56" t="s">
        <v>1121</v>
      </c>
      <c r="C241" s="81">
        <f>SUM(C239:C240)</f>
        <v>0</v>
      </c>
      <c r="D241" s="81">
        <f>SUM(D239:D240)</f>
        <v>0</v>
      </c>
      <c r="E241" s="81">
        <f>SUM(E239:E240)</f>
        <v>0</v>
      </c>
    </row>
    <row r="242" spans="1:5" hidden="1" outlineLevel="1" x14ac:dyDescent="0.2"/>
    <row r="243" spans="1:5" ht="12" hidden="1" outlineLevel="1" x14ac:dyDescent="0.25">
      <c r="A243" s="85" t="s">
        <v>1041</v>
      </c>
      <c r="B243" s="202" t="s">
        <v>1122</v>
      </c>
      <c r="C243" s="203">
        <f t="shared" ref="C243:E244" si="17">C236+C239</f>
        <v>0</v>
      </c>
      <c r="D243" s="203">
        <f t="shared" si="17"/>
        <v>0</v>
      </c>
      <c r="E243" s="203">
        <f t="shared" si="17"/>
        <v>0</v>
      </c>
    </row>
    <row r="244" spans="1:5" ht="12" hidden="1" outlineLevel="1" x14ac:dyDescent="0.25">
      <c r="A244" s="85" t="s">
        <v>1042</v>
      </c>
      <c r="B244" s="204" t="s">
        <v>1123</v>
      </c>
      <c r="C244" s="205">
        <f t="shared" si="17"/>
        <v>0</v>
      </c>
      <c r="D244" s="205">
        <f t="shared" si="17"/>
        <v>0</v>
      </c>
      <c r="E244" s="205">
        <f t="shared" si="17"/>
        <v>0</v>
      </c>
    </row>
    <row r="245" spans="1:5" ht="12" hidden="1" outlineLevel="1" x14ac:dyDescent="0.25">
      <c r="A245" s="85" t="s">
        <v>1043</v>
      </c>
      <c r="B245" s="56" t="s">
        <v>1124</v>
      </c>
      <c r="C245" s="81">
        <f>C243+C244</f>
        <v>0</v>
      </c>
      <c r="D245" s="81">
        <f>D243+D244</f>
        <v>0</v>
      </c>
      <c r="E245" s="81">
        <f>E243+E244</f>
        <v>0</v>
      </c>
    </row>
    <row r="246" spans="1:5" hidden="1" outlineLevel="1" x14ac:dyDescent="0.2">
      <c r="A246" s="85"/>
      <c r="B246" s="82"/>
      <c r="C246" s="83"/>
      <c r="D246" s="83"/>
      <c r="E246" s="83"/>
    </row>
    <row r="247" spans="1:5" hidden="1" outlineLevel="1" x14ac:dyDescent="0.2">
      <c r="B247" s="79">
        <v>2028</v>
      </c>
    </row>
    <row r="248" spans="1:5" ht="12" hidden="1" outlineLevel="1" x14ac:dyDescent="0.25">
      <c r="A248" s="85" t="s">
        <v>2355</v>
      </c>
      <c r="B248" s="198" t="s">
        <v>2373</v>
      </c>
      <c r="C248" s="200">
        <v>0</v>
      </c>
      <c r="D248" s="200">
        <v>0</v>
      </c>
      <c r="E248" s="200">
        <v>0</v>
      </c>
    </row>
    <row r="249" spans="1:5" ht="12" hidden="1" outlineLevel="1" x14ac:dyDescent="0.25">
      <c r="A249" s="85" t="s">
        <v>2356</v>
      </c>
      <c r="B249" s="199" t="s">
        <v>2374</v>
      </c>
      <c r="C249" s="201">
        <v>0</v>
      </c>
      <c r="D249" s="201">
        <v>0</v>
      </c>
      <c r="E249" s="201">
        <v>0</v>
      </c>
    </row>
    <row r="250" spans="1:5" ht="12" hidden="1" outlineLevel="1" x14ac:dyDescent="0.25">
      <c r="A250" s="85" t="s">
        <v>2357</v>
      </c>
      <c r="B250" s="56" t="s">
        <v>2375</v>
      </c>
      <c r="C250" s="81">
        <f>SUM(C248:C249)</f>
        <v>0</v>
      </c>
      <c r="D250" s="81">
        <f>SUM(D248:D249)</f>
        <v>0</v>
      </c>
      <c r="E250" s="81">
        <f>SUM(E248:E249)</f>
        <v>0</v>
      </c>
    </row>
    <row r="251" spans="1:5" ht="12" hidden="1" outlineLevel="1" x14ac:dyDescent="0.25">
      <c r="A251" s="85" t="s">
        <v>2358</v>
      </c>
      <c r="B251" s="198" t="s">
        <v>2376</v>
      </c>
      <c r="C251" s="200">
        <v>0</v>
      </c>
      <c r="D251" s="200">
        <v>0</v>
      </c>
      <c r="E251" s="200">
        <v>0</v>
      </c>
    </row>
    <row r="252" spans="1:5" ht="12" hidden="1" outlineLevel="1" x14ac:dyDescent="0.25">
      <c r="A252" s="85" t="s">
        <v>2359</v>
      </c>
      <c r="B252" s="199" t="s">
        <v>2377</v>
      </c>
      <c r="C252" s="201">
        <v>0</v>
      </c>
      <c r="D252" s="201">
        <v>0</v>
      </c>
      <c r="E252" s="201">
        <v>0</v>
      </c>
    </row>
    <row r="253" spans="1:5" ht="12" hidden="1" outlineLevel="1" x14ac:dyDescent="0.25">
      <c r="A253" s="85" t="s">
        <v>2360</v>
      </c>
      <c r="B253" s="56" t="s">
        <v>2378</v>
      </c>
      <c r="C253" s="81">
        <f>SUM(C251:C252)</f>
        <v>0</v>
      </c>
      <c r="D253" s="81">
        <f>SUM(D251:D252)</f>
        <v>0</v>
      </c>
      <c r="E253" s="81">
        <f>SUM(E251:E252)</f>
        <v>0</v>
      </c>
    </row>
    <row r="254" spans="1:5" hidden="1" outlineLevel="1" x14ac:dyDescent="0.2"/>
    <row r="255" spans="1:5" ht="12" hidden="1" outlineLevel="1" x14ac:dyDescent="0.25">
      <c r="A255" s="85" t="s">
        <v>2361</v>
      </c>
      <c r="B255" s="202" t="s">
        <v>2379</v>
      </c>
      <c r="C255" s="203">
        <f t="shared" ref="C255:E256" si="18">C248+C251</f>
        <v>0</v>
      </c>
      <c r="D255" s="203">
        <f t="shared" si="18"/>
        <v>0</v>
      </c>
      <c r="E255" s="203">
        <f t="shared" si="18"/>
        <v>0</v>
      </c>
    </row>
    <row r="256" spans="1:5" ht="12" hidden="1" outlineLevel="1" x14ac:dyDescent="0.25">
      <c r="A256" s="85" t="s">
        <v>2362</v>
      </c>
      <c r="B256" s="204" t="s">
        <v>2380</v>
      </c>
      <c r="C256" s="205">
        <f t="shared" si="18"/>
        <v>0</v>
      </c>
      <c r="D256" s="205">
        <f t="shared" si="18"/>
        <v>0</v>
      </c>
      <c r="E256" s="205">
        <f t="shared" si="18"/>
        <v>0</v>
      </c>
    </row>
    <row r="257" spans="1:5" ht="12" hidden="1" outlineLevel="1" x14ac:dyDescent="0.25">
      <c r="A257" s="85" t="s">
        <v>2363</v>
      </c>
      <c r="B257" s="56" t="s">
        <v>2381</v>
      </c>
      <c r="C257" s="81">
        <f>C255+C256</f>
        <v>0</v>
      </c>
      <c r="D257" s="81">
        <f>D255+D256</f>
        <v>0</v>
      </c>
      <c r="E257" s="81">
        <f>E255+E256</f>
        <v>0</v>
      </c>
    </row>
    <row r="258" spans="1:5" hidden="1" outlineLevel="1" x14ac:dyDescent="0.2"/>
    <row r="259" spans="1:5" hidden="1" outlineLevel="1" x14ac:dyDescent="0.2">
      <c r="B259" s="79">
        <v>2029</v>
      </c>
    </row>
    <row r="260" spans="1:5" ht="12" hidden="1" outlineLevel="1" x14ac:dyDescent="0.25">
      <c r="A260" s="85" t="s">
        <v>2364</v>
      </c>
      <c r="B260" s="198" t="s">
        <v>2382</v>
      </c>
      <c r="C260" s="200">
        <v>0</v>
      </c>
      <c r="D260" s="200">
        <v>0</v>
      </c>
      <c r="E260" s="200">
        <v>0</v>
      </c>
    </row>
    <row r="261" spans="1:5" ht="12" hidden="1" outlineLevel="1" x14ac:dyDescent="0.25">
      <c r="A261" s="85" t="s">
        <v>2365</v>
      </c>
      <c r="B261" s="199" t="s">
        <v>2383</v>
      </c>
      <c r="C261" s="201">
        <v>0</v>
      </c>
      <c r="D261" s="201">
        <v>0</v>
      </c>
      <c r="E261" s="201">
        <v>0</v>
      </c>
    </row>
    <row r="262" spans="1:5" ht="12" hidden="1" outlineLevel="1" x14ac:dyDescent="0.25">
      <c r="A262" s="85" t="s">
        <v>2366</v>
      </c>
      <c r="B262" s="56" t="s">
        <v>2384</v>
      </c>
      <c r="C262" s="81">
        <f>SUM(C260:C261)</f>
        <v>0</v>
      </c>
      <c r="D262" s="81">
        <f>SUM(D260:D261)</f>
        <v>0</v>
      </c>
      <c r="E262" s="81">
        <f>SUM(E260:E261)</f>
        <v>0</v>
      </c>
    </row>
    <row r="263" spans="1:5" ht="12" hidden="1" outlineLevel="1" x14ac:dyDescent="0.25">
      <c r="A263" s="85" t="s">
        <v>2367</v>
      </c>
      <c r="B263" s="198" t="s">
        <v>2385</v>
      </c>
      <c r="C263" s="200">
        <v>0</v>
      </c>
      <c r="D263" s="200">
        <v>0</v>
      </c>
      <c r="E263" s="200">
        <v>0</v>
      </c>
    </row>
    <row r="264" spans="1:5" ht="12" hidden="1" outlineLevel="1" x14ac:dyDescent="0.25">
      <c r="A264" s="85" t="s">
        <v>2368</v>
      </c>
      <c r="B264" s="199" t="s">
        <v>2386</v>
      </c>
      <c r="C264" s="201">
        <v>0</v>
      </c>
      <c r="D264" s="201">
        <v>0</v>
      </c>
      <c r="E264" s="201">
        <v>0</v>
      </c>
    </row>
    <row r="265" spans="1:5" ht="12" hidden="1" outlineLevel="1" x14ac:dyDescent="0.25">
      <c r="A265" s="85" t="s">
        <v>2369</v>
      </c>
      <c r="B265" s="56" t="s">
        <v>2387</v>
      </c>
      <c r="C265" s="81">
        <f>SUM(C263:C264)</f>
        <v>0</v>
      </c>
      <c r="D265" s="81">
        <f>SUM(D263:D264)</f>
        <v>0</v>
      </c>
      <c r="E265" s="81">
        <f>SUM(E263:E264)</f>
        <v>0</v>
      </c>
    </row>
    <row r="266" spans="1:5" hidden="1" outlineLevel="1" x14ac:dyDescent="0.2"/>
    <row r="267" spans="1:5" ht="12" hidden="1" outlineLevel="1" x14ac:dyDescent="0.25">
      <c r="A267" s="85" t="s">
        <v>2370</v>
      </c>
      <c r="B267" s="202" t="s">
        <v>2388</v>
      </c>
      <c r="C267" s="203">
        <f t="shared" ref="C267:E268" si="19">C260+C263</f>
        <v>0</v>
      </c>
      <c r="D267" s="203">
        <f t="shared" si="19"/>
        <v>0</v>
      </c>
      <c r="E267" s="203">
        <f t="shared" si="19"/>
        <v>0</v>
      </c>
    </row>
    <row r="268" spans="1:5" ht="12" hidden="1" outlineLevel="1" x14ac:dyDescent="0.25">
      <c r="A268" s="85" t="s">
        <v>2371</v>
      </c>
      <c r="B268" s="204" t="s">
        <v>2389</v>
      </c>
      <c r="C268" s="205">
        <f t="shared" si="19"/>
        <v>0</v>
      </c>
      <c r="D268" s="205">
        <f t="shared" si="19"/>
        <v>0</v>
      </c>
      <c r="E268" s="205">
        <f t="shared" si="19"/>
        <v>0</v>
      </c>
    </row>
    <row r="269" spans="1:5" ht="12" hidden="1" outlineLevel="1" x14ac:dyDescent="0.25">
      <c r="A269" s="85" t="s">
        <v>2372</v>
      </c>
      <c r="B269" s="56" t="s">
        <v>2390</v>
      </c>
      <c r="C269" s="81">
        <f>C267+C268</f>
        <v>0</v>
      </c>
      <c r="D269" s="81">
        <f>D267+D268</f>
        <v>0</v>
      </c>
      <c r="E269" s="81">
        <f>E267+E268</f>
        <v>0</v>
      </c>
    </row>
    <row r="270" spans="1:5" collapsed="1" x14ac:dyDescent="0.2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957AB-8EF0-4A86-AFA2-D9B4475FDF95}">
  <sheetPr codeName="Foglio2">
    <tabColor rgb="FFFFFFCC"/>
  </sheetPr>
  <dimension ref="B1:AA99"/>
  <sheetViews>
    <sheetView showGridLines="0" topLeftCell="C1" workbookViewId="0">
      <selection activeCell="G6" sqref="G6"/>
    </sheetView>
  </sheetViews>
  <sheetFormatPr defaultColWidth="9.109375" defaultRowHeight="10.199999999999999" x14ac:dyDescent="0.2"/>
  <cols>
    <col min="1" max="1" width="9.109375" style="51"/>
    <col min="2" max="2" width="65.44140625" style="51" bestFit="1" customWidth="1"/>
    <col min="3" max="3" width="30.33203125" style="61" bestFit="1" customWidth="1"/>
    <col min="4" max="4" width="8.6640625" style="51" bestFit="1" customWidth="1"/>
    <col min="5" max="7" width="4.88671875" style="51" bestFit="1" customWidth="1"/>
    <col min="8" max="9" width="8.33203125" style="51" bestFit="1" customWidth="1"/>
    <col min="10" max="13" width="4.88671875" style="51" bestFit="1" customWidth="1"/>
    <col min="14" max="21" width="9.109375" style="51"/>
    <col min="22" max="22" width="10.6640625" style="51" bestFit="1" customWidth="1"/>
    <col min="23" max="23" width="8.6640625" style="51" bestFit="1" customWidth="1"/>
    <col min="24" max="24" width="8.109375" style="51" bestFit="1" customWidth="1"/>
    <col min="25" max="25" width="11.6640625" style="51" bestFit="1" customWidth="1"/>
    <col min="26" max="26" width="12.33203125" style="51" bestFit="1" customWidth="1"/>
    <col min="27" max="27" width="11.33203125" style="51" bestFit="1" customWidth="1"/>
    <col min="28" max="16384" width="9.109375" style="51"/>
  </cols>
  <sheetData>
    <row r="1" spans="2:27" x14ac:dyDescent="0.2">
      <c r="B1" s="1" t="s">
        <v>6485</v>
      </c>
      <c r="V1" s="82" t="s">
        <v>1196</v>
      </c>
    </row>
    <row r="2" spans="2:27" ht="21" customHeight="1" x14ac:dyDescent="0.2">
      <c r="B2" s="70"/>
      <c r="F2" s="1120" t="s">
        <v>7038</v>
      </c>
      <c r="G2" s="1121"/>
      <c r="H2" s="1120" t="s">
        <v>6413</v>
      </c>
      <c r="I2" s="1121"/>
      <c r="J2" s="1121" t="s">
        <v>6412</v>
      </c>
      <c r="K2" s="1121"/>
      <c r="L2" s="1121"/>
      <c r="M2" s="1121"/>
    </row>
    <row r="3" spans="2:27" x14ac:dyDescent="0.2">
      <c r="B3" s="72"/>
      <c r="C3" s="72">
        <v>2021</v>
      </c>
      <c r="D3" s="72">
        <v>2022</v>
      </c>
      <c r="E3" s="72">
        <v>2023</v>
      </c>
      <c r="F3" s="72">
        <v>2024</v>
      </c>
      <c r="G3" s="72">
        <v>2025</v>
      </c>
      <c r="H3" s="72" t="s">
        <v>2051</v>
      </c>
      <c r="I3" s="72" t="s">
        <v>2052</v>
      </c>
      <c r="J3" s="72">
        <v>2026</v>
      </c>
      <c r="K3" s="72">
        <v>2027</v>
      </c>
      <c r="L3" s="72">
        <v>2028</v>
      </c>
      <c r="M3" s="72">
        <v>2029</v>
      </c>
      <c r="V3" s="60" t="s">
        <v>453</v>
      </c>
      <c r="W3" s="60" t="s">
        <v>454</v>
      </c>
      <c r="X3" s="60" t="s">
        <v>513</v>
      </c>
      <c r="Y3" s="60" t="s">
        <v>514</v>
      </c>
      <c r="Z3" s="60" t="s">
        <v>515</v>
      </c>
      <c r="AA3" s="60" t="s">
        <v>602</v>
      </c>
    </row>
    <row r="4" spans="2:27" ht="11.4" x14ac:dyDescent="0.25">
      <c r="B4" s="20" t="s">
        <v>122</v>
      </c>
      <c r="C4" s="391">
        <v>1.7000000000000001E-2</v>
      </c>
      <c r="D4" s="391">
        <v>1.7000000000000001E-2</v>
      </c>
      <c r="E4" s="391">
        <v>1.7000000000000001E-2</v>
      </c>
      <c r="F4" s="391">
        <v>2.7E-2</v>
      </c>
      <c r="G4" s="391">
        <v>2.7E-2</v>
      </c>
      <c r="H4" s="402">
        <v>2.7E-2</v>
      </c>
      <c r="I4" s="402">
        <v>2.7E-2</v>
      </c>
      <c r="J4" s="402">
        <v>1.9E-2</v>
      </c>
      <c r="K4" s="402">
        <v>1.9E-2</v>
      </c>
      <c r="L4" s="402">
        <v>1.9E-2</v>
      </c>
      <c r="M4" s="402">
        <v>1.9E-2</v>
      </c>
      <c r="N4" s="409"/>
      <c r="V4" s="438">
        <v>0.8</v>
      </c>
      <c r="W4" s="438">
        <v>1</v>
      </c>
      <c r="X4" s="369" t="s">
        <v>516</v>
      </c>
      <c r="Y4" s="369" t="s">
        <v>1209</v>
      </c>
      <c r="Z4" s="369" t="s">
        <v>517</v>
      </c>
      <c r="AA4" s="377">
        <v>0</v>
      </c>
    </row>
    <row r="5" spans="2:27" ht="11.4" x14ac:dyDescent="0.25">
      <c r="C5" s="392"/>
      <c r="D5" s="393"/>
      <c r="E5" s="393"/>
      <c r="V5" s="438">
        <v>0.7</v>
      </c>
      <c r="W5" s="438">
        <v>0.8</v>
      </c>
      <c r="X5" s="369" t="s">
        <v>518</v>
      </c>
      <c r="Y5" s="369" t="s">
        <v>1210</v>
      </c>
      <c r="Z5" s="369" t="s">
        <v>519</v>
      </c>
      <c r="AA5" s="377">
        <v>0.01</v>
      </c>
    </row>
    <row r="6" spans="2:27" ht="11.4" x14ac:dyDescent="0.25">
      <c r="B6" s="20" t="s">
        <v>124</v>
      </c>
      <c r="C6" s="394">
        <v>1E-3</v>
      </c>
      <c r="D6" s="394">
        <v>2E-3</v>
      </c>
      <c r="E6" s="394">
        <v>4.4999999999999998E-2</v>
      </c>
      <c r="F6" s="394">
        <v>8.7999999999999995E-2</v>
      </c>
      <c r="G6" s="394">
        <v>0</v>
      </c>
      <c r="H6" s="403">
        <v>8.7999999999999995E-2</v>
      </c>
      <c r="I6" s="780">
        <v>0.02</v>
      </c>
      <c r="J6" s="403">
        <v>1.2E-2</v>
      </c>
      <c r="K6" s="403">
        <v>0</v>
      </c>
      <c r="L6" s="403">
        <v>0</v>
      </c>
      <c r="M6" s="403">
        <v>0</v>
      </c>
      <c r="N6" s="409"/>
      <c r="V6" s="438">
        <v>0.6</v>
      </c>
      <c r="W6" s="438">
        <v>0.7</v>
      </c>
      <c r="X6" s="369" t="s">
        <v>9</v>
      </c>
      <c r="Y6" s="369" t="s">
        <v>1211</v>
      </c>
      <c r="Z6" s="369" t="s">
        <v>520</v>
      </c>
      <c r="AA6" s="377">
        <v>1.4999999999999999E-2</v>
      </c>
    </row>
    <row r="7" spans="2:27" ht="11.4" x14ac:dyDescent="0.25">
      <c r="C7" s="392"/>
      <c r="D7" s="393"/>
      <c r="E7" s="393"/>
      <c r="V7" s="438">
        <v>0.5</v>
      </c>
      <c r="W7" s="438">
        <v>0.6</v>
      </c>
      <c r="X7" s="369" t="s">
        <v>521</v>
      </c>
      <c r="Y7" s="369" t="s">
        <v>1212</v>
      </c>
      <c r="Z7" s="369" t="s">
        <v>522</v>
      </c>
      <c r="AA7" s="377">
        <v>0.02</v>
      </c>
    </row>
    <row r="8" spans="2:27" ht="11.4" x14ac:dyDescent="0.25">
      <c r="B8" s="217" t="s">
        <v>153</v>
      </c>
      <c r="C8" s="395"/>
      <c r="D8" s="396">
        <v>7.2999999999999995E-2</v>
      </c>
      <c r="E8" s="396">
        <v>7.2999999999999995E-2</v>
      </c>
      <c r="F8" s="396">
        <v>6.6000000000000003E-2</v>
      </c>
      <c r="G8" s="396">
        <v>6.6000000000000003E-2</v>
      </c>
      <c r="H8" s="404">
        <v>7.2999999999999995E-2</v>
      </c>
      <c r="I8" s="404">
        <v>7.2999999999999995E-2</v>
      </c>
      <c r="J8" s="404">
        <v>6.9000000000000006E-2</v>
      </c>
      <c r="K8" s="404">
        <v>6.9000000000000006E-2</v>
      </c>
      <c r="L8" s="404">
        <v>6.9000000000000006E-2</v>
      </c>
      <c r="M8" s="404">
        <v>6.9000000000000006E-2</v>
      </c>
      <c r="V8" s="438">
        <v>0.4</v>
      </c>
      <c r="W8" s="438">
        <v>0.5</v>
      </c>
      <c r="X8" s="369" t="s">
        <v>8</v>
      </c>
      <c r="Y8" s="369" t="s">
        <v>1213</v>
      </c>
      <c r="Z8" s="369" t="s">
        <v>523</v>
      </c>
      <c r="AA8" s="377">
        <v>2.5000000000000001E-2</v>
      </c>
    </row>
    <row r="9" spans="2:27" ht="11.4" x14ac:dyDescent="0.25">
      <c r="B9" s="219" t="s">
        <v>154</v>
      </c>
      <c r="C9" s="397"/>
      <c r="D9" s="398">
        <v>6.3E-2</v>
      </c>
      <c r="E9" s="398">
        <v>6.3E-2</v>
      </c>
      <c r="F9" s="398">
        <v>5.6000000000000001E-2</v>
      </c>
      <c r="G9" s="398">
        <v>5.6000000000000001E-2</v>
      </c>
      <c r="H9" s="405">
        <v>6.3E-2</v>
      </c>
      <c r="I9" s="405">
        <v>6.3E-2</v>
      </c>
      <c r="J9" s="405">
        <v>5.8999999999999997E-2</v>
      </c>
      <c r="K9" s="405">
        <v>5.8999999999999997E-2</v>
      </c>
      <c r="L9" s="405">
        <v>5.8999999999999997E-2</v>
      </c>
      <c r="M9" s="405">
        <v>5.8999999999999997E-2</v>
      </c>
      <c r="N9" s="409"/>
      <c r="V9" s="438">
        <v>0.3</v>
      </c>
      <c r="W9" s="438">
        <v>0.4</v>
      </c>
      <c r="X9" s="369" t="s">
        <v>524</v>
      </c>
      <c r="Y9" s="369" t="s">
        <v>1214</v>
      </c>
      <c r="Z9" s="369" t="s">
        <v>525</v>
      </c>
      <c r="AA9" s="377">
        <v>0.03</v>
      </c>
    </row>
    <row r="10" spans="2:27" ht="11.4" x14ac:dyDescent="0.25">
      <c r="C10" s="392"/>
      <c r="D10" s="393"/>
      <c r="E10" s="393"/>
      <c r="N10" s="409"/>
      <c r="V10" s="438">
        <v>0.2</v>
      </c>
      <c r="W10" s="438">
        <v>0.3</v>
      </c>
      <c r="X10" s="369" t="s">
        <v>2</v>
      </c>
      <c r="Y10" s="369" t="s">
        <v>1215</v>
      </c>
      <c r="Z10" s="369" t="s">
        <v>526</v>
      </c>
      <c r="AA10" s="377">
        <v>3.5000000000000003E-2</v>
      </c>
    </row>
    <row r="11" spans="2:27" ht="11.4" x14ac:dyDescent="0.25">
      <c r="B11" s="217" t="s">
        <v>155</v>
      </c>
      <c r="C11" s="399"/>
      <c r="D11" s="396">
        <v>5.8000000000000003E-2</v>
      </c>
      <c r="E11" s="396">
        <v>5.8000000000000003E-2</v>
      </c>
      <c r="F11" s="396">
        <v>5.1999999999999998E-2</v>
      </c>
      <c r="G11" s="396">
        <v>5.1999999999999998E-2</v>
      </c>
      <c r="H11" s="404">
        <v>0.05</v>
      </c>
      <c r="I11" s="404">
        <v>0.05</v>
      </c>
      <c r="J11" s="404">
        <v>4.4999999999999998E-2</v>
      </c>
      <c r="K11" s="404">
        <v>4.4999999999999998E-2</v>
      </c>
      <c r="L11" s="404">
        <v>4.4999999999999998E-2</v>
      </c>
      <c r="M11" s="404">
        <v>4.4999999999999998E-2</v>
      </c>
      <c r="N11" s="409"/>
      <c r="V11" s="438">
        <v>0.1</v>
      </c>
      <c r="W11" s="438">
        <v>0.2</v>
      </c>
      <c r="X11" s="369" t="s">
        <v>527</v>
      </c>
      <c r="Y11" s="369" t="s">
        <v>1216</v>
      </c>
      <c r="Z11" s="369" t="s">
        <v>528</v>
      </c>
      <c r="AA11" s="377">
        <v>0.04</v>
      </c>
    </row>
    <row r="12" spans="2:27" ht="11.4" x14ac:dyDescent="0.25">
      <c r="B12" s="218" t="s">
        <v>156</v>
      </c>
      <c r="C12" s="400"/>
      <c r="D12" s="434">
        <f>D11-(D11-D14)/3</f>
        <v>4.7333333333333338E-2</v>
      </c>
      <c r="E12" s="434">
        <f t="shared" ref="E12:G12" si="0">E11-(E11-E14)/3</f>
        <v>4.7333333333333338E-2</v>
      </c>
      <c r="F12" s="1021">
        <f t="shared" si="0"/>
        <v>4.0866666666666662E-2</v>
      </c>
      <c r="G12" s="1021">
        <f t="shared" si="0"/>
        <v>4.0866666666666662E-2</v>
      </c>
      <c r="H12" s="433">
        <f t="shared" ref="H12:I12" si="1">H11-(H11-H14)/3</f>
        <v>3.8800000000000001E-2</v>
      </c>
      <c r="I12" s="433">
        <f t="shared" si="1"/>
        <v>3.8800000000000001E-2</v>
      </c>
      <c r="J12" s="433">
        <f t="shared" ref="J12:M12" si="2">J11-(J11-J14)/3</f>
        <v>3.4633333333333335E-2</v>
      </c>
      <c r="K12" s="433">
        <f t="shared" si="2"/>
        <v>3.4633333333333335E-2</v>
      </c>
      <c r="L12" s="433">
        <f t="shared" si="2"/>
        <v>3.4633333333333335E-2</v>
      </c>
      <c r="M12" s="433">
        <f t="shared" si="2"/>
        <v>3.4633333333333335E-2</v>
      </c>
      <c r="N12" s="409"/>
      <c r="V12" s="438">
        <v>0</v>
      </c>
      <c r="W12" s="438">
        <v>0.1</v>
      </c>
      <c r="X12" s="369" t="s">
        <v>529</v>
      </c>
      <c r="Y12" s="369" t="s">
        <v>1217</v>
      </c>
      <c r="Z12" s="369" t="s">
        <v>530</v>
      </c>
      <c r="AA12" s="377">
        <v>0.05</v>
      </c>
    </row>
    <row r="13" spans="2:27" ht="11.4" x14ac:dyDescent="0.2">
      <c r="B13" s="218" t="s">
        <v>157</v>
      </c>
      <c r="C13" s="400"/>
      <c r="D13" s="434">
        <f>D12-(D11-D14)/3</f>
        <v>3.6666666666666674E-2</v>
      </c>
      <c r="E13" s="434">
        <f t="shared" ref="E13:G13" si="3">E12-(E11-E14)/3</f>
        <v>3.6666666666666674E-2</v>
      </c>
      <c r="F13" s="1021">
        <f t="shared" si="3"/>
        <v>2.9733333333333327E-2</v>
      </c>
      <c r="G13" s="1021">
        <f t="shared" si="3"/>
        <v>2.9733333333333327E-2</v>
      </c>
      <c r="H13" s="433">
        <f t="shared" ref="H13:I13" si="4">H12-(H11-H14)/3</f>
        <v>2.76E-2</v>
      </c>
      <c r="I13" s="433">
        <f t="shared" si="4"/>
        <v>2.76E-2</v>
      </c>
      <c r="J13" s="433">
        <f t="shared" ref="J13:M13" si="5">J12-(J11-J14)/3</f>
        <v>2.4266666666666669E-2</v>
      </c>
      <c r="K13" s="433">
        <f t="shared" si="5"/>
        <v>2.4266666666666669E-2</v>
      </c>
      <c r="L13" s="433">
        <f t="shared" si="5"/>
        <v>2.4266666666666669E-2</v>
      </c>
      <c r="M13" s="433">
        <f t="shared" si="5"/>
        <v>2.4266666666666669E-2</v>
      </c>
      <c r="N13" s="409"/>
    </row>
    <row r="14" spans="2:27" ht="11.4" x14ac:dyDescent="0.2">
      <c r="B14" s="219" t="s">
        <v>158</v>
      </c>
      <c r="C14" s="401"/>
      <c r="D14" s="398">
        <v>2.5999999999999999E-2</v>
      </c>
      <c r="E14" s="398">
        <v>2.5999999999999999E-2</v>
      </c>
      <c r="F14" s="398">
        <v>1.8599999999999998E-2</v>
      </c>
      <c r="G14" s="398">
        <v>1.8599999999999998E-2</v>
      </c>
      <c r="H14" s="405">
        <v>1.6400000000000001E-2</v>
      </c>
      <c r="I14" s="405">
        <v>1.6400000000000001E-2</v>
      </c>
      <c r="J14" s="405">
        <v>1.3899999999999999E-2</v>
      </c>
      <c r="K14" s="405">
        <v>1.3899999999999999E-2</v>
      </c>
      <c r="L14" s="405">
        <v>1.3899999999999999E-2</v>
      </c>
      <c r="M14" s="405">
        <v>1.3899999999999999E-2</v>
      </c>
      <c r="N14" s="409"/>
    </row>
    <row r="15" spans="2:27" x14ac:dyDescent="0.2">
      <c r="V15" s="82" t="s">
        <v>613</v>
      </c>
    </row>
    <row r="16" spans="2:27" x14ac:dyDescent="0.2">
      <c r="B16" s="20" t="s">
        <v>532</v>
      </c>
      <c r="C16" s="394"/>
      <c r="D16" s="394"/>
      <c r="E16" s="394">
        <v>3.4000000000000002E-2</v>
      </c>
      <c r="F16" s="394">
        <v>2.8000000000000001E-2</v>
      </c>
      <c r="G16" s="394">
        <v>0</v>
      </c>
      <c r="H16" s="403">
        <v>2.8000000000000001E-2</v>
      </c>
      <c r="I16" s="780">
        <v>-1E-3</v>
      </c>
      <c r="J16" s="403">
        <v>1E-3</v>
      </c>
      <c r="K16" s="403">
        <v>0</v>
      </c>
      <c r="L16" s="403">
        <v>0</v>
      </c>
      <c r="M16" s="403">
        <v>0</v>
      </c>
      <c r="N16" s="409"/>
    </row>
    <row r="17" spans="2:25" x14ac:dyDescent="0.2">
      <c r="V17" s="60" t="s">
        <v>453</v>
      </c>
      <c r="W17" s="60" t="s">
        <v>454</v>
      </c>
      <c r="X17" s="60" t="s">
        <v>515</v>
      </c>
      <c r="Y17" s="60" t="s">
        <v>514</v>
      </c>
    </row>
    <row r="18" spans="2:25" x14ac:dyDescent="0.2">
      <c r="V18" s="579">
        <v>0.85</v>
      </c>
      <c r="W18" s="580">
        <v>2</v>
      </c>
      <c r="X18" s="581">
        <v>0</v>
      </c>
      <c r="Y18" s="582" t="s">
        <v>516</v>
      </c>
    </row>
    <row r="19" spans="2:25" x14ac:dyDescent="0.2">
      <c r="B19" s="82" t="s">
        <v>222</v>
      </c>
      <c r="V19" s="579">
        <v>0.75</v>
      </c>
      <c r="W19" s="579">
        <v>0.85</v>
      </c>
      <c r="X19" s="581">
        <v>1.4999999999999999E-2</v>
      </c>
      <c r="Y19" s="582" t="s">
        <v>518</v>
      </c>
    </row>
    <row r="20" spans="2:25" x14ac:dyDescent="0.2">
      <c r="V20" s="579">
        <v>0.65</v>
      </c>
      <c r="W20" s="579">
        <v>0.75</v>
      </c>
      <c r="X20" s="581">
        <v>0.02</v>
      </c>
      <c r="Y20" s="582" t="s">
        <v>9</v>
      </c>
    </row>
    <row r="21" spans="2:25" x14ac:dyDescent="0.2">
      <c r="B21" s="585" t="s">
        <v>220</v>
      </c>
      <c r="C21" s="220" t="s">
        <v>219</v>
      </c>
      <c r="V21" s="579">
        <v>0.55000000000000004</v>
      </c>
      <c r="W21" s="579">
        <v>0.65</v>
      </c>
      <c r="X21" s="581">
        <v>2.5000000000000001E-2</v>
      </c>
      <c r="Y21" s="582" t="s">
        <v>521</v>
      </c>
    </row>
    <row r="22" spans="2:25" x14ac:dyDescent="0.2">
      <c r="C22" s="339" t="s">
        <v>221</v>
      </c>
      <c r="V22" s="579">
        <v>0.45</v>
      </c>
      <c r="W22" s="579">
        <v>0.55000000000000004</v>
      </c>
      <c r="X22" s="581">
        <v>0.03</v>
      </c>
      <c r="Y22" s="582" t="s">
        <v>8</v>
      </c>
    </row>
    <row r="23" spans="2:25" x14ac:dyDescent="0.2">
      <c r="C23" s="221" t="s">
        <v>105</v>
      </c>
      <c r="V23" s="579">
        <v>0.35</v>
      </c>
      <c r="W23" s="579">
        <v>0.45</v>
      </c>
      <c r="X23" s="581">
        <v>3.5000000000000003E-2</v>
      </c>
      <c r="Y23" s="582" t="s">
        <v>524</v>
      </c>
    </row>
    <row r="24" spans="2:25" x14ac:dyDescent="0.2">
      <c r="V24" s="579">
        <v>0.25</v>
      </c>
      <c r="W24" s="579">
        <v>0.35</v>
      </c>
      <c r="X24" s="581">
        <v>0.04</v>
      </c>
      <c r="Y24" s="582" t="s">
        <v>2</v>
      </c>
    </row>
    <row r="25" spans="2:25" x14ac:dyDescent="0.2">
      <c r="B25" s="585" t="s">
        <v>277</v>
      </c>
      <c r="C25" s="220" t="s">
        <v>219</v>
      </c>
      <c r="V25" s="579">
        <v>0.15</v>
      </c>
      <c r="W25" s="579">
        <v>0.25</v>
      </c>
      <c r="X25" s="581">
        <v>4.4999999999999998E-2</v>
      </c>
      <c r="Y25" s="582" t="s">
        <v>527</v>
      </c>
    </row>
    <row r="26" spans="2:25" x14ac:dyDescent="0.2">
      <c r="C26" s="339" t="s">
        <v>221</v>
      </c>
      <c r="V26" s="579">
        <v>0</v>
      </c>
      <c r="W26" s="579">
        <v>0.15</v>
      </c>
      <c r="X26" s="581">
        <v>0.05</v>
      </c>
      <c r="Y26" s="582" t="s">
        <v>529</v>
      </c>
    </row>
    <row r="27" spans="2:25" x14ac:dyDescent="0.2">
      <c r="C27" s="221" t="s">
        <v>105</v>
      </c>
    </row>
    <row r="29" spans="2:25" x14ac:dyDescent="0.2">
      <c r="B29" s="585" t="s">
        <v>278</v>
      </c>
      <c r="C29" s="220" t="s">
        <v>275</v>
      </c>
    </row>
    <row r="30" spans="2:25" x14ac:dyDescent="0.2">
      <c r="C30" s="339" t="s">
        <v>276</v>
      </c>
      <c r="V30" s="82" t="s">
        <v>1267</v>
      </c>
    </row>
    <row r="31" spans="2:25" x14ac:dyDescent="0.2">
      <c r="C31" s="221" t="s">
        <v>105</v>
      </c>
    </row>
    <row r="32" spans="2:25" x14ac:dyDescent="0.2">
      <c r="V32" s="60" t="s">
        <v>453</v>
      </c>
      <c r="W32" s="60" t="s">
        <v>454</v>
      </c>
      <c r="X32" s="60" t="s">
        <v>515</v>
      </c>
      <c r="Y32" s="60" t="s">
        <v>514</v>
      </c>
    </row>
    <row r="33" spans="2:25" x14ac:dyDescent="0.2">
      <c r="B33" s="585" t="s">
        <v>448</v>
      </c>
      <c r="C33" s="220" t="s">
        <v>219</v>
      </c>
      <c r="V33" s="593">
        <v>0.95</v>
      </c>
      <c r="W33" s="594">
        <v>2</v>
      </c>
      <c r="X33" s="595">
        <v>0</v>
      </c>
      <c r="Y33" s="578" t="s">
        <v>516</v>
      </c>
    </row>
    <row r="34" spans="2:25" x14ac:dyDescent="0.2">
      <c r="C34" s="339" t="s">
        <v>221</v>
      </c>
      <c r="V34" s="596">
        <v>0.9</v>
      </c>
      <c r="W34" s="596">
        <v>0.95</v>
      </c>
      <c r="X34" s="595">
        <v>5.0000000000000001E-3</v>
      </c>
      <c r="Y34" s="578" t="s">
        <v>518</v>
      </c>
    </row>
    <row r="35" spans="2:25" x14ac:dyDescent="0.2">
      <c r="C35" s="221" t="s">
        <v>105</v>
      </c>
      <c r="V35" s="596">
        <v>0.85</v>
      </c>
      <c r="W35" s="596">
        <v>0.9</v>
      </c>
      <c r="X35" s="595">
        <v>0.01</v>
      </c>
      <c r="Y35" s="578" t="s">
        <v>9</v>
      </c>
    </row>
    <row r="36" spans="2:25" x14ac:dyDescent="0.2">
      <c r="V36" s="596">
        <v>0.8</v>
      </c>
      <c r="W36" s="596">
        <v>0.85</v>
      </c>
      <c r="X36" s="595">
        <v>0.02</v>
      </c>
      <c r="Y36" s="578" t="s">
        <v>521</v>
      </c>
    </row>
    <row r="37" spans="2:25" x14ac:dyDescent="0.2">
      <c r="B37" s="585" t="s">
        <v>535</v>
      </c>
      <c r="C37" s="220" t="s">
        <v>219</v>
      </c>
      <c r="V37" s="596">
        <v>0.75</v>
      </c>
      <c r="W37" s="596">
        <v>0.8</v>
      </c>
      <c r="X37" s="595">
        <v>0.03</v>
      </c>
      <c r="Y37" s="578" t="s">
        <v>8</v>
      </c>
    </row>
    <row r="38" spans="2:25" x14ac:dyDescent="0.2">
      <c r="C38" s="339" t="s">
        <v>221</v>
      </c>
      <c r="V38" s="596">
        <v>0.7</v>
      </c>
      <c r="W38" s="596">
        <v>0.75</v>
      </c>
      <c r="X38" s="595">
        <v>0.04</v>
      </c>
      <c r="Y38" s="578" t="s">
        <v>524</v>
      </c>
    </row>
    <row r="39" spans="2:25" x14ac:dyDescent="0.2">
      <c r="C39" s="221" t="s">
        <v>105</v>
      </c>
      <c r="V39" s="596">
        <v>0</v>
      </c>
      <c r="W39" s="596">
        <v>0.7</v>
      </c>
      <c r="X39" s="595">
        <v>0.05</v>
      </c>
      <c r="Y39" s="578" t="s">
        <v>2</v>
      </c>
    </row>
    <row r="41" spans="2:25" x14ac:dyDescent="0.2">
      <c r="B41" s="335" t="s">
        <v>580</v>
      </c>
      <c r="C41" s="220" t="s">
        <v>581</v>
      </c>
    </row>
    <row r="42" spans="2:25" x14ac:dyDescent="0.2">
      <c r="C42" s="221" t="s">
        <v>582</v>
      </c>
    </row>
    <row r="43" spans="2:25" x14ac:dyDescent="0.2">
      <c r="C43" s="51"/>
    </row>
    <row r="44" spans="2:25" x14ac:dyDescent="0.2">
      <c r="B44" s="335" t="s">
        <v>1188</v>
      </c>
      <c r="C44" s="220" t="s">
        <v>1189</v>
      </c>
    </row>
    <row r="45" spans="2:25" x14ac:dyDescent="0.2">
      <c r="C45" s="221" t="s">
        <v>1190</v>
      </c>
    </row>
    <row r="47" spans="2:25" x14ac:dyDescent="0.2">
      <c r="B47" s="585" t="s">
        <v>1192</v>
      </c>
      <c r="C47" s="220" t="s">
        <v>1193</v>
      </c>
    </row>
    <row r="48" spans="2:25" x14ac:dyDescent="0.2">
      <c r="C48" s="339" t="s">
        <v>1194</v>
      </c>
    </row>
    <row r="49" spans="2:3" x14ac:dyDescent="0.2">
      <c r="C49" s="221" t="s">
        <v>1195</v>
      </c>
    </row>
    <row r="51" spans="2:3" x14ac:dyDescent="0.2">
      <c r="B51" s="585" t="s">
        <v>1198</v>
      </c>
      <c r="C51" s="220" t="s">
        <v>219</v>
      </c>
    </row>
    <row r="52" spans="2:3" x14ac:dyDescent="0.2">
      <c r="C52" s="221" t="s">
        <v>221</v>
      </c>
    </row>
    <row r="53" spans="2:3" x14ac:dyDescent="0.2">
      <c r="C53" s="51"/>
    </row>
    <row r="54" spans="2:3" x14ac:dyDescent="0.2">
      <c r="B54" s="585" t="s">
        <v>1200</v>
      </c>
      <c r="C54" s="220" t="s">
        <v>219</v>
      </c>
    </row>
    <row r="55" spans="2:3" x14ac:dyDescent="0.2">
      <c r="C55" s="221" t="s">
        <v>221</v>
      </c>
    </row>
    <row r="57" spans="2:3" x14ac:dyDescent="0.2">
      <c r="B57" s="585" t="s">
        <v>1338</v>
      </c>
      <c r="C57" s="220" t="s">
        <v>1339</v>
      </c>
    </row>
    <row r="58" spans="2:3" x14ac:dyDescent="0.2">
      <c r="C58" s="221" t="s">
        <v>1340</v>
      </c>
    </row>
    <row r="60" spans="2:3" x14ac:dyDescent="0.2">
      <c r="B60" s="335" t="s">
        <v>1604</v>
      </c>
      <c r="C60" s="220" t="s">
        <v>1605</v>
      </c>
    </row>
    <row r="61" spans="2:3" x14ac:dyDescent="0.2">
      <c r="C61" s="618" t="s">
        <v>1606</v>
      </c>
    </row>
    <row r="62" spans="2:3" x14ac:dyDescent="0.2">
      <c r="C62" s="618" t="s">
        <v>1607</v>
      </c>
    </row>
    <row r="63" spans="2:3" x14ac:dyDescent="0.2">
      <c r="C63" s="618" t="s">
        <v>1608</v>
      </c>
    </row>
    <row r="64" spans="2:3" x14ac:dyDescent="0.2">
      <c r="C64" s="618" t="s">
        <v>1609</v>
      </c>
    </row>
    <row r="65" spans="2:3" x14ac:dyDescent="0.2">
      <c r="C65" s="618" t="s">
        <v>1610</v>
      </c>
    </row>
    <row r="66" spans="2:3" x14ac:dyDescent="0.2">
      <c r="C66" s="221" t="s">
        <v>1611</v>
      </c>
    </row>
    <row r="68" spans="2:3" x14ac:dyDescent="0.2">
      <c r="B68" s="585" t="s">
        <v>2046</v>
      </c>
      <c r="C68" s="632">
        <v>5.6000000000000001E-2</v>
      </c>
    </row>
    <row r="69" spans="2:3" x14ac:dyDescent="0.2">
      <c r="C69" s="633">
        <v>6.3E-2</v>
      </c>
    </row>
    <row r="71" spans="2:3" ht="11.4" x14ac:dyDescent="0.2">
      <c r="B71" s="645" t="s">
        <v>2205</v>
      </c>
      <c r="C71" s="632">
        <v>5.1999999999999998E-2</v>
      </c>
    </row>
    <row r="72" spans="2:3" x14ac:dyDescent="0.2">
      <c r="C72" s="633">
        <v>0.05</v>
      </c>
    </row>
    <row r="74" spans="2:3" ht="11.4" x14ac:dyDescent="0.2">
      <c r="B74" s="645" t="s">
        <v>2207</v>
      </c>
      <c r="C74" s="646">
        <v>1.8599999999999998E-2</v>
      </c>
    </row>
    <row r="75" spans="2:3" x14ac:dyDescent="0.2">
      <c r="C75" s="647">
        <v>1.6400000000000001E-2</v>
      </c>
    </row>
    <row r="77" spans="2:3" x14ac:dyDescent="0.2">
      <c r="B77" s="585" t="s">
        <v>6536</v>
      </c>
      <c r="C77" s="220" t="s">
        <v>6537</v>
      </c>
    </row>
    <row r="78" spans="2:3" x14ac:dyDescent="0.2">
      <c r="C78" s="221" t="s">
        <v>6538</v>
      </c>
    </row>
    <row r="80" spans="2:3" x14ac:dyDescent="0.2">
      <c r="B80" s="585" t="s">
        <v>6742</v>
      </c>
      <c r="C80" s="220" t="s">
        <v>6743</v>
      </c>
    </row>
    <row r="81" spans="2:4" x14ac:dyDescent="0.2">
      <c r="C81" s="339" t="s">
        <v>6744</v>
      </c>
    </row>
    <row r="82" spans="2:4" x14ac:dyDescent="0.2">
      <c r="C82" s="221" t="s">
        <v>6745</v>
      </c>
    </row>
    <row r="86" spans="2:4" x14ac:dyDescent="0.2">
      <c r="B86" s="82" t="s">
        <v>506</v>
      </c>
    </row>
    <row r="87" spans="2:4" x14ac:dyDescent="0.2">
      <c r="B87" s="60" t="s">
        <v>452</v>
      </c>
      <c r="C87" s="60" t="s">
        <v>453</v>
      </c>
      <c r="D87" s="60" t="s">
        <v>454</v>
      </c>
    </row>
    <row r="88" spans="2:4" x14ac:dyDescent="0.2">
      <c r="B88" s="369" t="s">
        <v>455</v>
      </c>
      <c r="C88" s="375">
        <v>-0.2</v>
      </c>
      <c r="D88" s="375">
        <v>0</v>
      </c>
    </row>
    <row r="89" spans="2:4" x14ac:dyDescent="0.2">
      <c r="B89" s="369" t="s">
        <v>456</v>
      </c>
      <c r="C89" s="375">
        <v>-0.4</v>
      </c>
      <c r="D89" s="375">
        <v>-0.2</v>
      </c>
    </row>
    <row r="91" spans="2:4" x14ac:dyDescent="0.2">
      <c r="B91" s="60" t="s">
        <v>457</v>
      </c>
      <c r="C91" s="60" t="s">
        <v>453</v>
      </c>
      <c r="D91" s="60" t="s">
        <v>454</v>
      </c>
    </row>
    <row r="92" spans="2:4" x14ac:dyDescent="0.2">
      <c r="B92" s="369" t="s">
        <v>458</v>
      </c>
      <c r="C92" s="375">
        <v>-0.15</v>
      </c>
      <c r="D92" s="375">
        <v>0</v>
      </c>
    </row>
    <row r="93" spans="2:4" x14ac:dyDescent="0.2">
      <c r="B93" s="376" t="s">
        <v>459</v>
      </c>
      <c r="C93" s="375">
        <v>-0.3</v>
      </c>
      <c r="D93" s="375">
        <v>-0.15</v>
      </c>
    </row>
    <row r="96" spans="2:4" x14ac:dyDescent="0.2">
      <c r="B96" s="60" t="s">
        <v>1359</v>
      </c>
      <c r="C96" s="60" t="s">
        <v>453</v>
      </c>
      <c r="D96" s="60" t="s">
        <v>454</v>
      </c>
    </row>
    <row r="97" spans="2:4" x14ac:dyDescent="0.2">
      <c r="B97" s="376" t="s">
        <v>1360</v>
      </c>
      <c r="C97" s="377">
        <v>3.0000000000000001E-3</v>
      </c>
      <c r="D97" s="377">
        <v>5.0000000000000001E-3</v>
      </c>
    </row>
    <row r="98" spans="2:4" x14ac:dyDescent="0.2">
      <c r="B98" s="376" t="s">
        <v>1361</v>
      </c>
      <c r="C98" s="377">
        <v>1E-3</v>
      </c>
      <c r="D98" s="377">
        <v>3.0000000000000001E-3</v>
      </c>
    </row>
    <row r="99" spans="2:4" x14ac:dyDescent="0.2">
      <c r="B99" s="376" t="s">
        <v>8748</v>
      </c>
      <c r="C99" s="377">
        <v>1E-3</v>
      </c>
      <c r="D99" s="377" t="s">
        <v>105</v>
      </c>
    </row>
  </sheetData>
  <mergeCells count="3">
    <mergeCell ref="H2:I2"/>
    <mergeCell ref="F2:G2"/>
    <mergeCell ref="J2:M2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2CD701-A73A-466D-BA44-F9E651B02062}">
  <sheetPr codeName="Foglio20">
    <tabColor rgb="FFFFFFCC"/>
  </sheetPr>
  <dimension ref="A1:K873"/>
  <sheetViews>
    <sheetView showGridLines="0" zoomScaleNormal="100" workbookViewId="0">
      <pane xSplit="2" ySplit="3" topLeftCell="C173" activePane="bottomRight" state="frozen"/>
      <selection pane="topRight" activeCell="C1" sqref="C1"/>
      <selection pane="bottomLeft" activeCell="A4" sqref="A4"/>
      <selection pane="bottomRight" activeCell="K306" sqref="K306"/>
    </sheetView>
  </sheetViews>
  <sheetFormatPr defaultColWidth="9.109375" defaultRowHeight="10.199999999999999" outlineLevelRow="1" x14ac:dyDescent="0.2"/>
  <cols>
    <col min="1" max="1" width="24.5546875" style="85" bestFit="1" customWidth="1"/>
    <col min="2" max="2" width="54.33203125" style="51" customWidth="1"/>
    <col min="3" max="3" width="11.5546875" style="51" bestFit="1" customWidth="1"/>
    <col min="4" max="4" width="12.5546875" style="51" bestFit="1" customWidth="1"/>
    <col min="5" max="5" width="8.5546875" style="51" bestFit="1" customWidth="1"/>
    <col min="6" max="6" width="9.109375" style="51"/>
    <col min="7" max="7" width="11.44140625" style="51" bestFit="1" customWidth="1"/>
    <col min="8" max="8" width="9.88671875" style="51" bestFit="1" customWidth="1"/>
    <col min="9" max="16384" width="9.109375" style="51"/>
  </cols>
  <sheetData>
    <row r="1" spans="1:5" x14ac:dyDescent="0.2">
      <c r="B1" s="454" t="s">
        <v>2391</v>
      </c>
      <c r="C1" s="61"/>
      <c r="D1" s="61"/>
      <c r="E1" s="61"/>
    </row>
    <row r="2" spans="1:5" x14ac:dyDescent="0.2">
      <c r="C2" s="84"/>
      <c r="D2" s="84"/>
      <c r="E2" s="84"/>
    </row>
    <row r="3" spans="1:5" s="345" customFormat="1" ht="20.399999999999999" x14ac:dyDescent="0.3">
      <c r="A3" s="653" t="s">
        <v>2956</v>
      </c>
      <c r="B3" s="343"/>
      <c r="C3" s="344" t="str">
        <f>Ambiti!B4</f>
        <v>BUSTO ARSIZIO</v>
      </c>
      <c r="D3" s="344" t="str">
        <f>Ambiti!C4</f>
        <v>FAGNANO OLONA</v>
      </c>
      <c r="E3" s="344" t="str">
        <f>Ambiti!D4</f>
        <v>VENEGONO SUPERIORE</v>
      </c>
    </row>
    <row r="5" spans="1:5" ht="11.4" x14ac:dyDescent="0.25">
      <c r="A5" s="652" t="s">
        <v>2994</v>
      </c>
      <c r="B5" s="454" t="s">
        <v>2464</v>
      </c>
    </row>
    <row r="6" spans="1:5" hidden="1" outlineLevel="1" x14ac:dyDescent="0.2">
      <c r="B6" s="79">
        <v>2026</v>
      </c>
    </row>
    <row r="7" spans="1:5" ht="11.4" hidden="1" outlineLevel="1" x14ac:dyDescent="0.25">
      <c r="A7" s="85" t="s">
        <v>2392</v>
      </c>
      <c r="B7" s="198" t="s">
        <v>2410</v>
      </c>
      <c r="C7" s="200">
        <v>0</v>
      </c>
      <c r="D7" s="200">
        <v>0</v>
      </c>
      <c r="E7" s="200">
        <v>0</v>
      </c>
    </row>
    <row r="8" spans="1:5" ht="11.4" hidden="1" outlineLevel="1" x14ac:dyDescent="0.25">
      <c r="A8" s="85" t="s">
        <v>2393</v>
      </c>
      <c r="B8" s="199" t="s">
        <v>2411</v>
      </c>
      <c r="C8" s="201">
        <v>0</v>
      </c>
      <c r="D8" s="201">
        <v>0</v>
      </c>
      <c r="E8" s="201">
        <v>0</v>
      </c>
    </row>
    <row r="9" spans="1:5" ht="11.4" hidden="1" outlineLevel="1" x14ac:dyDescent="0.25">
      <c r="A9" s="85" t="s">
        <v>2394</v>
      </c>
      <c r="B9" s="56" t="s">
        <v>2412</v>
      </c>
      <c r="C9" s="81">
        <f t="shared" ref="C9" si="0">C7+C8</f>
        <v>0</v>
      </c>
      <c r="D9" s="81">
        <f t="shared" ref="D9:E9" si="1">D7+D8</f>
        <v>0</v>
      </c>
      <c r="E9" s="81">
        <f t="shared" si="1"/>
        <v>0</v>
      </c>
    </row>
    <row r="10" spans="1:5" ht="11.4" hidden="1" outlineLevel="1" x14ac:dyDescent="0.25">
      <c r="A10" s="85" t="s">
        <v>2395</v>
      </c>
      <c r="B10" s="198" t="s">
        <v>2413</v>
      </c>
      <c r="C10" s="200">
        <v>0</v>
      </c>
      <c r="D10" s="200">
        <v>0</v>
      </c>
      <c r="E10" s="200">
        <v>0</v>
      </c>
    </row>
    <row r="11" spans="1:5" ht="11.4" hidden="1" outlineLevel="1" x14ac:dyDescent="0.25">
      <c r="A11" s="85" t="s">
        <v>2396</v>
      </c>
      <c r="B11" s="199" t="s">
        <v>2414</v>
      </c>
      <c r="C11" s="201">
        <v>0</v>
      </c>
      <c r="D11" s="201">
        <v>0</v>
      </c>
      <c r="E11" s="201">
        <v>0</v>
      </c>
    </row>
    <row r="12" spans="1:5" ht="11.4" hidden="1" outlineLevel="1" x14ac:dyDescent="0.25">
      <c r="A12" s="85" t="s">
        <v>2397</v>
      </c>
      <c r="B12" s="56" t="s">
        <v>2415</v>
      </c>
      <c r="C12" s="81">
        <f t="shared" ref="C12" si="2">C10+C11</f>
        <v>0</v>
      </c>
      <c r="D12" s="81">
        <f t="shared" ref="D12:E12" si="3">D10+D11</f>
        <v>0</v>
      </c>
      <c r="E12" s="81">
        <f t="shared" si="3"/>
        <v>0</v>
      </c>
    </row>
    <row r="13" spans="1:5" hidden="1" outlineLevel="1" x14ac:dyDescent="0.2"/>
    <row r="14" spans="1:5" ht="11.4" hidden="1" outlineLevel="1" x14ac:dyDescent="0.25">
      <c r="A14" s="85" t="s">
        <v>2398</v>
      </c>
      <c r="B14" s="202" t="s">
        <v>2416</v>
      </c>
      <c r="C14" s="203">
        <f t="shared" ref="C14" si="4">C7+C10</f>
        <v>0</v>
      </c>
      <c r="D14" s="203">
        <f t="shared" ref="D14:E14" si="5">D7+D10</f>
        <v>0</v>
      </c>
      <c r="E14" s="203">
        <f t="shared" si="5"/>
        <v>0</v>
      </c>
    </row>
    <row r="15" spans="1:5" ht="11.4" hidden="1" outlineLevel="1" x14ac:dyDescent="0.25">
      <c r="A15" s="85" t="s">
        <v>2399</v>
      </c>
      <c r="B15" s="204" t="s">
        <v>2417</v>
      </c>
      <c r="C15" s="205">
        <f t="shared" ref="C15" si="6">C8+C11</f>
        <v>0</v>
      </c>
      <c r="D15" s="205">
        <f t="shared" ref="D15:E15" si="7">D8+D11</f>
        <v>0</v>
      </c>
      <c r="E15" s="205">
        <f t="shared" si="7"/>
        <v>0</v>
      </c>
    </row>
    <row r="16" spans="1:5" ht="11.4" hidden="1" outlineLevel="1" x14ac:dyDescent="0.25">
      <c r="A16" s="85" t="s">
        <v>2400</v>
      </c>
      <c r="B16" s="56" t="s">
        <v>2418</v>
      </c>
      <c r="C16" s="81">
        <f t="shared" ref="C16" si="8">C14+C15</f>
        <v>0</v>
      </c>
      <c r="D16" s="81">
        <f t="shared" ref="D16:E16" si="9">D14+D15</f>
        <v>0</v>
      </c>
      <c r="E16" s="81">
        <f t="shared" si="9"/>
        <v>0</v>
      </c>
    </row>
    <row r="17" spans="1:5" hidden="1" outlineLevel="1" x14ac:dyDescent="0.2"/>
    <row r="18" spans="1:5" hidden="1" outlineLevel="1" x14ac:dyDescent="0.2">
      <c r="B18" s="79">
        <v>2027</v>
      </c>
      <c r="C18" s="448"/>
      <c r="D18" s="448"/>
    </row>
    <row r="19" spans="1:5" ht="11.4" hidden="1" outlineLevel="1" x14ac:dyDescent="0.25">
      <c r="A19" s="85" t="s">
        <v>2401</v>
      </c>
      <c r="B19" s="198" t="s">
        <v>2419</v>
      </c>
      <c r="C19" s="200">
        <v>0</v>
      </c>
      <c r="D19" s="200">
        <v>0</v>
      </c>
      <c r="E19" s="200">
        <v>0</v>
      </c>
    </row>
    <row r="20" spans="1:5" ht="11.4" hidden="1" outlineLevel="1" x14ac:dyDescent="0.25">
      <c r="A20" s="85" t="s">
        <v>2402</v>
      </c>
      <c r="B20" s="199" t="s">
        <v>2420</v>
      </c>
      <c r="C20" s="201">
        <v>0</v>
      </c>
      <c r="D20" s="201">
        <v>0</v>
      </c>
      <c r="E20" s="201">
        <v>0</v>
      </c>
    </row>
    <row r="21" spans="1:5" ht="11.4" hidden="1" outlineLevel="1" x14ac:dyDescent="0.25">
      <c r="A21" s="85" t="s">
        <v>2403</v>
      </c>
      <c r="B21" s="56" t="s">
        <v>2421</v>
      </c>
      <c r="C21" s="81">
        <f t="shared" ref="C21" si="10">C19+C20</f>
        <v>0</v>
      </c>
      <c r="D21" s="81">
        <f t="shared" ref="D21:E21" si="11">D19+D20</f>
        <v>0</v>
      </c>
      <c r="E21" s="81">
        <f t="shared" si="11"/>
        <v>0</v>
      </c>
    </row>
    <row r="22" spans="1:5" ht="11.4" hidden="1" outlineLevel="1" x14ac:dyDescent="0.25">
      <c r="A22" s="85" t="s">
        <v>2404</v>
      </c>
      <c r="B22" s="198" t="s">
        <v>2422</v>
      </c>
      <c r="C22" s="200">
        <v>0</v>
      </c>
      <c r="D22" s="200">
        <v>0</v>
      </c>
      <c r="E22" s="200">
        <v>0</v>
      </c>
    </row>
    <row r="23" spans="1:5" ht="11.4" hidden="1" outlineLevel="1" x14ac:dyDescent="0.25">
      <c r="A23" s="85" t="s">
        <v>2405</v>
      </c>
      <c r="B23" s="199" t="s">
        <v>2423</v>
      </c>
      <c r="C23" s="201">
        <v>0</v>
      </c>
      <c r="D23" s="201">
        <v>0</v>
      </c>
      <c r="E23" s="201">
        <v>0</v>
      </c>
    </row>
    <row r="24" spans="1:5" ht="11.4" hidden="1" outlineLevel="1" x14ac:dyDescent="0.25">
      <c r="A24" s="85" t="s">
        <v>2406</v>
      </c>
      <c r="B24" s="56" t="s">
        <v>2424</v>
      </c>
      <c r="C24" s="81">
        <f t="shared" ref="C24" si="12">C22+C23</f>
        <v>0</v>
      </c>
      <c r="D24" s="81">
        <f t="shared" ref="D24:E24" si="13">D22+D23</f>
        <v>0</v>
      </c>
      <c r="E24" s="81">
        <f t="shared" si="13"/>
        <v>0</v>
      </c>
    </row>
    <row r="25" spans="1:5" hidden="1" outlineLevel="1" x14ac:dyDescent="0.2"/>
    <row r="26" spans="1:5" ht="11.4" hidden="1" outlineLevel="1" x14ac:dyDescent="0.25">
      <c r="A26" s="85" t="s">
        <v>2407</v>
      </c>
      <c r="B26" s="202" t="s">
        <v>2425</v>
      </c>
      <c r="C26" s="203">
        <f t="shared" ref="C26" si="14">C19+C22</f>
        <v>0</v>
      </c>
      <c r="D26" s="203">
        <f t="shared" ref="D26:E26" si="15">D19+D22</f>
        <v>0</v>
      </c>
      <c r="E26" s="203">
        <f t="shared" si="15"/>
        <v>0</v>
      </c>
    </row>
    <row r="27" spans="1:5" ht="11.4" hidden="1" outlineLevel="1" x14ac:dyDescent="0.25">
      <c r="A27" s="85" t="s">
        <v>2408</v>
      </c>
      <c r="B27" s="204" t="s">
        <v>2426</v>
      </c>
      <c r="C27" s="205">
        <f t="shared" ref="C27" si="16">C20+C23</f>
        <v>0</v>
      </c>
      <c r="D27" s="205">
        <f t="shared" ref="D27:E27" si="17">D20+D23</f>
        <v>0</v>
      </c>
      <c r="E27" s="205">
        <f t="shared" si="17"/>
        <v>0</v>
      </c>
    </row>
    <row r="28" spans="1:5" ht="11.4" hidden="1" outlineLevel="1" x14ac:dyDescent="0.25">
      <c r="A28" s="85" t="s">
        <v>2409</v>
      </c>
      <c r="B28" s="56" t="s">
        <v>2427</v>
      </c>
      <c r="C28" s="81">
        <f t="shared" ref="C28" si="18">C26+C27</f>
        <v>0</v>
      </c>
      <c r="D28" s="81">
        <f t="shared" ref="D28:E28" si="19">D26+D27</f>
        <v>0</v>
      </c>
      <c r="E28" s="81">
        <f t="shared" si="19"/>
        <v>0</v>
      </c>
    </row>
    <row r="29" spans="1:5" hidden="1" outlineLevel="1" x14ac:dyDescent="0.2">
      <c r="B29" s="82"/>
      <c r="C29" s="83"/>
      <c r="D29" s="83"/>
      <c r="E29" s="83"/>
    </row>
    <row r="30" spans="1:5" hidden="1" outlineLevel="1" x14ac:dyDescent="0.2">
      <c r="B30" s="79">
        <v>2028</v>
      </c>
    </row>
    <row r="31" spans="1:5" ht="11.4" hidden="1" outlineLevel="1" x14ac:dyDescent="0.25">
      <c r="A31" s="85" t="s">
        <v>2428</v>
      </c>
      <c r="B31" s="198" t="s">
        <v>2446</v>
      </c>
      <c r="C31" s="200">
        <v>0</v>
      </c>
      <c r="D31" s="200">
        <v>0</v>
      </c>
      <c r="E31" s="200">
        <v>0</v>
      </c>
    </row>
    <row r="32" spans="1:5" ht="11.4" hidden="1" outlineLevel="1" x14ac:dyDescent="0.25">
      <c r="A32" s="85" t="s">
        <v>2429</v>
      </c>
      <c r="B32" s="199" t="s">
        <v>2447</v>
      </c>
      <c r="C32" s="201">
        <v>0</v>
      </c>
      <c r="D32" s="201">
        <v>0</v>
      </c>
      <c r="E32" s="201">
        <v>0</v>
      </c>
    </row>
    <row r="33" spans="1:5" ht="11.4" hidden="1" outlineLevel="1" x14ac:dyDescent="0.25">
      <c r="A33" s="85" t="s">
        <v>2430</v>
      </c>
      <c r="B33" s="56" t="s">
        <v>2448</v>
      </c>
      <c r="C33" s="81">
        <f t="shared" ref="C33" si="20">C31+C32</f>
        <v>0</v>
      </c>
      <c r="D33" s="81">
        <f t="shared" ref="D33:E33" si="21">D31+D32</f>
        <v>0</v>
      </c>
      <c r="E33" s="81">
        <f t="shared" si="21"/>
        <v>0</v>
      </c>
    </row>
    <row r="34" spans="1:5" ht="11.4" hidden="1" outlineLevel="1" x14ac:dyDescent="0.25">
      <c r="A34" s="85" t="s">
        <v>2431</v>
      </c>
      <c r="B34" s="198" t="s">
        <v>2449</v>
      </c>
      <c r="C34" s="200">
        <v>0</v>
      </c>
      <c r="D34" s="200">
        <v>0</v>
      </c>
      <c r="E34" s="200">
        <v>0</v>
      </c>
    </row>
    <row r="35" spans="1:5" ht="11.4" hidden="1" outlineLevel="1" x14ac:dyDescent="0.25">
      <c r="A35" s="85" t="s">
        <v>2432</v>
      </c>
      <c r="B35" s="199" t="s">
        <v>2450</v>
      </c>
      <c r="C35" s="201">
        <v>0</v>
      </c>
      <c r="D35" s="201">
        <v>0</v>
      </c>
      <c r="E35" s="201">
        <v>0</v>
      </c>
    </row>
    <row r="36" spans="1:5" ht="11.4" hidden="1" outlineLevel="1" x14ac:dyDescent="0.25">
      <c r="A36" s="85" t="s">
        <v>2433</v>
      </c>
      <c r="B36" s="56" t="s">
        <v>2451</v>
      </c>
      <c r="C36" s="81">
        <f t="shared" ref="C36" si="22">C34+C35</f>
        <v>0</v>
      </c>
      <c r="D36" s="81">
        <f t="shared" ref="D36:E36" si="23">D34+D35</f>
        <v>0</v>
      </c>
      <c r="E36" s="81">
        <f t="shared" si="23"/>
        <v>0</v>
      </c>
    </row>
    <row r="37" spans="1:5" hidden="1" outlineLevel="1" x14ac:dyDescent="0.2"/>
    <row r="38" spans="1:5" ht="11.4" hidden="1" outlineLevel="1" x14ac:dyDescent="0.25">
      <c r="A38" s="85" t="s">
        <v>2434</v>
      </c>
      <c r="B38" s="202" t="s">
        <v>2452</v>
      </c>
      <c r="C38" s="203">
        <f t="shared" ref="C38" si="24">C31+C34</f>
        <v>0</v>
      </c>
      <c r="D38" s="203">
        <f t="shared" ref="D38:E38" si="25">D31+D34</f>
        <v>0</v>
      </c>
      <c r="E38" s="203">
        <f t="shared" si="25"/>
        <v>0</v>
      </c>
    </row>
    <row r="39" spans="1:5" ht="11.4" hidden="1" outlineLevel="1" x14ac:dyDescent="0.25">
      <c r="A39" s="85" t="s">
        <v>2435</v>
      </c>
      <c r="B39" s="204" t="s">
        <v>2453</v>
      </c>
      <c r="C39" s="205">
        <f t="shared" ref="C39" si="26">C32+C35</f>
        <v>0</v>
      </c>
      <c r="D39" s="205">
        <f t="shared" ref="D39:E39" si="27">D32+D35</f>
        <v>0</v>
      </c>
      <c r="E39" s="205">
        <f t="shared" si="27"/>
        <v>0</v>
      </c>
    </row>
    <row r="40" spans="1:5" ht="11.4" hidden="1" outlineLevel="1" x14ac:dyDescent="0.25">
      <c r="A40" s="85" t="s">
        <v>2436</v>
      </c>
      <c r="B40" s="56" t="s">
        <v>2454</v>
      </c>
      <c r="C40" s="81">
        <f t="shared" ref="C40" si="28">C38+C39</f>
        <v>0</v>
      </c>
      <c r="D40" s="81">
        <f t="shared" ref="D40:E40" si="29">D38+D39</f>
        <v>0</v>
      </c>
      <c r="E40" s="81">
        <f t="shared" si="29"/>
        <v>0</v>
      </c>
    </row>
    <row r="41" spans="1:5" hidden="1" outlineLevel="1" x14ac:dyDescent="0.2"/>
    <row r="42" spans="1:5" hidden="1" outlineLevel="1" x14ac:dyDescent="0.2">
      <c r="B42" s="79">
        <v>2029</v>
      </c>
      <c r="C42" s="448"/>
      <c r="D42" s="448"/>
    </row>
    <row r="43" spans="1:5" ht="11.4" hidden="1" outlineLevel="1" x14ac:dyDescent="0.25">
      <c r="A43" s="85" t="s">
        <v>2437</v>
      </c>
      <c r="B43" s="198" t="s">
        <v>2455</v>
      </c>
      <c r="C43" s="200">
        <v>0</v>
      </c>
      <c r="D43" s="200">
        <v>0</v>
      </c>
      <c r="E43" s="200">
        <v>0</v>
      </c>
    </row>
    <row r="44" spans="1:5" ht="11.4" hidden="1" outlineLevel="1" x14ac:dyDescent="0.25">
      <c r="A44" s="85" t="s">
        <v>2438</v>
      </c>
      <c r="B44" s="199" t="s">
        <v>2456</v>
      </c>
      <c r="C44" s="201">
        <v>0</v>
      </c>
      <c r="D44" s="201">
        <v>0</v>
      </c>
      <c r="E44" s="201">
        <v>0</v>
      </c>
    </row>
    <row r="45" spans="1:5" ht="11.4" hidden="1" outlineLevel="1" x14ac:dyDescent="0.25">
      <c r="A45" s="85" t="s">
        <v>2439</v>
      </c>
      <c r="B45" s="56" t="s">
        <v>2457</v>
      </c>
      <c r="C45" s="81">
        <f t="shared" ref="C45" si="30">C43+C44</f>
        <v>0</v>
      </c>
      <c r="D45" s="81">
        <f t="shared" ref="D45:E45" si="31">D43+D44</f>
        <v>0</v>
      </c>
      <c r="E45" s="81">
        <f t="shared" si="31"/>
        <v>0</v>
      </c>
    </row>
    <row r="46" spans="1:5" ht="11.4" hidden="1" outlineLevel="1" x14ac:dyDescent="0.25">
      <c r="A46" s="85" t="s">
        <v>2440</v>
      </c>
      <c r="B46" s="198" t="s">
        <v>2458</v>
      </c>
      <c r="C46" s="200">
        <v>0</v>
      </c>
      <c r="D46" s="200">
        <v>0</v>
      </c>
      <c r="E46" s="200">
        <v>0</v>
      </c>
    </row>
    <row r="47" spans="1:5" ht="11.4" hidden="1" outlineLevel="1" x14ac:dyDescent="0.25">
      <c r="A47" s="85" t="s">
        <v>2441</v>
      </c>
      <c r="B47" s="199" t="s">
        <v>2459</v>
      </c>
      <c r="C47" s="201">
        <v>0</v>
      </c>
      <c r="D47" s="201">
        <v>0</v>
      </c>
      <c r="E47" s="201">
        <v>0</v>
      </c>
    </row>
    <row r="48" spans="1:5" ht="11.4" hidden="1" outlineLevel="1" x14ac:dyDescent="0.25">
      <c r="A48" s="85" t="s">
        <v>2442</v>
      </c>
      <c r="B48" s="56" t="s">
        <v>2460</v>
      </c>
      <c r="C48" s="81">
        <f t="shared" ref="C48" si="32">C46+C47</f>
        <v>0</v>
      </c>
      <c r="D48" s="81">
        <f t="shared" ref="D48:E48" si="33">D46+D47</f>
        <v>0</v>
      </c>
      <c r="E48" s="81">
        <f t="shared" si="33"/>
        <v>0</v>
      </c>
    </row>
    <row r="49" spans="1:5" hidden="1" outlineLevel="1" x14ac:dyDescent="0.2"/>
    <row r="50" spans="1:5" ht="11.4" hidden="1" outlineLevel="1" x14ac:dyDescent="0.25">
      <c r="A50" s="85" t="s">
        <v>2443</v>
      </c>
      <c r="B50" s="202" t="s">
        <v>2461</v>
      </c>
      <c r="C50" s="203">
        <f t="shared" ref="C50" si="34">C43+C46</f>
        <v>0</v>
      </c>
      <c r="D50" s="203">
        <f t="shared" ref="D50:E50" si="35">D43+D46</f>
        <v>0</v>
      </c>
      <c r="E50" s="203">
        <f t="shared" si="35"/>
        <v>0</v>
      </c>
    </row>
    <row r="51" spans="1:5" ht="11.4" hidden="1" outlineLevel="1" x14ac:dyDescent="0.25">
      <c r="A51" s="85" t="s">
        <v>2444</v>
      </c>
      <c r="B51" s="204" t="s">
        <v>2462</v>
      </c>
      <c r="C51" s="205">
        <f t="shared" ref="C51" si="36">C44+C47</f>
        <v>0</v>
      </c>
      <c r="D51" s="205">
        <f t="shared" ref="D51:E51" si="37">D44+D47</f>
        <v>0</v>
      </c>
      <c r="E51" s="205">
        <f t="shared" si="37"/>
        <v>0</v>
      </c>
    </row>
    <row r="52" spans="1:5" ht="11.4" hidden="1" outlineLevel="1" x14ac:dyDescent="0.25">
      <c r="A52" s="85" t="s">
        <v>2445</v>
      </c>
      <c r="B52" s="56" t="s">
        <v>2463</v>
      </c>
      <c r="C52" s="81">
        <f t="shared" ref="C52" si="38">C50+C51</f>
        <v>0</v>
      </c>
      <c r="D52" s="81">
        <f t="shared" ref="D52:E52" si="39">D50+D51</f>
        <v>0</v>
      </c>
      <c r="E52" s="81">
        <f t="shared" si="39"/>
        <v>0</v>
      </c>
    </row>
    <row r="53" spans="1:5" collapsed="1" x14ac:dyDescent="0.2"/>
    <row r="54" spans="1:5" ht="11.4" x14ac:dyDescent="0.25">
      <c r="A54" s="652" t="s">
        <v>2995</v>
      </c>
      <c r="B54" s="454" t="s">
        <v>2465</v>
      </c>
    </row>
    <row r="55" spans="1:5" hidden="1" outlineLevel="1" x14ac:dyDescent="0.2">
      <c r="B55" s="79">
        <v>2026</v>
      </c>
    </row>
    <row r="56" spans="1:5" ht="11.4" hidden="1" outlineLevel="1" x14ac:dyDescent="0.25">
      <c r="A56" s="85" t="s">
        <v>2466</v>
      </c>
      <c r="B56" s="648" t="s">
        <v>2478</v>
      </c>
      <c r="C56" s="649">
        <v>0</v>
      </c>
      <c r="D56" s="649">
        <v>0</v>
      </c>
      <c r="E56" s="649">
        <v>0</v>
      </c>
    </row>
    <row r="57" spans="1:5" ht="11.4" hidden="1" outlineLevel="1" x14ac:dyDescent="0.25">
      <c r="A57" s="85" t="s">
        <v>2467</v>
      </c>
      <c r="B57" s="650" t="s">
        <v>2479</v>
      </c>
      <c r="C57" s="651">
        <v>0</v>
      </c>
      <c r="D57" s="651">
        <v>0</v>
      </c>
      <c r="E57" s="651">
        <v>0</v>
      </c>
    </row>
    <row r="58" spans="1:5" ht="11.4" hidden="1" outlineLevel="1" x14ac:dyDescent="0.25">
      <c r="A58" s="85" t="s">
        <v>2468</v>
      </c>
      <c r="B58" s="56" t="s">
        <v>2480</v>
      </c>
      <c r="C58" s="81">
        <f t="shared" ref="C58" si="40">C56+C57</f>
        <v>0</v>
      </c>
      <c r="D58" s="81">
        <f t="shared" ref="D58:E58" si="41">D56+D57</f>
        <v>0</v>
      </c>
      <c r="E58" s="81">
        <f t="shared" si="41"/>
        <v>0</v>
      </c>
    </row>
    <row r="59" spans="1:5" hidden="1" outlineLevel="1" x14ac:dyDescent="0.2"/>
    <row r="60" spans="1:5" hidden="1" outlineLevel="1" x14ac:dyDescent="0.2">
      <c r="B60" s="79">
        <v>2027</v>
      </c>
      <c r="C60" s="448"/>
      <c r="D60" s="448"/>
    </row>
    <row r="61" spans="1:5" ht="11.4" hidden="1" outlineLevel="1" x14ac:dyDescent="0.25">
      <c r="A61" s="85" t="s">
        <v>2469</v>
      </c>
      <c r="B61" s="648" t="s">
        <v>2481</v>
      </c>
      <c r="C61" s="649">
        <v>0</v>
      </c>
      <c r="D61" s="649">
        <v>0</v>
      </c>
      <c r="E61" s="649">
        <v>0</v>
      </c>
    </row>
    <row r="62" spans="1:5" ht="11.4" hidden="1" outlineLevel="1" x14ac:dyDescent="0.25">
      <c r="A62" s="85" t="s">
        <v>2470</v>
      </c>
      <c r="B62" s="650" t="s">
        <v>2482</v>
      </c>
      <c r="C62" s="651">
        <v>0</v>
      </c>
      <c r="D62" s="651">
        <v>0</v>
      </c>
      <c r="E62" s="651">
        <v>0</v>
      </c>
    </row>
    <row r="63" spans="1:5" ht="11.4" hidden="1" outlineLevel="1" x14ac:dyDescent="0.25">
      <c r="A63" s="85" t="s">
        <v>2471</v>
      </c>
      <c r="B63" s="56" t="s">
        <v>2483</v>
      </c>
      <c r="C63" s="81">
        <f t="shared" ref="C63" si="42">C61+C62</f>
        <v>0</v>
      </c>
      <c r="D63" s="81">
        <f t="shared" ref="D63:E63" si="43">D61+D62</f>
        <v>0</v>
      </c>
      <c r="E63" s="81">
        <f t="shared" si="43"/>
        <v>0</v>
      </c>
    </row>
    <row r="64" spans="1:5" hidden="1" outlineLevel="1" x14ac:dyDescent="0.2"/>
    <row r="65" spans="1:5" hidden="1" outlineLevel="1" x14ac:dyDescent="0.2">
      <c r="B65" s="79">
        <v>2028</v>
      </c>
    </row>
    <row r="66" spans="1:5" ht="11.4" hidden="1" outlineLevel="1" x14ac:dyDescent="0.25">
      <c r="A66" s="85" t="s">
        <v>2472</v>
      </c>
      <c r="B66" s="648" t="s">
        <v>2484</v>
      </c>
      <c r="C66" s="649">
        <v>0</v>
      </c>
      <c r="D66" s="649">
        <v>0</v>
      </c>
      <c r="E66" s="649">
        <v>0</v>
      </c>
    </row>
    <row r="67" spans="1:5" ht="11.4" hidden="1" outlineLevel="1" x14ac:dyDescent="0.25">
      <c r="A67" s="85" t="s">
        <v>2473</v>
      </c>
      <c r="B67" s="650" t="s">
        <v>2485</v>
      </c>
      <c r="C67" s="651">
        <v>0</v>
      </c>
      <c r="D67" s="651">
        <v>0</v>
      </c>
      <c r="E67" s="651">
        <v>0</v>
      </c>
    </row>
    <row r="68" spans="1:5" ht="11.4" hidden="1" outlineLevel="1" x14ac:dyDescent="0.25">
      <c r="A68" s="85" t="s">
        <v>2474</v>
      </c>
      <c r="B68" s="56" t="s">
        <v>2486</v>
      </c>
      <c r="C68" s="81">
        <f t="shared" ref="C68" si="44">C66+C67</f>
        <v>0</v>
      </c>
      <c r="D68" s="81">
        <f t="shared" ref="D68:E68" si="45">D66+D67</f>
        <v>0</v>
      </c>
      <c r="E68" s="81">
        <f t="shared" si="45"/>
        <v>0</v>
      </c>
    </row>
    <row r="69" spans="1:5" hidden="1" outlineLevel="1" x14ac:dyDescent="0.2"/>
    <row r="70" spans="1:5" hidden="1" outlineLevel="1" x14ac:dyDescent="0.2">
      <c r="B70" s="79">
        <v>2029</v>
      </c>
      <c r="C70" s="448"/>
      <c r="D70" s="448"/>
    </row>
    <row r="71" spans="1:5" ht="11.4" hidden="1" outlineLevel="1" x14ac:dyDescent="0.25">
      <c r="A71" s="85" t="s">
        <v>2475</v>
      </c>
      <c r="B71" s="648" t="s">
        <v>2487</v>
      </c>
      <c r="C71" s="649">
        <v>0</v>
      </c>
      <c r="D71" s="649">
        <v>0</v>
      </c>
      <c r="E71" s="649">
        <v>0</v>
      </c>
    </row>
    <row r="72" spans="1:5" ht="11.4" hidden="1" outlineLevel="1" x14ac:dyDescent="0.25">
      <c r="A72" s="85" t="s">
        <v>2476</v>
      </c>
      <c r="B72" s="650" t="s">
        <v>2488</v>
      </c>
      <c r="C72" s="651">
        <v>0</v>
      </c>
      <c r="D72" s="651">
        <v>0</v>
      </c>
      <c r="E72" s="651">
        <v>0</v>
      </c>
    </row>
    <row r="73" spans="1:5" ht="11.4" hidden="1" outlineLevel="1" x14ac:dyDescent="0.25">
      <c r="A73" s="85" t="s">
        <v>2477</v>
      </c>
      <c r="B73" s="56" t="s">
        <v>2489</v>
      </c>
      <c r="C73" s="81">
        <f t="shared" ref="C73" si="46">C71+C72</f>
        <v>0</v>
      </c>
      <c r="D73" s="81">
        <f t="shared" ref="D73:E73" si="47">D71+D72</f>
        <v>0</v>
      </c>
      <c r="E73" s="81">
        <f t="shared" si="47"/>
        <v>0</v>
      </c>
    </row>
    <row r="74" spans="1:5" collapsed="1" x14ac:dyDescent="0.2"/>
    <row r="75" spans="1:5" ht="12" x14ac:dyDescent="0.25">
      <c r="A75" s="652" t="s">
        <v>2996</v>
      </c>
      <c r="B75" s="454" t="s">
        <v>544</v>
      </c>
    </row>
    <row r="76" spans="1:5" hidden="1" outlineLevel="1" x14ac:dyDescent="0.2">
      <c r="B76" s="79">
        <v>2026</v>
      </c>
    </row>
    <row r="77" spans="1:5" ht="12" hidden="1" outlineLevel="1" x14ac:dyDescent="0.25">
      <c r="A77" s="85" t="s">
        <v>1829</v>
      </c>
      <c r="B77" s="449" t="s">
        <v>1877</v>
      </c>
      <c r="C77" s="206">
        <f>INDEX(IN_RC_ANT!$A$3:$E$160,MATCH($A77,IN_RC_ANT!$A$3:$A$157,0),MATCH(C$3,IN_RC_ANT!$A$3:$E$3,0))</f>
        <v>0</v>
      </c>
      <c r="D77" s="206">
        <f>INDEX(IN_RC_ANT!$A$3:$E$160,MATCH($A77,IN_RC_ANT!$A$3:$A$157,0),MATCH(D$3,IN_RC_ANT!$A$3:$E$3,0))</f>
        <v>0</v>
      </c>
      <c r="E77" s="206">
        <f>INDEX(IN_RC_ANT!$A$3:$E$160,MATCH($A77,IN_RC_ANT!$A$3:$A$157,0),MATCH(E$3,IN_RC_ANT!$A$3:$E$3,0))</f>
        <v>0</v>
      </c>
    </row>
    <row r="78" spans="1:5" ht="12" hidden="1" outlineLevel="1" x14ac:dyDescent="0.25">
      <c r="A78" s="85" t="s">
        <v>1830</v>
      </c>
      <c r="B78" s="445" t="s">
        <v>1878</v>
      </c>
      <c r="C78" s="208">
        <f>INDEX(IN_RC_ANT!$A$3:$E$160,MATCH($A78,IN_RC_ANT!$A$3:$A$157,0),MATCH(C$3,IN_RC_ANT!$A$3:$E$3,0))</f>
        <v>0</v>
      </c>
      <c r="D78" s="208">
        <f>INDEX(IN_RC_ANT!$A$3:$E$160,MATCH($A78,IN_RC_ANT!$A$3:$A$157,0),MATCH(D$3,IN_RC_ANT!$A$3:$E$3,0))</f>
        <v>0</v>
      </c>
      <c r="E78" s="208">
        <f>INDEX(IN_RC_ANT!$A$3:$E$160,MATCH($A78,IN_RC_ANT!$A$3:$A$157,0),MATCH(E$3,IN_RC_ANT!$A$3:$E$3,0))</f>
        <v>0</v>
      </c>
    </row>
    <row r="79" spans="1:5" ht="12" hidden="1" outlineLevel="1" x14ac:dyDescent="0.25">
      <c r="A79" s="85" t="s">
        <v>1831</v>
      </c>
      <c r="B79" s="56" t="s">
        <v>1879</v>
      </c>
      <c r="C79" s="81">
        <f t="shared" ref="C79:D79" si="48">C77+C78</f>
        <v>0</v>
      </c>
      <c r="D79" s="81">
        <f t="shared" si="48"/>
        <v>0</v>
      </c>
      <c r="E79" s="81">
        <f t="shared" ref="E79" si="49">E77+E78</f>
        <v>0</v>
      </c>
    </row>
    <row r="80" spans="1:5" ht="12" hidden="1" outlineLevel="1" x14ac:dyDescent="0.25">
      <c r="A80" s="85" t="s">
        <v>1832</v>
      </c>
      <c r="B80" s="449" t="s">
        <v>1880</v>
      </c>
      <c r="C80" s="206">
        <f>INDEX(IN_RC_ANT!$A$3:$E$160,MATCH($A80,IN_RC_ANT!$A$3:$A$157,0),MATCH(C$3,IN_RC_ANT!$A$3:$E$3,0))</f>
        <v>0</v>
      </c>
      <c r="D80" s="206">
        <f>INDEX(IN_RC_ANT!$A$3:$E$160,MATCH($A80,IN_RC_ANT!$A$3:$A$157,0),MATCH(D$3,IN_RC_ANT!$A$3:$E$3,0))</f>
        <v>0</v>
      </c>
      <c r="E80" s="206">
        <f>INDEX(IN_RC_ANT!$A$3:$E$160,MATCH($A80,IN_RC_ANT!$A$3:$A$157,0),MATCH(E$3,IN_RC_ANT!$A$3:$E$3,0))</f>
        <v>0</v>
      </c>
    </row>
    <row r="81" spans="1:5" ht="12" hidden="1" outlineLevel="1" x14ac:dyDescent="0.25">
      <c r="A81" s="85" t="s">
        <v>1833</v>
      </c>
      <c r="B81" s="445" t="s">
        <v>1881</v>
      </c>
      <c r="C81" s="208">
        <f>INDEX(IN_RC_ANT!$A$3:$E$160,MATCH($A81,IN_RC_ANT!$A$3:$A$157,0),MATCH(C$3,IN_RC_ANT!$A$3:$E$3,0))</f>
        <v>0</v>
      </c>
      <c r="D81" s="208">
        <f>INDEX(IN_RC_ANT!$A$3:$E$160,MATCH($A81,IN_RC_ANT!$A$3:$A$157,0),MATCH(D$3,IN_RC_ANT!$A$3:$E$3,0))</f>
        <v>0</v>
      </c>
      <c r="E81" s="208">
        <f>INDEX(IN_RC_ANT!$A$3:$E$160,MATCH($A81,IN_RC_ANT!$A$3:$A$157,0),MATCH(E$3,IN_RC_ANT!$A$3:$E$3,0))</f>
        <v>0</v>
      </c>
    </row>
    <row r="82" spans="1:5" ht="12" hidden="1" outlineLevel="1" x14ac:dyDescent="0.25">
      <c r="A82" s="85" t="s">
        <v>1834</v>
      </c>
      <c r="B82" s="56" t="s">
        <v>1882</v>
      </c>
      <c r="C82" s="81">
        <f t="shared" ref="C82:D82" si="50">C80+C81</f>
        <v>0</v>
      </c>
      <c r="D82" s="81">
        <f t="shared" si="50"/>
        <v>0</v>
      </c>
      <c r="E82" s="81">
        <f t="shared" ref="E82" si="51">E80+E81</f>
        <v>0</v>
      </c>
    </row>
    <row r="83" spans="1:5" hidden="1" outlineLevel="1" x14ac:dyDescent="0.2"/>
    <row r="84" spans="1:5" ht="12" hidden="1" outlineLevel="1" x14ac:dyDescent="0.25">
      <c r="A84" s="85" t="s">
        <v>1835</v>
      </c>
      <c r="B84" s="202" t="s">
        <v>1883</v>
      </c>
      <c r="C84" s="203">
        <f t="shared" ref="C84:D85" si="52">C77+C80</f>
        <v>0</v>
      </c>
      <c r="D84" s="203">
        <f t="shared" si="52"/>
        <v>0</v>
      </c>
      <c r="E84" s="203">
        <f t="shared" ref="E84" si="53">E77+E80</f>
        <v>0</v>
      </c>
    </row>
    <row r="85" spans="1:5" ht="12" hidden="1" outlineLevel="1" x14ac:dyDescent="0.25">
      <c r="A85" s="85" t="s">
        <v>1836</v>
      </c>
      <c r="B85" s="204" t="s">
        <v>1884</v>
      </c>
      <c r="C85" s="205">
        <f t="shared" si="52"/>
        <v>0</v>
      </c>
      <c r="D85" s="205">
        <f t="shared" si="52"/>
        <v>0</v>
      </c>
      <c r="E85" s="205">
        <f t="shared" ref="E85" si="54">E78+E81</f>
        <v>0</v>
      </c>
    </row>
    <row r="86" spans="1:5" ht="12" hidden="1" outlineLevel="1" x14ac:dyDescent="0.25">
      <c r="A86" s="85" t="s">
        <v>1837</v>
      </c>
      <c r="B86" s="56" t="s">
        <v>1885</v>
      </c>
      <c r="C86" s="81">
        <f t="shared" ref="C86:D86" si="55">C84+C85</f>
        <v>0</v>
      </c>
      <c r="D86" s="81">
        <f t="shared" si="55"/>
        <v>0</v>
      </c>
      <c r="E86" s="81">
        <f t="shared" ref="E86" si="56">E84+E85</f>
        <v>0</v>
      </c>
    </row>
    <row r="87" spans="1:5" hidden="1" outlineLevel="1" x14ac:dyDescent="0.2"/>
    <row r="88" spans="1:5" hidden="1" outlineLevel="1" x14ac:dyDescent="0.2">
      <c r="B88" s="79">
        <v>2027</v>
      </c>
    </row>
    <row r="89" spans="1:5" ht="12" hidden="1" outlineLevel="1" x14ac:dyDescent="0.25">
      <c r="A89" s="85" t="s">
        <v>1850</v>
      </c>
      <c r="B89" s="449" t="s">
        <v>1904</v>
      </c>
      <c r="C89" s="206">
        <f>INDEX(IN_RC_ANT!$A$3:$E$160,MATCH($A89,IN_RC_ANT!$A$3:$A$157,0),MATCH(C$3,IN_RC_ANT!$A$3:$E$3,0))</f>
        <v>0</v>
      </c>
      <c r="D89" s="206">
        <f>INDEX(IN_RC_ANT!$A$3:$E$160,MATCH($A89,IN_RC_ANT!$A$3:$A$157,0),MATCH(D$3,IN_RC_ANT!$A$3:$E$3,0))</f>
        <v>0</v>
      </c>
      <c r="E89" s="206">
        <f>INDEX(IN_RC_ANT!$A$3:$E$160,MATCH($A89,IN_RC_ANT!$A$3:$A$157,0),MATCH(E$3,IN_RC_ANT!$A$3:$E$3,0))</f>
        <v>0</v>
      </c>
    </row>
    <row r="90" spans="1:5" ht="12" hidden="1" outlineLevel="1" x14ac:dyDescent="0.25">
      <c r="A90" s="85" t="s">
        <v>1851</v>
      </c>
      <c r="B90" s="445" t="s">
        <v>1905</v>
      </c>
      <c r="C90" s="208">
        <f>INDEX(IN_RC_ANT!$A$3:$E$160,MATCH($A90,IN_RC_ANT!$A$3:$A$157,0),MATCH(C$3,IN_RC_ANT!$A$3:$E$3,0))</f>
        <v>0</v>
      </c>
      <c r="D90" s="208">
        <f>INDEX(IN_RC_ANT!$A$3:$E$160,MATCH($A90,IN_RC_ANT!$A$3:$A$157,0),MATCH(D$3,IN_RC_ANT!$A$3:$E$3,0))</f>
        <v>0</v>
      </c>
      <c r="E90" s="208">
        <f>INDEX(IN_RC_ANT!$A$3:$E$160,MATCH($A90,IN_RC_ANT!$A$3:$A$157,0),MATCH(E$3,IN_RC_ANT!$A$3:$E$3,0))</f>
        <v>0</v>
      </c>
    </row>
    <row r="91" spans="1:5" ht="12" hidden="1" outlineLevel="1" x14ac:dyDescent="0.25">
      <c r="A91" s="85" t="s">
        <v>1852</v>
      </c>
      <c r="B91" s="56" t="s">
        <v>1906</v>
      </c>
      <c r="C91" s="81">
        <f t="shared" ref="C91" si="57">C89+C90</f>
        <v>0</v>
      </c>
      <c r="D91" s="81">
        <f t="shared" ref="D91:E91" si="58">D89+D90</f>
        <v>0</v>
      </c>
      <c r="E91" s="81">
        <f t="shared" si="58"/>
        <v>0</v>
      </c>
    </row>
    <row r="92" spans="1:5" ht="12" hidden="1" outlineLevel="1" x14ac:dyDescent="0.25">
      <c r="A92" s="85" t="s">
        <v>1853</v>
      </c>
      <c r="B92" s="449" t="s">
        <v>1907</v>
      </c>
      <c r="C92" s="206">
        <f>INDEX(IN_RC_ANT!$A$3:$E$160,MATCH($A92,IN_RC_ANT!$A$3:$A$157,0),MATCH(C$3,IN_RC_ANT!$A$3:$E$3,0))</f>
        <v>0</v>
      </c>
      <c r="D92" s="206">
        <f>INDEX(IN_RC_ANT!$A$3:$E$160,MATCH($A92,IN_RC_ANT!$A$3:$A$157,0),MATCH(D$3,IN_RC_ANT!$A$3:$E$3,0))</f>
        <v>0</v>
      </c>
      <c r="E92" s="206">
        <f>INDEX(IN_RC_ANT!$A$3:$E$160,MATCH($A92,IN_RC_ANT!$A$3:$A$157,0),MATCH(E$3,IN_RC_ANT!$A$3:$E$3,0))</f>
        <v>0</v>
      </c>
    </row>
    <row r="93" spans="1:5" ht="12" hidden="1" outlineLevel="1" x14ac:dyDescent="0.25">
      <c r="A93" s="85" t="s">
        <v>1854</v>
      </c>
      <c r="B93" s="445" t="s">
        <v>1908</v>
      </c>
      <c r="C93" s="208">
        <f>INDEX(IN_RC_ANT!$A$3:$E$160,MATCH($A93,IN_RC_ANT!$A$3:$A$157,0),MATCH(C$3,IN_RC_ANT!$A$3:$E$3,0))</f>
        <v>0</v>
      </c>
      <c r="D93" s="208">
        <f>INDEX(IN_RC_ANT!$A$3:$E$160,MATCH($A93,IN_RC_ANT!$A$3:$A$157,0),MATCH(D$3,IN_RC_ANT!$A$3:$E$3,0))</f>
        <v>0</v>
      </c>
      <c r="E93" s="208">
        <f>INDEX(IN_RC_ANT!$A$3:$E$160,MATCH($A93,IN_RC_ANT!$A$3:$A$157,0),MATCH(E$3,IN_RC_ANT!$A$3:$E$3,0))</f>
        <v>0</v>
      </c>
    </row>
    <row r="94" spans="1:5" ht="12" hidden="1" outlineLevel="1" x14ac:dyDescent="0.25">
      <c r="A94" s="85" t="s">
        <v>1855</v>
      </c>
      <c r="B94" s="56" t="s">
        <v>1909</v>
      </c>
      <c r="C94" s="81">
        <f t="shared" ref="C94" si="59">C92+C93</f>
        <v>0</v>
      </c>
      <c r="D94" s="81">
        <f t="shared" ref="D94:E94" si="60">D92+D93</f>
        <v>0</v>
      </c>
      <c r="E94" s="81">
        <f t="shared" si="60"/>
        <v>0</v>
      </c>
    </row>
    <row r="95" spans="1:5" hidden="1" outlineLevel="1" x14ac:dyDescent="0.2"/>
    <row r="96" spans="1:5" ht="12" hidden="1" outlineLevel="1" x14ac:dyDescent="0.25">
      <c r="A96" s="85" t="s">
        <v>1856</v>
      </c>
      <c r="B96" s="202" t="s">
        <v>1910</v>
      </c>
      <c r="C96" s="203">
        <f t="shared" ref="C96:C97" si="61">C89+C92</f>
        <v>0</v>
      </c>
      <c r="D96" s="203">
        <f t="shared" ref="D96:E96" si="62">D89+D92</f>
        <v>0</v>
      </c>
      <c r="E96" s="203">
        <f t="shared" si="62"/>
        <v>0</v>
      </c>
    </row>
    <row r="97" spans="1:5" ht="12" hidden="1" outlineLevel="1" x14ac:dyDescent="0.25">
      <c r="A97" s="85" t="s">
        <v>1857</v>
      </c>
      <c r="B97" s="204" t="s">
        <v>1911</v>
      </c>
      <c r="C97" s="205">
        <f t="shared" si="61"/>
        <v>0</v>
      </c>
      <c r="D97" s="205">
        <f t="shared" ref="D97:E97" si="63">D90+D93</f>
        <v>0</v>
      </c>
      <c r="E97" s="205">
        <f t="shared" si="63"/>
        <v>0</v>
      </c>
    </row>
    <row r="98" spans="1:5" ht="12" hidden="1" outlineLevel="1" x14ac:dyDescent="0.25">
      <c r="A98" s="85" t="s">
        <v>1858</v>
      </c>
      <c r="B98" s="56" t="s">
        <v>1912</v>
      </c>
      <c r="C98" s="81">
        <f t="shared" ref="C98" si="64">C96+C97</f>
        <v>0</v>
      </c>
      <c r="D98" s="81">
        <f t="shared" ref="D98:E98" si="65">D96+D97</f>
        <v>0</v>
      </c>
      <c r="E98" s="81">
        <f t="shared" si="65"/>
        <v>0</v>
      </c>
    </row>
    <row r="99" spans="1:5" hidden="1" outlineLevel="1" x14ac:dyDescent="0.2"/>
    <row r="100" spans="1:5" hidden="1" outlineLevel="1" x14ac:dyDescent="0.2">
      <c r="B100" s="79">
        <v>2028</v>
      </c>
    </row>
    <row r="101" spans="1:5" ht="12" hidden="1" outlineLevel="1" x14ac:dyDescent="0.25">
      <c r="A101" s="85" t="s">
        <v>2515</v>
      </c>
      <c r="B101" s="648" t="s">
        <v>2533</v>
      </c>
      <c r="C101" s="649">
        <v>0</v>
      </c>
      <c r="D101" s="649">
        <v>0</v>
      </c>
      <c r="E101" s="649">
        <v>0</v>
      </c>
    </row>
    <row r="102" spans="1:5" ht="12" hidden="1" outlineLevel="1" x14ac:dyDescent="0.25">
      <c r="A102" s="85" t="s">
        <v>2516</v>
      </c>
      <c r="B102" s="650" t="s">
        <v>2534</v>
      </c>
      <c r="C102" s="651">
        <v>0</v>
      </c>
      <c r="D102" s="651">
        <v>0</v>
      </c>
      <c r="E102" s="651">
        <v>0</v>
      </c>
    </row>
    <row r="103" spans="1:5" ht="12" hidden="1" outlineLevel="1" x14ac:dyDescent="0.25">
      <c r="A103" s="85" t="s">
        <v>2517</v>
      </c>
      <c r="B103" s="56" t="s">
        <v>2535</v>
      </c>
      <c r="C103" s="81">
        <f t="shared" ref="C103:D103" si="66">C101+C102</f>
        <v>0</v>
      </c>
      <c r="D103" s="81">
        <f t="shared" si="66"/>
        <v>0</v>
      </c>
      <c r="E103" s="81">
        <f t="shared" ref="E103" si="67">E101+E102</f>
        <v>0</v>
      </c>
    </row>
    <row r="104" spans="1:5" ht="12" hidden="1" outlineLevel="1" x14ac:dyDescent="0.25">
      <c r="A104" s="85" t="s">
        <v>2518</v>
      </c>
      <c r="B104" s="648" t="s">
        <v>2536</v>
      </c>
      <c r="C104" s="649">
        <v>0</v>
      </c>
      <c r="D104" s="649">
        <v>0</v>
      </c>
      <c r="E104" s="649">
        <v>0</v>
      </c>
    </row>
    <row r="105" spans="1:5" ht="12" hidden="1" outlineLevel="1" x14ac:dyDescent="0.25">
      <c r="A105" s="85" t="s">
        <v>2519</v>
      </c>
      <c r="B105" s="650" t="s">
        <v>2537</v>
      </c>
      <c r="C105" s="651">
        <v>0</v>
      </c>
      <c r="D105" s="651">
        <v>0</v>
      </c>
      <c r="E105" s="651">
        <v>0</v>
      </c>
    </row>
    <row r="106" spans="1:5" ht="12" hidden="1" outlineLevel="1" x14ac:dyDescent="0.25">
      <c r="A106" s="85" t="s">
        <v>2520</v>
      </c>
      <c r="B106" s="56" t="s">
        <v>2538</v>
      </c>
      <c r="C106" s="81">
        <f t="shared" ref="C106:D106" si="68">C104+C105</f>
        <v>0</v>
      </c>
      <c r="D106" s="81">
        <f t="shared" si="68"/>
        <v>0</v>
      </c>
      <c r="E106" s="81">
        <f t="shared" ref="E106" si="69">E104+E105</f>
        <v>0</v>
      </c>
    </row>
    <row r="107" spans="1:5" hidden="1" outlineLevel="1" x14ac:dyDescent="0.2"/>
    <row r="108" spans="1:5" ht="12" hidden="1" outlineLevel="1" x14ac:dyDescent="0.25">
      <c r="A108" s="85" t="s">
        <v>2521</v>
      </c>
      <c r="B108" s="202" t="s">
        <v>2539</v>
      </c>
      <c r="C108" s="203">
        <f t="shared" ref="C108:D109" si="70">C101+C104</f>
        <v>0</v>
      </c>
      <c r="D108" s="203">
        <f t="shared" si="70"/>
        <v>0</v>
      </c>
      <c r="E108" s="203">
        <f t="shared" ref="E108" si="71">E101+E104</f>
        <v>0</v>
      </c>
    </row>
    <row r="109" spans="1:5" ht="12" hidden="1" outlineLevel="1" x14ac:dyDescent="0.25">
      <c r="A109" s="85" t="s">
        <v>2522</v>
      </c>
      <c r="B109" s="204" t="s">
        <v>2540</v>
      </c>
      <c r="C109" s="205">
        <f t="shared" si="70"/>
        <v>0</v>
      </c>
      <c r="D109" s="205">
        <f t="shared" si="70"/>
        <v>0</v>
      </c>
      <c r="E109" s="205">
        <f t="shared" ref="E109" si="72">E102+E105</f>
        <v>0</v>
      </c>
    </row>
    <row r="110" spans="1:5" ht="12" hidden="1" outlineLevel="1" x14ac:dyDescent="0.25">
      <c r="A110" s="85" t="s">
        <v>2523</v>
      </c>
      <c r="B110" s="56" t="s">
        <v>2541</v>
      </c>
      <c r="C110" s="81">
        <f t="shared" ref="C110:D110" si="73">C108+C109</f>
        <v>0</v>
      </c>
      <c r="D110" s="81">
        <f t="shared" si="73"/>
        <v>0</v>
      </c>
      <c r="E110" s="81">
        <f t="shared" ref="E110" si="74">E108+E109</f>
        <v>0</v>
      </c>
    </row>
    <row r="111" spans="1:5" hidden="1" outlineLevel="1" x14ac:dyDescent="0.2"/>
    <row r="112" spans="1:5" hidden="1" outlineLevel="1" x14ac:dyDescent="0.2">
      <c r="B112" s="79">
        <v>2029</v>
      </c>
    </row>
    <row r="113" spans="1:5" ht="12" hidden="1" outlineLevel="1" x14ac:dyDescent="0.25">
      <c r="A113" s="85" t="s">
        <v>2524</v>
      </c>
      <c r="B113" s="648" t="s">
        <v>2542</v>
      </c>
      <c r="C113" s="649">
        <v>0</v>
      </c>
      <c r="D113" s="649">
        <v>0</v>
      </c>
      <c r="E113" s="649">
        <v>0</v>
      </c>
    </row>
    <row r="114" spans="1:5" ht="12" hidden="1" outlineLevel="1" x14ac:dyDescent="0.25">
      <c r="A114" s="85" t="s">
        <v>2525</v>
      </c>
      <c r="B114" s="650" t="s">
        <v>2543</v>
      </c>
      <c r="C114" s="651">
        <v>0</v>
      </c>
      <c r="D114" s="651">
        <v>0</v>
      </c>
      <c r="E114" s="651">
        <v>0</v>
      </c>
    </row>
    <row r="115" spans="1:5" ht="12" hidden="1" outlineLevel="1" x14ac:dyDescent="0.25">
      <c r="A115" s="85" t="s">
        <v>2526</v>
      </c>
      <c r="B115" s="56" t="s">
        <v>2544</v>
      </c>
      <c r="C115" s="81">
        <f t="shared" ref="C115:D115" si="75">C113+C114</f>
        <v>0</v>
      </c>
      <c r="D115" s="81">
        <f t="shared" si="75"/>
        <v>0</v>
      </c>
      <c r="E115" s="81">
        <f t="shared" ref="E115" si="76">E113+E114</f>
        <v>0</v>
      </c>
    </row>
    <row r="116" spans="1:5" ht="12" hidden="1" outlineLevel="1" x14ac:dyDescent="0.25">
      <c r="A116" s="85" t="s">
        <v>2527</v>
      </c>
      <c r="B116" s="648" t="s">
        <v>2545</v>
      </c>
      <c r="C116" s="649">
        <v>0</v>
      </c>
      <c r="D116" s="649">
        <v>0</v>
      </c>
      <c r="E116" s="649">
        <v>0</v>
      </c>
    </row>
    <row r="117" spans="1:5" ht="12" hidden="1" outlineLevel="1" x14ac:dyDescent="0.25">
      <c r="A117" s="85" t="s">
        <v>2528</v>
      </c>
      <c r="B117" s="650" t="s">
        <v>2546</v>
      </c>
      <c r="C117" s="651">
        <v>0</v>
      </c>
      <c r="D117" s="651">
        <v>0</v>
      </c>
      <c r="E117" s="651">
        <v>0</v>
      </c>
    </row>
    <row r="118" spans="1:5" ht="12" hidden="1" outlineLevel="1" x14ac:dyDescent="0.25">
      <c r="A118" s="85" t="s">
        <v>2529</v>
      </c>
      <c r="B118" s="56" t="s">
        <v>2547</v>
      </c>
      <c r="C118" s="81">
        <f t="shared" ref="C118:D118" si="77">C116+C117</f>
        <v>0</v>
      </c>
      <c r="D118" s="81">
        <f t="shared" si="77"/>
        <v>0</v>
      </c>
      <c r="E118" s="81">
        <f t="shared" ref="E118" si="78">E116+E117</f>
        <v>0</v>
      </c>
    </row>
    <row r="119" spans="1:5" hidden="1" outlineLevel="1" x14ac:dyDescent="0.2"/>
    <row r="120" spans="1:5" ht="12" hidden="1" outlineLevel="1" x14ac:dyDescent="0.25">
      <c r="A120" s="85" t="s">
        <v>2530</v>
      </c>
      <c r="B120" s="202" t="s">
        <v>2548</v>
      </c>
      <c r="C120" s="203">
        <f t="shared" ref="C120:D120" si="79">C113+C116</f>
        <v>0</v>
      </c>
      <c r="D120" s="203">
        <f t="shared" si="79"/>
        <v>0</v>
      </c>
      <c r="E120" s="203">
        <f t="shared" ref="E120" si="80">E113+E116</f>
        <v>0</v>
      </c>
    </row>
    <row r="121" spans="1:5" ht="12" hidden="1" outlineLevel="1" x14ac:dyDescent="0.25">
      <c r="A121" s="85" t="s">
        <v>2531</v>
      </c>
      <c r="B121" s="204" t="s">
        <v>2549</v>
      </c>
      <c r="C121" s="205">
        <f t="shared" ref="C121:D121" si="81">C114+C117</f>
        <v>0</v>
      </c>
      <c r="D121" s="205">
        <f t="shared" si="81"/>
        <v>0</v>
      </c>
      <c r="E121" s="205">
        <f t="shared" ref="E121" si="82">E114+E117</f>
        <v>0</v>
      </c>
    </row>
    <row r="122" spans="1:5" ht="12" hidden="1" outlineLevel="1" x14ac:dyDescent="0.25">
      <c r="A122" s="85" t="s">
        <v>2532</v>
      </c>
      <c r="B122" s="56" t="s">
        <v>2550</v>
      </c>
      <c r="C122" s="81">
        <f t="shared" ref="C122:D122" si="83">C120+C121</f>
        <v>0</v>
      </c>
      <c r="D122" s="81">
        <f t="shared" si="83"/>
        <v>0</v>
      </c>
      <c r="E122" s="81">
        <f t="shared" ref="E122" si="84">E120+E121</f>
        <v>0</v>
      </c>
    </row>
    <row r="123" spans="1:5" collapsed="1" x14ac:dyDescent="0.2"/>
    <row r="124" spans="1:5" ht="11.4" x14ac:dyDescent="0.2">
      <c r="A124" s="652" t="s">
        <v>2997</v>
      </c>
      <c r="B124" s="454" t="s">
        <v>543</v>
      </c>
    </row>
    <row r="125" spans="1:5" hidden="1" outlineLevel="1" x14ac:dyDescent="0.2">
      <c r="B125" s="79">
        <v>2026</v>
      </c>
    </row>
    <row r="126" spans="1:5" ht="12" hidden="1" outlineLevel="1" x14ac:dyDescent="0.25">
      <c r="A126" s="85" t="s">
        <v>1729</v>
      </c>
      <c r="B126" s="449" t="s">
        <v>1747</v>
      </c>
      <c r="C126" s="206">
        <f>INDEX(IN_RC_ANT!$A$3:$E$160,MATCH($A126,IN_RC_ANT!$A$3:$A$157,0),MATCH(C$3,IN_RC_ANT!$A$3:$E$3,0))</f>
        <v>0</v>
      </c>
      <c r="D126" s="206">
        <f>INDEX(IN_RC_ANT!$A$3:$E$160,MATCH($A126,IN_RC_ANT!$A$3:$A$157,0),MATCH(D$3,IN_RC_ANT!$A$3:$E$3,0))</f>
        <v>0</v>
      </c>
      <c r="E126" s="206">
        <f>INDEX(IN_RC_ANT!$A$3:$E$160,MATCH($A126,IN_RC_ANT!$A$3:$A$157,0),MATCH(E$3,IN_RC_ANT!$A$3:$E$3,0))</f>
        <v>0</v>
      </c>
    </row>
    <row r="127" spans="1:5" ht="12" hidden="1" outlineLevel="1" x14ac:dyDescent="0.25">
      <c r="A127" s="85" t="s">
        <v>1730</v>
      </c>
      <c r="B127" s="445" t="s">
        <v>1748</v>
      </c>
      <c r="C127" s="208">
        <f>INDEX(IN_RC_ANT!$A$3:$E$160,MATCH($A127,IN_RC_ANT!$A$3:$A$157,0),MATCH(C$3,IN_RC_ANT!$A$3:$E$3,0))</f>
        <v>0</v>
      </c>
      <c r="D127" s="208">
        <f>INDEX(IN_RC_ANT!$A$3:$E$160,MATCH($A127,IN_RC_ANT!$A$3:$A$157,0),MATCH(D$3,IN_RC_ANT!$A$3:$E$3,0))</f>
        <v>0</v>
      </c>
      <c r="E127" s="208">
        <f>INDEX(IN_RC_ANT!$A$3:$E$160,MATCH($A127,IN_RC_ANT!$A$3:$A$157,0),MATCH(E$3,IN_RC_ANT!$A$3:$E$3,0))</f>
        <v>0</v>
      </c>
    </row>
    <row r="128" spans="1:5" ht="12" hidden="1" outlineLevel="1" x14ac:dyDescent="0.25">
      <c r="A128" s="85" t="s">
        <v>1731</v>
      </c>
      <c r="B128" s="56" t="s">
        <v>1749</v>
      </c>
      <c r="C128" s="81">
        <f t="shared" ref="C128:D128" si="85">C126+C127</f>
        <v>0</v>
      </c>
      <c r="D128" s="81">
        <f t="shared" si="85"/>
        <v>0</v>
      </c>
      <c r="E128" s="81">
        <f t="shared" ref="E128" si="86">E126+E127</f>
        <v>0</v>
      </c>
    </row>
    <row r="129" spans="1:5" ht="12" hidden="1" outlineLevel="1" x14ac:dyDescent="0.25">
      <c r="A129" s="85" t="s">
        <v>1732</v>
      </c>
      <c r="B129" s="449" t="s">
        <v>1750</v>
      </c>
      <c r="C129" s="206">
        <f>INDEX(IN_RC_ANT!$A$3:$E$160,MATCH($A129,IN_RC_ANT!$A$3:$A$157,0),MATCH(C$3,IN_RC_ANT!$A$3:$E$3,0))</f>
        <v>0</v>
      </c>
      <c r="D129" s="206">
        <f>INDEX(IN_RC_ANT!$A$3:$E$160,MATCH($A129,IN_RC_ANT!$A$3:$A$157,0),MATCH(D$3,IN_RC_ANT!$A$3:$E$3,0))</f>
        <v>0</v>
      </c>
      <c r="E129" s="206">
        <f>INDEX(IN_RC_ANT!$A$3:$E$160,MATCH($A129,IN_RC_ANT!$A$3:$A$157,0),MATCH(E$3,IN_RC_ANT!$A$3:$E$3,0))</f>
        <v>0</v>
      </c>
    </row>
    <row r="130" spans="1:5" ht="12" hidden="1" outlineLevel="1" x14ac:dyDescent="0.25">
      <c r="A130" s="85" t="s">
        <v>1733</v>
      </c>
      <c r="B130" s="445" t="s">
        <v>1751</v>
      </c>
      <c r="C130" s="208">
        <f>INDEX(IN_RC_ANT!$A$3:$E$160,MATCH($A130,IN_RC_ANT!$A$3:$A$157,0),MATCH(C$3,IN_RC_ANT!$A$3:$E$3,0))</f>
        <v>0</v>
      </c>
      <c r="D130" s="208">
        <f>INDEX(IN_RC_ANT!$A$3:$E$160,MATCH($A130,IN_RC_ANT!$A$3:$A$157,0),MATCH(D$3,IN_RC_ANT!$A$3:$E$3,0))</f>
        <v>0</v>
      </c>
      <c r="E130" s="208">
        <f>INDEX(IN_RC_ANT!$A$3:$E$160,MATCH($A130,IN_RC_ANT!$A$3:$A$157,0),MATCH(E$3,IN_RC_ANT!$A$3:$E$3,0))</f>
        <v>0</v>
      </c>
    </row>
    <row r="131" spans="1:5" ht="12" hidden="1" outlineLevel="1" x14ac:dyDescent="0.25">
      <c r="A131" s="85" t="s">
        <v>1734</v>
      </c>
      <c r="B131" s="56" t="s">
        <v>1752</v>
      </c>
      <c r="C131" s="81">
        <f t="shared" ref="C131:D131" si="87">C129+C130</f>
        <v>0</v>
      </c>
      <c r="D131" s="81">
        <f t="shared" si="87"/>
        <v>0</v>
      </c>
      <c r="E131" s="81">
        <f t="shared" ref="E131" si="88">E129+E130</f>
        <v>0</v>
      </c>
    </row>
    <row r="132" spans="1:5" hidden="1" outlineLevel="1" x14ac:dyDescent="0.2"/>
    <row r="133" spans="1:5" ht="12" hidden="1" outlineLevel="1" x14ac:dyDescent="0.25">
      <c r="A133" s="85" t="s">
        <v>1735</v>
      </c>
      <c r="B133" s="202" t="s">
        <v>1753</v>
      </c>
      <c r="C133" s="203">
        <f t="shared" ref="C133:D134" si="89">C126+C129</f>
        <v>0</v>
      </c>
      <c r="D133" s="203">
        <f t="shared" si="89"/>
        <v>0</v>
      </c>
      <c r="E133" s="203">
        <f t="shared" ref="E133" si="90">E126+E129</f>
        <v>0</v>
      </c>
    </row>
    <row r="134" spans="1:5" ht="12" hidden="1" outlineLevel="1" x14ac:dyDescent="0.25">
      <c r="A134" s="85" t="s">
        <v>1736</v>
      </c>
      <c r="B134" s="204" t="s">
        <v>1754</v>
      </c>
      <c r="C134" s="205">
        <f t="shared" si="89"/>
        <v>0</v>
      </c>
      <c r="D134" s="205">
        <f t="shared" si="89"/>
        <v>0</v>
      </c>
      <c r="E134" s="205">
        <f t="shared" ref="E134" si="91">E127+E130</f>
        <v>0</v>
      </c>
    </row>
    <row r="135" spans="1:5" ht="12" hidden="1" outlineLevel="1" x14ac:dyDescent="0.25">
      <c r="A135" s="85" t="s">
        <v>1737</v>
      </c>
      <c r="B135" s="56" t="s">
        <v>1755</v>
      </c>
      <c r="C135" s="81">
        <f t="shared" ref="C135:D135" si="92">C133+C134</f>
        <v>0</v>
      </c>
      <c r="D135" s="81">
        <f t="shared" si="92"/>
        <v>0</v>
      </c>
      <c r="E135" s="81">
        <f t="shared" ref="E135" si="93">E133+E134</f>
        <v>0</v>
      </c>
    </row>
    <row r="136" spans="1:5" hidden="1" outlineLevel="1" x14ac:dyDescent="0.2"/>
    <row r="137" spans="1:5" hidden="1" outlineLevel="1" x14ac:dyDescent="0.2">
      <c r="B137" s="79">
        <v>2027</v>
      </c>
    </row>
    <row r="138" spans="1:5" ht="12" hidden="1" outlineLevel="1" x14ac:dyDescent="0.25">
      <c r="A138" s="85" t="s">
        <v>1776</v>
      </c>
      <c r="B138" s="449" t="s">
        <v>1803</v>
      </c>
      <c r="C138" s="206">
        <f>INDEX(IN_RC_ANT!$A$3:$E$160,MATCH($A138,IN_RC_ANT!$A$3:$A$157,0),MATCH(C$3,IN_RC_ANT!$A$3:$E$3,0))</f>
        <v>0</v>
      </c>
      <c r="D138" s="206">
        <f>INDEX(IN_RC_ANT!$A$3:$E$160,MATCH($A138,IN_RC_ANT!$A$3:$A$157,0),MATCH(D$3,IN_RC_ANT!$A$3:$E$3,0))</f>
        <v>0</v>
      </c>
      <c r="E138" s="206">
        <f>INDEX(IN_RC_ANT!$A$3:$E$160,MATCH($A138,IN_RC_ANT!$A$3:$A$157,0),MATCH(E$3,IN_RC_ANT!$A$3:$E$3,0))</f>
        <v>0</v>
      </c>
    </row>
    <row r="139" spans="1:5" ht="12" hidden="1" outlineLevel="1" x14ac:dyDescent="0.25">
      <c r="A139" s="85" t="s">
        <v>1777</v>
      </c>
      <c r="B139" s="445" t="s">
        <v>1804</v>
      </c>
      <c r="C139" s="208">
        <f>INDEX(IN_RC_ANT!$A$3:$E$160,MATCH($A139,IN_RC_ANT!$A$3:$A$157,0),MATCH(C$3,IN_RC_ANT!$A$3:$E$3,0))</f>
        <v>0</v>
      </c>
      <c r="D139" s="208">
        <f>INDEX(IN_RC_ANT!$A$3:$E$160,MATCH($A139,IN_RC_ANT!$A$3:$A$157,0),MATCH(D$3,IN_RC_ANT!$A$3:$E$3,0))</f>
        <v>0</v>
      </c>
      <c r="E139" s="208">
        <f>INDEX(IN_RC_ANT!$A$3:$E$160,MATCH($A139,IN_RC_ANT!$A$3:$A$157,0),MATCH(E$3,IN_RC_ANT!$A$3:$E$3,0))</f>
        <v>0</v>
      </c>
    </row>
    <row r="140" spans="1:5" ht="12" hidden="1" outlineLevel="1" x14ac:dyDescent="0.25">
      <c r="A140" s="85" t="s">
        <v>1778</v>
      </c>
      <c r="B140" s="56" t="s">
        <v>1805</v>
      </c>
      <c r="C140" s="81">
        <f t="shared" ref="C140" si="94">C138+C139</f>
        <v>0</v>
      </c>
      <c r="D140" s="81">
        <f t="shared" ref="D140:E140" si="95">D138+D139</f>
        <v>0</v>
      </c>
      <c r="E140" s="81">
        <f t="shared" si="95"/>
        <v>0</v>
      </c>
    </row>
    <row r="141" spans="1:5" ht="12" hidden="1" outlineLevel="1" x14ac:dyDescent="0.25">
      <c r="A141" s="85" t="s">
        <v>1779</v>
      </c>
      <c r="B141" s="449" t="s">
        <v>1806</v>
      </c>
      <c r="C141" s="206">
        <f>INDEX(IN_RC_ANT!$A$3:$E$160,MATCH($A141,IN_RC_ANT!$A$3:$A$157,0),MATCH(C$3,IN_RC_ANT!$A$3:$E$3,0))</f>
        <v>-50000</v>
      </c>
      <c r="D141" s="206">
        <f>INDEX(IN_RC_ANT!$A$3:$E$160,MATCH($A141,IN_RC_ANT!$A$3:$A$157,0),MATCH(D$3,IN_RC_ANT!$A$3:$E$3,0))</f>
        <v>0</v>
      </c>
      <c r="E141" s="206">
        <f>INDEX(IN_RC_ANT!$A$3:$E$160,MATCH($A141,IN_RC_ANT!$A$3:$A$157,0),MATCH(E$3,IN_RC_ANT!$A$3:$E$3,0))</f>
        <v>0</v>
      </c>
    </row>
    <row r="142" spans="1:5" ht="12" hidden="1" outlineLevel="1" x14ac:dyDescent="0.25">
      <c r="A142" s="85" t="s">
        <v>1780</v>
      </c>
      <c r="B142" s="445" t="s">
        <v>1807</v>
      </c>
      <c r="C142" s="208">
        <f>INDEX(IN_RC_ANT!$A$3:$E$160,MATCH($A142,IN_RC_ANT!$A$3:$A$157,0),MATCH(C$3,IN_RC_ANT!$A$3:$E$3,0))</f>
        <v>0</v>
      </c>
      <c r="D142" s="208">
        <f>INDEX(IN_RC_ANT!$A$3:$E$160,MATCH($A142,IN_RC_ANT!$A$3:$A$157,0),MATCH(D$3,IN_RC_ANT!$A$3:$E$3,0))</f>
        <v>0</v>
      </c>
      <c r="E142" s="208">
        <f>INDEX(IN_RC_ANT!$A$3:$E$160,MATCH($A142,IN_RC_ANT!$A$3:$A$157,0),MATCH(E$3,IN_RC_ANT!$A$3:$E$3,0))</f>
        <v>0</v>
      </c>
    </row>
    <row r="143" spans="1:5" ht="12" hidden="1" outlineLevel="1" x14ac:dyDescent="0.25">
      <c r="A143" s="85" t="s">
        <v>1781</v>
      </c>
      <c r="B143" s="56" t="s">
        <v>1808</v>
      </c>
      <c r="C143" s="81">
        <f t="shared" ref="C143" si="96">C141+C142</f>
        <v>-50000</v>
      </c>
      <c r="D143" s="81">
        <f t="shared" ref="D143:E143" si="97">D141+D142</f>
        <v>0</v>
      </c>
      <c r="E143" s="81">
        <f t="shared" si="97"/>
        <v>0</v>
      </c>
    </row>
    <row r="144" spans="1:5" hidden="1" outlineLevel="1" x14ac:dyDescent="0.2"/>
    <row r="145" spans="1:5" ht="12" hidden="1" outlineLevel="1" x14ac:dyDescent="0.25">
      <c r="A145" s="85" t="s">
        <v>1782</v>
      </c>
      <c r="B145" s="202" t="s">
        <v>1809</v>
      </c>
      <c r="C145" s="203">
        <f t="shared" ref="C145:C146" si="98">C138+C141</f>
        <v>-50000</v>
      </c>
      <c r="D145" s="203">
        <f t="shared" ref="D145:E145" si="99">D138+D141</f>
        <v>0</v>
      </c>
      <c r="E145" s="203">
        <f t="shared" si="99"/>
        <v>0</v>
      </c>
    </row>
    <row r="146" spans="1:5" ht="12" hidden="1" outlineLevel="1" x14ac:dyDescent="0.25">
      <c r="A146" s="85" t="s">
        <v>1783</v>
      </c>
      <c r="B146" s="204" t="s">
        <v>1810</v>
      </c>
      <c r="C146" s="205">
        <f t="shared" si="98"/>
        <v>0</v>
      </c>
      <c r="D146" s="205">
        <f t="shared" ref="D146:E146" si="100">D139+D142</f>
        <v>0</v>
      </c>
      <c r="E146" s="205">
        <f t="shared" si="100"/>
        <v>0</v>
      </c>
    </row>
    <row r="147" spans="1:5" ht="12" hidden="1" outlineLevel="1" x14ac:dyDescent="0.25">
      <c r="A147" s="85" t="s">
        <v>1784</v>
      </c>
      <c r="B147" s="56" t="s">
        <v>1811</v>
      </c>
      <c r="C147" s="81">
        <f t="shared" ref="C147" si="101">C145+C146</f>
        <v>-50000</v>
      </c>
      <c r="D147" s="81">
        <f t="shared" ref="D147:E147" si="102">D145+D146</f>
        <v>0</v>
      </c>
      <c r="E147" s="81">
        <f t="shared" si="102"/>
        <v>0</v>
      </c>
    </row>
    <row r="148" spans="1:5" hidden="1" outlineLevel="1" x14ac:dyDescent="0.2"/>
    <row r="149" spans="1:5" hidden="1" outlineLevel="1" x14ac:dyDescent="0.2">
      <c r="B149" s="79">
        <v>2028</v>
      </c>
    </row>
    <row r="150" spans="1:5" ht="12" hidden="1" outlineLevel="1" x14ac:dyDescent="0.25">
      <c r="A150" s="85" t="s">
        <v>2551</v>
      </c>
      <c r="B150" s="648" t="s">
        <v>2569</v>
      </c>
      <c r="C150" s="649">
        <v>0</v>
      </c>
      <c r="D150" s="649">
        <v>0</v>
      </c>
      <c r="E150" s="649">
        <v>0</v>
      </c>
    </row>
    <row r="151" spans="1:5" ht="12" hidden="1" outlineLevel="1" x14ac:dyDescent="0.25">
      <c r="A151" s="85" t="s">
        <v>2552</v>
      </c>
      <c r="B151" s="650" t="s">
        <v>2570</v>
      </c>
      <c r="C151" s="651">
        <v>0</v>
      </c>
      <c r="D151" s="651">
        <v>0</v>
      </c>
      <c r="E151" s="651">
        <v>0</v>
      </c>
    </row>
    <row r="152" spans="1:5" ht="12" hidden="1" outlineLevel="1" x14ac:dyDescent="0.25">
      <c r="A152" s="85" t="s">
        <v>2553</v>
      </c>
      <c r="B152" s="56" t="s">
        <v>2571</v>
      </c>
      <c r="C152" s="81">
        <f t="shared" ref="C152:D152" si="103">C150+C151</f>
        <v>0</v>
      </c>
      <c r="D152" s="81">
        <f t="shared" si="103"/>
        <v>0</v>
      </c>
      <c r="E152" s="81">
        <f t="shared" ref="E152" si="104">E150+E151</f>
        <v>0</v>
      </c>
    </row>
    <row r="153" spans="1:5" ht="12" hidden="1" outlineLevel="1" x14ac:dyDescent="0.25">
      <c r="A153" s="85" t="s">
        <v>2554</v>
      </c>
      <c r="B153" s="648" t="s">
        <v>2572</v>
      </c>
      <c r="C153" s="649">
        <v>0</v>
      </c>
      <c r="D153" s="649">
        <v>0</v>
      </c>
      <c r="E153" s="649">
        <v>0</v>
      </c>
    </row>
    <row r="154" spans="1:5" ht="12" hidden="1" outlineLevel="1" x14ac:dyDescent="0.25">
      <c r="A154" s="85" t="s">
        <v>2555</v>
      </c>
      <c r="B154" s="650" t="s">
        <v>2573</v>
      </c>
      <c r="C154" s="651">
        <v>0</v>
      </c>
      <c r="D154" s="651">
        <v>0</v>
      </c>
      <c r="E154" s="651">
        <v>0</v>
      </c>
    </row>
    <row r="155" spans="1:5" ht="12" hidden="1" outlineLevel="1" x14ac:dyDescent="0.25">
      <c r="A155" s="85" t="s">
        <v>2556</v>
      </c>
      <c r="B155" s="56" t="s">
        <v>2574</v>
      </c>
      <c r="C155" s="81">
        <f t="shared" ref="C155:D155" si="105">C153+C154</f>
        <v>0</v>
      </c>
      <c r="D155" s="81">
        <f t="shared" si="105"/>
        <v>0</v>
      </c>
      <c r="E155" s="81">
        <f t="shared" ref="E155" si="106">E153+E154</f>
        <v>0</v>
      </c>
    </row>
    <row r="156" spans="1:5" hidden="1" outlineLevel="1" x14ac:dyDescent="0.2"/>
    <row r="157" spans="1:5" ht="12" hidden="1" outlineLevel="1" x14ac:dyDescent="0.25">
      <c r="A157" s="85" t="s">
        <v>2557</v>
      </c>
      <c r="B157" s="202" t="s">
        <v>2575</v>
      </c>
      <c r="C157" s="203">
        <f t="shared" ref="C157:D158" si="107">C150+C153</f>
        <v>0</v>
      </c>
      <c r="D157" s="203">
        <f t="shared" si="107"/>
        <v>0</v>
      </c>
      <c r="E157" s="203">
        <f t="shared" ref="E157" si="108">E150+E153</f>
        <v>0</v>
      </c>
    </row>
    <row r="158" spans="1:5" ht="12" hidden="1" outlineLevel="1" x14ac:dyDescent="0.25">
      <c r="A158" s="85" t="s">
        <v>2558</v>
      </c>
      <c r="B158" s="204" t="s">
        <v>2576</v>
      </c>
      <c r="C158" s="205">
        <f t="shared" si="107"/>
        <v>0</v>
      </c>
      <c r="D158" s="205">
        <f t="shared" si="107"/>
        <v>0</v>
      </c>
      <c r="E158" s="205">
        <f t="shared" ref="E158" si="109">E151+E154</f>
        <v>0</v>
      </c>
    </row>
    <row r="159" spans="1:5" ht="12" hidden="1" outlineLevel="1" x14ac:dyDescent="0.25">
      <c r="A159" s="85" t="s">
        <v>2559</v>
      </c>
      <c r="B159" s="56" t="s">
        <v>2577</v>
      </c>
      <c r="C159" s="81">
        <f t="shared" ref="C159:D159" si="110">C157+C158</f>
        <v>0</v>
      </c>
      <c r="D159" s="81">
        <f t="shared" si="110"/>
        <v>0</v>
      </c>
      <c r="E159" s="81">
        <f t="shared" ref="E159" si="111">E157+E158</f>
        <v>0</v>
      </c>
    </row>
    <row r="160" spans="1:5" hidden="1" outlineLevel="1" x14ac:dyDescent="0.2"/>
    <row r="161" spans="1:5" hidden="1" outlineLevel="1" x14ac:dyDescent="0.2">
      <c r="B161" s="79">
        <v>2029</v>
      </c>
    </row>
    <row r="162" spans="1:5" ht="12" hidden="1" outlineLevel="1" x14ac:dyDescent="0.25">
      <c r="A162" s="85" t="s">
        <v>2560</v>
      </c>
      <c r="B162" s="648" t="s">
        <v>2578</v>
      </c>
      <c r="C162" s="649">
        <v>0</v>
      </c>
      <c r="D162" s="649">
        <v>0</v>
      </c>
      <c r="E162" s="649">
        <v>0</v>
      </c>
    </row>
    <row r="163" spans="1:5" ht="12" hidden="1" outlineLevel="1" x14ac:dyDescent="0.25">
      <c r="A163" s="85" t="s">
        <v>2561</v>
      </c>
      <c r="B163" s="650" t="s">
        <v>2579</v>
      </c>
      <c r="C163" s="651">
        <v>0</v>
      </c>
      <c r="D163" s="651">
        <v>0</v>
      </c>
      <c r="E163" s="651">
        <v>0</v>
      </c>
    </row>
    <row r="164" spans="1:5" ht="12" hidden="1" outlineLevel="1" x14ac:dyDescent="0.25">
      <c r="A164" s="85" t="s">
        <v>2562</v>
      </c>
      <c r="B164" s="56" t="s">
        <v>2580</v>
      </c>
      <c r="C164" s="81">
        <f t="shared" ref="C164:D164" si="112">C162+C163</f>
        <v>0</v>
      </c>
      <c r="D164" s="81">
        <f t="shared" si="112"/>
        <v>0</v>
      </c>
      <c r="E164" s="81">
        <f t="shared" ref="E164" si="113">E162+E163</f>
        <v>0</v>
      </c>
    </row>
    <row r="165" spans="1:5" ht="12" hidden="1" outlineLevel="1" x14ac:dyDescent="0.25">
      <c r="A165" s="85" t="s">
        <v>2563</v>
      </c>
      <c r="B165" s="648" t="s">
        <v>2581</v>
      </c>
      <c r="C165" s="649">
        <v>0</v>
      </c>
      <c r="D165" s="649">
        <v>0</v>
      </c>
      <c r="E165" s="649">
        <v>0</v>
      </c>
    </row>
    <row r="166" spans="1:5" ht="12" hidden="1" outlineLevel="1" x14ac:dyDescent="0.25">
      <c r="A166" s="85" t="s">
        <v>2564</v>
      </c>
      <c r="B166" s="650" t="s">
        <v>2582</v>
      </c>
      <c r="C166" s="651">
        <v>0</v>
      </c>
      <c r="D166" s="651">
        <v>0</v>
      </c>
      <c r="E166" s="651">
        <v>0</v>
      </c>
    </row>
    <row r="167" spans="1:5" ht="12" hidden="1" outlineLevel="1" x14ac:dyDescent="0.25">
      <c r="A167" s="85" t="s">
        <v>2565</v>
      </c>
      <c r="B167" s="56" t="s">
        <v>2583</v>
      </c>
      <c r="C167" s="81">
        <f t="shared" ref="C167:D167" si="114">C165+C166</f>
        <v>0</v>
      </c>
      <c r="D167" s="81">
        <f t="shared" si="114"/>
        <v>0</v>
      </c>
      <c r="E167" s="81">
        <f t="shared" ref="E167" si="115">E165+E166</f>
        <v>0</v>
      </c>
    </row>
    <row r="168" spans="1:5" hidden="1" outlineLevel="1" x14ac:dyDescent="0.2"/>
    <row r="169" spans="1:5" ht="12" hidden="1" outlineLevel="1" x14ac:dyDescent="0.25">
      <c r="A169" s="85" t="s">
        <v>2566</v>
      </c>
      <c r="B169" s="202" t="s">
        <v>2584</v>
      </c>
      <c r="C169" s="203">
        <f t="shared" ref="C169:D169" si="116">C162+C165</f>
        <v>0</v>
      </c>
      <c r="D169" s="203">
        <f t="shared" si="116"/>
        <v>0</v>
      </c>
      <c r="E169" s="203">
        <f t="shared" ref="E169" si="117">E162+E165</f>
        <v>0</v>
      </c>
    </row>
    <row r="170" spans="1:5" ht="12" hidden="1" outlineLevel="1" x14ac:dyDescent="0.25">
      <c r="A170" s="85" t="s">
        <v>2567</v>
      </c>
      <c r="B170" s="204" t="s">
        <v>2585</v>
      </c>
      <c r="C170" s="205">
        <f t="shared" ref="C170:D170" si="118">C163+C166</f>
        <v>0</v>
      </c>
      <c r="D170" s="205">
        <f t="shared" si="118"/>
        <v>0</v>
      </c>
      <c r="E170" s="205">
        <f t="shared" ref="E170" si="119">E163+E166</f>
        <v>0</v>
      </c>
    </row>
    <row r="171" spans="1:5" ht="12" hidden="1" outlineLevel="1" x14ac:dyDescent="0.25">
      <c r="A171" s="85" t="s">
        <v>2568</v>
      </c>
      <c r="B171" s="56" t="s">
        <v>2586</v>
      </c>
      <c r="C171" s="81">
        <f t="shared" ref="C171:D171" si="120">C169+C170</f>
        <v>0</v>
      </c>
      <c r="D171" s="81">
        <f t="shared" si="120"/>
        <v>0</v>
      </c>
      <c r="E171" s="81">
        <f t="shared" ref="E171" si="121">E169+E170</f>
        <v>0</v>
      </c>
    </row>
    <row r="172" spans="1:5" collapsed="1" x14ac:dyDescent="0.2"/>
    <row r="173" spans="1:5" ht="11.4" x14ac:dyDescent="0.2">
      <c r="A173" s="652" t="s">
        <v>2998</v>
      </c>
      <c r="B173" s="454" t="s">
        <v>2587</v>
      </c>
    </row>
    <row r="174" spans="1:5" hidden="1" outlineLevel="1" x14ac:dyDescent="0.2">
      <c r="B174" s="79">
        <v>2026</v>
      </c>
    </row>
    <row r="175" spans="1:5" ht="12" hidden="1" outlineLevel="1" x14ac:dyDescent="0.25">
      <c r="A175" s="85" t="s">
        <v>2588</v>
      </c>
      <c r="B175" s="648" t="s">
        <v>2624</v>
      </c>
      <c r="C175" s="649">
        <v>0</v>
      </c>
      <c r="D175" s="649">
        <v>0</v>
      </c>
      <c r="E175" s="649">
        <v>0</v>
      </c>
    </row>
    <row r="176" spans="1:5" ht="12" hidden="1" outlineLevel="1" x14ac:dyDescent="0.25">
      <c r="A176" s="85" t="s">
        <v>2589</v>
      </c>
      <c r="B176" s="650" t="s">
        <v>2625</v>
      </c>
      <c r="C176" s="651">
        <v>0</v>
      </c>
      <c r="D176" s="651">
        <v>0</v>
      </c>
      <c r="E176" s="651">
        <v>0</v>
      </c>
    </row>
    <row r="177" spans="1:5" ht="12" hidden="1" outlineLevel="1" x14ac:dyDescent="0.25">
      <c r="A177" s="85" t="s">
        <v>2590</v>
      </c>
      <c r="B177" s="56" t="s">
        <v>2626</v>
      </c>
      <c r="C177" s="81">
        <f t="shared" ref="C177" si="122">C175+C176</f>
        <v>0</v>
      </c>
      <c r="D177" s="81">
        <f t="shared" ref="D177:E177" si="123">D175+D176</f>
        <v>0</v>
      </c>
      <c r="E177" s="81">
        <f t="shared" si="123"/>
        <v>0</v>
      </c>
    </row>
    <row r="178" spans="1:5" ht="12" hidden="1" outlineLevel="1" x14ac:dyDescent="0.25">
      <c r="A178" s="85" t="s">
        <v>2591</v>
      </c>
      <c r="B178" s="648" t="s">
        <v>2627</v>
      </c>
      <c r="C178" s="649">
        <v>0</v>
      </c>
      <c r="D178" s="649">
        <v>0</v>
      </c>
      <c r="E178" s="649">
        <v>0</v>
      </c>
    </row>
    <row r="179" spans="1:5" ht="12" hidden="1" outlineLevel="1" x14ac:dyDescent="0.25">
      <c r="A179" s="85" t="s">
        <v>2592</v>
      </c>
      <c r="B179" s="650" t="s">
        <v>2628</v>
      </c>
      <c r="C179" s="651">
        <v>0</v>
      </c>
      <c r="D179" s="651">
        <v>0</v>
      </c>
      <c r="E179" s="651">
        <v>0</v>
      </c>
    </row>
    <row r="180" spans="1:5" ht="12" hidden="1" outlineLevel="1" x14ac:dyDescent="0.25">
      <c r="A180" s="85" t="s">
        <v>2593</v>
      </c>
      <c r="B180" s="56" t="s">
        <v>2629</v>
      </c>
      <c r="C180" s="81">
        <f t="shared" ref="C180" si="124">C178+C179</f>
        <v>0</v>
      </c>
      <c r="D180" s="81">
        <f t="shared" ref="D180:E180" si="125">D178+D179</f>
        <v>0</v>
      </c>
      <c r="E180" s="81">
        <f t="shared" si="125"/>
        <v>0</v>
      </c>
    </row>
    <row r="181" spans="1:5" hidden="1" outlineLevel="1" x14ac:dyDescent="0.2"/>
    <row r="182" spans="1:5" ht="12" hidden="1" outlineLevel="1" x14ac:dyDescent="0.25">
      <c r="A182" s="85" t="s">
        <v>2594</v>
      </c>
      <c r="B182" s="202" t="s">
        <v>2630</v>
      </c>
      <c r="C182" s="203">
        <f t="shared" ref="C182:C183" si="126">C175+C178</f>
        <v>0</v>
      </c>
      <c r="D182" s="203">
        <f t="shared" ref="D182:E182" si="127">D175+D178</f>
        <v>0</v>
      </c>
      <c r="E182" s="203">
        <f t="shared" si="127"/>
        <v>0</v>
      </c>
    </row>
    <row r="183" spans="1:5" ht="12" hidden="1" outlineLevel="1" x14ac:dyDescent="0.25">
      <c r="A183" s="85" t="s">
        <v>2595</v>
      </c>
      <c r="B183" s="204" t="s">
        <v>2631</v>
      </c>
      <c r="C183" s="205">
        <f t="shared" si="126"/>
        <v>0</v>
      </c>
      <c r="D183" s="205">
        <f t="shared" ref="D183:E183" si="128">D176+D179</f>
        <v>0</v>
      </c>
      <c r="E183" s="205">
        <f t="shared" si="128"/>
        <v>0</v>
      </c>
    </row>
    <row r="184" spans="1:5" ht="12" hidden="1" outlineLevel="1" x14ac:dyDescent="0.25">
      <c r="A184" s="85" t="s">
        <v>2596</v>
      </c>
      <c r="B184" s="56" t="s">
        <v>2632</v>
      </c>
      <c r="C184" s="81">
        <f t="shared" ref="C184" si="129">C182+C183</f>
        <v>0</v>
      </c>
      <c r="D184" s="81">
        <f t="shared" ref="D184:E184" si="130">D182+D183</f>
        <v>0</v>
      </c>
      <c r="E184" s="81">
        <f t="shared" si="130"/>
        <v>0</v>
      </c>
    </row>
    <row r="185" spans="1:5" hidden="1" outlineLevel="1" x14ac:dyDescent="0.2"/>
    <row r="186" spans="1:5" hidden="1" outlineLevel="1" x14ac:dyDescent="0.2">
      <c r="B186" s="79">
        <v>2027</v>
      </c>
    </row>
    <row r="187" spans="1:5" ht="12" hidden="1" outlineLevel="1" x14ac:dyDescent="0.25">
      <c r="A187" s="85" t="s">
        <v>2597</v>
      </c>
      <c r="B187" s="648" t="s">
        <v>2633</v>
      </c>
      <c r="C187" s="649">
        <v>0</v>
      </c>
      <c r="D187" s="649">
        <v>0</v>
      </c>
      <c r="E187" s="649">
        <v>0</v>
      </c>
    </row>
    <row r="188" spans="1:5" ht="12" hidden="1" outlineLevel="1" x14ac:dyDescent="0.25">
      <c r="A188" s="85" t="s">
        <v>2598</v>
      </c>
      <c r="B188" s="650" t="s">
        <v>2634</v>
      </c>
      <c r="C188" s="651">
        <v>0</v>
      </c>
      <c r="D188" s="651">
        <v>0</v>
      </c>
      <c r="E188" s="651">
        <v>0</v>
      </c>
    </row>
    <row r="189" spans="1:5" ht="12" hidden="1" outlineLevel="1" x14ac:dyDescent="0.25">
      <c r="A189" s="85" t="s">
        <v>2599</v>
      </c>
      <c r="B189" s="56" t="s">
        <v>2635</v>
      </c>
      <c r="C189" s="81">
        <f t="shared" ref="C189" si="131">C187+C188</f>
        <v>0</v>
      </c>
      <c r="D189" s="81">
        <f t="shared" ref="D189:E189" si="132">D187+D188</f>
        <v>0</v>
      </c>
      <c r="E189" s="81">
        <f t="shared" si="132"/>
        <v>0</v>
      </c>
    </row>
    <row r="190" spans="1:5" ht="12" hidden="1" outlineLevel="1" x14ac:dyDescent="0.25">
      <c r="A190" s="85" t="s">
        <v>2600</v>
      </c>
      <c r="B190" s="648" t="s">
        <v>2636</v>
      </c>
      <c r="C190" s="649">
        <v>0</v>
      </c>
      <c r="D190" s="649">
        <v>0</v>
      </c>
      <c r="E190" s="649">
        <v>0</v>
      </c>
    </row>
    <row r="191" spans="1:5" ht="12" hidden="1" outlineLevel="1" x14ac:dyDescent="0.25">
      <c r="A191" s="85" t="s">
        <v>2601</v>
      </c>
      <c r="B191" s="650" t="s">
        <v>2637</v>
      </c>
      <c r="C191" s="651">
        <v>0</v>
      </c>
      <c r="D191" s="651">
        <v>0</v>
      </c>
      <c r="E191" s="651">
        <v>0</v>
      </c>
    </row>
    <row r="192" spans="1:5" ht="12" hidden="1" outlineLevel="1" x14ac:dyDescent="0.25">
      <c r="A192" s="85" t="s">
        <v>2602</v>
      </c>
      <c r="B192" s="56" t="s">
        <v>2638</v>
      </c>
      <c r="C192" s="81">
        <f t="shared" ref="C192" si="133">C190+C191</f>
        <v>0</v>
      </c>
      <c r="D192" s="81">
        <f t="shared" ref="D192:E192" si="134">D190+D191</f>
        <v>0</v>
      </c>
      <c r="E192" s="81">
        <f t="shared" si="134"/>
        <v>0</v>
      </c>
    </row>
    <row r="193" spans="1:5" hidden="1" outlineLevel="1" x14ac:dyDescent="0.2"/>
    <row r="194" spans="1:5" ht="12" hidden="1" outlineLevel="1" x14ac:dyDescent="0.25">
      <c r="A194" s="85" t="s">
        <v>2603</v>
      </c>
      <c r="B194" s="202" t="s">
        <v>2639</v>
      </c>
      <c r="C194" s="203">
        <f t="shared" ref="C194" si="135">C187+C190</f>
        <v>0</v>
      </c>
      <c r="D194" s="203">
        <f t="shared" ref="D194:E194" si="136">D187+D190</f>
        <v>0</v>
      </c>
      <c r="E194" s="203">
        <f t="shared" si="136"/>
        <v>0</v>
      </c>
    </row>
    <row r="195" spans="1:5" ht="12" hidden="1" outlineLevel="1" x14ac:dyDescent="0.25">
      <c r="A195" s="85" t="s">
        <v>2604</v>
      </c>
      <c r="B195" s="204" t="s">
        <v>2640</v>
      </c>
      <c r="C195" s="205">
        <f t="shared" ref="C195" si="137">C188+C191</f>
        <v>0</v>
      </c>
      <c r="D195" s="205">
        <f t="shared" ref="D195:E195" si="138">D188+D191</f>
        <v>0</v>
      </c>
      <c r="E195" s="205">
        <f t="shared" si="138"/>
        <v>0</v>
      </c>
    </row>
    <row r="196" spans="1:5" ht="12" hidden="1" outlineLevel="1" x14ac:dyDescent="0.25">
      <c r="A196" s="85" t="s">
        <v>2605</v>
      </c>
      <c r="B196" s="56" t="s">
        <v>2641</v>
      </c>
      <c r="C196" s="81">
        <f t="shared" ref="C196" si="139">C194+C195</f>
        <v>0</v>
      </c>
      <c r="D196" s="81">
        <f t="shared" ref="D196:E196" si="140">D194+D195</f>
        <v>0</v>
      </c>
      <c r="E196" s="81">
        <f t="shared" si="140"/>
        <v>0</v>
      </c>
    </row>
    <row r="197" spans="1:5" hidden="1" outlineLevel="1" x14ac:dyDescent="0.2"/>
    <row r="198" spans="1:5" hidden="1" outlineLevel="1" x14ac:dyDescent="0.2">
      <c r="B198" s="79">
        <v>2028</v>
      </c>
    </row>
    <row r="199" spans="1:5" ht="12" hidden="1" outlineLevel="1" x14ac:dyDescent="0.25">
      <c r="A199" s="85" t="s">
        <v>2606</v>
      </c>
      <c r="B199" s="648" t="s">
        <v>2642</v>
      </c>
      <c r="C199" s="649">
        <v>0</v>
      </c>
      <c r="D199" s="649">
        <v>0</v>
      </c>
      <c r="E199" s="649">
        <v>0</v>
      </c>
    </row>
    <row r="200" spans="1:5" ht="12" hidden="1" outlineLevel="1" x14ac:dyDescent="0.25">
      <c r="A200" s="85" t="s">
        <v>2607</v>
      </c>
      <c r="B200" s="650" t="s">
        <v>2643</v>
      </c>
      <c r="C200" s="651">
        <v>0</v>
      </c>
      <c r="D200" s="651">
        <v>0</v>
      </c>
      <c r="E200" s="651">
        <v>0</v>
      </c>
    </row>
    <row r="201" spans="1:5" ht="12" hidden="1" outlineLevel="1" x14ac:dyDescent="0.25">
      <c r="A201" s="85" t="s">
        <v>2608</v>
      </c>
      <c r="B201" s="56" t="s">
        <v>2644</v>
      </c>
      <c r="C201" s="81">
        <f t="shared" ref="C201" si="141">C199+C200</f>
        <v>0</v>
      </c>
      <c r="D201" s="81">
        <f t="shared" ref="D201:E201" si="142">D199+D200</f>
        <v>0</v>
      </c>
      <c r="E201" s="81">
        <f t="shared" si="142"/>
        <v>0</v>
      </c>
    </row>
    <row r="202" spans="1:5" ht="12" hidden="1" outlineLevel="1" x14ac:dyDescent="0.25">
      <c r="A202" s="85" t="s">
        <v>2609</v>
      </c>
      <c r="B202" s="648" t="s">
        <v>2645</v>
      </c>
      <c r="C202" s="649">
        <v>0</v>
      </c>
      <c r="D202" s="649">
        <v>0</v>
      </c>
      <c r="E202" s="649">
        <v>0</v>
      </c>
    </row>
    <row r="203" spans="1:5" ht="12" hidden="1" outlineLevel="1" x14ac:dyDescent="0.25">
      <c r="A203" s="85" t="s">
        <v>2610</v>
      </c>
      <c r="B203" s="650" t="s">
        <v>2646</v>
      </c>
      <c r="C203" s="651">
        <v>0</v>
      </c>
      <c r="D203" s="651">
        <v>0</v>
      </c>
      <c r="E203" s="651">
        <v>0</v>
      </c>
    </row>
    <row r="204" spans="1:5" ht="12" hidden="1" outlineLevel="1" x14ac:dyDescent="0.25">
      <c r="A204" s="85" t="s">
        <v>2611</v>
      </c>
      <c r="B204" s="56" t="s">
        <v>2647</v>
      </c>
      <c r="C204" s="81">
        <f t="shared" ref="C204" si="143">C202+C203</f>
        <v>0</v>
      </c>
      <c r="D204" s="81">
        <f t="shared" ref="D204:E204" si="144">D202+D203</f>
        <v>0</v>
      </c>
      <c r="E204" s="81">
        <f t="shared" si="144"/>
        <v>0</v>
      </c>
    </row>
    <row r="205" spans="1:5" hidden="1" outlineLevel="1" x14ac:dyDescent="0.2"/>
    <row r="206" spans="1:5" ht="12" hidden="1" outlineLevel="1" x14ac:dyDescent="0.25">
      <c r="A206" s="85" t="s">
        <v>2612</v>
      </c>
      <c r="B206" s="202" t="s">
        <v>2648</v>
      </c>
      <c r="C206" s="203">
        <f t="shared" ref="C206:C207" si="145">C199+C202</f>
        <v>0</v>
      </c>
      <c r="D206" s="203">
        <f t="shared" ref="D206:E206" si="146">D199+D202</f>
        <v>0</v>
      </c>
      <c r="E206" s="203">
        <f t="shared" si="146"/>
        <v>0</v>
      </c>
    </row>
    <row r="207" spans="1:5" ht="12" hidden="1" outlineLevel="1" x14ac:dyDescent="0.25">
      <c r="A207" s="85" t="s">
        <v>2613</v>
      </c>
      <c r="B207" s="204" t="s">
        <v>2649</v>
      </c>
      <c r="C207" s="205">
        <f t="shared" si="145"/>
        <v>0</v>
      </c>
      <c r="D207" s="205">
        <f t="shared" ref="D207:E207" si="147">D200+D203</f>
        <v>0</v>
      </c>
      <c r="E207" s="205">
        <f t="shared" si="147"/>
        <v>0</v>
      </c>
    </row>
    <row r="208" spans="1:5" ht="12" hidden="1" outlineLevel="1" x14ac:dyDescent="0.25">
      <c r="A208" s="85" t="s">
        <v>2614</v>
      </c>
      <c r="B208" s="56" t="s">
        <v>2650</v>
      </c>
      <c r="C208" s="81">
        <f t="shared" ref="C208" si="148">C206+C207</f>
        <v>0</v>
      </c>
      <c r="D208" s="81">
        <f t="shared" ref="D208:E208" si="149">D206+D207</f>
        <v>0</v>
      </c>
      <c r="E208" s="81">
        <f t="shared" si="149"/>
        <v>0</v>
      </c>
    </row>
    <row r="209" spans="1:5" hidden="1" outlineLevel="1" x14ac:dyDescent="0.2"/>
    <row r="210" spans="1:5" hidden="1" outlineLevel="1" x14ac:dyDescent="0.2">
      <c r="B210" s="79">
        <v>2029</v>
      </c>
    </row>
    <row r="211" spans="1:5" ht="12" hidden="1" outlineLevel="1" x14ac:dyDescent="0.25">
      <c r="A211" s="85" t="s">
        <v>2615</v>
      </c>
      <c r="B211" s="648" t="s">
        <v>2651</v>
      </c>
      <c r="C211" s="649">
        <v>0</v>
      </c>
      <c r="D211" s="649">
        <v>0</v>
      </c>
      <c r="E211" s="649">
        <v>0</v>
      </c>
    </row>
    <row r="212" spans="1:5" ht="12" hidden="1" outlineLevel="1" x14ac:dyDescent="0.25">
      <c r="A212" s="85" t="s">
        <v>2616</v>
      </c>
      <c r="B212" s="650" t="s">
        <v>2652</v>
      </c>
      <c r="C212" s="651">
        <v>0</v>
      </c>
      <c r="D212" s="651">
        <v>0</v>
      </c>
      <c r="E212" s="651">
        <v>0</v>
      </c>
    </row>
    <row r="213" spans="1:5" ht="12" hidden="1" outlineLevel="1" x14ac:dyDescent="0.25">
      <c r="A213" s="85" t="s">
        <v>2617</v>
      </c>
      <c r="B213" s="56" t="s">
        <v>2653</v>
      </c>
      <c r="C213" s="81">
        <f t="shared" ref="C213" si="150">C211+C212</f>
        <v>0</v>
      </c>
      <c r="D213" s="81">
        <f t="shared" ref="D213:E213" si="151">D211+D212</f>
        <v>0</v>
      </c>
      <c r="E213" s="81">
        <f t="shared" si="151"/>
        <v>0</v>
      </c>
    </row>
    <row r="214" spans="1:5" ht="12" hidden="1" outlineLevel="1" x14ac:dyDescent="0.25">
      <c r="A214" s="85" t="s">
        <v>2618</v>
      </c>
      <c r="B214" s="648" t="s">
        <v>2654</v>
      </c>
      <c r="C214" s="649">
        <v>0</v>
      </c>
      <c r="D214" s="649">
        <v>0</v>
      </c>
      <c r="E214" s="649">
        <v>0</v>
      </c>
    </row>
    <row r="215" spans="1:5" ht="12" hidden="1" outlineLevel="1" x14ac:dyDescent="0.25">
      <c r="A215" s="85" t="s">
        <v>2619</v>
      </c>
      <c r="B215" s="650" t="s">
        <v>2655</v>
      </c>
      <c r="C215" s="651">
        <v>0</v>
      </c>
      <c r="D215" s="651">
        <v>0</v>
      </c>
      <c r="E215" s="651">
        <v>0</v>
      </c>
    </row>
    <row r="216" spans="1:5" ht="12" hidden="1" outlineLevel="1" x14ac:dyDescent="0.25">
      <c r="A216" s="85" t="s">
        <v>2620</v>
      </c>
      <c r="B216" s="56" t="s">
        <v>2656</v>
      </c>
      <c r="C216" s="81">
        <f t="shared" ref="C216" si="152">C214+C215</f>
        <v>0</v>
      </c>
      <c r="D216" s="81">
        <f t="shared" ref="D216:E216" si="153">D214+D215</f>
        <v>0</v>
      </c>
      <c r="E216" s="81">
        <f t="shared" si="153"/>
        <v>0</v>
      </c>
    </row>
    <row r="217" spans="1:5" hidden="1" outlineLevel="1" x14ac:dyDescent="0.2"/>
    <row r="218" spans="1:5" ht="12" hidden="1" outlineLevel="1" x14ac:dyDescent="0.25">
      <c r="A218" s="85" t="s">
        <v>2621</v>
      </c>
      <c r="B218" s="202" t="s">
        <v>2657</v>
      </c>
      <c r="C218" s="203">
        <f t="shared" ref="C218:C219" si="154">C211+C214</f>
        <v>0</v>
      </c>
      <c r="D218" s="203">
        <f t="shared" ref="D218:E218" si="155">D211+D214</f>
        <v>0</v>
      </c>
      <c r="E218" s="203">
        <f t="shared" si="155"/>
        <v>0</v>
      </c>
    </row>
    <row r="219" spans="1:5" ht="12" hidden="1" outlineLevel="1" x14ac:dyDescent="0.25">
      <c r="A219" s="85" t="s">
        <v>2622</v>
      </c>
      <c r="B219" s="204" t="s">
        <v>2658</v>
      </c>
      <c r="C219" s="205">
        <f t="shared" si="154"/>
        <v>0</v>
      </c>
      <c r="D219" s="205">
        <f t="shared" ref="D219:E219" si="156">D212+D215</f>
        <v>0</v>
      </c>
      <c r="E219" s="205">
        <f t="shared" si="156"/>
        <v>0</v>
      </c>
    </row>
    <row r="220" spans="1:5" ht="12" hidden="1" outlineLevel="1" x14ac:dyDescent="0.25">
      <c r="A220" s="85" t="s">
        <v>2623</v>
      </c>
      <c r="B220" s="56" t="s">
        <v>2659</v>
      </c>
      <c r="C220" s="81">
        <f t="shared" ref="C220" si="157">C218+C219</f>
        <v>0</v>
      </c>
      <c r="D220" s="81">
        <f t="shared" ref="D220:E220" si="158">D218+D219</f>
        <v>0</v>
      </c>
      <c r="E220" s="81">
        <f t="shared" si="158"/>
        <v>0</v>
      </c>
    </row>
    <row r="221" spans="1:5" collapsed="1" x14ac:dyDescent="0.2"/>
    <row r="222" spans="1:5" ht="11.4" x14ac:dyDescent="0.2">
      <c r="A222" s="652" t="s">
        <v>2999</v>
      </c>
      <c r="B222" s="454" t="s">
        <v>542</v>
      </c>
    </row>
    <row r="223" spans="1:5" hidden="1" outlineLevel="1" x14ac:dyDescent="0.2">
      <c r="B223" s="79">
        <v>2026</v>
      </c>
    </row>
    <row r="224" spans="1:5" ht="12" hidden="1" outlineLevel="1" x14ac:dyDescent="0.25">
      <c r="A224" s="85" t="s">
        <v>1966</v>
      </c>
      <c r="B224" s="449" t="s">
        <v>1984</v>
      </c>
      <c r="C224" s="206">
        <f>INDEX(IN_RC_CO_INC!$A$3:$E$83,MATCH($A224,IN_RC_CO_INC!$A$3:$A$83,0),MATCH(C$3,IN_RC_CO_INC!$A$3:$E$3,0))</f>
        <v>0</v>
      </c>
      <c r="D224" s="206">
        <f>INDEX(IN_RC_CO_INC!$A$3:$E$83,MATCH($A224,IN_RC_CO_INC!$A$3:$A$83,0),MATCH(D$3,IN_RC_CO_INC!$A$3:$E$3,0))</f>
        <v>0</v>
      </c>
      <c r="E224" s="206">
        <f>INDEX(IN_RC_CO_INC!$A$3:$E$83,MATCH($A224,IN_RC_CO_INC!$A$3:$A$83,0),MATCH(E$3,IN_RC_CO_INC!$A$3:$E$3,0))</f>
        <v>0</v>
      </c>
    </row>
    <row r="225" spans="1:5" ht="12" hidden="1" outlineLevel="1" x14ac:dyDescent="0.25">
      <c r="A225" s="85" t="s">
        <v>1967</v>
      </c>
      <c r="B225" s="445" t="s">
        <v>1985</v>
      </c>
      <c r="C225" s="208">
        <f>INDEX(IN_RC_CO_INC!$A$3:$E$83,MATCH($A225,IN_RC_CO_INC!$A$3:$A$83,0),MATCH(C$3,IN_RC_CO_INC!$A$3:$E$3,0))</f>
        <v>0</v>
      </c>
      <c r="D225" s="208">
        <f>INDEX(IN_RC_CO_INC!$A$3:$E$83,MATCH($A225,IN_RC_CO_INC!$A$3:$A$83,0),MATCH(D$3,IN_RC_CO_INC!$A$3:$E$3,0))</f>
        <v>0</v>
      </c>
      <c r="E225" s="208">
        <f>INDEX(IN_RC_CO_INC!$A$3:$E$83,MATCH($A225,IN_RC_CO_INC!$A$3:$A$83,0),MATCH(E$3,IN_RC_CO_INC!$A$3:$E$3,0))</f>
        <v>0</v>
      </c>
    </row>
    <row r="226" spans="1:5" ht="12" hidden="1" outlineLevel="1" x14ac:dyDescent="0.25">
      <c r="A226" s="85" t="s">
        <v>1968</v>
      </c>
      <c r="B226" s="56" t="s">
        <v>1986</v>
      </c>
      <c r="C226" s="81">
        <f t="shared" ref="C226:D226" si="159">C224+C225</f>
        <v>0</v>
      </c>
      <c r="D226" s="81">
        <f t="shared" si="159"/>
        <v>0</v>
      </c>
      <c r="E226" s="81">
        <f t="shared" ref="E226" si="160">E224+E225</f>
        <v>0</v>
      </c>
    </row>
    <row r="227" spans="1:5" ht="12" hidden="1" outlineLevel="1" x14ac:dyDescent="0.25">
      <c r="A227" s="85" t="s">
        <v>1969</v>
      </c>
      <c r="B227" s="449" t="s">
        <v>1987</v>
      </c>
      <c r="C227" s="206">
        <f>SUMIFS(DB_IN_RC_CO_INC!$Q$4:$Q$1001,DB_IN_RC_CO_INC!$D$4:$D$1001,"2024",DB_IN_RC_CO_INC!$B$4:$B$1001,IN_Anagrafica!$B$1,DB_IN_RC_CO_INC!$C$4:$C$1001,C$3)</f>
        <v>0</v>
      </c>
      <c r="D227" s="206">
        <f>SUMIFS(DB_IN_RC_CO_INC!$Q$4:$Q$1001,DB_IN_RC_CO_INC!$D$4:$D$1001,"2024",DB_IN_RC_CO_INC!$B$4:$B$1001,IN_Anagrafica!$B$1,DB_IN_RC_CO_INC!$C$4:$C$1001,D$3)</f>
        <v>0</v>
      </c>
      <c r="E227" s="206">
        <f>SUMIFS(DB_IN_RC_CO_INC!$Q$4:$Q$1001,DB_IN_RC_CO_INC!$D$4:$D$1001,"2024",DB_IN_RC_CO_INC!$B$4:$B$1001,IN_Anagrafica!$B$1,DB_IN_RC_CO_INC!$C$4:$C$1001,E$3)</f>
        <v>0</v>
      </c>
    </row>
    <row r="228" spans="1:5" ht="12" hidden="1" outlineLevel="1" x14ac:dyDescent="0.25">
      <c r="A228" s="85" t="s">
        <v>1970</v>
      </c>
      <c r="B228" s="445" t="s">
        <v>1988</v>
      </c>
      <c r="C228" s="208">
        <f>SUMIFS(DB_IN_RC_CO_INC!$G$4:$G$1001,DB_IN_RC_CO_INC!$D$4:$D$1001,"2024",DB_IN_RC_CO_INC!$B$4:$B$1001,"COMUNE",DB_IN_RC_CO_INC!$C$4:$C$1001,C$3)</f>
        <v>0</v>
      </c>
      <c r="D228" s="208">
        <f>SUMIFS(DB_IN_RC_CO_INC!$G$4:$G$1001,DB_IN_RC_CO_INC!$D$4:$D$1001,"2024",DB_IN_RC_CO_INC!$B$4:$B$1001,"COMUNE",DB_IN_RC_CO_INC!$C$4:$C$1001,D$3)</f>
        <v>0</v>
      </c>
      <c r="E228" s="208">
        <f>SUMIFS(DB_IN_RC_CO_INC!$G$4:$G$1001,DB_IN_RC_CO_INC!$D$4:$D$1001,"2024",DB_IN_RC_CO_INC!$B$4:$B$1001,"COMUNE",DB_IN_RC_CO_INC!$C$4:$C$1001,E$3)</f>
        <v>0</v>
      </c>
    </row>
    <row r="229" spans="1:5" ht="12" hidden="1" outlineLevel="1" x14ac:dyDescent="0.25">
      <c r="A229" s="85" t="s">
        <v>1971</v>
      </c>
      <c r="B229" s="56" t="s">
        <v>1989</v>
      </c>
      <c r="C229" s="81">
        <f t="shared" ref="C229:D229" si="161">C227+C228</f>
        <v>0</v>
      </c>
      <c r="D229" s="81">
        <f t="shared" si="161"/>
        <v>0</v>
      </c>
      <c r="E229" s="81">
        <f t="shared" ref="E229" si="162">E227+E228</f>
        <v>0</v>
      </c>
    </row>
    <row r="230" spans="1:5" hidden="1" outlineLevel="1" x14ac:dyDescent="0.2"/>
    <row r="231" spans="1:5" ht="12" hidden="1" outlineLevel="1" x14ac:dyDescent="0.25">
      <c r="A231" s="85" t="s">
        <v>1972</v>
      </c>
      <c r="B231" s="202" t="s">
        <v>1990</v>
      </c>
      <c r="C231" s="203">
        <f t="shared" ref="C231:C232" si="163">C224+C227</f>
        <v>0</v>
      </c>
      <c r="D231" s="203">
        <f t="shared" ref="D231:E231" si="164">D224+D227</f>
        <v>0</v>
      </c>
      <c r="E231" s="203">
        <f t="shared" si="164"/>
        <v>0</v>
      </c>
    </row>
    <row r="232" spans="1:5" ht="12" hidden="1" outlineLevel="1" x14ac:dyDescent="0.25">
      <c r="A232" s="85" t="s">
        <v>1973</v>
      </c>
      <c r="B232" s="204" t="s">
        <v>1991</v>
      </c>
      <c r="C232" s="205">
        <f t="shared" si="163"/>
        <v>0</v>
      </c>
      <c r="D232" s="205">
        <f t="shared" ref="D232:E232" si="165">D225+D228</f>
        <v>0</v>
      </c>
      <c r="E232" s="205">
        <f t="shared" si="165"/>
        <v>0</v>
      </c>
    </row>
    <row r="233" spans="1:5" ht="12" hidden="1" outlineLevel="1" x14ac:dyDescent="0.25">
      <c r="A233" s="85" t="s">
        <v>1974</v>
      </c>
      <c r="B233" s="56" t="s">
        <v>1992</v>
      </c>
      <c r="C233" s="81">
        <f t="shared" ref="C233" si="166">C231+C232</f>
        <v>0</v>
      </c>
      <c r="D233" s="81">
        <f t="shared" ref="D233:E233" si="167">D231+D232</f>
        <v>0</v>
      </c>
      <c r="E233" s="81">
        <f t="shared" si="167"/>
        <v>0</v>
      </c>
    </row>
    <row r="234" spans="1:5" hidden="1" outlineLevel="1" x14ac:dyDescent="0.2"/>
    <row r="235" spans="1:5" hidden="1" outlineLevel="1" x14ac:dyDescent="0.2">
      <c r="B235" s="79">
        <v>2027</v>
      </c>
    </row>
    <row r="236" spans="1:5" ht="12" hidden="1" outlineLevel="1" x14ac:dyDescent="0.25">
      <c r="A236" s="85" t="s">
        <v>2005</v>
      </c>
      <c r="B236" s="449" t="s">
        <v>2036</v>
      </c>
      <c r="C236" s="206">
        <f>INDEX(IN_RC_CO_INC!$A$3:$E$83,MATCH($A236,IN_RC_CO_INC!$A$3:$A$83,0),MATCH(C$3,IN_RC_CO_INC!$A$3:$E$3,0))</f>
        <v>0</v>
      </c>
      <c r="D236" s="206">
        <f>INDEX(IN_RC_CO_INC!$A$3:$E$83,MATCH($A236,IN_RC_CO_INC!$A$3:$A$83,0),MATCH(D$3,IN_RC_CO_INC!$A$3:$E$3,0))</f>
        <v>0</v>
      </c>
      <c r="E236" s="206">
        <f>INDEX(IN_RC_CO_INC!$A$3:$E$83,MATCH($A236,IN_RC_CO_INC!$A$3:$A$83,0),MATCH(E$3,IN_RC_CO_INC!$A$3:$E$3,0))</f>
        <v>0</v>
      </c>
    </row>
    <row r="237" spans="1:5" ht="12" hidden="1" outlineLevel="1" x14ac:dyDescent="0.25">
      <c r="A237" s="85" t="s">
        <v>2006</v>
      </c>
      <c r="B237" s="445" t="s">
        <v>2037</v>
      </c>
      <c r="C237" s="208">
        <f>INDEX(IN_RC_CO_INC!$A$3:$E$83,MATCH($A237,IN_RC_CO_INC!$A$3:$A$83,0),MATCH(C$3,IN_RC_CO_INC!$A$3:$E$3,0))</f>
        <v>0</v>
      </c>
      <c r="D237" s="208">
        <f>INDEX(IN_RC_CO_INC!$A$3:$E$83,MATCH($A237,IN_RC_CO_INC!$A$3:$A$83,0),MATCH(D$3,IN_RC_CO_INC!$A$3:$E$3,0))</f>
        <v>0</v>
      </c>
      <c r="E237" s="208">
        <f>INDEX(IN_RC_CO_INC!$A$3:$E$83,MATCH($A237,IN_RC_CO_INC!$A$3:$A$83,0),MATCH(E$3,IN_RC_CO_INC!$A$3:$E$3,0))</f>
        <v>0</v>
      </c>
    </row>
    <row r="238" spans="1:5" ht="12" hidden="1" outlineLevel="1" x14ac:dyDescent="0.25">
      <c r="A238" s="85" t="s">
        <v>2007</v>
      </c>
      <c r="B238" s="56" t="s">
        <v>2038</v>
      </c>
      <c r="C238" s="81">
        <f t="shared" ref="C238" si="168">C236+C237</f>
        <v>0</v>
      </c>
      <c r="D238" s="81">
        <f t="shared" ref="D238:E238" si="169">D236+D237</f>
        <v>0</v>
      </c>
      <c r="E238" s="81">
        <f t="shared" si="169"/>
        <v>0</v>
      </c>
    </row>
    <row r="239" spans="1:5" ht="12" hidden="1" outlineLevel="1" x14ac:dyDescent="0.25">
      <c r="A239" s="85" t="s">
        <v>2008</v>
      </c>
      <c r="B239" s="449" t="s">
        <v>2039</v>
      </c>
      <c r="C239" s="206">
        <f>SUMIFS(DB_IN_RC_CO_INC!$Q$4:$Q$1001,DB_IN_RC_CO_INC!$D$4:$D$1001,"2024",DB_IN_RC_CO_INC!$B$4:$B$1001,IN_Anagrafica!$B$1,DB_IN_RC_CO_INC!$C$4:$C$1001,C$3)</f>
        <v>0</v>
      </c>
      <c r="D239" s="206">
        <f>SUMIFS(DB_IN_RC_CO_INC!$Q$4:$Q$1001,DB_IN_RC_CO_INC!$D$4:$D$1001,"2024",DB_IN_RC_CO_INC!$B$4:$B$1001,IN_Anagrafica!$B$1,DB_IN_RC_CO_INC!$C$4:$C$1001,D$3)</f>
        <v>0</v>
      </c>
      <c r="E239" s="206">
        <f>SUMIFS(DB_IN_RC_CO_INC!$Q$4:$Q$1001,DB_IN_RC_CO_INC!$D$4:$D$1001,"2024",DB_IN_RC_CO_INC!$B$4:$B$1001,IN_Anagrafica!$B$1,DB_IN_RC_CO_INC!$C$4:$C$1001,E$3)</f>
        <v>0</v>
      </c>
    </row>
    <row r="240" spans="1:5" ht="12" hidden="1" outlineLevel="1" x14ac:dyDescent="0.25">
      <c r="A240" s="85" t="s">
        <v>2009</v>
      </c>
      <c r="B240" s="445" t="s">
        <v>2040</v>
      </c>
      <c r="C240" s="208">
        <f>SUMIFS(DB_IN_RC_CO_INC!$G$4:$G$1001,DB_IN_RC_CO_INC!$D$4:$D$1001,"2024",DB_IN_RC_CO_INC!$B$4:$B$1001,"COMUNE",DB_IN_RC_CO_INC!$C$4:$C$1001,C$3)</f>
        <v>0</v>
      </c>
      <c r="D240" s="208">
        <f>SUMIFS(DB_IN_RC_CO_INC!$G$4:$G$1001,DB_IN_RC_CO_INC!$D$4:$D$1001,"2024",DB_IN_RC_CO_INC!$B$4:$B$1001,"COMUNE",DB_IN_RC_CO_INC!$C$4:$C$1001,D$3)</f>
        <v>0</v>
      </c>
      <c r="E240" s="208">
        <f>SUMIFS(DB_IN_RC_CO_INC!$G$4:$G$1001,DB_IN_RC_CO_INC!$D$4:$D$1001,"2024",DB_IN_RC_CO_INC!$B$4:$B$1001,"COMUNE",DB_IN_RC_CO_INC!$C$4:$C$1001,E$3)</f>
        <v>0</v>
      </c>
    </row>
    <row r="241" spans="1:5" ht="12" hidden="1" outlineLevel="1" x14ac:dyDescent="0.25">
      <c r="A241" s="85" t="s">
        <v>2010</v>
      </c>
      <c r="B241" s="56" t="s">
        <v>2041</v>
      </c>
      <c r="C241" s="81">
        <f t="shared" ref="C241" si="170">C239+C240</f>
        <v>0</v>
      </c>
      <c r="D241" s="81">
        <f t="shared" ref="D241:E241" si="171">D239+D240</f>
        <v>0</v>
      </c>
      <c r="E241" s="81">
        <f t="shared" si="171"/>
        <v>0</v>
      </c>
    </row>
    <row r="242" spans="1:5" hidden="1" outlineLevel="1" x14ac:dyDescent="0.2"/>
    <row r="243" spans="1:5" ht="12" hidden="1" outlineLevel="1" x14ac:dyDescent="0.25">
      <c r="A243" s="85" t="s">
        <v>2011</v>
      </c>
      <c r="B243" s="202" t="s">
        <v>2042</v>
      </c>
      <c r="C243" s="203">
        <f t="shared" ref="C243:C244" si="172">C236+C239</f>
        <v>0</v>
      </c>
      <c r="D243" s="203">
        <f t="shared" ref="D243:E243" si="173">D236+D239</f>
        <v>0</v>
      </c>
      <c r="E243" s="203">
        <f t="shared" si="173"/>
        <v>0</v>
      </c>
    </row>
    <row r="244" spans="1:5" ht="12" hidden="1" outlineLevel="1" x14ac:dyDescent="0.25">
      <c r="A244" s="85" t="s">
        <v>2012</v>
      </c>
      <c r="B244" s="204" t="s">
        <v>2043</v>
      </c>
      <c r="C244" s="205">
        <f t="shared" si="172"/>
        <v>0</v>
      </c>
      <c r="D244" s="205">
        <f t="shared" ref="D244:E244" si="174">D237+D240</f>
        <v>0</v>
      </c>
      <c r="E244" s="205">
        <f t="shared" si="174"/>
        <v>0</v>
      </c>
    </row>
    <row r="245" spans="1:5" ht="12" hidden="1" outlineLevel="1" x14ac:dyDescent="0.25">
      <c r="A245" s="85" t="s">
        <v>2013</v>
      </c>
      <c r="B245" s="56" t="s">
        <v>2044</v>
      </c>
      <c r="C245" s="81">
        <f t="shared" ref="C245" si="175">C243+C244</f>
        <v>0</v>
      </c>
      <c r="D245" s="81">
        <f t="shared" ref="D245:E245" si="176">D243+D244</f>
        <v>0</v>
      </c>
      <c r="E245" s="81">
        <f t="shared" si="176"/>
        <v>0</v>
      </c>
    </row>
    <row r="246" spans="1:5" hidden="1" outlineLevel="1" x14ac:dyDescent="0.2"/>
    <row r="247" spans="1:5" hidden="1" outlineLevel="1" x14ac:dyDescent="0.2">
      <c r="B247" s="79">
        <v>2028</v>
      </c>
    </row>
    <row r="248" spans="1:5" ht="12" hidden="1" outlineLevel="1" x14ac:dyDescent="0.25">
      <c r="A248" s="85" t="s">
        <v>2660</v>
      </c>
      <c r="B248" s="648" t="s">
        <v>2678</v>
      </c>
      <c r="C248" s="649">
        <v>0</v>
      </c>
      <c r="D248" s="649">
        <v>0</v>
      </c>
      <c r="E248" s="649">
        <v>0</v>
      </c>
    </row>
    <row r="249" spans="1:5" ht="12" hidden="1" outlineLevel="1" x14ac:dyDescent="0.25">
      <c r="A249" s="85" t="s">
        <v>2661</v>
      </c>
      <c r="B249" s="650" t="s">
        <v>2679</v>
      </c>
      <c r="C249" s="651">
        <v>0</v>
      </c>
      <c r="D249" s="651">
        <v>0</v>
      </c>
      <c r="E249" s="651">
        <v>0</v>
      </c>
    </row>
    <row r="250" spans="1:5" ht="12" hidden="1" outlineLevel="1" x14ac:dyDescent="0.25">
      <c r="A250" s="85" t="s">
        <v>2662</v>
      </c>
      <c r="B250" s="56" t="s">
        <v>2680</v>
      </c>
      <c r="C250" s="81">
        <f t="shared" ref="C250:D250" si="177">C248+C249</f>
        <v>0</v>
      </c>
      <c r="D250" s="81">
        <f t="shared" si="177"/>
        <v>0</v>
      </c>
      <c r="E250" s="81">
        <f t="shared" ref="E250" si="178">E248+E249</f>
        <v>0</v>
      </c>
    </row>
    <row r="251" spans="1:5" ht="12" hidden="1" outlineLevel="1" x14ac:dyDescent="0.25">
      <c r="A251" s="85" t="s">
        <v>2663</v>
      </c>
      <c r="B251" s="648" t="s">
        <v>2681</v>
      </c>
      <c r="C251" s="649">
        <v>0</v>
      </c>
      <c r="D251" s="649">
        <v>0</v>
      </c>
      <c r="E251" s="649">
        <v>0</v>
      </c>
    </row>
    <row r="252" spans="1:5" ht="12" hidden="1" outlineLevel="1" x14ac:dyDescent="0.25">
      <c r="A252" s="85" t="s">
        <v>2664</v>
      </c>
      <c r="B252" s="650" t="s">
        <v>2682</v>
      </c>
      <c r="C252" s="651">
        <v>0</v>
      </c>
      <c r="D252" s="651">
        <v>0</v>
      </c>
      <c r="E252" s="651">
        <v>0</v>
      </c>
    </row>
    <row r="253" spans="1:5" ht="12" hidden="1" outlineLevel="1" x14ac:dyDescent="0.25">
      <c r="A253" s="85" t="s">
        <v>2665</v>
      </c>
      <c r="B253" s="56" t="s">
        <v>2683</v>
      </c>
      <c r="C253" s="81">
        <f t="shared" ref="C253:D253" si="179">C251+C252</f>
        <v>0</v>
      </c>
      <c r="D253" s="81">
        <f t="shared" si="179"/>
        <v>0</v>
      </c>
      <c r="E253" s="81">
        <f t="shared" ref="E253" si="180">E251+E252</f>
        <v>0</v>
      </c>
    </row>
    <row r="254" spans="1:5" hidden="1" outlineLevel="1" x14ac:dyDescent="0.2"/>
    <row r="255" spans="1:5" ht="12" hidden="1" outlineLevel="1" x14ac:dyDescent="0.25">
      <c r="A255" s="85" t="s">
        <v>2666</v>
      </c>
      <c r="B255" s="202" t="s">
        <v>2684</v>
      </c>
      <c r="C255" s="203">
        <f t="shared" ref="C255:D255" si="181">C248+C251</f>
        <v>0</v>
      </c>
      <c r="D255" s="203">
        <f t="shared" si="181"/>
        <v>0</v>
      </c>
      <c r="E255" s="203">
        <f t="shared" ref="E255" si="182">E248+E251</f>
        <v>0</v>
      </c>
    </row>
    <row r="256" spans="1:5" ht="12" hidden="1" outlineLevel="1" x14ac:dyDescent="0.25">
      <c r="A256" s="85" t="s">
        <v>2667</v>
      </c>
      <c r="B256" s="204" t="s">
        <v>2685</v>
      </c>
      <c r="C256" s="205">
        <f t="shared" ref="C256:D256" si="183">C249+C252</f>
        <v>0</v>
      </c>
      <c r="D256" s="205">
        <f t="shared" si="183"/>
        <v>0</v>
      </c>
      <c r="E256" s="205">
        <f t="shared" ref="E256" si="184">E249+E252</f>
        <v>0</v>
      </c>
    </row>
    <row r="257" spans="1:5" ht="12" hidden="1" outlineLevel="1" x14ac:dyDescent="0.25">
      <c r="A257" s="85" t="s">
        <v>2668</v>
      </c>
      <c r="B257" s="56" t="s">
        <v>2686</v>
      </c>
      <c r="C257" s="81">
        <f t="shared" ref="C257:D257" si="185">C255+C256</f>
        <v>0</v>
      </c>
      <c r="D257" s="81">
        <f t="shared" si="185"/>
        <v>0</v>
      </c>
      <c r="E257" s="81">
        <f t="shared" ref="E257" si="186">E255+E256</f>
        <v>0</v>
      </c>
    </row>
    <row r="258" spans="1:5" hidden="1" outlineLevel="1" x14ac:dyDescent="0.2"/>
    <row r="259" spans="1:5" hidden="1" outlineLevel="1" x14ac:dyDescent="0.2">
      <c r="B259" s="79">
        <v>2029</v>
      </c>
    </row>
    <row r="260" spans="1:5" ht="12" hidden="1" outlineLevel="1" x14ac:dyDescent="0.25">
      <c r="A260" s="85" t="s">
        <v>2669</v>
      </c>
      <c r="B260" s="648" t="s">
        <v>2687</v>
      </c>
      <c r="C260" s="649">
        <v>0</v>
      </c>
      <c r="D260" s="649">
        <v>0</v>
      </c>
      <c r="E260" s="649">
        <v>0</v>
      </c>
    </row>
    <row r="261" spans="1:5" ht="12" hidden="1" outlineLevel="1" x14ac:dyDescent="0.25">
      <c r="A261" s="85" t="s">
        <v>2670</v>
      </c>
      <c r="B261" s="650" t="s">
        <v>2688</v>
      </c>
      <c r="C261" s="651">
        <v>0</v>
      </c>
      <c r="D261" s="651">
        <v>0</v>
      </c>
      <c r="E261" s="651">
        <v>0</v>
      </c>
    </row>
    <row r="262" spans="1:5" ht="12" hidden="1" outlineLevel="1" x14ac:dyDescent="0.25">
      <c r="A262" s="85" t="s">
        <v>2671</v>
      </c>
      <c r="B262" s="56" t="s">
        <v>2689</v>
      </c>
      <c r="C262" s="81">
        <f t="shared" ref="C262:D262" si="187">C260+C261</f>
        <v>0</v>
      </c>
      <c r="D262" s="81">
        <f t="shared" si="187"/>
        <v>0</v>
      </c>
      <c r="E262" s="81">
        <f t="shared" ref="E262" si="188">E260+E261</f>
        <v>0</v>
      </c>
    </row>
    <row r="263" spans="1:5" ht="12" hidden="1" outlineLevel="1" x14ac:dyDescent="0.25">
      <c r="A263" s="85" t="s">
        <v>2672</v>
      </c>
      <c r="B263" s="648" t="s">
        <v>2690</v>
      </c>
      <c r="C263" s="649">
        <v>0</v>
      </c>
      <c r="D263" s="649">
        <v>0</v>
      </c>
      <c r="E263" s="649">
        <v>0</v>
      </c>
    </row>
    <row r="264" spans="1:5" ht="12" hidden="1" outlineLevel="1" x14ac:dyDescent="0.25">
      <c r="A264" s="85" t="s">
        <v>2673</v>
      </c>
      <c r="B264" s="650" t="s">
        <v>2691</v>
      </c>
      <c r="C264" s="651">
        <v>0</v>
      </c>
      <c r="D264" s="651">
        <v>0</v>
      </c>
      <c r="E264" s="651">
        <v>0</v>
      </c>
    </row>
    <row r="265" spans="1:5" ht="12" hidden="1" outlineLevel="1" x14ac:dyDescent="0.25">
      <c r="A265" s="85" t="s">
        <v>2674</v>
      </c>
      <c r="B265" s="56" t="s">
        <v>2692</v>
      </c>
      <c r="C265" s="81">
        <f t="shared" ref="C265:D265" si="189">C263+C264</f>
        <v>0</v>
      </c>
      <c r="D265" s="81">
        <f t="shared" si="189"/>
        <v>0</v>
      </c>
      <c r="E265" s="81">
        <f t="shared" ref="E265" si="190">E263+E264</f>
        <v>0</v>
      </c>
    </row>
    <row r="266" spans="1:5" hidden="1" outlineLevel="1" x14ac:dyDescent="0.2"/>
    <row r="267" spans="1:5" ht="12" hidden="1" outlineLevel="1" x14ac:dyDescent="0.25">
      <c r="A267" s="85" t="s">
        <v>2675</v>
      </c>
      <c r="B267" s="202" t="s">
        <v>2693</v>
      </c>
      <c r="C267" s="203">
        <f t="shared" ref="C267:D267" si="191">C260+C263</f>
        <v>0</v>
      </c>
      <c r="D267" s="203">
        <f t="shared" si="191"/>
        <v>0</v>
      </c>
      <c r="E267" s="203">
        <f t="shared" ref="E267" si="192">E260+E263</f>
        <v>0</v>
      </c>
    </row>
    <row r="268" spans="1:5" ht="12" hidden="1" outlineLevel="1" x14ac:dyDescent="0.25">
      <c r="A268" s="85" t="s">
        <v>2676</v>
      </c>
      <c r="B268" s="204" t="s">
        <v>2694</v>
      </c>
      <c r="C268" s="205">
        <f t="shared" ref="C268:D268" si="193">C261+C264</f>
        <v>0</v>
      </c>
      <c r="D268" s="205">
        <f t="shared" si="193"/>
        <v>0</v>
      </c>
      <c r="E268" s="205">
        <f t="shared" ref="E268" si="194">E261+E264</f>
        <v>0</v>
      </c>
    </row>
    <row r="269" spans="1:5" ht="12" hidden="1" outlineLevel="1" x14ac:dyDescent="0.25">
      <c r="A269" s="85" t="s">
        <v>2677</v>
      </c>
      <c r="B269" s="56" t="s">
        <v>2695</v>
      </c>
      <c r="C269" s="81">
        <f t="shared" ref="C269:D269" si="195">C267+C268</f>
        <v>0</v>
      </c>
      <c r="D269" s="81">
        <f t="shared" si="195"/>
        <v>0</v>
      </c>
      <c r="E269" s="81">
        <f t="shared" ref="E269" si="196">E267+E268</f>
        <v>0</v>
      </c>
    </row>
    <row r="270" spans="1:5" collapsed="1" x14ac:dyDescent="0.2"/>
    <row r="271" spans="1:5" ht="11.4" x14ac:dyDescent="0.25">
      <c r="A271" s="652" t="s">
        <v>3000</v>
      </c>
      <c r="B271" s="454" t="s">
        <v>2696</v>
      </c>
    </row>
    <row r="272" spans="1:5" hidden="1" outlineLevel="1" x14ac:dyDescent="0.2">
      <c r="B272" s="79">
        <v>2026</v>
      </c>
    </row>
    <row r="273" spans="1:5" ht="11.4" hidden="1" outlineLevel="1" x14ac:dyDescent="0.25">
      <c r="A273" s="85" t="s">
        <v>1647</v>
      </c>
      <c r="B273" s="449" t="s">
        <v>1675</v>
      </c>
      <c r="C273" s="206">
        <f>INDEX(IN_CTS_CTR_RC!$A$3:$YE$117,MATCH($A273,IN_CTS_CTR_RC!$A$3:$A$117,0),MATCH(C$3,IN_CTS_CTR_RC!$A$3:$YE$3,0))</f>
        <v>0</v>
      </c>
      <c r="D273" s="206">
        <f>INDEX(IN_CTS_CTR_RC!$A$3:$YE$117,MATCH($A273,IN_CTS_CTR_RC!$A$3:$A$117,0),MATCH(D$3,IN_CTS_CTR_RC!$A$3:$YE$3,0))</f>
        <v>0</v>
      </c>
      <c r="E273" s="206">
        <f>INDEX(IN_CTS_CTR_RC!$A$3:$YE$117,MATCH($A273,IN_CTS_CTR_RC!$A$3:$A$117,0),MATCH(E$3,IN_CTS_CTR_RC!$A$3:$YE$3,0))</f>
        <v>0</v>
      </c>
    </row>
    <row r="274" spans="1:5" ht="11.4" hidden="1" outlineLevel="1" x14ac:dyDescent="0.25">
      <c r="A274" s="85" t="s">
        <v>1648</v>
      </c>
      <c r="B274" s="445" t="s">
        <v>1676</v>
      </c>
      <c r="C274" s="208">
        <f>INDEX(IN_CTS_CTR_RC!$A$3:$YE$117,MATCH($A274,IN_CTS_CTR_RC!$A$3:$A$117,0),MATCH(C$3,IN_CTS_CTR_RC!$A$3:$YE$3,0))</f>
        <v>0</v>
      </c>
      <c r="D274" s="208">
        <f>INDEX(IN_CTS_CTR_RC!$A$3:$YE$117,MATCH($A274,IN_CTS_CTR_RC!$A$3:$A$117,0),MATCH(D$3,IN_CTS_CTR_RC!$A$3:$YE$3,0))</f>
        <v>0</v>
      </c>
      <c r="E274" s="208">
        <f>INDEX(IN_CTS_CTR_RC!$A$3:$YE$117,MATCH($A274,IN_CTS_CTR_RC!$A$3:$A$117,0),MATCH(E$3,IN_CTS_CTR_RC!$A$3:$YE$3,0))</f>
        <v>0</v>
      </c>
    </row>
    <row r="275" spans="1:5" ht="11.4" hidden="1" outlineLevel="1" x14ac:dyDescent="0.25">
      <c r="A275" s="85" t="s">
        <v>2699</v>
      </c>
      <c r="B275" s="204" t="s">
        <v>2697</v>
      </c>
      <c r="C275" s="81">
        <f t="shared" ref="C275:D275" si="197">C273+C274</f>
        <v>0</v>
      </c>
      <c r="D275" s="81">
        <f t="shared" si="197"/>
        <v>0</v>
      </c>
      <c r="E275" s="81">
        <f t="shared" ref="E275" si="198">E273+E274</f>
        <v>0</v>
      </c>
    </row>
    <row r="276" spans="1:5" hidden="1" outlineLevel="1" x14ac:dyDescent="0.2"/>
    <row r="277" spans="1:5" hidden="1" outlineLevel="1" x14ac:dyDescent="0.2">
      <c r="B277" s="79">
        <v>2026</v>
      </c>
    </row>
    <row r="278" spans="1:5" ht="11.4" hidden="1" outlineLevel="1" x14ac:dyDescent="0.25">
      <c r="A278" s="85" t="s">
        <v>1654</v>
      </c>
      <c r="B278" s="449" t="s">
        <v>1671</v>
      </c>
      <c r="C278" s="206">
        <f>INDEX(IN_CTS_CTR_RC!$A$3:$YE$117,MATCH($A278,IN_CTS_CTR_RC!$A$3:$A$117,0),MATCH(C$3,IN_CTS_CTR_RC!$A$3:$YE$3,0))</f>
        <v>0</v>
      </c>
      <c r="D278" s="206">
        <f>INDEX(IN_CTS_CTR_RC!$A$3:$YE$117,MATCH($A278,IN_CTS_CTR_RC!$A$3:$A$117,0),MATCH(D$3,IN_CTS_CTR_RC!$A$3:$YE$3,0))</f>
        <v>0</v>
      </c>
      <c r="E278" s="206">
        <f>INDEX(IN_CTS_CTR_RC!$A$3:$YE$117,MATCH($A278,IN_CTS_CTR_RC!$A$3:$A$117,0),MATCH(E$3,IN_CTS_CTR_RC!$A$3:$YE$3,0))</f>
        <v>0</v>
      </c>
    </row>
    <row r="279" spans="1:5" ht="11.4" hidden="1" outlineLevel="1" x14ac:dyDescent="0.25">
      <c r="A279" s="85" t="s">
        <v>1655</v>
      </c>
      <c r="B279" s="445" t="s">
        <v>1672</v>
      </c>
      <c r="C279" s="208">
        <f>INDEX(IN_CTS_CTR_RC!$A$3:$YE$117,MATCH($A279,IN_CTS_CTR_RC!$A$3:$A$117,0),MATCH(C$3,IN_CTS_CTR_RC!$A$3:$YE$3,0))</f>
        <v>0</v>
      </c>
      <c r="D279" s="208">
        <f>INDEX(IN_CTS_CTR_RC!$A$3:$YE$117,MATCH($A279,IN_CTS_CTR_RC!$A$3:$A$117,0),MATCH(D$3,IN_CTS_CTR_RC!$A$3:$YE$3,0))</f>
        <v>0</v>
      </c>
      <c r="E279" s="208">
        <f>INDEX(IN_CTS_CTR_RC!$A$3:$YE$117,MATCH($A279,IN_CTS_CTR_RC!$A$3:$A$117,0),MATCH(E$3,IN_CTS_CTR_RC!$A$3:$YE$3,0))</f>
        <v>0</v>
      </c>
    </row>
    <row r="280" spans="1:5" ht="11.4" hidden="1" outlineLevel="1" x14ac:dyDescent="0.25">
      <c r="A280" s="85" t="s">
        <v>2700</v>
      </c>
      <c r="B280" s="204" t="s">
        <v>2698</v>
      </c>
      <c r="C280" s="81">
        <f t="shared" ref="C280:D280" si="199">C278+C279</f>
        <v>0</v>
      </c>
      <c r="D280" s="81">
        <f t="shared" si="199"/>
        <v>0</v>
      </c>
      <c r="E280" s="81">
        <f t="shared" ref="E280" si="200">E278+E279</f>
        <v>0</v>
      </c>
    </row>
    <row r="281" spans="1:5" hidden="1" outlineLevel="1" x14ac:dyDescent="0.2"/>
    <row r="282" spans="1:5" hidden="1" outlineLevel="1" x14ac:dyDescent="0.2">
      <c r="B282" s="79">
        <v>2028</v>
      </c>
    </row>
    <row r="283" spans="1:5" ht="11.4" hidden="1" outlineLevel="1" x14ac:dyDescent="0.25">
      <c r="A283" s="85" t="s">
        <v>2701</v>
      </c>
      <c r="B283" s="648" t="s">
        <v>2706</v>
      </c>
      <c r="C283" s="649">
        <v>0</v>
      </c>
      <c r="D283" s="649">
        <v>0</v>
      </c>
      <c r="E283" s="649">
        <v>0</v>
      </c>
    </row>
    <row r="284" spans="1:5" ht="11.4" hidden="1" outlineLevel="1" x14ac:dyDescent="0.25">
      <c r="A284" s="85" t="s">
        <v>2702</v>
      </c>
      <c r="B284" s="650" t="s">
        <v>2707</v>
      </c>
      <c r="C284" s="651">
        <v>0</v>
      </c>
      <c r="D284" s="651">
        <v>0</v>
      </c>
      <c r="E284" s="651">
        <v>0</v>
      </c>
    </row>
    <row r="285" spans="1:5" ht="11.4" hidden="1" outlineLevel="1" x14ac:dyDescent="0.25">
      <c r="A285" s="85" t="s">
        <v>2703</v>
      </c>
      <c r="B285" s="204" t="s">
        <v>2708</v>
      </c>
      <c r="C285" s="81">
        <f t="shared" ref="C285:D285" si="201">C283+C284</f>
        <v>0</v>
      </c>
      <c r="D285" s="81">
        <f t="shared" si="201"/>
        <v>0</v>
      </c>
      <c r="E285" s="81">
        <f t="shared" ref="E285" si="202">E283+E284</f>
        <v>0</v>
      </c>
    </row>
    <row r="286" spans="1:5" hidden="1" outlineLevel="1" x14ac:dyDescent="0.2"/>
    <row r="287" spans="1:5" hidden="1" outlineLevel="1" x14ac:dyDescent="0.2">
      <c r="B287" s="79">
        <v>2029</v>
      </c>
    </row>
    <row r="288" spans="1:5" ht="11.4" hidden="1" outlineLevel="1" x14ac:dyDescent="0.25">
      <c r="A288" s="85" t="s">
        <v>2704</v>
      </c>
      <c r="B288" s="648" t="s">
        <v>2709</v>
      </c>
      <c r="C288" s="649">
        <v>0</v>
      </c>
      <c r="D288" s="649">
        <v>0</v>
      </c>
      <c r="E288" s="649">
        <v>0</v>
      </c>
    </row>
    <row r="289" spans="1:5" ht="11.4" hidden="1" outlineLevel="1" x14ac:dyDescent="0.25">
      <c r="A289" s="85" t="s">
        <v>2705</v>
      </c>
      <c r="B289" s="650" t="s">
        <v>2710</v>
      </c>
      <c r="C289" s="651">
        <v>0</v>
      </c>
      <c r="D289" s="651">
        <v>0</v>
      </c>
      <c r="E289" s="651">
        <v>0</v>
      </c>
    </row>
    <row r="290" spans="1:5" ht="11.4" hidden="1" outlineLevel="1" x14ac:dyDescent="0.25">
      <c r="A290" s="85" t="s">
        <v>2700</v>
      </c>
      <c r="B290" s="204" t="s">
        <v>2711</v>
      </c>
      <c r="C290" s="81">
        <f t="shared" ref="C290:D290" si="203">C288+C289</f>
        <v>0</v>
      </c>
      <c r="D290" s="81">
        <f t="shared" si="203"/>
        <v>0</v>
      </c>
      <c r="E290" s="81">
        <f t="shared" ref="E290" si="204">E288+E289</f>
        <v>0</v>
      </c>
    </row>
    <row r="291" spans="1:5" collapsed="1" x14ac:dyDescent="0.2"/>
    <row r="292" spans="1:5" ht="11.4" x14ac:dyDescent="0.25">
      <c r="A292" s="652" t="s">
        <v>3001</v>
      </c>
      <c r="B292" s="454" t="s">
        <v>2712</v>
      </c>
      <c r="C292" s="448"/>
      <c r="D292" s="448"/>
    </row>
    <row r="293" spans="1:5" outlineLevel="1" x14ac:dyDescent="0.2">
      <c r="B293" s="79">
        <v>2026</v>
      </c>
    </row>
    <row r="294" spans="1:5" ht="12" outlineLevel="1" x14ac:dyDescent="0.25">
      <c r="A294" s="85" t="s">
        <v>2713</v>
      </c>
      <c r="B294" s="198" t="s">
        <v>2731</v>
      </c>
      <c r="C294" s="200">
        <v>0</v>
      </c>
      <c r="D294" s="200">
        <v>0</v>
      </c>
      <c r="E294" s="200">
        <v>0</v>
      </c>
    </row>
    <row r="295" spans="1:5" ht="12" outlineLevel="1" x14ac:dyDescent="0.25">
      <c r="A295" s="85" t="s">
        <v>2714</v>
      </c>
      <c r="B295" s="199" t="s">
        <v>2732</v>
      </c>
      <c r="C295" s="201">
        <v>0</v>
      </c>
      <c r="D295" s="201">
        <v>0</v>
      </c>
      <c r="E295" s="201">
        <v>0</v>
      </c>
    </row>
    <row r="296" spans="1:5" ht="12" outlineLevel="1" x14ac:dyDescent="0.25">
      <c r="A296" s="85" t="s">
        <v>2715</v>
      </c>
      <c r="B296" s="56" t="s">
        <v>2733</v>
      </c>
      <c r="C296" s="81">
        <f>C294+C295</f>
        <v>0</v>
      </c>
      <c r="D296" s="81">
        <f>D294+D295</f>
        <v>0</v>
      </c>
      <c r="E296" s="81">
        <f>E294+E295</f>
        <v>0</v>
      </c>
    </row>
    <row r="297" spans="1:5" ht="12" outlineLevel="1" x14ac:dyDescent="0.25">
      <c r="A297" s="85" t="s">
        <v>2716</v>
      </c>
      <c r="B297" s="198" t="s">
        <v>2734</v>
      </c>
      <c r="C297" s="200">
        <v>0</v>
      </c>
      <c r="D297" s="200">
        <v>0</v>
      </c>
      <c r="E297" s="200">
        <v>0</v>
      </c>
    </row>
    <row r="298" spans="1:5" ht="12" outlineLevel="1" x14ac:dyDescent="0.25">
      <c r="A298" s="85" t="s">
        <v>2717</v>
      </c>
      <c r="B298" s="199" t="s">
        <v>2735</v>
      </c>
      <c r="C298" s="201">
        <v>0</v>
      </c>
      <c r="D298" s="201">
        <v>0</v>
      </c>
      <c r="E298" s="201">
        <v>0</v>
      </c>
    </row>
    <row r="299" spans="1:5" ht="12" outlineLevel="1" x14ac:dyDescent="0.25">
      <c r="A299" s="85" t="s">
        <v>2718</v>
      </c>
      <c r="B299" s="56" t="s">
        <v>2736</v>
      </c>
      <c r="C299" s="81">
        <f>C297+C298</f>
        <v>0</v>
      </c>
      <c r="D299" s="81">
        <f>D297+D298</f>
        <v>0</v>
      </c>
      <c r="E299" s="81">
        <f>E297+E298</f>
        <v>0</v>
      </c>
    </row>
    <row r="300" spans="1:5" outlineLevel="1" x14ac:dyDescent="0.2"/>
    <row r="301" spans="1:5" ht="11.4" outlineLevel="1" x14ac:dyDescent="0.25">
      <c r="A301" s="85" t="s">
        <v>2719</v>
      </c>
      <c r="B301" s="202" t="s">
        <v>2737</v>
      </c>
      <c r="C301" s="203">
        <f t="shared" ref="C301:E302" si="205">C294+C297</f>
        <v>0</v>
      </c>
      <c r="D301" s="203">
        <f t="shared" si="205"/>
        <v>0</v>
      </c>
      <c r="E301" s="203">
        <f t="shared" si="205"/>
        <v>0</v>
      </c>
    </row>
    <row r="302" spans="1:5" ht="11.4" outlineLevel="1" x14ac:dyDescent="0.25">
      <c r="A302" s="85" t="s">
        <v>2720</v>
      </c>
      <c r="B302" s="204" t="s">
        <v>2738</v>
      </c>
      <c r="C302" s="205">
        <f t="shared" si="205"/>
        <v>0</v>
      </c>
      <c r="D302" s="205">
        <f t="shared" si="205"/>
        <v>0</v>
      </c>
      <c r="E302" s="205">
        <f t="shared" si="205"/>
        <v>0</v>
      </c>
    </row>
    <row r="303" spans="1:5" ht="11.4" outlineLevel="1" x14ac:dyDescent="0.25">
      <c r="A303" s="85" t="s">
        <v>2721</v>
      </c>
      <c r="B303" s="56" t="s">
        <v>2739</v>
      </c>
      <c r="C303" s="81">
        <f>C301+C302</f>
        <v>0</v>
      </c>
      <c r="D303" s="81">
        <f>D301+D302</f>
        <v>0</v>
      </c>
      <c r="E303" s="81">
        <f>E301+E302</f>
        <v>0</v>
      </c>
    </row>
    <row r="304" spans="1:5" outlineLevel="1" x14ac:dyDescent="0.2"/>
    <row r="305" spans="1:11" outlineLevel="1" x14ac:dyDescent="0.2">
      <c r="B305" s="79">
        <v>2027</v>
      </c>
    </row>
    <row r="306" spans="1:11" ht="12" outlineLevel="1" x14ac:dyDescent="0.25">
      <c r="A306" s="85" t="s">
        <v>2722</v>
      </c>
      <c r="B306" s="198" t="s">
        <v>2740</v>
      </c>
      <c r="C306" s="200">
        <f>663975.333804173*I306</f>
        <v>340344.7554539569</v>
      </c>
      <c r="D306" s="200">
        <v>0</v>
      </c>
      <c r="E306" s="200">
        <v>0</v>
      </c>
      <c r="G306" s="1109">
        <v>8405954.2319268156</v>
      </c>
      <c r="H306" s="51" t="s">
        <v>8811</v>
      </c>
      <c r="I306" s="374">
        <f>+G306/$G$308</f>
        <v>0.51258644429453326</v>
      </c>
      <c r="K306" s="80">
        <v>663975.33380417305</v>
      </c>
    </row>
    <row r="307" spans="1:11" ht="12" outlineLevel="1" x14ac:dyDescent="0.25">
      <c r="A307" s="85" t="s">
        <v>2723</v>
      </c>
      <c r="B307" s="199" t="s">
        <v>2741</v>
      </c>
      <c r="C307" s="201">
        <v>0</v>
      </c>
      <c r="D307" s="201">
        <v>0</v>
      </c>
      <c r="E307" s="201">
        <v>0</v>
      </c>
      <c r="G307" s="1109">
        <v>7993141.6191073116</v>
      </c>
      <c r="H307" s="51" t="s">
        <v>8812</v>
      </c>
      <c r="I307" s="374">
        <f>+G307/$G$308</f>
        <v>0.48741355570546679</v>
      </c>
    </row>
    <row r="308" spans="1:11" ht="12" outlineLevel="1" x14ac:dyDescent="0.25">
      <c r="A308" s="85" t="s">
        <v>2724</v>
      </c>
      <c r="B308" s="56" t="s">
        <v>2742</v>
      </c>
      <c r="C308" s="81">
        <f>C306+C307</f>
        <v>340344.7554539569</v>
      </c>
      <c r="D308" s="81">
        <f>D306+D307</f>
        <v>0</v>
      </c>
      <c r="E308" s="81">
        <f>E306+E307</f>
        <v>0</v>
      </c>
      <c r="G308" s="336">
        <f>+G306+G307</f>
        <v>16399095.851034127</v>
      </c>
      <c r="I308" s="1110">
        <f>+SUM(I305:I307)</f>
        <v>1</v>
      </c>
    </row>
    <row r="309" spans="1:11" ht="12" outlineLevel="1" x14ac:dyDescent="0.25">
      <c r="A309" s="85" t="s">
        <v>2725</v>
      </c>
      <c r="B309" s="198" t="s">
        <v>2743</v>
      </c>
      <c r="C309" s="200">
        <f>663975.333804173*I307</f>
        <v>323630.57835021621</v>
      </c>
      <c r="D309" s="200">
        <v>0</v>
      </c>
      <c r="E309" s="200">
        <v>0</v>
      </c>
    </row>
    <row r="310" spans="1:11" ht="12" outlineLevel="1" x14ac:dyDescent="0.25">
      <c r="A310" s="85" t="s">
        <v>2726</v>
      </c>
      <c r="B310" s="199" t="s">
        <v>2744</v>
      </c>
      <c r="C310" s="201">
        <v>0</v>
      </c>
      <c r="D310" s="201">
        <v>0</v>
      </c>
      <c r="E310" s="201">
        <v>0</v>
      </c>
    </row>
    <row r="311" spans="1:11" ht="12" outlineLevel="1" x14ac:dyDescent="0.25">
      <c r="A311" s="85" t="s">
        <v>2727</v>
      </c>
      <c r="B311" s="56" t="s">
        <v>2745</v>
      </c>
      <c r="C311" s="81">
        <f>C309+C310</f>
        <v>323630.57835021621</v>
      </c>
      <c r="D311" s="81">
        <f>D309+D310</f>
        <v>0</v>
      </c>
      <c r="E311" s="81">
        <f>E309+E310</f>
        <v>0</v>
      </c>
    </row>
    <row r="312" spans="1:11" outlineLevel="1" x14ac:dyDescent="0.2"/>
    <row r="313" spans="1:11" ht="11.4" outlineLevel="1" x14ac:dyDescent="0.25">
      <c r="A313" s="85" t="s">
        <v>2728</v>
      </c>
      <c r="B313" s="202" t="s">
        <v>2746</v>
      </c>
      <c r="C313" s="203">
        <f t="shared" ref="C313:E314" si="206">C306+C309</f>
        <v>663975.33380417316</v>
      </c>
      <c r="D313" s="203">
        <f t="shared" si="206"/>
        <v>0</v>
      </c>
      <c r="E313" s="203">
        <f t="shared" si="206"/>
        <v>0</v>
      </c>
    </row>
    <row r="314" spans="1:11" ht="11.4" outlineLevel="1" x14ac:dyDescent="0.25">
      <c r="A314" s="85" t="s">
        <v>2729</v>
      </c>
      <c r="B314" s="204" t="s">
        <v>2747</v>
      </c>
      <c r="C314" s="205">
        <f t="shared" si="206"/>
        <v>0</v>
      </c>
      <c r="D314" s="205">
        <f t="shared" si="206"/>
        <v>0</v>
      </c>
      <c r="E314" s="205">
        <f t="shared" si="206"/>
        <v>0</v>
      </c>
    </row>
    <row r="315" spans="1:11" ht="11.4" outlineLevel="1" x14ac:dyDescent="0.25">
      <c r="A315" s="85" t="s">
        <v>2730</v>
      </c>
      <c r="B315" s="56" t="s">
        <v>2748</v>
      </c>
      <c r="C315" s="81">
        <f>C313+C314</f>
        <v>663975.33380417316</v>
      </c>
      <c r="D315" s="81">
        <f>D313+D314</f>
        <v>0</v>
      </c>
      <c r="E315" s="81">
        <f>E313+E314</f>
        <v>0</v>
      </c>
    </row>
    <row r="316" spans="1:11" outlineLevel="1" x14ac:dyDescent="0.2">
      <c r="B316" s="82"/>
      <c r="C316" s="83"/>
      <c r="D316" s="83"/>
      <c r="E316" s="83"/>
    </row>
    <row r="317" spans="1:11" outlineLevel="1" x14ac:dyDescent="0.2">
      <c r="B317" s="79">
        <v>2028</v>
      </c>
    </row>
    <row r="318" spans="1:11" ht="12" outlineLevel="1" x14ac:dyDescent="0.25">
      <c r="A318" s="85" t="s">
        <v>2749</v>
      </c>
      <c r="B318" s="648" t="s">
        <v>2767</v>
      </c>
      <c r="C318" s="649">
        <v>0</v>
      </c>
      <c r="D318" s="649">
        <v>0</v>
      </c>
      <c r="E318" s="649">
        <v>0</v>
      </c>
    </row>
    <row r="319" spans="1:11" ht="12" outlineLevel="1" x14ac:dyDescent="0.25">
      <c r="A319" s="85" t="s">
        <v>2750</v>
      </c>
      <c r="B319" s="650" t="s">
        <v>2768</v>
      </c>
      <c r="C319" s="651">
        <v>0</v>
      </c>
      <c r="D319" s="651">
        <v>0</v>
      </c>
      <c r="E319" s="651">
        <v>0</v>
      </c>
    </row>
    <row r="320" spans="1:11" ht="12" outlineLevel="1" x14ac:dyDescent="0.25">
      <c r="A320" s="85" t="s">
        <v>2751</v>
      </c>
      <c r="B320" s="56" t="s">
        <v>2769</v>
      </c>
      <c r="C320" s="81">
        <f>C318+C319</f>
        <v>0</v>
      </c>
      <c r="D320" s="81">
        <f>D318+D319</f>
        <v>0</v>
      </c>
      <c r="E320" s="81">
        <f>E318+E319</f>
        <v>0</v>
      </c>
    </row>
    <row r="321" spans="1:5" ht="12" outlineLevel="1" x14ac:dyDescent="0.25">
      <c r="A321" s="85" t="s">
        <v>2752</v>
      </c>
      <c r="B321" s="648" t="s">
        <v>2770</v>
      </c>
      <c r="C321" s="649">
        <v>0</v>
      </c>
      <c r="D321" s="649">
        <v>0</v>
      </c>
      <c r="E321" s="649">
        <v>0</v>
      </c>
    </row>
    <row r="322" spans="1:5" ht="12" outlineLevel="1" x14ac:dyDescent="0.25">
      <c r="A322" s="85" t="s">
        <v>2753</v>
      </c>
      <c r="B322" s="650" t="s">
        <v>2771</v>
      </c>
      <c r="C322" s="651">
        <v>0</v>
      </c>
      <c r="D322" s="651">
        <v>0</v>
      </c>
      <c r="E322" s="651">
        <v>0</v>
      </c>
    </row>
    <row r="323" spans="1:5" ht="12" outlineLevel="1" x14ac:dyDescent="0.25">
      <c r="A323" s="85" t="s">
        <v>2754</v>
      </c>
      <c r="B323" s="56" t="s">
        <v>2772</v>
      </c>
      <c r="C323" s="81">
        <f>C321+C322</f>
        <v>0</v>
      </c>
      <c r="D323" s="81">
        <f>D321+D322</f>
        <v>0</v>
      </c>
      <c r="E323" s="81">
        <f>E321+E322</f>
        <v>0</v>
      </c>
    </row>
    <row r="324" spans="1:5" outlineLevel="1" x14ac:dyDescent="0.2"/>
    <row r="325" spans="1:5" ht="11.4" outlineLevel="1" x14ac:dyDescent="0.25">
      <c r="A325" s="85" t="s">
        <v>2755</v>
      </c>
      <c r="B325" s="202" t="s">
        <v>2773</v>
      </c>
      <c r="C325" s="203">
        <f t="shared" ref="C325:E326" si="207">C318+C321</f>
        <v>0</v>
      </c>
      <c r="D325" s="203">
        <f t="shared" si="207"/>
        <v>0</v>
      </c>
      <c r="E325" s="203">
        <f t="shared" si="207"/>
        <v>0</v>
      </c>
    </row>
    <row r="326" spans="1:5" ht="11.4" outlineLevel="1" x14ac:dyDescent="0.25">
      <c r="A326" s="85" t="s">
        <v>2756</v>
      </c>
      <c r="B326" s="204" t="s">
        <v>2774</v>
      </c>
      <c r="C326" s="205">
        <f t="shared" si="207"/>
        <v>0</v>
      </c>
      <c r="D326" s="205">
        <f t="shared" si="207"/>
        <v>0</v>
      </c>
      <c r="E326" s="205">
        <f t="shared" si="207"/>
        <v>0</v>
      </c>
    </row>
    <row r="327" spans="1:5" ht="11.4" outlineLevel="1" x14ac:dyDescent="0.25">
      <c r="A327" s="85" t="s">
        <v>2757</v>
      </c>
      <c r="B327" s="56" t="s">
        <v>2775</v>
      </c>
      <c r="C327" s="81">
        <f>C325+C326</f>
        <v>0</v>
      </c>
      <c r="D327" s="81">
        <f>D325+D326</f>
        <v>0</v>
      </c>
      <c r="E327" s="81">
        <f>E325+E326</f>
        <v>0</v>
      </c>
    </row>
    <row r="328" spans="1:5" outlineLevel="1" x14ac:dyDescent="0.2"/>
    <row r="329" spans="1:5" outlineLevel="1" x14ac:dyDescent="0.2">
      <c r="B329" s="79">
        <v>2029</v>
      </c>
    </row>
    <row r="330" spans="1:5" ht="12" outlineLevel="1" x14ac:dyDescent="0.25">
      <c r="A330" s="85" t="s">
        <v>2758</v>
      </c>
      <c r="B330" s="648" t="s">
        <v>2776</v>
      </c>
      <c r="C330" s="649">
        <v>0</v>
      </c>
      <c r="D330" s="649">
        <v>0</v>
      </c>
      <c r="E330" s="649">
        <v>0</v>
      </c>
    </row>
    <row r="331" spans="1:5" ht="12" outlineLevel="1" x14ac:dyDescent="0.25">
      <c r="A331" s="85" t="s">
        <v>2759</v>
      </c>
      <c r="B331" s="650" t="s">
        <v>2777</v>
      </c>
      <c r="C331" s="651">
        <v>0</v>
      </c>
      <c r="D331" s="651">
        <v>0</v>
      </c>
      <c r="E331" s="651">
        <v>0</v>
      </c>
    </row>
    <row r="332" spans="1:5" ht="12" outlineLevel="1" x14ac:dyDescent="0.25">
      <c r="A332" s="85" t="s">
        <v>2760</v>
      </c>
      <c r="B332" s="56" t="s">
        <v>2778</v>
      </c>
      <c r="C332" s="81">
        <f>C330+C331</f>
        <v>0</v>
      </c>
      <c r="D332" s="81">
        <f>D330+D331</f>
        <v>0</v>
      </c>
      <c r="E332" s="81">
        <f>E330+E331</f>
        <v>0</v>
      </c>
    </row>
    <row r="333" spans="1:5" ht="12" outlineLevel="1" x14ac:dyDescent="0.25">
      <c r="A333" s="85" t="s">
        <v>2761</v>
      </c>
      <c r="B333" s="648" t="s">
        <v>2779</v>
      </c>
      <c r="C333" s="649">
        <v>0</v>
      </c>
      <c r="D333" s="649">
        <v>0</v>
      </c>
      <c r="E333" s="649">
        <v>0</v>
      </c>
    </row>
    <row r="334" spans="1:5" ht="12" outlineLevel="1" x14ac:dyDescent="0.25">
      <c r="A334" s="85" t="s">
        <v>2762</v>
      </c>
      <c r="B334" s="650" t="s">
        <v>2780</v>
      </c>
      <c r="C334" s="651">
        <v>0</v>
      </c>
      <c r="D334" s="651">
        <v>0</v>
      </c>
      <c r="E334" s="651">
        <v>0</v>
      </c>
    </row>
    <row r="335" spans="1:5" ht="12" outlineLevel="1" x14ac:dyDescent="0.25">
      <c r="A335" s="85" t="s">
        <v>2763</v>
      </c>
      <c r="B335" s="56" t="s">
        <v>2781</v>
      </c>
      <c r="C335" s="81">
        <f>C333+C334</f>
        <v>0</v>
      </c>
      <c r="D335" s="81">
        <f>D333+D334</f>
        <v>0</v>
      </c>
      <c r="E335" s="81">
        <f>E333+E334</f>
        <v>0</v>
      </c>
    </row>
    <row r="336" spans="1:5" outlineLevel="1" x14ac:dyDescent="0.2"/>
    <row r="337" spans="1:5" ht="11.4" outlineLevel="1" x14ac:dyDescent="0.25">
      <c r="A337" s="85" t="s">
        <v>2764</v>
      </c>
      <c r="B337" s="202" t="s">
        <v>2782</v>
      </c>
      <c r="C337" s="203">
        <f t="shared" ref="C337:E338" si="208">C330+C333</f>
        <v>0</v>
      </c>
      <c r="D337" s="203">
        <f t="shared" si="208"/>
        <v>0</v>
      </c>
      <c r="E337" s="203">
        <f t="shared" si="208"/>
        <v>0</v>
      </c>
    </row>
    <row r="338" spans="1:5" ht="11.4" outlineLevel="1" x14ac:dyDescent="0.25">
      <c r="A338" s="85" t="s">
        <v>2765</v>
      </c>
      <c r="B338" s="204" t="s">
        <v>2783</v>
      </c>
      <c r="C338" s="205">
        <f t="shared" si="208"/>
        <v>0</v>
      </c>
      <c r="D338" s="205">
        <f t="shared" si="208"/>
        <v>0</v>
      </c>
      <c r="E338" s="205">
        <f t="shared" si="208"/>
        <v>0</v>
      </c>
    </row>
    <row r="339" spans="1:5" ht="11.4" outlineLevel="1" x14ac:dyDescent="0.25">
      <c r="A339" s="85" t="s">
        <v>2766</v>
      </c>
      <c r="B339" s="56" t="s">
        <v>2784</v>
      </c>
      <c r="C339" s="81">
        <f>C337+C338</f>
        <v>0</v>
      </c>
      <c r="D339" s="81">
        <f>D337+D338</f>
        <v>0</v>
      </c>
      <c r="E339" s="81">
        <f>E337+E338</f>
        <v>0</v>
      </c>
    </row>
    <row r="341" spans="1:5" ht="11.4" x14ac:dyDescent="0.25">
      <c r="A341" s="652" t="s">
        <v>3002</v>
      </c>
      <c r="B341" s="454" t="s">
        <v>2785</v>
      </c>
      <c r="C341" s="448"/>
      <c r="D341" s="448"/>
    </row>
    <row r="342" spans="1:5" hidden="1" outlineLevel="1" x14ac:dyDescent="0.2">
      <c r="B342" s="79">
        <v>2026</v>
      </c>
    </row>
    <row r="343" spans="1:5" ht="11.4" hidden="1" outlineLevel="1" x14ac:dyDescent="0.25">
      <c r="A343" s="85" t="s">
        <v>2786</v>
      </c>
      <c r="B343" s="449" t="s">
        <v>2804</v>
      </c>
      <c r="C343" s="206">
        <f>INDEX(RC_I25_GEST!$A$3:$AAA$76,MATCH($A343,RC_I25_GEST!$A$3:$A$76,0),MATCH(C$3,RC_I25_GEST!$A$3:$AAA$3,0))</f>
        <v>0</v>
      </c>
      <c r="D343" s="206">
        <f>INDEX(RC_I25_GEST!$A$3:$AAA$76,MATCH($A343,RC_I25_GEST!$A$3:$A$76,0),MATCH(D$3,RC_I25_GEST!$A$3:$AAA$3,0))</f>
        <v>0</v>
      </c>
      <c r="E343" s="206">
        <f>INDEX(RC_I25_GEST!$A$3:$AAA$76,MATCH($A343,RC_I25_GEST!$A$3:$A$76,0),MATCH(E$3,RC_I25_GEST!$A$3:$AAA$3,0))</f>
        <v>0</v>
      </c>
    </row>
    <row r="344" spans="1:5" ht="11.4" hidden="1" outlineLevel="1" x14ac:dyDescent="0.25">
      <c r="A344" s="85" t="s">
        <v>2787</v>
      </c>
      <c r="B344" s="445" t="s">
        <v>2805</v>
      </c>
      <c r="C344" s="208">
        <f>INDEX(RC_I25_COM!$A$3:$AAA$76,MATCH($A344,RC_I25_COM!$A$3:$A$76,0),MATCH(C$3,RC_I25_COM!$A$3:$AAA$3,0))</f>
        <v>0</v>
      </c>
      <c r="D344" s="208">
        <f>INDEX(RC_I25_COM!$A$3:$AAA$76,MATCH($A344,RC_I25_COM!$A$3:$A$76,0),MATCH(D$3,RC_I25_COM!$A$3:$AAA$3,0))</f>
        <v>0</v>
      </c>
      <c r="E344" s="208">
        <f>INDEX(RC_I25_COM!$A$3:$AAA$76,MATCH($A344,RC_I25_COM!$A$3:$A$76,0),MATCH(E$3,RC_I25_COM!$A$3:$AAA$3,0))</f>
        <v>0</v>
      </c>
    </row>
    <row r="345" spans="1:5" ht="11.4" hidden="1" outlineLevel="1" x14ac:dyDescent="0.25">
      <c r="A345" s="85" t="s">
        <v>2788</v>
      </c>
      <c r="B345" s="56" t="s">
        <v>2806</v>
      </c>
      <c r="C345" s="81">
        <f>C343+C344</f>
        <v>0</v>
      </c>
      <c r="D345" s="81">
        <f>D343+D344</f>
        <v>0</v>
      </c>
      <c r="E345" s="81">
        <f>E343+E344</f>
        <v>0</v>
      </c>
    </row>
    <row r="346" spans="1:5" ht="11.4" hidden="1" outlineLevel="1" x14ac:dyDescent="0.25">
      <c r="A346" s="85" t="s">
        <v>2789</v>
      </c>
      <c r="B346" s="449" t="s">
        <v>2807</v>
      </c>
      <c r="C346" s="206">
        <f>INDEX(RC_I25_GEST!$A$3:$AAA$76,MATCH($A346,RC_I25_GEST!$A$3:$A$76,0),MATCH(C$3,RC_I25_GEST!$A$3:$AAA$3,0))</f>
        <v>0</v>
      </c>
      <c r="D346" s="206">
        <f>INDEX(RC_I25_GEST!$A$3:$AAA$76,MATCH($A346,RC_I25_GEST!$A$3:$A$76,0),MATCH(D$3,RC_I25_GEST!$A$3:$AAA$3,0))</f>
        <v>0</v>
      </c>
      <c r="E346" s="206">
        <f>INDEX(RC_I25_GEST!$A$3:$AAA$76,MATCH($A346,RC_I25_GEST!$A$3:$A$76,0),MATCH(E$3,RC_I25_GEST!$A$3:$AAA$3,0))</f>
        <v>0</v>
      </c>
    </row>
    <row r="347" spans="1:5" ht="11.4" hidden="1" outlineLevel="1" x14ac:dyDescent="0.25">
      <c r="A347" s="85" t="s">
        <v>2790</v>
      </c>
      <c r="B347" s="445" t="s">
        <v>2808</v>
      </c>
      <c r="C347" s="208">
        <f>INDEX(RC_I25_COM!$A$3:$AAA$76,MATCH($A347,RC_I25_COM!$A$3:$A$76,0),MATCH(C$3,RC_I25_COM!$A$3:$AAA$3,0))</f>
        <v>0</v>
      </c>
      <c r="D347" s="208">
        <f>INDEX(RC_I25_COM!$A$3:$AAA$76,MATCH($A347,RC_I25_COM!$A$3:$A$76,0),MATCH(D$3,RC_I25_COM!$A$3:$AAA$3,0))</f>
        <v>0</v>
      </c>
      <c r="E347" s="208">
        <f>INDEX(RC_I25_COM!$A$3:$AAA$76,MATCH($A347,RC_I25_COM!$A$3:$A$76,0),MATCH(E$3,RC_I25_COM!$A$3:$AAA$3,0))</f>
        <v>0</v>
      </c>
    </row>
    <row r="348" spans="1:5" ht="11.4" hidden="1" outlineLevel="1" x14ac:dyDescent="0.25">
      <c r="A348" s="85" t="s">
        <v>2791</v>
      </c>
      <c r="B348" s="56" t="s">
        <v>2809</v>
      </c>
      <c r="C348" s="81">
        <f>C346+C347</f>
        <v>0</v>
      </c>
      <c r="D348" s="81">
        <f>D346+D347</f>
        <v>0</v>
      </c>
      <c r="E348" s="81">
        <f>E346+E347</f>
        <v>0</v>
      </c>
    </row>
    <row r="349" spans="1:5" hidden="1" outlineLevel="1" x14ac:dyDescent="0.2"/>
    <row r="350" spans="1:5" ht="11.4" hidden="1" outlineLevel="1" x14ac:dyDescent="0.25">
      <c r="A350" s="85" t="s">
        <v>2792</v>
      </c>
      <c r="B350" s="202" t="s">
        <v>2810</v>
      </c>
      <c r="C350" s="203">
        <f t="shared" ref="C350:E351" si="209">C343+C346</f>
        <v>0</v>
      </c>
      <c r="D350" s="203">
        <f t="shared" si="209"/>
        <v>0</v>
      </c>
      <c r="E350" s="203">
        <f t="shared" si="209"/>
        <v>0</v>
      </c>
    </row>
    <row r="351" spans="1:5" ht="11.4" hidden="1" outlineLevel="1" x14ac:dyDescent="0.25">
      <c r="A351" s="85" t="s">
        <v>2793</v>
      </c>
      <c r="B351" s="204" t="s">
        <v>2811</v>
      </c>
      <c r="C351" s="205">
        <f t="shared" si="209"/>
        <v>0</v>
      </c>
      <c r="D351" s="205">
        <f t="shared" si="209"/>
        <v>0</v>
      </c>
      <c r="E351" s="205">
        <f t="shared" si="209"/>
        <v>0</v>
      </c>
    </row>
    <row r="352" spans="1:5" ht="11.4" hidden="1" outlineLevel="1" x14ac:dyDescent="0.25">
      <c r="A352" s="85" t="s">
        <v>2794</v>
      </c>
      <c r="B352" s="56" t="s">
        <v>2812</v>
      </c>
      <c r="C352" s="81">
        <f>C350+C351</f>
        <v>0</v>
      </c>
      <c r="D352" s="81">
        <f>D350+D351</f>
        <v>0</v>
      </c>
      <c r="E352" s="81">
        <f>E350+E351</f>
        <v>0</v>
      </c>
    </row>
    <row r="353" spans="1:5" hidden="1" outlineLevel="1" x14ac:dyDescent="0.2"/>
    <row r="354" spans="1:5" hidden="1" outlineLevel="1" x14ac:dyDescent="0.2">
      <c r="B354" s="79">
        <v>2027</v>
      </c>
    </row>
    <row r="355" spans="1:5" ht="11.4" hidden="1" outlineLevel="1" x14ac:dyDescent="0.25">
      <c r="A355" s="85" t="s">
        <v>2795</v>
      </c>
      <c r="B355" s="449" t="s">
        <v>2813</v>
      </c>
      <c r="C355" s="206">
        <f>INDEX(RC_I25_GEST!$A$3:$AAA$76,MATCH($A355,RC_I25_GEST!$A$3:$A$76,0),MATCH(C$3,RC_I25_GEST!$A$3:$AAA$3,0))</f>
        <v>175789.73340780661</v>
      </c>
      <c r="D355" s="206">
        <f>INDEX(RC_I25_GEST!$A$3:$AAA$76,MATCH($A355,RC_I25_GEST!$A$3:$A$76,0),MATCH(D$3,RC_I25_GEST!$A$3:$AAA$3,0))</f>
        <v>0</v>
      </c>
      <c r="E355" s="206">
        <f>INDEX(RC_I25_GEST!$A$3:$AAA$76,MATCH($A355,RC_I25_GEST!$A$3:$A$76,0),MATCH(E$3,RC_I25_GEST!$A$3:$AAA$3,0))</f>
        <v>0</v>
      </c>
    </row>
    <row r="356" spans="1:5" ht="11.4" hidden="1" outlineLevel="1" x14ac:dyDescent="0.25">
      <c r="A356" s="85" t="s">
        <v>2796</v>
      </c>
      <c r="B356" s="445" t="s">
        <v>2814</v>
      </c>
      <c r="C356" s="208">
        <f>INDEX(RC_I25_COM!$A$3:$AAA$76,MATCH($A356,RC_I25_COM!$A$3:$A$76,0),MATCH(C$3,RC_I25_COM!$A$3:$AAA$3,0))</f>
        <v>0</v>
      </c>
      <c r="D356" s="208">
        <f>INDEX(RC_I25_COM!$A$3:$AAA$76,MATCH($A356,RC_I25_COM!$A$3:$A$76,0),MATCH(D$3,RC_I25_COM!$A$3:$AAA$3,0))</f>
        <v>0</v>
      </c>
      <c r="E356" s="208">
        <f>INDEX(RC_I25_COM!$A$3:$AAA$76,MATCH($A356,RC_I25_COM!$A$3:$A$76,0),MATCH(E$3,RC_I25_COM!$A$3:$AAA$3,0))</f>
        <v>0</v>
      </c>
    </row>
    <row r="357" spans="1:5" ht="11.4" hidden="1" outlineLevel="1" x14ac:dyDescent="0.25">
      <c r="A357" s="85" t="s">
        <v>2797</v>
      </c>
      <c r="B357" s="56" t="s">
        <v>2815</v>
      </c>
      <c r="C357" s="81">
        <f>C355+C356</f>
        <v>175789.73340780661</v>
      </c>
      <c r="D357" s="81">
        <f>D355+D356</f>
        <v>0</v>
      </c>
      <c r="E357" s="81">
        <f>E355+E356</f>
        <v>0</v>
      </c>
    </row>
    <row r="358" spans="1:5" ht="11.4" hidden="1" outlineLevel="1" x14ac:dyDescent="0.25">
      <c r="A358" s="85" t="s">
        <v>2798</v>
      </c>
      <c r="B358" s="449" t="s">
        <v>2816</v>
      </c>
      <c r="C358" s="206">
        <f>INDEX(RC_I25_GEST!$A$3:$AAA$76,MATCH($A358,RC_I25_GEST!$A$3:$A$76,0),MATCH(C$3,RC_I25_GEST!$A$3:$AAA$3,0))</f>
        <v>104195.64689292852</v>
      </c>
      <c r="D358" s="206">
        <f>INDEX(RC_I25_GEST!$A$3:$AAA$76,MATCH($A358,RC_I25_GEST!$A$3:$A$76,0),MATCH(D$3,RC_I25_GEST!$A$3:$AAA$3,0))</f>
        <v>0</v>
      </c>
      <c r="E358" s="206">
        <f>INDEX(RC_I25_GEST!$A$3:$AAA$76,MATCH($A358,RC_I25_GEST!$A$3:$A$76,0),MATCH(E$3,RC_I25_GEST!$A$3:$AAA$3,0))</f>
        <v>0</v>
      </c>
    </row>
    <row r="359" spans="1:5" ht="11.4" hidden="1" outlineLevel="1" x14ac:dyDescent="0.25">
      <c r="A359" s="85" t="s">
        <v>2799</v>
      </c>
      <c r="B359" s="445" t="s">
        <v>2817</v>
      </c>
      <c r="C359" s="208">
        <f>INDEX(RC_I25_COM!$A$3:$AAA$76,MATCH($A359,RC_I25_COM!$A$3:$A$76,0),MATCH(C$3,RC_I25_COM!$A$3:$AAA$3,0))</f>
        <v>0</v>
      </c>
      <c r="D359" s="208">
        <f>INDEX(RC_I25_COM!$A$3:$AAA$76,MATCH($A359,RC_I25_COM!$A$3:$A$76,0),MATCH(D$3,RC_I25_COM!$A$3:$AAA$3,0))</f>
        <v>0</v>
      </c>
      <c r="E359" s="208">
        <f>INDEX(RC_I25_COM!$A$3:$AAA$76,MATCH($A359,RC_I25_COM!$A$3:$A$76,0),MATCH(E$3,RC_I25_COM!$A$3:$AAA$3,0))</f>
        <v>0</v>
      </c>
    </row>
    <row r="360" spans="1:5" ht="11.4" hidden="1" outlineLevel="1" x14ac:dyDescent="0.25">
      <c r="A360" s="85" t="s">
        <v>2800</v>
      </c>
      <c r="B360" s="56" t="s">
        <v>2818</v>
      </c>
      <c r="C360" s="81">
        <f>C358+C359</f>
        <v>104195.64689292852</v>
      </c>
      <c r="D360" s="81">
        <f>D358+D359</f>
        <v>0</v>
      </c>
      <c r="E360" s="81">
        <f>E358+E359</f>
        <v>0</v>
      </c>
    </row>
    <row r="361" spans="1:5" hidden="1" outlineLevel="1" x14ac:dyDescent="0.2"/>
    <row r="362" spans="1:5" ht="11.4" hidden="1" outlineLevel="1" x14ac:dyDescent="0.25">
      <c r="A362" s="85" t="s">
        <v>2801</v>
      </c>
      <c r="B362" s="202" t="s">
        <v>2819</v>
      </c>
      <c r="C362" s="203">
        <f t="shared" ref="C362:E363" si="210">C355+C358</f>
        <v>279985.38030073512</v>
      </c>
      <c r="D362" s="203">
        <f t="shared" si="210"/>
        <v>0</v>
      </c>
      <c r="E362" s="203">
        <f t="shared" si="210"/>
        <v>0</v>
      </c>
    </row>
    <row r="363" spans="1:5" ht="11.4" hidden="1" outlineLevel="1" x14ac:dyDescent="0.25">
      <c r="A363" s="85" t="s">
        <v>2802</v>
      </c>
      <c r="B363" s="204" t="s">
        <v>2820</v>
      </c>
      <c r="C363" s="205">
        <f t="shared" si="210"/>
        <v>0</v>
      </c>
      <c r="D363" s="205">
        <f t="shared" si="210"/>
        <v>0</v>
      </c>
      <c r="E363" s="205">
        <f t="shared" si="210"/>
        <v>0</v>
      </c>
    </row>
    <row r="364" spans="1:5" ht="11.4" hidden="1" outlineLevel="1" x14ac:dyDescent="0.25">
      <c r="A364" s="85" t="s">
        <v>2803</v>
      </c>
      <c r="B364" s="56" t="s">
        <v>2821</v>
      </c>
      <c r="C364" s="81">
        <f>C362+C363</f>
        <v>279985.38030073512</v>
      </c>
      <c r="D364" s="81">
        <f>D362+D363</f>
        <v>0</v>
      </c>
      <c r="E364" s="81">
        <f>E362+E363</f>
        <v>0</v>
      </c>
    </row>
    <row r="365" spans="1:5" hidden="1" outlineLevel="1" x14ac:dyDescent="0.2">
      <c r="B365" s="82"/>
      <c r="C365" s="83"/>
      <c r="D365" s="83"/>
      <c r="E365" s="83"/>
    </row>
    <row r="366" spans="1:5" hidden="1" outlineLevel="1" x14ac:dyDescent="0.2">
      <c r="B366" s="79">
        <v>2028</v>
      </c>
    </row>
    <row r="367" spans="1:5" ht="11.4" hidden="1" outlineLevel="1" x14ac:dyDescent="0.25">
      <c r="A367" s="85" t="s">
        <v>2822</v>
      </c>
      <c r="B367" s="648" t="s">
        <v>2840</v>
      </c>
      <c r="C367" s="649">
        <v>0</v>
      </c>
      <c r="D367" s="649">
        <v>0</v>
      </c>
      <c r="E367" s="649">
        <v>0</v>
      </c>
    </row>
    <row r="368" spans="1:5" ht="11.4" hidden="1" outlineLevel="1" x14ac:dyDescent="0.25">
      <c r="A368" s="85" t="s">
        <v>2823</v>
      </c>
      <c r="B368" s="650" t="s">
        <v>2841</v>
      </c>
      <c r="C368" s="651">
        <v>0</v>
      </c>
      <c r="D368" s="651">
        <v>0</v>
      </c>
      <c r="E368" s="651">
        <v>0</v>
      </c>
    </row>
    <row r="369" spans="1:5" ht="11.4" hidden="1" outlineLevel="1" x14ac:dyDescent="0.25">
      <c r="A369" s="85" t="s">
        <v>2824</v>
      </c>
      <c r="B369" s="56" t="s">
        <v>2842</v>
      </c>
      <c r="C369" s="81">
        <f>C367+C368</f>
        <v>0</v>
      </c>
      <c r="D369" s="81">
        <f>D367+D368</f>
        <v>0</v>
      </c>
      <c r="E369" s="81">
        <f>E367+E368</f>
        <v>0</v>
      </c>
    </row>
    <row r="370" spans="1:5" ht="11.4" hidden="1" outlineLevel="1" x14ac:dyDescent="0.25">
      <c r="A370" s="85" t="s">
        <v>2825</v>
      </c>
      <c r="B370" s="648" t="s">
        <v>2843</v>
      </c>
      <c r="C370" s="649">
        <v>0</v>
      </c>
      <c r="D370" s="649">
        <v>0</v>
      </c>
      <c r="E370" s="649">
        <v>0</v>
      </c>
    </row>
    <row r="371" spans="1:5" ht="11.4" hidden="1" outlineLevel="1" x14ac:dyDescent="0.25">
      <c r="A371" s="85" t="s">
        <v>2826</v>
      </c>
      <c r="B371" s="650" t="s">
        <v>2844</v>
      </c>
      <c r="C371" s="651">
        <v>0</v>
      </c>
      <c r="D371" s="651">
        <v>0</v>
      </c>
      <c r="E371" s="651">
        <v>0</v>
      </c>
    </row>
    <row r="372" spans="1:5" ht="11.4" hidden="1" outlineLevel="1" x14ac:dyDescent="0.25">
      <c r="A372" s="85" t="s">
        <v>2827</v>
      </c>
      <c r="B372" s="56" t="s">
        <v>2845</v>
      </c>
      <c r="C372" s="81">
        <f>C370+C371</f>
        <v>0</v>
      </c>
      <c r="D372" s="81">
        <f>D370+D371</f>
        <v>0</v>
      </c>
      <c r="E372" s="81">
        <f>E370+E371</f>
        <v>0</v>
      </c>
    </row>
    <row r="373" spans="1:5" hidden="1" outlineLevel="1" x14ac:dyDescent="0.2"/>
    <row r="374" spans="1:5" ht="11.4" hidden="1" outlineLevel="1" x14ac:dyDescent="0.25">
      <c r="A374" s="85" t="s">
        <v>2828</v>
      </c>
      <c r="B374" s="202" t="s">
        <v>2846</v>
      </c>
      <c r="C374" s="203">
        <f t="shared" ref="C374:E375" si="211">C367+C370</f>
        <v>0</v>
      </c>
      <c r="D374" s="203">
        <f t="shared" si="211"/>
        <v>0</v>
      </c>
      <c r="E374" s="203">
        <f t="shared" si="211"/>
        <v>0</v>
      </c>
    </row>
    <row r="375" spans="1:5" ht="11.4" hidden="1" outlineLevel="1" x14ac:dyDescent="0.25">
      <c r="A375" s="85" t="s">
        <v>2829</v>
      </c>
      <c r="B375" s="204" t="s">
        <v>2847</v>
      </c>
      <c r="C375" s="205">
        <f t="shared" si="211"/>
        <v>0</v>
      </c>
      <c r="D375" s="205">
        <f t="shared" si="211"/>
        <v>0</v>
      </c>
      <c r="E375" s="205">
        <f t="shared" si="211"/>
        <v>0</v>
      </c>
    </row>
    <row r="376" spans="1:5" ht="11.4" hidden="1" outlineLevel="1" x14ac:dyDescent="0.25">
      <c r="A376" s="85" t="s">
        <v>2830</v>
      </c>
      <c r="B376" s="56" t="s">
        <v>2848</v>
      </c>
      <c r="C376" s="81">
        <f>C374+C375</f>
        <v>0</v>
      </c>
      <c r="D376" s="81">
        <f>D374+D375</f>
        <v>0</v>
      </c>
      <c r="E376" s="81">
        <f>E374+E375</f>
        <v>0</v>
      </c>
    </row>
    <row r="377" spans="1:5" hidden="1" outlineLevel="1" x14ac:dyDescent="0.2">
      <c r="B377" s="82"/>
      <c r="C377" s="83"/>
      <c r="D377" s="83"/>
      <c r="E377" s="83"/>
    </row>
    <row r="378" spans="1:5" hidden="1" outlineLevel="1" x14ac:dyDescent="0.2">
      <c r="B378" s="79">
        <v>2029</v>
      </c>
    </row>
    <row r="379" spans="1:5" ht="11.4" hidden="1" outlineLevel="1" x14ac:dyDescent="0.25">
      <c r="A379" s="85" t="s">
        <v>2831</v>
      </c>
      <c r="B379" s="648" t="s">
        <v>2849</v>
      </c>
      <c r="C379" s="649">
        <v>0</v>
      </c>
      <c r="D379" s="649">
        <v>0</v>
      </c>
      <c r="E379" s="649">
        <v>0</v>
      </c>
    </row>
    <row r="380" spans="1:5" ht="11.4" hidden="1" outlineLevel="1" x14ac:dyDescent="0.25">
      <c r="A380" s="85" t="s">
        <v>2832</v>
      </c>
      <c r="B380" s="650" t="s">
        <v>2850</v>
      </c>
      <c r="C380" s="651">
        <v>0</v>
      </c>
      <c r="D380" s="651">
        <v>0</v>
      </c>
      <c r="E380" s="651">
        <v>0</v>
      </c>
    </row>
    <row r="381" spans="1:5" ht="11.4" hidden="1" outlineLevel="1" x14ac:dyDescent="0.25">
      <c r="A381" s="85" t="s">
        <v>2833</v>
      </c>
      <c r="B381" s="56" t="s">
        <v>2851</v>
      </c>
      <c r="C381" s="81">
        <f>C379+C380</f>
        <v>0</v>
      </c>
      <c r="D381" s="81">
        <f>D379+D380</f>
        <v>0</v>
      </c>
      <c r="E381" s="81">
        <f>E379+E380</f>
        <v>0</v>
      </c>
    </row>
    <row r="382" spans="1:5" ht="11.4" hidden="1" outlineLevel="1" x14ac:dyDescent="0.25">
      <c r="A382" s="85" t="s">
        <v>2834</v>
      </c>
      <c r="B382" s="648" t="s">
        <v>2852</v>
      </c>
      <c r="C382" s="649">
        <v>0</v>
      </c>
      <c r="D382" s="649">
        <v>0</v>
      </c>
      <c r="E382" s="649">
        <v>0</v>
      </c>
    </row>
    <row r="383" spans="1:5" ht="11.4" hidden="1" outlineLevel="1" x14ac:dyDescent="0.25">
      <c r="A383" s="85" t="s">
        <v>2835</v>
      </c>
      <c r="B383" s="650" t="s">
        <v>2853</v>
      </c>
      <c r="C383" s="651">
        <v>0</v>
      </c>
      <c r="D383" s="651">
        <v>0</v>
      </c>
      <c r="E383" s="651">
        <v>0</v>
      </c>
    </row>
    <row r="384" spans="1:5" ht="11.4" hidden="1" outlineLevel="1" x14ac:dyDescent="0.25">
      <c r="A384" s="85" t="s">
        <v>2836</v>
      </c>
      <c r="B384" s="56" t="s">
        <v>2854</v>
      </c>
      <c r="C384" s="81">
        <f>C382+C383</f>
        <v>0</v>
      </c>
      <c r="D384" s="81">
        <f>D382+D383</f>
        <v>0</v>
      </c>
      <c r="E384" s="81">
        <f>E382+E383</f>
        <v>0</v>
      </c>
    </row>
    <row r="385" spans="1:5" hidden="1" outlineLevel="1" x14ac:dyDescent="0.2"/>
    <row r="386" spans="1:5" ht="11.4" hidden="1" outlineLevel="1" x14ac:dyDescent="0.25">
      <c r="A386" s="85" t="s">
        <v>2837</v>
      </c>
      <c r="B386" s="202" t="s">
        <v>2855</v>
      </c>
      <c r="C386" s="203">
        <f t="shared" ref="C386:E387" si="212">C379+C382</f>
        <v>0</v>
      </c>
      <c r="D386" s="203">
        <f t="shared" si="212"/>
        <v>0</v>
      </c>
      <c r="E386" s="203">
        <f t="shared" si="212"/>
        <v>0</v>
      </c>
    </row>
    <row r="387" spans="1:5" ht="11.4" hidden="1" outlineLevel="1" x14ac:dyDescent="0.25">
      <c r="A387" s="85" t="s">
        <v>2838</v>
      </c>
      <c r="B387" s="204" t="s">
        <v>2856</v>
      </c>
      <c r="C387" s="205">
        <f t="shared" si="212"/>
        <v>0</v>
      </c>
      <c r="D387" s="205">
        <f t="shared" si="212"/>
        <v>0</v>
      </c>
      <c r="E387" s="205">
        <f t="shared" si="212"/>
        <v>0</v>
      </c>
    </row>
    <row r="388" spans="1:5" ht="11.4" hidden="1" outlineLevel="1" x14ac:dyDescent="0.25">
      <c r="A388" s="85" t="s">
        <v>2839</v>
      </c>
      <c r="B388" s="56" t="s">
        <v>2857</v>
      </c>
      <c r="C388" s="81">
        <f>C386+C387</f>
        <v>0</v>
      </c>
      <c r="D388" s="81">
        <f>D386+D387</f>
        <v>0</v>
      </c>
      <c r="E388" s="81">
        <f>E386+E387</f>
        <v>0</v>
      </c>
    </row>
    <row r="389" spans="1:5" collapsed="1" x14ac:dyDescent="0.2"/>
    <row r="390" spans="1:5" ht="11.4" x14ac:dyDescent="0.25">
      <c r="A390" s="652" t="s">
        <v>3003</v>
      </c>
      <c r="B390" s="454" t="s">
        <v>2858</v>
      </c>
      <c r="C390" s="448"/>
      <c r="D390" s="448"/>
    </row>
    <row r="391" spans="1:5" hidden="1" outlineLevel="1" x14ac:dyDescent="0.2">
      <c r="B391" s="79">
        <v>2026</v>
      </c>
    </row>
    <row r="392" spans="1:5" ht="11.4" hidden="1" outlineLevel="1" x14ac:dyDescent="0.25">
      <c r="A392" s="85" t="s">
        <v>2859</v>
      </c>
      <c r="B392" s="648" t="s">
        <v>2895</v>
      </c>
      <c r="C392" s="649">
        <v>0</v>
      </c>
      <c r="D392" s="649">
        <v>0</v>
      </c>
      <c r="E392" s="649">
        <v>0</v>
      </c>
    </row>
    <row r="393" spans="1:5" ht="11.4" hidden="1" outlineLevel="1" x14ac:dyDescent="0.25">
      <c r="A393" s="85" t="s">
        <v>2860</v>
      </c>
      <c r="B393" s="650" t="s">
        <v>2896</v>
      </c>
      <c r="C393" s="651">
        <v>0</v>
      </c>
      <c r="D393" s="651">
        <v>0</v>
      </c>
      <c r="E393" s="651">
        <v>0</v>
      </c>
    </row>
    <row r="394" spans="1:5" ht="11.4" hidden="1" outlineLevel="1" x14ac:dyDescent="0.25">
      <c r="A394" s="85" t="s">
        <v>2861</v>
      </c>
      <c r="B394" s="56" t="s">
        <v>2897</v>
      </c>
      <c r="C394" s="81">
        <f>C392+C393</f>
        <v>0</v>
      </c>
      <c r="D394" s="81">
        <f>D392+D393</f>
        <v>0</v>
      </c>
      <c r="E394" s="81">
        <f>E392+E393</f>
        <v>0</v>
      </c>
    </row>
    <row r="395" spans="1:5" ht="11.4" hidden="1" outlineLevel="1" x14ac:dyDescent="0.25">
      <c r="A395" s="85" t="s">
        <v>2862</v>
      </c>
      <c r="B395" s="648" t="s">
        <v>2898</v>
      </c>
      <c r="C395" s="649">
        <v>0</v>
      </c>
      <c r="D395" s="649">
        <v>0</v>
      </c>
      <c r="E395" s="649">
        <v>0</v>
      </c>
    </row>
    <row r="396" spans="1:5" ht="11.4" hidden="1" outlineLevel="1" x14ac:dyDescent="0.25">
      <c r="A396" s="85" t="s">
        <v>2863</v>
      </c>
      <c r="B396" s="650" t="s">
        <v>2899</v>
      </c>
      <c r="C396" s="651">
        <v>0</v>
      </c>
      <c r="D396" s="651">
        <v>0</v>
      </c>
      <c r="E396" s="651">
        <v>0</v>
      </c>
    </row>
    <row r="397" spans="1:5" ht="11.4" hidden="1" outlineLevel="1" x14ac:dyDescent="0.25">
      <c r="A397" s="85" t="s">
        <v>2864</v>
      </c>
      <c r="B397" s="56" t="s">
        <v>2900</v>
      </c>
      <c r="C397" s="81">
        <f>C395+C396</f>
        <v>0</v>
      </c>
      <c r="D397" s="81">
        <f>D395+D396</f>
        <v>0</v>
      </c>
      <c r="E397" s="81">
        <f>E395+E396</f>
        <v>0</v>
      </c>
    </row>
    <row r="398" spans="1:5" hidden="1" outlineLevel="1" x14ac:dyDescent="0.2"/>
    <row r="399" spans="1:5" ht="11.4" hidden="1" outlineLevel="1" x14ac:dyDescent="0.25">
      <c r="A399" s="85" t="s">
        <v>2865</v>
      </c>
      <c r="B399" s="202" t="s">
        <v>2901</v>
      </c>
      <c r="C399" s="203">
        <f t="shared" ref="C399:E400" si="213">C392+C395</f>
        <v>0</v>
      </c>
      <c r="D399" s="203">
        <f t="shared" si="213"/>
        <v>0</v>
      </c>
      <c r="E399" s="203">
        <f t="shared" si="213"/>
        <v>0</v>
      </c>
    </row>
    <row r="400" spans="1:5" ht="11.4" hidden="1" outlineLevel="1" x14ac:dyDescent="0.25">
      <c r="A400" s="85" t="s">
        <v>2866</v>
      </c>
      <c r="B400" s="204" t="s">
        <v>2902</v>
      </c>
      <c r="C400" s="205">
        <f t="shared" si="213"/>
        <v>0</v>
      </c>
      <c r="D400" s="205">
        <f t="shared" si="213"/>
        <v>0</v>
      </c>
      <c r="E400" s="205">
        <f t="shared" si="213"/>
        <v>0</v>
      </c>
    </row>
    <row r="401" spans="1:5" ht="11.4" hidden="1" outlineLevel="1" x14ac:dyDescent="0.25">
      <c r="A401" s="85" t="s">
        <v>2867</v>
      </c>
      <c r="B401" s="56" t="s">
        <v>2903</v>
      </c>
      <c r="C401" s="81">
        <f>C399+C400</f>
        <v>0</v>
      </c>
      <c r="D401" s="81">
        <f>D399+D400</f>
        <v>0</v>
      </c>
      <c r="E401" s="81">
        <f>E399+E400</f>
        <v>0</v>
      </c>
    </row>
    <row r="402" spans="1:5" hidden="1" outlineLevel="1" x14ac:dyDescent="0.2"/>
    <row r="403" spans="1:5" hidden="1" outlineLevel="1" x14ac:dyDescent="0.2">
      <c r="B403" s="79">
        <v>2027</v>
      </c>
    </row>
    <row r="404" spans="1:5" ht="11.4" hidden="1" outlineLevel="1" x14ac:dyDescent="0.25">
      <c r="A404" s="85" t="s">
        <v>2868</v>
      </c>
      <c r="B404" s="648" t="s">
        <v>2904</v>
      </c>
      <c r="C404" s="649">
        <v>0</v>
      </c>
      <c r="D404" s="649">
        <v>0</v>
      </c>
      <c r="E404" s="649">
        <v>0</v>
      </c>
    </row>
    <row r="405" spans="1:5" ht="11.4" hidden="1" outlineLevel="1" x14ac:dyDescent="0.25">
      <c r="A405" s="85" t="s">
        <v>2869</v>
      </c>
      <c r="B405" s="650" t="s">
        <v>2905</v>
      </c>
      <c r="C405" s="651">
        <v>0</v>
      </c>
      <c r="D405" s="651">
        <v>0</v>
      </c>
      <c r="E405" s="651">
        <v>0</v>
      </c>
    </row>
    <row r="406" spans="1:5" ht="11.4" hidden="1" outlineLevel="1" x14ac:dyDescent="0.25">
      <c r="A406" s="85" t="s">
        <v>2870</v>
      </c>
      <c r="B406" s="56" t="s">
        <v>2906</v>
      </c>
      <c r="C406" s="81">
        <f>C404+C405</f>
        <v>0</v>
      </c>
      <c r="D406" s="81">
        <f>D404+D405</f>
        <v>0</v>
      </c>
      <c r="E406" s="81">
        <f>E404+E405</f>
        <v>0</v>
      </c>
    </row>
    <row r="407" spans="1:5" ht="11.4" hidden="1" outlineLevel="1" x14ac:dyDescent="0.25">
      <c r="A407" s="85" t="s">
        <v>2871</v>
      </c>
      <c r="B407" s="648" t="s">
        <v>2907</v>
      </c>
      <c r="C407" s="649">
        <v>0</v>
      </c>
      <c r="D407" s="649">
        <v>0</v>
      </c>
      <c r="E407" s="649">
        <v>0</v>
      </c>
    </row>
    <row r="408" spans="1:5" ht="11.4" hidden="1" outlineLevel="1" x14ac:dyDescent="0.25">
      <c r="A408" s="85" t="s">
        <v>2872</v>
      </c>
      <c r="B408" s="650" t="s">
        <v>2908</v>
      </c>
      <c r="C408" s="651">
        <v>0</v>
      </c>
      <c r="D408" s="651">
        <v>0</v>
      </c>
      <c r="E408" s="651">
        <v>0</v>
      </c>
    </row>
    <row r="409" spans="1:5" ht="11.4" hidden="1" outlineLevel="1" x14ac:dyDescent="0.25">
      <c r="A409" s="85" t="s">
        <v>2873</v>
      </c>
      <c r="B409" s="56" t="s">
        <v>2909</v>
      </c>
      <c r="C409" s="81">
        <f>C407+C408</f>
        <v>0</v>
      </c>
      <c r="D409" s="81">
        <f>D407+D408</f>
        <v>0</v>
      </c>
      <c r="E409" s="81">
        <f>E407+E408</f>
        <v>0</v>
      </c>
    </row>
    <row r="410" spans="1:5" hidden="1" outlineLevel="1" x14ac:dyDescent="0.2"/>
    <row r="411" spans="1:5" ht="11.4" hidden="1" outlineLevel="1" x14ac:dyDescent="0.25">
      <c r="A411" s="85" t="s">
        <v>2874</v>
      </c>
      <c r="B411" s="202" t="s">
        <v>2910</v>
      </c>
      <c r="C411" s="203">
        <f t="shared" ref="C411:E412" si="214">C404+C407</f>
        <v>0</v>
      </c>
      <c r="D411" s="203">
        <f t="shared" si="214"/>
        <v>0</v>
      </c>
      <c r="E411" s="203">
        <f t="shared" si="214"/>
        <v>0</v>
      </c>
    </row>
    <row r="412" spans="1:5" ht="11.4" hidden="1" outlineLevel="1" x14ac:dyDescent="0.25">
      <c r="A412" s="85" t="s">
        <v>2875</v>
      </c>
      <c r="B412" s="204" t="s">
        <v>2911</v>
      </c>
      <c r="C412" s="205">
        <f t="shared" si="214"/>
        <v>0</v>
      </c>
      <c r="D412" s="205">
        <f t="shared" si="214"/>
        <v>0</v>
      </c>
      <c r="E412" s="205">
        <f t="shared" si="214"/>
        <v>0</v>
      </c>
    </row>
    <row r="413" spans="1:5" ht="11.4" hidden="1" outlineLevel="1" x14ac:dyDescent="0.25">
      <c r="A413" s="85" t="s">
        <v>2876</v>
      </c>
      <c r="B413" s="56" t="s">
        <v>2912</v>
      </c>
      <c r="C413" s="81">
        <f>C411+C412</f>
        <v>0</v>
      </c>
      <c r="D413" s="81">
        <f>D411+D412</f>
        <v>0</v>
      </c>
      <c r="E413" s="81">
        <f>E411+E412</f>
        <v>0</v>
      </c>
    </row>
    <row r="414" spans="1:5" hidden="1" outlineLevel="1" x14ac:dyDescent="0.2">
      <c r="B414" s="82"/>
      <c r="C414" s="83"/>
      <c r="D414" s="83"/>
      <c r="E414" s="83"/>
    </row>
    <row r="415" spans="1:5" hidden="1" outlineLevel="1" x14ac:dyDescent="0.2">
      <c r="B415" s="79">
        <v>2028</v>
      </c>
    </row>
    <row r="416" spans="1:5" ht="11.4" hidden="1" outlineLevel="1" x14ac:dyDescent="0.25">
      <c r="A416" s="85" t="s">
        <v>2877</v>
      </c>
      <c r="B416" s="648" t="s">
        <v>2913</v>
      </c>
      <c r="C416" s="649">
        <v>0</v>
      </c>
      <c r="D416" s="649">
        <v>0</v>
      </c>
      <c r="E416" s="649">
        <v>0</v>
      </c>
    </row>
    <row r="417" spans="1:5" ht="11.4" hidden="1" outlineLevel="1" x14ac:dyDescent="0.25">
      <c r="A417" s="85" t="s">
        <v>2878</v>
      </c>
      <c r="B417" s="650" t="s">
        <v>2914</v>
      </c>
      <c r="C417" s="651">
        <v>0</v>
      </c>
      <c r="D417" s="651">
        <v>0</v>
      </c>
      <c r="E417" s="651">
        <v>0</v>
      </c>
    </row>
    <row r="418" spans="1:5" ht="11.4" hidden="1" outlineLevel="1" x14ac:dyDescent="0.25">
      <c r="A418" s="85" t="s">
        <v>2879</v>
      </c>
      <c r="B418" s="56" t="s">
        <v>2915</v>
      </c>
      <c r="C418" s="81">
        <f>C416+C417</f>
        <v>0</v>
      </c>
      <c r="D418" s="81">
        <f>D416+D417</f>
        <v>0</v>
      </c>
      <c r="E418" s="81">
        <f>E416+E417</f>
        <v>0</v>
      </c>
    </row>
    <row r="419" spans="1:5" ht="11.4" hidden="1" outlineLevel="1" x14ac:dyDescent="0.25">
      <c r="A419" s="85" t="s">
        <v>2880</v>
      </c>
      <c r="B419" s="648" t="s">
        <v>2916</v>
      </c>
      <c r="C419" s="649">
        <v>0</v>
      </c>
      <c r="D419" s="649">
        <v>0</v>
      </c>
      <c r="E419" s="649">
        <v>0</v>
      </c>
    </row>
    <row r="420" spans="1:5" ht="11.4" hidden="1" outlineLevel="1" x14ac:dyDescent="0.25">
      <c r="A420" s="85" t="s">
        <v>2881</v>
      </c>
      <c r="B420" s="650" t="s">
        <v>2917</v>
      </c>
      <c r="C420" s="651">
        <v>0</v>
      </c>
      <c r="D420" s="651">
        <v>0</v>
      </c>
      <c r="E420" s="651">
        <v>0</v>
      </c>
    </row>
    <row r="421" spans="1:5" ht="11.4" hidden="1" outlineLevel="1" x14ac:dyDescent="0.25">
      <c r="A421" s="85" t="s">
        <v>2882</v>
      </c>
      <c r="B421" s="56" t="s">
        <v>2918</v>
      </c>
      <c r="C421" s="81">
        <f>C419+C420</f>
        <v>0</v>
      </c>
      <c r="D421" s="81">
        <f>D419+D420</f>
        <v>0</v>
      </c>
      <c r="E421" s="81">
        <f>E419+E420</f>
        <v>0</v>
      </c>
    </row>
    <row r="422" spans="1:5" hidden="1" outlineLevel="1" x14ac:dyDescent="0.2"/>
    <row r="423" spans="1:5" ht="11.4" hidden="1" outlineLevel="1" x14ac:dyDescent="0.25">
      <c r="A423" s="85" t="s">
        <v>2883</v>
      </c>
      <c r="B423" s="202" t="s">
        <v>2919</v>
      </c>
      <c r="C423" s="203">
        <f t="shared" ref="C423:E424" si="215">C416+C419</f>
        <v>0</v>
      </c>
      <c r="D423" s="203">
        <f t="shared" si="215"/>
        <v>0</v>
      </c>
      <c r="E423" s="203">
        <f t="shared" si="215"/>
        <v>0</v>
      </c>
    </row>
    <row r="424" spans="1:5" ht="11.4" hidden="1" outlineLevel="1" x14ac:dyDescent="0.25">
      <c r="A424" s="85" t="s">
        <v>2884</v>
      </c>
      <c r="B424" s="204" t="s">
        <v>2920</v>
      </c>
      <c r="C424" s="205">
        <f t="shared" si="215"/>
        <v>0</v>
      </c>
      <c r="D424" s="205">
        <f t="shared" si="215"/>
        <v>0</v>
      </c>
      <c r="E424" s="205">
        <f t="shared" si="215"/>
        <v>0</v>
      </c>
    </row>
    <row r="425" spans="1:5" ht="11.4" hidden="1" outlineLevel="1" x14ac:dyDescent="0.25">
      <c r="A425" s="85" t="s">
        <v>2885</v>
      </c>
      <c r="B425" s="56" t="s">
        <v>2921</v>
      </c>
      <c r="C425" s="81">
        <f>C423+C424</f>
        <v>0</v>
      </c>
      <c r="D425" s="81">
        <f>D423+D424</f>
        <v>0</v>
      </c>
      <c r="E425" s="81">
        <f>E423+E424</f>
        <v>0</v>
      </c>
    </row>
    <row r="426" spans="1:5" hidden="1" outlineLevel="1" x14ac:dyDescent="0.2">
      <c r="B426" s="82"/>
      <c r="C426" s="83"/>
      <c r="D426" s="83"/>
      <c r="E426" s="83"/>
    </row>
    <row r="427" spans="1:5" hidden="1" outlineLevel="1" x14ac:dyDescent="0.2">
      <c r="B427" s="79">
        <v>2029</v>
      </c>
    </row>
    <row r="428" spans="1:5" ht="11.4" hidden="1" outlineLevel="1" x14ac:dyDescent="0.25">
      <c r="A428" s="85" t="s">
        <v>2886</v>
      </c>
      <c r="B428" s="648" t="s">
        <v>2922</v>
      </c>
      <c r="C428" s="649">
        <v>0</v>
      </c>
      <c r="D428" s="649">
        <v>0</v>
      </c>
      <c r="E428" s="649">
        <v>0</v>
      </c>
    </row>
    <row r="429" spans="1:5" ht="11.4" hidden="1" outlineLevel="1" x14ac:dyDescent="0.25">
      <c r="A429" s="85" t="s">
        <v>2887</v>
      </c>
      <c r="B429" s="650" t="s">
        <v>2923</v>
      </c>
      <c r="C429" s="651">
        <v>0</v>
      </c>
      <c r="D429" s="651">
        <v>0</v>
      </c>
      <c r="E429" s="651">
        <v>0</v>
      </c>
    </row>
    <row r="430" spans="1:5" ht="11.4" hidden="1" outlineLevel="1" x14ac:dyDescent="0.25">
      <c r="A430" s="85" t="s">
        <v>2888</v>
      </c>
      <c r="B430" s="56" t="s">
        <v>2924</v>
      </c>
      <c r="C430" s="81">
        <f>C428+C429</f>
        <v>0</v>
      </c>
      <c r="D430" s="81">
        <f>D428+D429</f>
        <v>0</v>
      </c>
      <c r="E430" s="81">
        <f>E428+E429</f>
        <v>0</v>
      </c>
    </row>
    <row r="431" spans="1:5" ht="11.4" hidden="1" outlineLevel="1" x14ac:dyDescent="0.25">
      <c r="A431" s="85" t="s">
        <v>2889</v>
      </c>
      <c r="B431" s="648" t="s">
        <v>2925</v>
      </c>
      <c r="C431" s="649">
        <v>0</v>
      </c>
      <c r="D431" s="649">
        <v>0</v>
      </c>
      <c r="E431" s="649">
        <v>0</v>
      </c>
    </row>
    <row r="432" spans="1:5" ht="11.4" hidden="1" outlineLevel="1" x14ac:dyDescent="0.25">
      <c r="A432" s="85" t="s">
        <v>2890</v>
      </c>
      <c r="B432" s="650" t="s">
        <v>2926</v>
      </c>
      <c r="C432" s="651">
        <v>0</v>
      </c>
      <c r="D432" s="651">
        <v>0</v>
      </c>
      <c r="E432" s="651">
        <v>0</v>
      </c>
    </row>
    <row r="433" spans="1:5" ht="11.4" hidden="1" outlineLevel="1" x14ac:dyDescent="0.25">
      <c r="A433" s="85" t="s">
        <v>2891</v>
      </c>
      <c r="B433" s="56" t="s">
        <v>2927</v>
      </c>
      <c r="C433" s="81">
        <f>C431+C432</f>
        <v>0</v>
      </c>
      <c r="D433" s="81">
        <f>D431+D432</f>
        <v>0</v>
      </c>
      <c r="E433" s="81">
        <f>E431+E432</f>
        <v>0</v>
      </c>
    </row>
    <row r="434" spans="1:5" hidden="1" outlineLevel="1" x14ac:dyDescent="0.2"/>
    <row r="435" spans="1:5" ht="11.4" hidden="1" outlineLevel="1" x14ac:dyDescent="0.25">
      <c r="A435" s="85" t="s">
        <v>2892</v>
      </c>
      <c r="B435" s="202" t="s">
        <v>2928</v>
      </c>
      <c r="C435" s="203">
        <f t="shared" ref="C435:E436" si="216">C428+C431</f>
        <v>0</v>
      </c>
      <c r="D435" s="203">
        <f t="shared" si="216"/>
        <v>0</v>
      </c>
      <c r="E435" s="203">
        <f t="shared" si="216"/>
        <v>0</v>
      </c>
    </row>
    <row r="436" spans="1:5" ht="11.4" hidden="1" outlineLevel="1" x14ac:dyDescent="0.25">
      <c r="A436" s="85" t="s">
        <v>2893</v>
      </c>
      <c r="B436" s="204" t="s">
        <v>2929</v>
      </c>
      <c r="C436" s="205">
        <f t="shared" si="216"/>
        <v>0</v>
      </c>
      <c r="D436" s="205">
        <f t="shared" si="216"/>
        <v>0</v>
      </c>
      <c r="E436" s="205">
        <f t="shared" si="216"/>
        <v>0</v>
      </c>
    </row>
    <row r="437" spans="1:5" ht="11.4" hidden="1" outlineLevel="1" x14ac:dyDescent="0.25">
      <c r="A437" s="85" t="s">
        <v>2894</v>
      </c>
      <c r="B437" s="56" t="s">
        <v>2930</v>
      </c>
      <c r="C437" s="81">
        <f>C435+C436</f>
        <v>0</v>
      </c>
      <c r="D437" s="81">
        <f>D435+D436</f>
        <v>0</v>
      </c>
      <c r="E437" s="81">
        <f>E435+E436</f>
        <v>0</v>
      </c>
    </row>
    <row r="438" spans="1:5" collapsed="1" x14ac:dyDescent="0.2"/>
    <row r="439" spans="1:5" x14ac:dyDescent="0.2">
      <c r="A439" s="652" t="s">
        <v>3005</v>
      </c>
      <c r="B439" s="454" t="s">
        <v>2931</v>
      </c>
      <c r="C439" s="448"/>
      <c r="D439" s="448"/>
    </row>
    <row r="440" spans="1:5" hidden="1" outlineLevel="1" x14ac:dyDescent="0.2">
      <c r="B440" s="79">
        <v>2026</v>
      </c>
    </row>
    <row r="441" spans="1:5" ht="11.4" hidden="1" outlineLevel="1" x14ac:dyDescent="0.25">
      <c r="A441" s="85" t="s">
        <v>2932</v>
      </c>
      <c r="B441" s="648" t="s">
        <v>2944</v>
      </c>
      <c r="C441" s="649">
        <v>0</v>
      </c>
      <c r="D441" s="649">
        <v>0</v>
      </c>
      <c r="E441" s="649">
        <v>0</v>
      </c>
    </row>
    <row r="442" spans="1:5" ht="11.4" hidden="1" outlineLevel="1" x14ac:dyDescent="0.25">
      <c r="A442" s="85" t="s">
        <v>2933</v>
      </c>
      <c r="B442" s="650" t="s">
        <v>2945</v>
      </c>
      <c r="C442" s="651">
        <v>0</v>
      </c>
      <c r="D442" s="651">
        <v>0</v>
      </c>
      <c r="E442" s="651">
        <v>0</v>
      </c>
    </row>
    <row r="443" spans="1:5" ht="11.4" hidden="1" outlineLevel="1" x14ac:dyDescent="0.25">
      <c r="A443" s="85" t="s">
        <v>2934</v>
      </c>
      <c r="B443" s="56" t="s">
        <v>2946</v>
      </c>
      <c r="C443" s="81">
        <f>C441+C442</f>
        <v>0</v>
      </c>
      <c r="D443" s="81">
        <f>D441+D442</f>
        <v>0</v>
      </c>
      <c r="E443" s="81">
        <f>E441+E442</f>
        <v>0</v>
      </c>
    </row>
    <row r="444" spans="1:5" hidden="1" outlineLevel="1" x14ac:dyDescent="0.2"/>
    <row r="445" spans="1:5" hidden="1" outlineLevel="1" x14ac:dyDescent="0.2">
      <c r="B445" s="79">
        <v>2027</v>
      </c>
    </row>
    <row r="446" spans="1:5" ht="11.4" hidden="1" outlineLevel="1" x14ac:dyDescent="0.25">
      <c r="A446" s="85" t="s">
        <v>2935</v>
      </c>
      <c r="B446" s="648" t="s">
        <v>2947</v>
      </c>
      <c r="C446" s="649">
        <v>0</v>
      </c>
      <c r="D446" s="649">
        <v>0</v>
      </c>
      <c r="E446" s="649">
        <v>0</v>
      </c>
    </row>
    <row r="447" spans="1:5" ht="11.4" hidden="1" outlineLevel="1" x14ac:dyDescent="0.25">
      <c r="A447" s="85" t="s">
        <v>2936</v>
      </c>
      <c r="B447" s="650" t="s">
        <v>2948</v>
      </c>
      <c r="C447" s="651">
        <v>0</v>
      </c>
      <c r="D447" s="651">
        <v>0</v>
      </c>
      <c r="E447" s="651">
        <v>0</v>
      </c>
    </row>
    <row r="448" spans="1:5" ht="11.4" hidden="1" outlineLevel="1" x14ac:dyDescent="0.25">
      <c r="A448" s="85" t="s">
        <v>2937</v>
      </c>
      <c r="B448" s="56" t="s">
        <v>2949</v>
      </c>
      <c r="C448" s="81">
        <f>C446+C447</f>
        <v>0</v>
      </c>
      <c r="D448" s="81">
        <f>D446+D447</f>
        <v>0</v>
      </c>
      <c r="E448" s="81">
        <f>E446+E447</f>
        <v>0</v>
      </c>
    </row>
    <row r="449" spans="1:5" hidden="1" outlineLevel="1" x14ac:dyDescent="0.2"/>
    <row r="450" spans="1:5" hidden="1" outlineLevel="1" x14ac:dyDescent="0.2">
      <c r="B450" s="79">
        <v>2028</v>
      </c>
    </row>
    <row r="451" spans="1:5" ht="11.4" hidden="1" outlineLevel="1" x14ac:dyDescent="0.25">
      <c r="A451" s="85" t="s">
        <v>2938</v>
      </c>
      <c r="B451" s="648" t="s">
        <v>2950</v>
      </c>
      <c r="C451" s="649">
        <v>0</v>
      </c>
      <c r="D451" s="649">
        <v>0</v>
      </c>
      <c r="E451" s="649">
        <v>0</v>
      </c>
    </row>
    <row r="452" spans="1:5" ht="11.4" hidden="1" outlineLevel="1" x14ac:dyDescent="0.25">
      <c r="A452" s="85" t="s">
        <v>2939</v>
      </c>
      <c r="B452" s="650" t="s">
        <v>2951</v>
      </c>
      <c r="C452" s="651">
        <v>0</v>
      </c>
      <c r="D452" s="651">
        <v>0</v>
      </c>
      <c r="E452" s="651">
        <v>0</v>
      </c>
    </row>
    <row r="453" spans="1:5" ht="11.4" hidden="1" outlineLevel="1" x14ac:dyDescent="0.25">
      <c r="A453" s="85" t="s">
        <v>2940</v>
      </c>
      <c r="B453" s="56" t="s">
        <v>2952</v>
      </c>
      <c r="C453" s="81">
        <f>C451+C452</f>
        <v>0</v>
      </c>
      <c r="D453" s="81">
        <f>D451+D452</f>
        <v>0</v>
      </c>
      <c r="E453" s="81">
        <f>E451+E452</f>
        <v>0</v>
      </c>
    </row>
    <row r="454" spans="1:5" hidden="1" outlineLevel="1" x14ac:dyDescent="0.2"/>
    <row r="455" spans="1:5" hidden="1" outlineLevel="1" x14ac:dyDescent="0.2">
      <c r="B455" s="79">
        <v>2029</v>
      </c>
    </row>
    <row r="456" spans="1:5" ht="11.4" hidden="1" outlineLevel="1" x14ac:dyDescent="0.25">
      <c r="A456" s="85" t="s">
        <v>2941</v>
      </c>
      <c r="B456" s="648" t="s">
        <v>2953</v>
      </c>
      <c r="C456" s="649">
        <v>0</v>
      </c>
      <c r="D456" s="649">
        <v>0</v>
      </c>
      <c r="E456" s="649">
        <v>0</v>
      </c>
    </row>
    <row r="457" spans="1:5" ht="11.4" hidden="1" outlineLevel="1" x14ac:dyDescent="0.25">
      <c r="A457" s="85" t="s">
        <v>2942</v>
      </c>
      <c r="B457" s="650" t="s">
        <v>2954</v>
      </c>
      <c r="C457" s="651">
        <v>0</v>
      </c>
      <c r="D457" s="651">
        <v>0</v>
      </c>
      <c r="E457" s="651">
        <v>0</v>
      </c>
    </row>
    <row r="458" spans="1:5" ht="11.4" hidden="1" outlineLevel="1" x14ac:dyDescent="0.25">
      <c r="A458" s="85" t="s">
        <v>2943</v>
      </c>
      <c r="B458" s="56" t="s">
        <v>2955</v>
      </c>
      <c r="C458" s="81">
        <f>C456+C457</f>
        <v>0</v>
      </c>
      <c r="D458" s="81">
        <f>D456+D457</f>
        <v>0</v>
      </c>
      <c r="E458" s="81">
        <f>E456+E457</f>
        <v>0</v>
      </c>
    </row>
    <row r="459" spans="1:5" collapsed="1" x14ac:dyDescent="0.2"/>
    <row r="460" spans="1:5" ht="11.4" x14ac:dyDescent="0.25">
      <c r="A460" s="652" t="s">
        <v>3006</v>
      </c>
      <c r="B460" s="454" t="s">
        <v>2957</v>
      </c>
    </row>
    <row r="461" spans="1:5" outlineLevel="1" x14ac:dyDescent="0.2">
      <c r="B461" s="79">
        <v>2026</v>
      </c>
    </row>
    <row r="462" spans="1:5" ht="11.4" outlineLevel="1" x14ac:dyDescent="0.25">
      <c r="A462" s="7" t="s">
        <v>6793</v>
      </c>
      <c r="B462" s="449" t="s">
        <v>2958</v>
      </c>
      <c r="C462" s="206">
        <f>INDEX(IN_Rimd!$A$3:$AAA$427,MATCH($A462,IN_Rimd!$A$3:$A$427,0),MATCH(C$3,IN_Rimd!$A$3:$AAA$3,0))</f>
        <v>315566.36782700795</v>
      </c>
      <c r="D462" s="206">
        <f>INDEX(IN_Rimd!$A$3:$AAA$427,MATCH($A462,IN_Rimd!$A$3:$A$427,0),MATCH(D$3,IN_Rimd!$A$3:$AAA$3,0))</f>
        <v>0</v>
      </c>
      <c r="E462" s="206">
        <f>INDEX(IN_Rimd!$A$3:$AAA$427,MATCH($A462,IN_Rimd!$A$3:$A$427,0),MATCH(E$3,IN_Rimd!$A$3:$AAA$3,0))</f>
        <v>0</v>
      </c>
    </row>
    <row r="463" spans="1:5" ht="11.4" outlineLevel="1" x14ac:dyDescent="0.25">
      <c r="A463" s="7" t="s">
        <v>6794</v>
      </c>
      <c r="B463" s="445" t="s">
        <v>2959</v>
      </c>
      <c r="C463" s="208">
        <f>INDEX(IN_Rimd!$A$3:$AAA$427,MATCH($A463,IN_Rimd!$A$3:$A$427,0),MATCH(C$3,IN_Rimd!$A$3:$AAA$3,0))</f>
        <v>0</v>
      </c>
      <c r="D463" s="208">
        <f>INDEX(IN_Rimd!$A$3:$AAA$427,MATCH($A463,IN_Rimd!$A$3:$A$427,0),MATCH(D$3,IN_Rimd!$A$3:$AAA$3,0))</f>
        <v>0</v>
      </c>
      <c r="E463" s="208">
        <f>INDEX(IN_Rimd!$A$3:$AAA$427,MATCH($A463,IN_Rimd!$A$3:$A$427,0),MATCH(E$3,IN_Rimd!$A$3:$AAA$3,0))</f>
        <v>0</v>
      </c>
    </row>
    <row r="464" spans="1:5" ht="11.4" outlineLevel="1" x14ac:dyDescent="0.25">
      <c r="A464" s="7" t="s">
        <v>6337</v>
      </c>
      <c r="B464" s="204" t="s">
        <v>2960</v>
      </c>
      <c r="C464" s="81">
        <f t="shared" ref="C464" si="217">C462+C463</f>
        <v>315566.36782700795</v>
      </c>
      <c r="D464" s="81">
        <f t="shared" ref="D464:E464" si="218">D462+D463</f>
        <v>0</v>
      </c>
      <c r="E464" s="81">
        <f t="shared" si="218"/>
        <v>0</v>
      </c>
    </row>
    <row r="465" spans="1:5" ht="11.4" outlineLevel="1" x14ac:dyDescent="0.25">
      <c r="A465" s="7" t="s">
        <v>6795</v>
      </c>
      <c r="B465" s="449" t="s">
        <v>2961</v>
      </c>
      <c r="C465" s="206">
        <f>INDEX(IN_Rimd!$A$3:$AAA$427,MATCH($A465,IN_Rimd!$A$3:$A$427,0),MATCH(C$3,IN_Rimd!$A$3:$AAA$3,0))</f>
        <v>224284.56583160121</v>
      </c>
      <c r="D465" s="206">
        <f>INDEX(IN_Rimd!$A$3:$AAA$427,MATCH($A465,IN_Rimd!$A$3:$A$427,0),MATCH(D$3,IN_Rimd!$A$3:$AAA$3,0))</f>
        <v>0</v>
      </c>
      <c r="E465" s="206">
        <f>INDEX(IN_Rimd!$A$3:$AAA$427,MATCH($A465,IN_Rimd!$A$3:$A$427,0),MATCH(E$3,IN_Rimd!$A$3:$AAA$3,0))</f>
        <v>0</v>
      </c>
    </row>
    <row r="466" spans="1:5" ht="11.4" outlineLevel="1" x14ac:dyDescent="0.25">
      <c r="A466" s="7" t="s">
        <v>6796</v>
      </c>
      <c r="B466" s="445" t="s">
        <v>2962</v>
      </c>
      <c r="C466" s="208">
        <f>INDEX(IN_Rimd!$A$3:$AAA$427,MATCH($A466,IN_Rimd!$A$3:$A$427,0),MATCH(C$3,IN_Rimd!$A$3:$AAA$3,0))</f>
        <v>0</v>
      </c>
      <c r="D466" s="208">
        <f>INDEX(IN_Rimd!$A$3:$AAA$427,MATCH($A466,IN_Rimd!$A$3:$A$427,0),MATCH(D$3,IN_Rimd!$A$3:$AAA$3,0))</f>
        <v>0</v>
      </c>
      <c r="E466" s="208">
        <f>INDEX(IN_Rimd!$A$3:$AAA$427,MATCH($A466,IN_Rimd!$A$3:$A$427,0),MATCH(E$3,IN_Rimd!$A$3:$AAA$3,0))</f>
        <v>0</v>
      </c>
    </row>
    <row r="467" spans="1:5" ht="11.4" outlineLevel="1" x14ac:dyDescent="0.25">
      <c r="A467" s="7" t="s">
        <v>6338</v>
      </c>
      <c r="B467" s="204" t="s">
        <v>2963</v>
      </c>
      <c r="C467" s="81">
        <f t="shared" ref="C467" si="219">C465+C466</f>
        <v>224284.56583160121</v>
      </c>
      <c r="D467" s="81">
        <f t="shared" ref="D467:E467" si="220">D465+D466</f>
        <v>0</v>
      </c>
      <c r="E467" s="81">
        <f t="shared" si="220"/>
        <v>0</v>
      </c>
    </row>
    <row r="468" spans="1:5" outlineLevel="1" x14ac:dyDescent="0.2"/>
    <row r="469" spans="1:5" ht="11.4" outlineLevel="1" x14ac:dyDescent="0.25">
      <c r="A469" s="7" t="s">
        <v>6813</v>
      </c>
      <c r="B469" s="202" t="s">
        <v>2964</v>
      </c>
      <c r="C469" s="203">
        <f t="shared" ref="C469" si="221">C462+C465</f>
        <v>539850.93365860917</v>
      </c>
      <c r="D469" s="203">
        <f t="shared" ref="D469:E469" si="222">D462+D465</f>
        <v>0</v>
      </c>
      <c r="E469" s="203">
        <f t="shared" si="222"/>
        <v>0</v>
      </c>
    </row>
    <row r="470" spans="1:5" ht="11.4" outlineLevel="1" x14ac:dyDescent="0.25">
      <c r="A470" s="7" t="s">
        <v>6814</v>
      </c>
      <c r="B470" s="204" t="s">
        <v>2965</v>
      </c>
      <c r="C470" s="205">
        <f t="shared" ref="C470" si="223">C463+C466</f>
        <v>0</v>
      </c>
      <c r="D470" s="205">
        <f t="shared" ref="D470:E470" si="224">D463+D466</f>
        <v>0</v>
      </c>
      <c r="E470" s="205">
        <f t="shared" si="224"/>
        <v>0</v>
      </c>
    </row>
    <row r="471" spans="1:5" ht="11.4" outlineLevel="1" x14ac:dyDescent="0.25">
      <c r="A471" s="7" t="s">
        <v>6815</v>
      </c>
      <c r="B471" s="204" t="s">
        <v>2966</v>
      </c>
      <c r="C471" s="81">
        <f t="shared" ref="C471" si="225">C469+C470</f>
        <v>539850.93365860917</v>
      </c>
      <c r="D471" s="81">
        <f t="shared" ref="D471:E471" si="226">D469+D470</f>
        <v>0</v>
      </c>
      <c r="E471" s="81">
        <f t="shared" si="226"/>
        <v>0</v>
      </c>
    </row>
    <row r="472" spans="1:5" outlineLevel="1" x14ac:dyDescent="0.2"/>
    <row r="473" spans="1:5" outlineLevel="1" x14ac:dyDescent="0.2">
      <c r="B473" s="79">
        <v>2027</v>
      </c>
      <c r="C473" s="448"/>
      <c r="D473" s="448"/>
    </row>
    <row r="474" spans="1:5" ht="11.4" outlineLevel="1" x14ac:dyDescent="0.25">
      <c r="A474" s="7" t="s">
        <v>6797</v>
      </c>
      <c r="B474" s="449" t="s">
        <v>2967</v>
      </c>
      <c r="C474" s="206">
        <f>INDEX(IN_Rimd!$A$3:$AAA$427,MATCH($A474,IN_Rimd!$A$3:$A$427,0),MATCH(C$3,IN_Rimd!$A$3:$AAA$3,0))</f>
        <v>315566.36782700795</v>
      </c>
      <c r="D474" s="206">
        <f>INDEX(IN_Rimd!$A$3:$AAA$427,MATCH($A474,IN_Rimd!$A$3:$A$427,0),MATCH(D$3,IN_Rimd!$A$3:$AAA$3,0))</f>
        <v>0</v>
      </c>
      <c r="E474" s="206">
        <f>INDEX(IN_Rimd!$A$3:$AAA$427,MATCH($A474,IN_Rimd!$A$3:$A$427,0),MATCH(E$3,IN_Rimd!$A$3:$AAA$3,0))</f>
        <v>0</v>
      </c>
    </row>
    <row r="475" spans="1:5" ht="11.4" outlineLevel="1" x14ac:dyDescent="0.25">
      <c r="A475" s="7" t="s">
        <v>6798</v>
      </c>
      <c r="B475" s="445" t="s">
        <v>2968</v>
      </c>
      <c r="C475" s="208">
        <f>INDEX(IN_Rimd!$A$3:$AAA$427,MATCH($A475,IN_Rimd!$A$3:$A$427,0),MATCH(C$3,IN_Rimd!$A$3:$AAA$3,0))</f>
        <v>0</v>
      </c>
      <c r="D475" s="208">
        <f>INDEX(IN_Rimd!$A$3:$AAA$427,MATCH($A475,IN_Rimd!$A$3:$A$427,0),MATCH(D$3,IN_Rimd!$A$3:$AAA$3,0))</f>
        <v>0</v>
      </c>
      <c r="E475" s="208">
        <f>INDEX(IN_Rimd!$A$3:$AAA$427,MATCH($A475,IN_Rimd!$A$3:$A$427,0),MATCH(E$3,IN_Rimd!$A$3:$AAA$3,0))</f>
        <v>0</v>
      </c>
    </row>
    <row r="476" spans="1:5" ht="11.4" outlineLevel="1" x14ac:dyDescent="0.25">
      <c r="A476" s="7" t="s">
        <v>6343</v>
      </c>
      <c r="B476" s="204" t="s">
        <v>2969</v>
      </c>
      <c r="C476" s="81">
        <f t="shared" ref="C476" si="227">C474+C475</f>
        <v>315566.36782700795</v>
      </c>
      <c r="D476" s="81">
        <f t="shared" ref="D476:E476" si="228">D474+D475</f>
        <v>0</v>
      </c>
      <c r="E476" s="81">
        <f t="shared" si="228"/>
        <v>0</v>
      </c>
    </row>
    <row r="477" spans="1:5" ht="11.4" outlineLevel="1" x14ac:dyDescent="0.25">
      <c r="A477" s="7" t="s">
        <v>6799</v>
      </c>
      <c r="B477" s="449" t="s">
        <v>2970</v>
      </c>
      <c r="C477" s="206">
        <f>INDEX(IN_Rimd!$A$3:$AAA$427,MATCH($A477,IN_Rimd!$A$3:$A$427,0),MATCH(C$3,IN_Rimd!$A$3:$AAA$3,0))</f>
        <v>224284.56583160121</v>
      </c>
      <c r="D477" s="206">
        <f>INDEX(IN_Rimd!$A$3:$AAA$427,MATCH($A477,IN_Rimd!$A$3:$A$427,0),MATCH(D$3,IN_Rimd!$A$3:$AAA$3,0))</f>
        <v>0</v>
      </c>
      <c r="E477" s="206">
        <f>INDEX(IN_Rimd!$A$3:$AAA$427,MATCH($A477,IN_Rimd!$A$3:$A$427,0),MATCH(E$3,IN_Rimd!$A$3:$AAA$3,0))</f>
        <v>0</v>
      </c>
    </row>
    <row r="478" spans="1:5" ht="11.4" outlineLevel="1" x14ac:dyDescent="0.25">
      <c r="A478" s="7" t="s">
        <v>6800</v>
      </c>
      <c r="B478" s="445" t="s">
        <v>2971</v>
      </c>
      <c r="C478" s="208">
        <f>INDEX(IN_Rimd!$A$3:$AAA$427,MATCH($A478,IN_Rimd!$A$3:$A$427,0),MATCH(C$3,IN_Rimd!$A$3:$AAA$3,0))</f>
        <v>0</v>
      </c>
      <c r="D478" s="208">
        <f>INDEX(IN_Rimd!$A$3:$AAA$427,MATCH($A478,IN_Rimd!$A$3:$A$427,0),MATCH(D$3,IN_Rimd!$A$3:$AAA$3,0))</f>
        <v>0</v>
      </c>
      <c r="E478" s="208">
        <f>INDEX(IN_Rimd!$A$3:$AAA$427,MATCH($A478,IN_Rimd!$A$3:$A$427,0),MATCH(E$3,IN_Rimd!$A$3:$AAA$3,0))</f>
        <v>0</v>
      </c>
    </row>
    <row r="479" spans="1:5" ht="11.4" outlineLevel="1" x14ac:dyDescent="0.25">
      <c r="A479" s="7" t="s">
        <v>6344</v>
      </c>
      <c r="B479" s="204" t="s">
        <v>2972</v>
      </c>
      <c r="C479" s="81">
        <f t="shared" ref="C479" si="229">C477+C478</f>
        <v>224284.56583160121</v>
      </c>
      <c r="D479" s="81">
        <f t="shared" ref="D479:E479" si="230">D477+D478</f>
        <v>0</v>
      </c>
      <c r="E479" s="81">
        <f t="shared" si="230"/>
        <v>0</v>
      </c>
    </row>
    <row r="480" spans="1:5" outlineLevel="1" x14ac:dyDescent="0.2"/>
    <row r="481" spans="1:5" ht="11.4" outlineLevel="1" x14ac:dyDescent="0.25">
      <c r="A481" s="7" t="s">
        <v>6816</v>
      </c>
      <c r="B481" s="202" t="s">
        <v>2973</v>
      </c>
      <c r="C481" s="203">
        <f t="shared" ref="C481" si="231">C474+C477</f>
        <v>539850.93365860917</v>
      </c>
      <c r="D481" s="203">
        <f t="shared" ref="D481:E481" si="232">D474+D477</f>
        <v>0</v>
      </c>
      <c r="E481" s="203">
        <f t="shared" si="232"/>
        <v>0</v>
      </c>
    </row>
    <row r="482" spans="1:5" ht="11.4" outlineLevel="1" x14ac:dyDescent="0.25">
      <c r="A482" s="7" t="s">
        <v>6817</v>
      </c>
      <c r="B482" s="204" t="s">
        <v>2974</v>
      </c>
      <c r="C482" s="205">
        <f t="shared" ref="C482" si="233">C475+C478</f>
        <v>0</v>
      </c>
      <c r="D482" s="205">
        <f t="shared" ref="D482:E482" si="234">D475+D478</f>
        <v>0</v>
      </c>
      <c r="E482" s="205">
        <f t="shared" si="234"/>
        <v>0</v>
      </c>
    </row>
    <row r="483" spans="1:5" ht="11.4" outlineLevel="1" x14ac:dyDescent="0.25">
      <c r="A483" s="7" t="s">
        <v>6818</v>
      </c>
      <c r="B483" s="204" t="s">
        <v>2975</v>
      </c>
      <c r="C483" s="81">
        <f t="shared" ref="C483" si="235">C481+C482</f>
        <v>539850.93365860917</v>
      </c>
      <c r="D483" s="81">
        <f t="shared" ref="D483:E483" si="236">D481+D482</f>
        <v>0</v>
      </c>
      <c r="E483" s="81">
        <f t="shared" si="236"/>
        <v>0</v>
      </c>
    </row>
    <row r="484" spans="1:5" outlineLevel="1" x14ac:dyDescent="0.2">
      <c r="B484" s="82"/>
      <c r="C484" s="83"/>
      <c r="D484" s="83"/>
      <c r="E484" s="83"/>
    </row>
    <row r="485" spans="1:5" outlineLevel="1" x14ac:dyDescent="0.2">
      <c r="B485" s="79">
        <v>2028</v>
      </c>
    </row>
    <row r="486" spans="1:5" ht="11.4" outlineLevel="1" x14ac:dyDescent="0.25">
      <c r="A486" s="7" t="s">
        <v>6801</v>
      </c>
      <c r="B486" s="449" t="s">
        <v>2976</v>
      </c>
      <c r="C486" s="206">
        <f>INDEX(IN_Rimd!$A$3:$AAA$427,MATCH($A486,IN_Rimd!$A$3:$A$427,0),MATCH(C$3,IN_Rimd!$A$3:$AAA$3,0))</f>
        <v>338035.39975581953</v>
      </c>
      <c r="D486" s="206">
        <f>INDEX(IN_Rimd!$A$3:$AAA$427,MATCH($A486,IN_Rimd!$A$3:$A$427,0),MATCH(D$3,IN_Rimd!$A$3:$AAA$3,0))</f>
        <v>0</v>
      </c>
      <c r="E486" s="206">
        <f>INDEX(IN_Rimd!$A$3:$AAA$427,MATCH($A486,IN_Rimd!$A$3:$A$427,0),MATCH(E$3,IN_Rimd!$A$3:$AAA$3,0))</f>
        <v>0</v>
      </c>
    </row>
    <row r="487" spans="1:5" ht="11.4" outlineLevel="1" x14ac:dyDescent="0.25">
      <c r="A487" s="7" t="s">
        <v>6802</v>
      </c>
      <c r="B487" s="445" t="s">
        <v>2977</v>
      </c>
      <c r="C487" s="208">
        <f>INDEX(IN_Rimd!$A$3:$AAA$427,MATCH($A487,IN_Rimd!$A$3:$A$427,0),MATCH(C$3,IN_Rimd!$A$3:$AAA$3,0))</f>
        <v>0</v>
      </c>
      <c r="D487" s="208">
        <f>INDEX(IN_Rimd!$A$3:$AAA$427,MATCH($A487,IN_Rimd!$A$3:$A$427,0),MATCH(D$3,IN_Rimd!$A$3:$AAA$3,0))</f>
        <v>0</v>
      </c>
      <c r="E487" s="208">
        <f>INDEX(IN_Rimd!$A$3:$AAA$427,MATCH($A487,IN_Rimd!$A$3:$A$427,0),MATCH(E$3,IN_Rimd!$A$3:$AAA$3,0))</f>
        <v>0</v>
      </c>
    </row>
    <row r="488" spans="1:5" ht="11.4" outlineLevel="1" x14ac:dyDescent="0.25">
      <c r="A488" s="7" t="s">
        <v>6349</v>
      </c>
      <c r="B488" s="204" t="s">
        <v>2978</v>
      </c>
      <c r="C488" s="81">
        <f t="shared" ref="C488" si="237">C486+C487</f>
        <v>338035.39975581953</v>
      </c>
      <c r="D488" s="81">
        <f t="shared" ref="D488:E488" si="238">D486+D487</f>
        <v>0</v>
      </c>
      <c r="E488" s="81">
        <f t="shared" si="238"/>
        <v>0</v>
      </c>
    </row>
    <row r="489" spans="1:5" ht="11.4" outlineLevel="1" x14ac:dyDescent="0.25">
      <c r="A489" s="7" t="s">
        <v>6803</v>
      </c>
      <c r="B489" s="449" t="s">
        <v>2979</v>
      </c>
      <c r="C489" s="206">
        <f>INDEX(IN_Rimd!$A$3:$AAA$427,MATCH($A489,IN_Rimd!$A$3:$A$427,0),MATCH(C$3,IN_Rimd!$A$3:$AAA$3,0))</f>
        <v>321686.84789391904</v>
      </c>
      <c r="D489" s="206">
        <f>INDEX(IN_Rimd!$A$3:$AAA$427,MATCH($A489,IN_Rimd!$A$3:$A$427,0),MATCH(D$3,IN_Rimd!$A$3:$AAA$3,0))</f>
        <v>0</v>
      </c>
      <c r="E489" s="206">
        <f>INDEX(IN_Rimd!$A$3:$AAA$427,MATCH($A489,IN_Rimd!$A$3:$A$427,0),MATCH(E$3,IN_Rimd!$A$3:$AAA$3,0))</f>
        <v>0</v>
      </c>
    </row>
    <row r="490" spans="1:5" ht="11.4" outlineLevel="1" x14ac:dyDescent="0.25">
      <c r="A490" s="7" t="s">
        <v>6804</v>
      </c>
      <c r="B490" s="445" t="s">
        <v>2980</v>
      </c>
      <c r="C490" s="208">
        <f>INDEX(IN_Rimd!$A$3:$AAA$427,MATCH($A490,IN_Rimd!$A$3:$A$427,0),MATCH(C$3,IN_Rimd!$A$3:$AAA$3,0))</f>
        <v>0</v>
      </c>
      <c r="D490" s="208">
        <f>INDEX(IN_Rimd!$A$3:$AAA$427,MATCH($A490,IN_Rimd!$A$3:$A$427,0),MATCH(D$3,IN_Rimd!$A$3:$AAA$3,0))</f>
        <v>0</v>
      </c>
      <c r="E490" s="208">
        <f>INDEX(IN_Rimd!$A$3:$AAA$427,MATCH($A490,IN_Rimd!$A$3:$A$427,0),MATCH(E$3,IN_Rimd!$A$3:$AAA$3,0))</f>
        <v>0</v>
      </c>
    </row>
    <row r="491" spans="1:5" ht="11.4" outlineLevel="1" x14ac:dyDescent="0.25">
      <c r="A491" s="7" t="s">
        <v>6350</v>
      </c>
      <c r="B491" s="204" t="s">
        <v>2981</v>
      </c>
      <c r="C491" s="81">
        <f t="shared" ref="C491" si="239">C489+C490</f>
        <v>321686.84789391904</v>
      </c>
      <c r="D491" s="81">
        <f t="shared" ref="D491:E491" si="240">D489+D490</f>
        <v>0</v>
      </c>
      <c r="E491" s="81">
        <f t="shared" si="240"/>
        <v>0</v>
      </c>
    </row>
    <row r="492" spans="1:5" outlineLevel="1" x14ac:dyDescent="0.2"/>
    <row r="493" spans="1:5" ht="11.4" outlineLevel="1" x14ac:dyDescent="0.25">
      <c r="A493" s="7" t="s">
        <v>6819</v>
      </c>
      <c r="B493" s="202" t="s">
        <v>2982</v>
      </c>
      <c r="C493" s="203">
        <f t="shared" ref="C493" si="241">C486+C489</f>
        <v>659722.24764973857</v>
      </c>
      <c r="D493" s="203">
        <f t="shared" ref="D493:E493" si="242">D486+D489</f>
        <v>0</v>
      </c>
      <c r="E493" s="203">
        <f t="shared" si="242"/>
        <v>0</v>
      </c>
    </row>
    <row r="494" spans="1:5" ht="11.4" outlineLevel="1" x14ac:dyDescent="0.25">
      <c r="A494" s="7" t="s">
        <v>6820</v>
      </c>
      <c r="B494" s="204" t="s">
        <v>2983</v>
      </c>
      <c r="C494" s="205">
        <f t="shared" ref="C494" si="243">C487+C490</f>
        <v>0</v>
      </c>
      <c r="D494" s="205">
        <f t="shared" ref="D494:E494" si="244">D487+D490</f>
        <v>0</v>
      </c>
      <c r="E494" s="205">
        <f t="shared" si="244"/>
        <v>0</v>
      </c>
    </row>
    <row r="495" spans="1:5" ht="11.4" outlineLevel="1" x14ac:dyDescent="0.25">
      <c r="A495" s="7" t="s">
        <v>6821</v>
      </c>
      <c r="B495" s="204" t="s">
        <v>2984</v>
      </c>
      <c r="C495" s="81">
        <f t="shared" ref="C495" si="245">C493+C494</f>
        <v>659722.24764973857</v>
      </c>
      <c r="D495" s="81">
        <f t="shared" ref="D495:E495" si="246">D493+D494</f>
        <v>0</v>
      </c>
      <c r="E495" s="81">
        <f t="shared" si="246"/>
        <v>0</v>
      </c>
    </row>
    <row r="496" spans="1:5" outlineLevel="1" x14ac:dyDescent="0.2"/>
    <row r="497" spans="1:5" outlineLevel="1" x14ac:dyDescent="0.2">
      <c r="B497" s="79">
        <v>2029</v>
      </c>
      <c r="C497" s="448"/>
      <c r="D497" s="448"/>
    </row>
    <row r="498" spans="1:5" ht="11.4" outlineLevel="1" x14ac:dyDescent="0.25">
      <c r="A498" s="7" t="s">
        <v>6805</v>
      </c>
      <c r="B498" s="449" t="s">
        <v>2985</v>
      </c>
      <c r="C498" s="206">
        <f>INDEX(IN_Rimd!$A$3:$AAA$427,MATCH($A498,IN_Rimd!$A$3:$A$427,0),MATCH(C$3,IN_Rimd!$A$3:$AAA$3,0))</f>
        <v>0</v>
      </c>
      <c r="D498" s="206">
        <f>INDEX(IN_Rimd!$A$3:$AAA$427,MATCH($A498,IN_Rimd!$A$3:$A$427,0),MATCH(D$3,IN_Rimd!$A$3:$AAA$3,0))</f>
        <v>0</v>
      </c>
      <c r="E498" s="206">
        <f>INDEX(IN_Rimd!$A$3:$AAA$427,MATCH($A498,IN_Rimd!$A$3:$A$427,0),MATCH(E$3,IN_Rimd!$A$3:$AAA$3,0))</f>
        <v>0</v>
      </c>
    </row>
    <row r="499" spans="1:5" ht="11.4" outlineLevel="1" x14ac:dyDescent="0.25">
      <c r="A499" s="7" t="s">
        <v>6806</v>
      </c>
      <c r="B499" s="445" t="s">
        <v>2986</v>
      </c>
      <c r="C499" s="208">
        <f>INDEX(IN_Rimd!$A$3:$AAA$427,MATCH($A499,IN_Rimd!$A$3:$A$427,0),MATCH(C$3,IN_Rimd!$A$3:$AAA$3,0))</f>
        <v>0</v>
      </c>
      <c r="D499" s="208">
        <f>INDEX(IN_Rimd!$A$3:$AAA$427,MATCH($A499,IN_Rimd!$A$3:$A$427,0),MATCH(D$3,IN_Rimd!$A$3:$AAA$3,0))</f>
        <v>0</v>
      </c>
      <c r="E499" s="208">
        <f>INDEX(IN_Rimd!$A$3:$AAA$427,MATCH($A499,IN_Rimd!$A$3:$A$427,0),MATCH(E$3,IN_Rimd!$A$3:$AAA$3,0))</f>
        <v>0</v>
      </c>
    </row>
    <row r="500" spans="1:5" ht="11.4" outlineLevel="1" x14ac:dyDescent="0.25">
      <c r="A500" s="7" t="s">
        <v>6355</v>
      </c>
      <c r="B500" s="204" t="s">
        <v>2987</v>
      </c>
      <c r="C500" s="81">
        <f t="shared" ref="C500" si="247">C498+C499</f>
        <v>0</v>
      </c>
      <c r="D500" s="81">
        <f t="shared" ref="D500:E500" si="248">D498+D499</f>
        <v>0</v>
      </c>
      <c r="E500" s="81">
        <f t="shared" si="248"/>
        <v>0</v>
      </c>
    </row>
    <row r="501" spans="1:5" ht="11.4" outlineLevel="1" x14ac:dyDescent="0.25">
      <c r="A501" s="7" t="s">
        <v>6807</v>
      </c>
      <c r="B501" s="449" t="s">
        <v>2988</v>
      </c>
      <c r="C501" s="206">
        <f>INDEX(IN_Rimd!$A$3:$AAA$427,MATCH($A501,IN_Rimd!$A$3:$A$427,0),MATCH(C$3,IN_Rimd!$A$3:$AAA$3,0))</f>
        <v>0</v>
      </c>
      <c r="D501" s="206">
        <f>INDEX(IN_Rimd!$A$3:$AAA$427,MATCH($A501,IN_Rimd!$A$3:$A$427,0),MATCH(D$3,IN_Rimd!$A$3:$AAA$3,0))</f>
        <v>0</v>
      </c>
      <c r="E501" s="206">
        <f>INDEX(IN_Rimd!$A$3:$AAA$427,MATCH($A501,IN_Rimd!$A$3:$A$427,0),MATCH(E$3,IN_Rimd!$A$3:$AAA$3,0))</f>
        <v>0</v>
      </c>
    </row>
    <row r="502" spans="1:5" ht="11.4" outlineLevel="1" x14ac:dyDescent="0.25">
      <c r="A502" s="7" t="s">
        <v>6808</v>
      </c>
      <c r="B502" s="445" t="s">
        <v>2989</v>
      </c>
      <c r="C502" s="208">
        <f>INDEX(IN_Rimd!$A$3:$AAA$427,MATCH($A502,IN_Rimd!$A$3:$A$427,0),MATCH(C$3,IN_Rimd!$A$3:$AAA$3,0))</f>
        <v>0</v>
      </c>
      <c r="D502" s="208">
        <f>INDEX(IN_Rimd!$A$3:$AAA$427,MATCH($A502,IN_Rimd!$A$3:$A$427,0),MATCH(D$3,IN_Rimd!$A$3:$AAA$3,0))</f>
        <v>0</v>
      </c>
      <c r="E502" s="208">
        <f>INDEX(IN_Rimd!$A$3:$AAA$427,MATCH($A502,IN_Rimd!$A$3:$A$427,0),MATCH(E$3,IN_Rimd!$A$3:$AAA$3,0))</f>
        <v>0</v>
      </c>
    </row>
    <row r="503" spans="1:5" ht="11.4" outlineLevel="1" x14ac:dyDescent="0.25">
      <c r="A503" s="7" t="s">
        <v>6356</v>
      </c>
      <c r="B503" s="204" t="s">
        <v>2990</v>
      </c>
      <c r="C503" s="81">
        <f t="shared" ref="C503" si="249">C501+C502</f>
        <v>0</v>
      </c>
      <c r="D503" s="81">
        <f t="shared" ref="D503:E503" si="250">D501+D502</f>
        <v>0</v>
      </c>
      <c r="E503" s="81">
        <f t="shared" si="250"/>
        <v>0</v>
      </c>
    </row>
    <row r="504" spans="1:5" outlineLevel="1" x14ac:dyDescent="0.2"/>
    <row r="505" spans="1:5" ht="11.4" outlineLevel="1" x14ac:dyDescent="0.25">
      <c r="A505" s="7" t="s">
        <v>6827</v>
      </c>
      <c r="B505" s="202" t="s">
        <v>2991</v>
      </c>
      <c r="C505" s="203">
        <f t="shared" ref="C505" si="251">C498+C501</f>
        <v>0</v>
      </c>
      <c r="D505" s="203">
        <f t="shared" ref="D505:E505" si="252">D498+D501</f>
        <v>0</v>
      </c>
      <c r="E505" s="203">
        <f t="shared" si="252"/>
        <v>0</v>
      </c>
    </row>
    <row r="506" spans="1:5" ht="11.4" outlineLevel="1" x14ac:dyDescent="0.25">
      <c r="A506" s="7" t="s">
        <v>6828</v>
      </c>
      <c r="B506" s="204" t="s">
        <v>2992</v>
      </c>
      <c r="C506" s="205">
        <f t="shared" ref="C506" si="253">C499+C502</f>
        <v>0</v>
      </c>
      <c r="D506" s="205">
        <f t="shared" ref="D506:E506" si="254">D499+D502</f>
        <v>0</v>
      </c>
      <c r="E506" s="205">
        <f t="shared" si="254"/>
        <v>0</v>
      </c>
    </row>
    <row r="507" spans="1:5" ht="11.4" outlineLevel="1" x14ac:dyDescent="0.25">
      <c r="A507" s="7" t="s">
        <v>6829</v>
      </c>
      <c r="B507" s="204" t="s">
        <v>2993</v>
      </c>
      <c r="C507" s="81">
        <f t="shared" ref="C507" si="255">C505+C506</f>
        <v>0</v>
      </c>
      <c r="D507" s="81">
        <f t="shared" ref="D507:E507" si="256">D505+D506</f>
        <v>0</v>
      </c>
      <c r="E507" s="81">
        <f t="shared" si="256"/>
        <v>0</v>
      </c>
    </row>
    <row r="508" spans="1:5" outlineLevel="1" x14ac:dyDescent="0.2"/>
    <row r="509" spans="1:5" outlineLevel="1" x14ac:dyDescent="0.2">
      <c r="B509" s="79" t="s">
        <v>5965</v>
      </c>
      <c r="C509" s="448"/>
      <c r="D509" s="448"/>
    </row>
    <row r="510" spans="1:5" ht="11.4" outlineLevel="1" x14ac:dyDescent="0.25">
      <c r="A510" s="7" t="s">
        <v>6809</v>
      </c>
      <c r="B510" s="449" t="s">
        <v>2985</v>
      </c>
      <c r="C510" s="206">
        <f>INDEX(IN_Rimd!$A$3:$AAA$427,MATCH($A510,IN_Rimd!$A$3:$A$427,0),MATCH(C$3,IN_Rimd!$A$3:$AAA$3,0))</f>
        <v>0</v>
      </c>
      <c r="D510" s="206">
        <f>INDEX(IN_Rimd!$A$3:$AAA$427,MATCH($A510,IN_Rimd!$A$3:$A$427,0),MATCH(D$3,IN_Rimd!$A$3:$AAA$3,0))</f>
        <v>0</v>
      </c>
      <c r="E510" s="206">
        <f>INDEX(IN_Rimd!$A$3:$AAA$427,MATCH($A510,IN_Rimd!$A$3:$A$427,0),MATCH(E$3,IN_Rimd!$A$3:$AAA$3,0))</f>
        <v>0</v>
      </c>
    </row>
    <row r="511" spans="1:5" ht="11.4" outlineLevel="1" x14ac:dyDescent="0.25">
      <c r="A511" s="7" t="s">
        <v>6810</v>
      </c>
      <c r="B511" s="445" t="s">
        <v>2986</v>
      </c>
      <c r="C511" s="208">
        <f>INDEX(IN_Rimd!$A$3:$AAA$427,MATCH($A511,IN_Rimd!$A$3:$A$427,0),MATCH(C$3,IN_Rimd!$A$3:$AAA$3,0))</f>
        <v>0</v>
      </c>
      <c r="D511" s="208">
        <f>INDEX(IN_Rimd!$A$3:$AAA$427,MATCH($A511,IN_Rimd!$A$3:$A$427,0),MATCH(D$3,IN_Rimd!$A$3:$AAA$3,0))</f>
        <v>0</v>
      </c>
      <c r="E511" s="208">
        <f>INDEX(IN_Rimd!$A$3:$AAA$427,MATCH($A511,IN_Rimd!$A$3:$A$427,0),MATCH(E$3,IN_Rimd!$A$3:$AAA$3,0))</f>
        <v>0</v>
      </c>
    </row>
    <row r="512" spans="1:5" ht="11.4" outlineLevel="1" x14ac:dyDescent="0.25">
      <c r="A512" s="7" t="s">
        <v>6361</v>
      </c>
      <c r="B512" s="204" t="s">
        <v>2987</v>
      </c>
      <c r="C512" s="81">
        <f t="shared" ref="C512" si="257">C510+C511</f>
        <v>0</v>
      </c>
      <c r="D512" s="81">
        <f t="shared" ref="D512:E512" si="258">D510+D511</f>
        <v>0</v>
      </c>
      <c r="E512" s="81">
        <f t="shared" si="258"/>
        <v>0</v>
      </c>
    </row>
    <row r="513" spans="1:5" ht="11.4" outlineLevel="1" x14ac:dyDescent="0.25">
      <c r="A513" s="7" t="s">
        <v>6811</v>
      </c>
      <c r="B513" s="449" t="s">
        <v>2988</v>
      </c>
      <c r="C513" s="206">
        <f>INDEX(IN_Rimd!$A$3:$AAA$427,MATCH($A513,IN_Rimd!$A$3:$A$427,0),MATCH(C$3,IN_Rimd!$A$3:$AAA$3,0))</f>
        <v>0</v>
      </c>
      <c r="D513" s="206">
        <f>INDEX(IN_Rimd!$A$3:$AAA$427,MATCH($A513,IN_Rimd!$A$3:$A$427,0),MATCH(D$3,IN_Rimd!$A$3:$AAA$3,0))</f>
        <v>0</v>
      </c>
      <c r="E513" s="206">
        <f>INDEX(IN_Rimd!$A$3:$AAA$427,MATCH($A513,IN_Rimd!$A$3:$A$427,0),MATCH(E$3,IN_Rimd!$A$3:$AAA$3,0))</f>
        <v>0</v>
      </c>
    </row>
    <row r="514" spans="1:5" ht="11.4" outlineLevel="1" x14ac:dyDescent="0.25">
      <c r="A514" s="7" t="s">
        <v>6812</v>
      </c>
      <c r="B514" s="445" t="s">
        <v>2989</v>
      </c>
      <c r="C514" s="208">
        <f>INDEX(IN_Rimd!$A$3:$AAA$427,MATCH($A514,IN_Rimd!$A$3:$A$427,0),MATCH(C$3,IN_Rimd!$A$3:$AAA$3,0))</f>
        <v>0</v>
      </c>
      <c r="D514" s="208">
        <f>INDEX(IN_Rimd!$A$3:$AAA$427,MATCH($A514,IN_Rimd!$A$3:$A$427,0),MATCH(D$3,IN_Rimd!$A$3:$AAA$3,0))</f>
        <v>0</v>
      </c>
      <c r="E514" s="208">
        <f>INDEX(IN_Rimd!$A$3:$AAA$427,MATCH($A514,IN_Rimd!$A$3:$A$427,0),MATCH(E$3,IN_Rimd!$A$3:$AAA$3,0))</f>
        <v>0</v>
      </c>
    </row>
    <row r="515" spans="1:5" ht="11.4" outlineLevel="1" x14ac:dyDescent="0.25">
      <c r="A515" s="7" t="s">
        <v>6362</v>
      </c>
      <c r="B515" s="204" t="s">
        <v>2990</v>
      </c>
      <c r="C515" s="81">
        <f t="shared" ref="C515" si="259">C513+C514</f>
        <v>0</v>
      </c>
      <c r="D515" s="81">
        <f t="shared" ref="D515:E515" si="260">D513+D514</f>
        <v>0</v>
      </c>
      <c r="E515" s="81">
        <f t="shared" si="260"/>
        <v>0</v>
      </c>
    </row>
    <row r="516" spans="1:5" outlineLevel="1" x14ac:dyDescent="0.2"/>
    <row r="517" spans="1:5" ht="11.4" outlineLevel="1" x14ac:dyDescent="0.25">
      <c r="A517" s="7" t="s">
        <v>6830</v>
      </c>
      <c r="B517" s="202" t="s">
        <v>2991</v>
      </c>
      <c r="C517" s="203">
        <f t="shared" ref="C517" si="261">C510+C513</f>
        <v>0</v>
      </c>
      <c r="D517" s="203">
        <f t="shared" ref="D517:E517" si="262">D510+D513</f>
        <v>0</v>
      </c>
      <c r="E517" s="203">
        <f t="shared" si="262"/>
        <v>0</v>
      </c>
    </row>
    <row r="518" spans="1:5" ht="11.4" outlineLevel="1" x14ac:dyDescent="0.25">
      <c r="A518" s="7" t="s">
        <v>6831</v>
      </c>
      <c r="B518" s="204" t="s">
        <v>2992</v>
      </c>
      <c r="C518" s="205">
        <f t="shared" ref="C518" si="263">C511+C514</f>
        <v>0</v>
      </c>
      <c r="D518" s="205">
        <f t="shared" ref="D518:E518" si="264">D511+D514</f>
        <v>0</v>
      </c>
      <c r="E518" s="205">
        <f t="shared" si="264"/>
        <v>0</v>
      </c>
    </row>
    <row r="519" spans="1:5" ht="11.4" outlineLevel="1" x14ac:dyDescent="0.25">
      <c r="A519" s="7" t="s">
        <v>6832</v>
      </c>
      <c r="B519" s="204" t="s">
        <v>2993</v>
      </c>
      <c r="C519" s="81">
        <f t="shared" ref="C519" si="265">C517+C518</f>
        <v>0</v>
      </c>
      <c r="D519" s="81">
        <f t="shared" ref="D519:E519" si="266">D517+D518</f>
        <v>0</v>
      </c>
      <c r="E519" s="81">
        <f t="shared" si="266"/>
        <v>0</v>
      </c>
    </row>
    <row r="521" spans="1:5" ht="11.4" x14ac:dyDescent="0.25">
      <c r="A521" s="652" t="s">
        <v>3004</v>
      </c>
      <c r="B521" s="454" t="s">
        <v>3009</v>
      </c>
    </row>
    <row r="522" spans="1:5" hidden="1" outlineLevel="1" x14ac:dyDescent="0.2">
      <c r="B522" s="79">
        <v>2026</v>
      </c>
    </row>
    <row r="523" spans="1:5" ht="12" hidden="1" outlineLevel="1" x14ac:dyDescent="0.25">
      <c r="A523" s="85" t="s">
        <v>1185</v>
      </c>
      <c r="B523" s="449" t="s">
        <v>3010</v>
      </c>
      <c r="C523" s="206">
        <f>INDEX('IN_RCwacc&amp;slic_GEST'!$A$3:$G$198,MATCH($A523,'IN_RCwacc&amp;slic_GEST'!$A$3:$A$198,0),MATCH(C$3,'IN_RCwacc&amp;slic_GEST'!$A$3:$G$3,0))</f>
        <v>-294.65432143919406</v>
      </c>
      <c r="D523" s="206">
        <f>INDEX('IN_RCwacc&amp;slic_GEST'!$A$3:$G$198,MATCH($A523,'IN_RCwacc&amp;slic_GEST'!$A$3:$A$198,0),MATCH(D$3,'IN_RCwacc&amp;slic_GEST'!$A$3:$G$3,0))</f>
        <v>0</v>
      </c>
      <c r="E523" s="206">
        <f>INDEX('IN_RCwacc&amp;slic_GEST'!$A$3:$G$198,MATCH($A523,'IN_RCwacc&amp;slic_GEST'!$A$3:$A$198,0),MATCH(E$3,'IN_RCwacc&amp;slic_GEST'!$A$3:$G$3,0))</f>
        <v>0</v>
      </c>
    </row>
    <row r="524" spans="1:5" ht="12" hidden="1" outlineLevel="1" x14ac:dyDescent="0.25">
      <c r="A524" s="85" t="s">
        <v>2077</v>
      </c>
      <c r="B524" s="445" t="s">
        <v>3011</v>
      </c>
      <c r="C524" s="208">
        <f>INDEX('IN_RCwacc&amp;slic_COM'!$A$3:$G$198,MATCH($A524,'IN_RCwacc&amp;slic_COM'!$A$3:$A$198,0),MATCH(C$3,'IN_RCwacc&amp;slic_COM'!$A$3:$G$3,0))</f>
        <v>0</v>
      </c>
      <c r="D524" s="208">
        <f>INDEX('IN_RCwacc&amp;slic_COM'!$A$3:$G$198,MATCH($A524,'IN_RCwacc&amp;slic_COM'!$A$3:$A$198,0),MATCH(D$3,'IN_RCwacc&amp;slic_COM'!$A$3:$G$3,0))</f>
        <v>0</v>
      </c>
      <c r="E524" s="208">
        <f>INDEX('IN_RCwacc&amp;slic_COM'!$A$3:$G$198,MATCH($A524,'IN_RCwacc&amp;slic_COM'!$A$3:$A$198,0),MATCH(E$3,'IN_RCwacc&amp;slic_COM'!$A$3:$G$3,0))</f>
        <v>0</v>
      </c>
    </row>
    <row r="525" spans="1:5" ht="12" hidden="1" outlineLevel="1" x14ac:dyDescent="0.25">
      <c r="A525" s="85" t="s">
        <v>3007</v>
      </c>
      <c r="B525" s="56" t="s">
        <v>3012</v>
      </c>
      <c r="C525" s="81">
        <f>C523+C524</f>
        <v>-294.65432143919406</v>
      </c>
      <c r="D525" s="81">
        <f>D523+D524</f>
        <v>0</v>
      </c>
      <c r="E525" s="81">
        <f>E523+E524</f>
        <v>0</v>
      </c>
    </row>
    <row r="526" spans="1:5" hidden="1" outlineLevel="1" x14ac:dyDescent="0.2"/>
    <row r="527" spans="1:5" hidden="1" outlineLevel="1" x14ac:dyDescent="0.2">
      <c r="B527" s="79">
        <v>2027</v>
      </c>
    </row>
    <row r="528" spans="1:5" ht="12" hidden="1" outlineLevel="1" x14ac:dyDescent="0.25">
      <c r="A528" s="85" t="s">
        <v>2072</v>
      </c>
      <c r="B528" s="449" t="s">
        <v>3013</v>
      </c>
      <c r="C528" s="206">
        <f>INDEX('IN_RCwacc&amp;slic_GEST'!$A$3:$G$198,MATCH($A528,'IN_RCwacc&amp;slic_GEST'!$A$3:$A$198,0),MATCH(C$3,'IN_RCwacc&amp;slic_GEST'!$A$3:$G$3,0))</f>
        <v>-566.87132350233696</v>
      </c>
      <c r="D528" s="206">
        <f>INDEX('IN_RCwacc&amp;slic_GEST'!$A$3:$G$198,MATCH($A528,'IN_RCwacc&amp;slic_GEST'!$A$3:$A$198,0),MATCH(D$3,'IN_RCwacc&amp;slic_GEST'!$A$3:$G$3,0))</f>
        <v>0</v>
      </c>
      <c r="E528" s="206">
        <f>INDEX('IN_RCwacc&amp;slic_GEST'!$A$3:$G$198,MATCH($A528,'IN_RCwacc&amp;slic_GEST'!$A$3:$A$198,0),MATCH(E$3,'IN_RCwacc&amp;slic_GEST'!$A$3:$G$3,0))</f>
        <v>0</v>
      </c>
    </row>
    <row r="529" spans="1:5" ht="12" hidden="1" outlineLevel="1" x14ac:dyDescent="0.25">
      <c r="A529" s="85" t="s">
        <v>2082</v>
      </c>
      <c r="B529" s="445" t="s">
        <v>3014</v>
      </c>
      <c r="C529" s="208">
        <f>INDEX('IN_RCwacc&amp;slic_COM'!$A$3:$G$198,MATCH($A529,'IN_RCwacc&amp;slic_COM'!$A$3:$A$198,0),MATCH(C$3,'IN_RCwacc&amp;slic_COM'!$A$3:$G$3,0))</f>
        <v>0</v>
      </c>
      <c r="D529" s="208">
        <f>INDEX('IN_RCwacc&amp;slic_COM'!$A$3:$G$198,MATCH($A529,'IN_RCwacc&amp;slic_COM'!$A$3:$A$198,0),MATCH(D$3,'IN_RCwacc&amp;slic_COM'!$A$3:$G$3,0))</f>
        <v>0</v>
      </c>
      <c r="E529" s="208">
        <f>INDEX('IN_RCwacc&amp;slic_COM'!$A$3:$G$198,MATCH($A529,'IN_RCwacc&amp;slic_COM'!$A$3:$A$198,0),MATCH(E$3,'IN_RCwacc&amp;slic_COM'!$A$3:$G$3,0))</f>
        <v>0</v>
      </c>
    </row>
    <row r="530" spans="1:5" ht="12" hidden="1" outlineLevel="1" x14ac:dyDescent="0.25">
      <c r="A530" s="85" t="s">
        <v>3008</v>
      </c>
      <c r="B530" s="56" t="s">
        <v>3015</v>
      </c>
      <c r="C530" s="81">
        <f>C528+C529</f>
        <v>-566.87132350233696</v>
      </c>
      <c r="D530" s="81">
        <f>D528+D529</f>
        <v>0</v>
      </c>
      <c r="E530" s="81">
        <f>E528+E529</f>
        <v>0</v>
      </c>
    </row>
    <row r="531" spans="1:5" hidden="1" outlineLevel="1" x14ac:dyDescent="0.2"/>
    <row r="532" spans="1:5" hidden="1" outlineLevel="1" x14ac:dyDescent="0.2">
      <c r="B532" s="79">
        <v>2028</v>
      </c>
    </row>
    <row r="533" spans="1:5" ht="12" hidden="1" outlineLevel="1" x14ac:dyDescent="0.25">
      <c r="A533" s="85" t="s">
        <v>3016</v>
      </c>
      <c r="B533" s="648" t="s">
        <v>3022</v>
      </c>
      <c r="C533" s="649">
        <v>0</v>
      </c>
      <c r="D533" s="649">
        <v>0</v>
      </c>
      <c r="E533" s="649">
        <v>0</v>
      </c>
    </row>
    <row r="534" spans="1:5" ht="12" hidden="1" outlineLevel="1" x14ac:dyDescent="0.25">
      <c r="A534" s="85" t="s">
        <v>3017</v>
      </c>
      <c r="B534" s="650" t="s">
        <v>3023</v>
      </c>
      <c r="C534" s="651">
        <v>0</v>
      </c>
      <c r="D534" s="651">
        <v>0</v>
      </c>
      <c r="E534" s="651">
        <v>0</v>
      </c>
    </row>
    <row r="535" spans="1:5" ht="12" hidden="1" outlineLevel="1" x14ac:dyDescent="0.25">
      <c r="A535" s="85" t="s">
        <v>3018</v>
      </c>
      <c r="B535" s="56" t="s">
        <v>3024</v>
      </c>
      <c r="C535" s="81">
        <f>C533+C534</f>
        <v>0</v>
      </c>
      <c r="D535" s="81">
        <f>D533+D534</f>
        <v>0</v>
      </c>
      <c r="E535" s="81">
        <f>E533+E534</f>
        <v>0</v>
      </c>
    </row>
    <row r="536" spans="1:5" hidden="1" outlineLevel="1" x14ac:dyDescent="0.2"/>
    <row r="537" spans="1:5" hidden="1" outlineLevel="1" x14ac:dyDescent="0.2">
      <c r="B537" s="79">
        <v>2029</v>
      </c>
    </row>
    <row r="538" spans="1:5" ht="12" hidden="1" outlineLevel="1" x14ac:dyDescent="0.25">
      <c r="A538" s="85" t="s">
        <v>3019</v>
      </c>
      <c r="B538" s="648" t="s">
        <v>3025</v>
      </c>
      <c r="C538" s="649">
        <v>0</v>
      </c>
      <c r="D538" s="649">
        <v>0</v>
      </c>
      <c r="E538" s="649">
        <v>0</v>
      </c>
    </row>
    <row r="539" spans="1:5" ht="12" hidden="1" outlineLevel="1" x14ac:dyDescent="0.25">
      <c r="A539" s="85" t="s">
        <v>3020</v>
      </c>
      <c r="B539" s="650" t="s">
        <v>3026</v>
      </c>
      <c r="C539" s="651">
        <v>0</v>
      </c>
      <c r="D539" s="651">
        <v>0</v>
      </c>
      <c r="E539" s="651">
        <v>0</v>
      </c>
    </row>
    <row r="540" spans="1:5" ht="12" hidden="1" outlineLevel="1" x14ac:dyDescent="0.25">
      <c r="A540" s="85" t="s">
        <v>3021</v>
      </c>
      <c r="B540" s="56" t="s">
        <v>3027</v>
      </c>
      <c r="C540" s="81">
        <f>C538+C539</f>
        <v>0</v>
      </c>
      <c r="D540" s="81">
        <f>D538+D539</f>
        <v>0</v>
      </c>
      <c r="E540" s="81">
        <f>E538+E539</f>
        <v>0</v>
      </c>
    </row>
    <row r="541" spans="1:5" collapsed="1" x14ac:dyDescent="0.2"/>
    <row r="542" spans="1:5" s="345" customFormat="1" ht="20.399999999999999" x14ac:dyDescent="0.3">
      <c r="A542" s="342"/>
      <c r="B542" s="455" t="s">
        <v>545</v>
      </c>
      <c r="C542" s="344" t="str">
        <f>C$3</f>
        <v>BUSTO ARSIZIO</v>
      </c>
      <c r="D542" s="344" t="str">
        <f>D$3</f>
        <v>FAGNANO OLONA</v>
      </c>
      <c r="E542" s="344" t="str">
        <f>E$3</f>
        <v>VENEGONO SUPERIORE</v>
      </c>
    </row>
    <row r="543" spans="1:5" outlineLevel="1" x14ac:dyDescent="0.2">
      <c r="B543" s="79">
        <v>2026</v>
      </c>
    </row>
    <row r="544" spans="1:5" ht="11.4" outlineLevel="1" x14ac:dyDescent="0.25">
      <c r="A544" s="85" t="s">
        <v>2392</v>
      </c>
      <c r="B544" s="449" t="s">
        <v>2410</v>
      </c>
      <c r="C544" s="206">
        <f t="shared" ref="C544:E555" si="267">INDEX($A$3:$E$541,MATCH($A544,$A$3:$A$541,0),MATCH(C$542,$A$3:$E$3,0))</f>
        <v>0</v>
      </c>
      <c r="D544" s="206">
        <f t="shared" si="267"/>
        <v>0</v>
      </c>
      <c r="E544" s="206">
        <f t="shared" si="267"/>
        <v>0</v>
      </c>
    </row>
    <row r="545" spans="1:5" ht="11.4" outlineLevel="1" x14ac:dyDescent="0.25">
      <c r="A545" s="85" t="s">
        <v>2466</v>
      </c>
      <c r="B545" s="654" t="s">
        <v>2478</v>
      </c>
      <c r="C545" s="655">
        <f t="shared" si="267"/>
        <v>0</v>
      </c>
      <c r="D545" s="655">
        <f t="shared" si="267"/>
        <v>0</v>
      </c>
      <c r="E545" s="655">
        <f t="shared" si="267"/>
        <v>0</v>
      </c>
    </row>
    <row r="546" spans="1:5" ht="12" outlineLevel="1" x14ac:dyDescent="0.25">
      <c r="A546" s="85" t="s">
        <v>1829</v>
      </c>
      <c r="B546" s="483" t="s">
        <v>1877</v>
      </c>
      <c r="C546" s="207">
        <f t="shared" si="267"/>
        <v>0</v>
      </c>
      <c r="D546" s="207">
        <f t="shared" si="267"/>
        <v>0</v>
      </c>
      <c r="E546" s="207">
        <f t="shared" si="267"/>
        <v>0</v>
      </c>
    </row>
    <row r="547" spans="1:5" ht="12" outlineLevel="1" x14ac:dyDescent="0.25">
      <c r="A547" s="85" t="s">
        <v>1729</v>
      </c>
      <c r="B547" s="483" t="s">
        <v>1747</v>
      </c>
      <c r="C547" s="207">
        <f t="shared" si="267"/>
        <v>0</v>
      </c>
      <c r="D547" s="207">
        <f t="shared" si="267"/>
        <v>0</v>
      </c>
      <c r="E547" s="207">
        <f t="shared" si="267"/>
        <v>0</v>
      </c>
    </row>
    <row r="548" spans="1:5" ht="12" outlineLevel="1" x14ac:dyDescent="0.25">
      <c r="A548" s="85" t="s">
        <v>2588</v>
      </c>
      <c r="B548" s="654" t="s">
        <v>2624</v>
      </c>
      <c r="C548" s="655">
        <f t="shared" si="267"/>
        <v>0</v>
      </c>
      <c r="D548" s="655">
        <f t="shared" si="267"/>
        <v>0</v>
      </c>
      <c r="E548" s="655">
        <f t="shared" si="267"/>
        <v>0</v>
      </c>
    </row>
    <row r="549" spans="1:5" ht="12" outlineLevel="1" x14ac:dyDescent="0.25">
      <c r="A549" s="85" t="s">
        <v>1966</v>
      </c>
      <c r="B549" s="483" t="s">
        <v>1984</v>
      </c>
      <c r="C549" s="207">
        <f t="shared" si="267"/>
        <v>0</v>
      </c>
      <c r="D549" s="207">
        <f t="shared" si="267"/>
        <v>0</v>
      </c>
      <c r="E549" s="207">
        <f t="shared" si="267"/>
        <v>0</v>
      </c>
    </row>
    <row r="550" spans="1:5" ht="11.4" outlineLevel="1" x14ac:dyDescent="0.25">
      <c r="A550" s="85" t="s">
        <v>1647</v>
      </c>
      <c r="B550" s="483" t="s">
        <v>1675</v>
      </c>
      <c r="C550" s="207">
        <f t="shared" si="267"/>
        <v>0</v>
      </c>
      <c r="D550" s="207">
        <f t="shared" si="267"/>
        <v>0</v>
      </c>
      <c r="E550" s="207">
        <f t="shared" si="267"/>
        <v>0</v>
      </c>
    </row>
    <row r="551" spans="1:5" ht="12" outlineLevel="1" x14ac:dyDescent="0.25">
      <c r="A551" s="85" t="s">
        <v>2713</v>
      </c>
      <c r="B551" s="483" t="s">
        <v>2731</v>
      </c>
      <c r="C551" s="207">
        <f t="shared" si="267"/>
        <v>0</v>
      </c>
      <c r="D551" s="207">
        <f t="shared" si="267"/>
        <v>0</v>
      </c>
      <c r="E551" s="207">
        <f t="shared" si="267"/>
        <v>0</v>
      </c>
    </row>
    <row r="552" spans="1:5" ht="11.4" outlineLevel="1" x14ac:dyDescent="0.25">
      <c r="A552" s="85" t="s">
        <v>2786</v>
      </c>
      <c r="B552" s="483" t="s">
        <v>2804</v>
      </c>
      <c r="C552" s="207">
        <f t="shared" si="267"/>
        <v>0</v>
      </c>
      <c r="D552" s="207">
        <f t="shared" si="267"/>
        <v>0</v>
      </c>
      <c r="E552" s="207">
        <f t="shared" si="267"/>
        <v>0</v>
      </c>
    </row>
    <row r="553" spans="1:5" ht="11.4" outlineLevel="1" x14ac:dyDescent="0.25">
      <c r="A553" s="85" t="s">
        <v>2859</v>
      </c>
      <c r="B553" s="654" t="s">
        <v>2895</v>
      </c>
      <c r="C553" s="655">
        <f t="shared" si="267"/>
        <v>0</v>
      </c>
      <c r="D553" s="655">
        <f t="shared" si="267"/>
        <v>0</v>
      </c>
      <c r="E553" s="655">
        <f t="shared" si="267"/>
        <v>0</v>
      </c>
    </row>
    <row r="554" spans="1:5" ht="11.4" outlineLevel="1" x14ac:dyDescent="0.25">
      <c r="A554" s="85" t="s">
        <v>2932</v>
      </c>
      <c r="B554" s="654" t="s">
        <v>2944</v>
      </c>
      <c r="C554" s="655">
        <f t="shared" si="267"/>
        <v>0</v>
      </c>
      <c r="D554" s="655">
        <f t="shared" si="267"/>
        <v>0</v>
      </c>
      <c r="E554" s="655">
        <f t="shared" si="267"/>
        <v>0</v>
      </c>
    </row>
    <row r="555" spans="1:5" ht="11.4" outlineLevel="1" x14ac:dyDescent="0.25">
      <c r="A555" s="85" t="s">
        <v>6793</v>
      </c>
      <c r="B555" s="445" t="s">
        <v>2958</v>
      </c>
      <c r="C555" s="407">
        <f t="shared" si="267"/>
        <v>315566.36782700795</v>
      </c>
      <c r="D555" s="407">
        <f t="shared" si="267"/>
        <v>0</v>
      </c>
      <c r="E555" s="407">
        <f t="shared" si="267"/>
        <v>0</v>
      </c>
    </row>
    <row r="556" spans="1:5" ht="11.4" outlineLevel="1" x14ac:dyDescent="0.25">
      <c r="A556" s="85" t="s">
        <v>3030</v>
      </c>
      <c r="B556" s="56" t="s">
        <v>3029</v>
      </c>
      <c r="C556" s="81">
        <f t="shared" ref="C556" si="268">SUM(C544:C555)</f>
        <v>315566.36782700795</v>
      </c>
      <c r="D556" s="81">
        <f t="shared" ref="D556:E556" si="269">SUM(D544:D555)</f>
        <v>0</v>
      </c>
      <c r="E556" s="81">
        <f t="shared" si="269"/>
        <v>0</v>
      </c>
    </row>
    <row r="557" spans="1:5" outlineLevel="1" x14ac:dyDescent="0.2"/>
    <row r="558" spans="1:5" ht="11.4" outlineLevel="1" x14ac:dyDescent="0.25">
      <c r="A558" s="85" t="s">
        <v>2395</v>
      </c>
      <c r="B558" s="449" t="s">
        <v>2413</v>
      </c>
      <c r="C558" s="206">
        <f t="shared" ref="C558:E567" si="270">INDEX($A$3:$E$541,MATCH($A558,$A$3:$A$541,0),MATCH(C$542,$A$3:$E$3,0))</f>
        <v>0</v>
      </c>
      <c r="D558" s="206">
        <f t="shared" si="270"/>
        <v>0</v>
      </c>
      <c r="E558" s="206">
        <f t="shared" si="270"/>
        <v>0</v>
      </c>
    </row>
    <row r="559" spans="1:5" ht="12" outlineLevel="1" x14ac:dyDescent="0.25">
      <c r="A559" s="85" t="s">
        <v>1832</v>
      </c>
      <c r="B559" s="483" t="s">
        <v>1880</v>
      </c>
      <c r="C559" s="207">
        <f t="shared" si="270"/>
        <v>0</v>
      </c>
      <c r="D559" s="207">
        <f t="shared" si="270"/>
        <v>0</v>
      </c>
      <c r="E559" s="207">
        <f t="shared" si="270"/>
        <v>0</v>
      </c>
    </row>
    <row r="560" spans="1:5" ht="12" outlineLevel="1" x14ac:dyDescent="0.25">
      <c r="A560" s="85" t="s">
        <v>1732</v>
      </c>
      <c r="B560" s="483" t="s">
        <v>1750</v>
      </c>
      <c r="C560" s="207">
        <f t="shared" si="270"/>
        <v>0</v>
      </c>
      <c r="D560" s="207">
        <f t="shared" si="270"/>
        <v>0</v>
      </c>
      <c r="E560" s="207">
        <f t="shared" si="270"/>
        <v>0</v>
      </c>
    </row>
    <row r="561" spans="1:5" ht="12" outlineLevel="1" x14ac:dyDescent="0.25">
      <c r="A561" s="85" t="s">
        <v>2591</v>
      </c>
      <c r="B561" s="654" t="s">
        <v>2627</v>
      </c>
      <c r="C561" s="655">
        <f t="shared" si="270"/>
        <v>0</v>
      </c>
      <c r="D561" s="655">
        <f t="shared" si="270"/>
        <v>0</v>
      </c>
      <c r="E561" s="655">
        <f t="shared" si="270"/>
        <v>0</v>
      </c>
    </row>
    <row r="562" spans="1:5" ht="12" outlineLevel="1" x14ac:dyDescent="0.25">
      <c r="A562" s="85" t="s">
        <v>1969</v>
      </c>
      <c r="B562" s="483" t="s">
        <v>1987</v>
      </c>
      <c r="C562" s="408">
        <f t="shared" si="270"/>
        <v>0</v>
      </c>
      <c r="D562" s="408">
        <f t="shared" si="270"/>
        <v>0</v>
      </c>
      <c r="E562" s="408">
        <f t="shared" si="270"/>
        <v>0</v>
      </c>
    </row>
    <row r="563" spans="1:5" ht="12" outlineLevel="1" x14ac:dyDescent="0.25">
      <c r="A563" s="85" t="s">
        <v>2716</v>
      </c>
      <c r="B563" s="483" t="s">
        <v>2734</v>
      </c>
      <c r="C563" s="408">
        <f t="shared" si="270"/>
        <v>0</v>
      </c>
      <c r="D563" s="408">
        <f t="shared" si="270"/>
        <v>0</v>
      </c>
      <c r="E563" s="408">
        <f t="shared" si="270"/>
        <v>0</v>
      </c>
    </row>
    <row r="564" spans="1:5" ht="11.4" outlineLevel="1" x14ac:dyDescent="0.25">
      <c r="A564" s="85" t="s">
        <v>2789</v>
      </c>
      <c r="B564" s="483" t="s">
        <v>2807</v>
      </c>
      <c r="C564" s="408">
        <f t="shared" si="270"/>
        <v>0</v>
      </c>
      <c r="D564" s="408">
        <f t="shared" si="270"/>
        <v>0</v>
      </c>
      <c r="E564" s="408">
        <f t="shared" si="270"/>
        <v>0</v>
      </c>
    </row>
    <row r="565" spans="1:5" ht="11.4" outlineLevel="1" x14ac:dyDescent="0.25">
      <c r="A565" s="85" t="s">
        <v>2862</v>
      </c>
      <c r="B565" s="654" t="s">
        <v>2898</v>
      </c>
      <c r="C565" s="656">
        <f t="shared" si="270"/>
        <v>0</v>
      </c>
      <c r="D565" s="656">
        <f t="shared" si="270"/>
        <v>0</v>
      </c>
      <c r="E565" s="656">
        <f t="shared" si="270"/>
        <v>0</v>
      </c>
    </row>
    <row r="566" spans="1:5" ht="11.4" outlineLevel="1" x14ac:dyDescent="0.25">
      <c r="A566" s="85" t="s">
        <v>6795</v>
      </c>
      <c r="B566" s="483" t="s">
        <v>2961</v>
      </c>
      <c r="C566" s="408">
        <f t="shared" si="270"/>
        <v>224284.56583160121</v>
      </c>
      <c r="D566" s="408">
        <f t="shared" si="270"/>
        <v>0</v>
      </c>
      <c r="E566" s="408">
        <f t="shared" si="270"/>
        <v>0</v>
      </c>
    </row>
    <row r="567" spans="1:5" ht="12" outlineLevel="1" x14ac:dyDescent="0.25">
      <c r="A567" s="85" t="s">
        <v>1185</v>
      </c>
      <c r="B567" s="445" t="s">
        <v>3010</v>
      </c>
      <c r="C567" s="208">
        <f t="shared" si="270"/>
        <v>-294.65432143919406</v>
      </c>
      <c r="D567" s="208">
        <f t="shared" si="270"/>
        <v>0</v>
      </c>
      <c r="E567" s="208">
        <f t="shared" si="270"/>
        <v>0</v>
      </c>
    </row>
    <row r="568" spans="1:5" ht="11.4" outlineLevel="1" x14ac:dyDescent="0.25">
      <c r="A568" s="85" t="s">
        <v>3031</v>
      </c>
      <c r="B568" s="56" t="s">
        <v>3032</v>
      </c>
      <c r="C568" s="81">
        <f t="shared" ref="C568" si="271">SUM(C558:C567)</f>
        <v>223989.91151016203</v>
      </c>
      <c r="D568" s="81">
        <f t="shared" ref="D568:E568" si="272">SUM(D558:D567)</f>
        <v>0</v>
      </c>
      <c r="E568" s="81">
        <f t="shared" si="272"/>
        <v>0</v>
      </c>
    </row>
    <row r="569" spans="1:5" outlineLevel="1" x14ac:dyDescent="0.2"/>
    <row r="570" spans="1:5" ht="11.4" outlineLevel="1" x14ac:dyDescent="0.25">
      <c r="A570" s="85" t="s">
        <v>3033</v>
      </c>
      <c r="B570" s="56" t="s">
        <v>3034</v>
      </c>
      <c r="C570" s="81">
        <f t="shared" ref="C570" si="273">C556+C568</f>
        <v>539556.27933716995</v>
      </c>
      <c r="D570" s="81">
        <f t="shared" ref="D570:E570" si="274">D556+D568</f>
        <v>0</v>
      </c>
      <c r="E570" s="81">
        <f t="shared" si="274"/>
        <v>0</v>
      </c>
    </row>
    <row r="571" spans="1:5" outlineLevel="1" x14ac:dyDescent="0.2"/>
    <row r="572" spans="1:5" outlineLevel="1" x14ac:dyDescent="0.2">
      <c r="B572" s="79">
        <v>2027</v>
      </c>
    </row>
    <row r="573" spans="1:5" ht="11.4" outlineLevel="1" x14ac:dyDescent="0.25">
      <c r="A573" s="85" t="s">
        <v>2401</v>
      </c>
      <c r="B573" s="449" t="s">
        <v>2419</v>
      </c>
      <c r="C573" s="206">
        <f t="shared" ref="C573:E584" si="275">INDEX($A$3:$E$541,MATCH($A573,$A$3:$A$541,0),MATCH(C$542,$A$3:$E$3,0))</f>
        <v>0</v>
      </c>
      <c r="D573" s="206">
        <f t="shared" si="275"/>
        <v>0</v>
      </c>
      <c r="E573" s="206">
        <f t="shared" si="275"/>
        <v>0</v>
      </c>
    </row>
    <row r="574" spans="1:5" ht="11.4" outlineLevel="1" x14ac:dyDescent="0.25">
      <c r="A574" s="85" t="s">
        <v>2469</v>
      </c>
      <c r="B574" s="654" t="s">
        <v>2481</v>
      </c>
      <c r="C574" s="655">
        <f t="shared" si="275"/>
        <v>0</v>
      </c>
      <c r="D574" s="655">
        <f t="shared" si="275"/>
        <v>0</v>
      </c>
      <c r="E574" s="655">
        <f t="shared" si="275"/>
        <v>0</v>
      </c>
    </row>
    <row r="575" spans="1:5" ht="12" outlineLevel="1" x14ac:dyDescent="0.25">
      <c r="A575" s="85" t="s">
        <v>1850</v>
      </c>
      <c r="B575" s="483" t="s">
        <v>1904</v>
      </c>
      <c r="C575" s="207">
        <f t="shared" si="275"/>
        <v>0</v>
      </c>
      <c r="D575" s="207">
        <f t="shared" si="275"/>
        <v>0</v>
      </c>
      <c r="E575" s="207">
        <f t="shared" si="275"/>
        <v>0</v>
      </c>
    </row>
    <row r="576" spans="1:5" ht="12" outlineLevel="1" x14ac:dyDescent="0.25">
      <c r="A576" s="85" t="s">
        <v>1776</v>
      </c>
      <c r="B576" s="483" t="s">
        <v>1803</v>
      </c>
      <c r="C576" s="207">
        <f t="shared" si="275"/>
        <v>0</v>
      </c>
      <c r="D576" s="207">
        <f t="shared" si="275"/>
        <v>0</v>
      </c>
      <c r="E576" s="207">
        <f t="shared" si="275"/>
        <v>0</v>
      </c>
    </row>
    <row r="577" spans="1:5" ht="12" outlineLevel="1" x14ac:dyDescent="0.25">
      <c r="A577" s="85" t="s">
        <v>2597</v>
      </c>
      <c r="B577" s="654" t="s">
        <v>2633</v>
      </c>
      <c r="C577" s="655">
        <f t="shared" si="275"/>
        <v>0</v>
      </c>
      <c r="D577" s="655">
        <f t="shared" si="275"/>
        <v>0</v>
      </c>
      <c r="E577" s="655">
        <f t="shared" si="275"/>
        <v>0</v>
      </c>
    </row>
    <row r="578" spans="1:5" ht="12" outlineLevel="1" x14ac:dyDescent="0.25">
      <c r="A578" s="85" t="s">
        <v>2005</v>
      </c>
      <c r="B578" s="483" t="s">
        <v>2036</v>
      </c>
      <c r="C578" s="207">
        <f t="shared" si="275"/>
        <v>0</v>
      </c>
      <c r="D578" s="207">
        <f t="shared" si="275"/>
        <v>0</v>
      </c>
      <c r="E578" s="207">
        <f t="shared" si="275"/>
        <v>0</v>
      </c>
    </row>
    <row r="579" spans="1:5" ht="11.4" outlineLevel="1" x14ac:dyDescent="0.25">
      <c r="A579" s="85" t="s">
        <v>1654</v>
      </c>
      <c r="B579" s="483" t="s">
        <v>1671</v>
      </c>
      <c r="C579" s="207">
        <f t="shared" si="275"/>
        <v>0</v>
      </c>
      <c r="D579" s="207">
        <f t="shared" si="275"/>
        <v>0</v>
      </c>
      <c r="E579" s="207">
        <f t="shared" si="275"/>
        <v>0</v>
      </c>
    </row>
    <row r="580" spans="1:5" ht="12" outlineLevel="1" x14ac:dyDescent="0.25">
      <c r="A580" s="85" t="s">
        <v>2722</v>
      </c>
      <c r="B580" s="483" t="s">
        <v>2740</v>
      </c>
      <c r="C580" s="207">
        <f t="shared" si="275"/>
        <v>340344.7554539569</v>
      </c>
      <c r="D580" s="207">
        <f t="shared" si="275"/>
        <v>0</v>
      </c>
      <c r="E580" s="207">
        <f t="shared" si="275"/>
        <v>0</v>
      </c>
    </row>
    <row r="581" spans="1:5" ht="11.4" outlineLevel="1" x14ac:dyDescent="0.25">
      <c r="A581" s="85" t="s">
        <v>2795</v>
      </c>
      <c r="B581" s="483" t="s">
        <v>2813</v>
      </c>
      <c r="C581" s="207">
        <f t="shared" si="275"/>
        <v>175789.73340780661</v>
      </c>
      <c r="D581" s="207">
        <f t="shared" si="275"/>
        <v>0</v>
      </c>
      <c r="E581" s="207">
        <f t="shared" si="275"/>
        <v>0</v>
      </c>
    </row>
    <row r="582" spans="1:5" ht="11.4" outlineLevel="1" x14ac:dyDescent="0.25">
      <c r="A582" s="85" t="s">
        <v>2868</v>
      </c>
      <c r="B582" s="654" t="s">
        <v>2904</v>
      </c>
      <c r="C582" s="655">
        <f t="shared" si="275"/>
        <v>0</v>
      </c>
      <c r="D582" s="655">
        <f t="shared" si="275"/>
        <v>0</v>
      </c>
      <c r="E582" s="655">
        <f t="shared" si="275"/>
        <v>0</v>
      </c>
    </row>
    <row r="583" spans="1:5" ht="11.4" outlineLevel="1" x14ac:dyDescent="0.25">
      <c r="A583" s="85" t="s">
        <v>2935</v>
      </c>
      <c r="B583" s="654" t="s">
        <v>2947</v>
      </c>
      <c r="C583" s="655">
        <f t="shared" si="275"/>
        <v>0</v>
      </c>
      <c r="D583" s="655">
        <f t="shared" si="275"/>
        <v>0</v>
      </c>
      <c r="E583" s="655">
        <f t="shared" si="275"/>
        <v>0</v>
      </c>
    </row>
    <row r="584" spans="1:5" ht="11.4" outlineLevel="1" x14ac:dyDescent="0.25">
      <c r="A584" s="85" t="s">
        <v>6797</v>
      </c>
      <c r="B584" s="445" t="s">
        <v>2967</v>
      </c>
      <c r="C584" s="407">
        <f t="shared" si="275"/>
        <v>315566.36782700795</v>
      </c>
      <c r="D584" s="407">
        <f t="shared" si="275"/>
        <v>0</v>
      </c>
      <c r="E584" s="407">
        <f t="shared" si="275"/>
        <v>0</v>
      </c>
    </row>
    <row r="585" spans="1:5" ht="11.4" outlineLevel="1" x14ac:dyDescent="0.25">
      <c r="A585" s="85" t="s">
        <v>3035</v>
      </c>
      <c r="B585" s="56" t="s">
        <v>3036</v>
      </c>
      <c r="C585" s="81">
        <f t="shared" ref="C585" si="276">SUM(C573:C584)</f>
        <v>831700.8566887714</v>
      </c>
      <c r="D585" s="81">
        <f t="shared" ref="D585:E585" si="277">SUM(D573:D584)</f>
        <v>0</v>
      </c>
      <c r="E585" s="81">
        <f t="shared" si="277"/>
        <v>0</v>
      </c>
    </row>
    <row r="586" spans="1:5" outlineLevel="1" x14ac:dyDescent="0.2"/>
    <row r="587" spans="1:5" ht="11.4" outlineLevel="1" x14ac:dyDescent="0.25">
      <c r="A587" s="85" t="s">
        <v>2404</v>
      </c>
      <c r="B587" s="449" t="s">
        <v>2422</v>
      </c>
      <c r="C587" s="206">
        <f t="shared" ref="C587:E596" si="278">INDEX($A$3:$E$541,MATCH($A587,$A$3:$A$541,0),MATCH(C$542,$A$3:$E$3,0))</f>
        <v>0</v>
      </c>
      <c r="D587" s="206">
        <f t="shared" si="278"/>
        <v>0</v>
      </c>
      <c r="E587" s="206">
        <f t="shared" si="278"/>
        <v>0</v>
      </c>
    </row>
    <row r="588" spans="1:5" ht="12" outlineLevel="1" x14ac:dyDescent="0.25">
      <c r="A588" s="85" t="s">
        <v>1853</v>
      </c>
      <c r="B588" s="483" t="s">
        <v>1907</v>
      </c>
      <c r="C588" s="207">
        <f t="shared" si="278"/>
        <v>0</v>
      </c>
      <c r="D588" s="207">
        <f t="shared" si="278"/>
        <v>0</v>
      </c>
      <c r="E588" s="207">
        <f t="shared" si="278"/>
        <v>0</v>
      </c>
    </row>
    <row r="589" spans="1:5" ht="12" outlineLevel="1" x14ac:dyDescent="0.25">
      <c r="A589" s="85" t="s">
        <v>1779</v>
      </c>
      <c r="B589" s="483" t="s">
        <v>1806</v>
      </c>
      <c r="C589" s="207">
        <f t="shared" si="278"/>
        <v>-50000</v>
      </c>
      <c r="D589" s="207">
        <f t="shared" si="278"/>
        <v>0</v>
      </c>
      <c r="E589" s="207">
        <f t="shared" si="278"/>
        <v>0</v>
      </c>
    </row>
    <row r="590" spans="1:5" ht="12" outlineLevel="1" x14ac:dyDescent="0.25">
      <c r="A590" s="85" t="s">
        <v>2600</v>
      </c>
      <c r="B590" s="654" t="s">
        <v>2636</v>
      </c>
      <c r="C590" s="655">
        <f t="shared" si="278"/>
        <v>0</v>
      </c>
      <c r="D590" s="655">
        <f t="shared" si="278"/>
        <v>0</v>
      </c>
      <c r="E590" s="655">
        <f t="shared" si="278"/>
        <v>0</v>
      </c>
    </row>
    <row r="591" spans="1:5" ht="12" outlineLevel="1" x14ac:dyDescent="0.25">
      <c r="A591" s="85" t="s">
        <v>2008</v>
      </c>
      <c r="B591" s="483" t="s">
        <v>2039</v>
      </c>
      <c r="C591" s="207">
        <f t="shared" si="278"/>
        <v>0</v>
      </c>
      <c r="D591" s="207">
        <f t="shared" si="278"/>
        <v>0</v>
      </c>
      <c r="E591" s="207">
        <f t="shared" si="278"/>
        <v>0</v>
      </c>
    </row>
    <row r="592" spans="1:5" ht="12" outlineLevel="1" x14ac:dyDescent="0.25">
      <c r="A592" s="85" t="s">
        <v>2725</v>
      </c>
      <c r="B592" s="483" t="s">
        <v>2743</v>
      </c>
      <c r="C592" s="207">
        <f t="shared" si="278"/>
        <v>323630.57835021621</v>
      </c>
      <c r="D592" s="207">
        <f t="shared" si="278"/>
        <v>0</v>
      </c>
      <c r="E592" s="207">
        <f t="shared" si="278"/>
        <v>0</v>
      </c>
    </row>
    <row r="593" spans="1:5" ht="11.4" outlineLevel="1" x14ac:dyDescent="0.25">
      <c r="A593" s="85" t="s">
        <v>2798</v>
      </c>
      <c r="B593" s="483" t="s">
        <v>2816</v>
      </c>
      <c r="C593" s="408">
        <f t="shared" si="278"/>
        <v>104195.64689292852</v>
      </c>
      <c r="D593" s="408">
        <f t="shared" si="278"/>
        <v>0</v>
      </c>
      <c r="E593" s="408">
        <f t="shared" si="278"/>
        <v>0</v>
      </c>
    </row>
    <row r="594" spans="1:5" ht="11.4" outlineLevel="1" x14ac:dyDescent="0.25">
      <c r="A594" s="85" t="s">
        <v>2871</v>
      </c>
      <c r="B594" s="654" t="s">
        <v>2907</v>
      </c>
      <c r="C594" s="656">
        <f t="shared" si="278"/>
        <v>0</v>
      </c>
      <c r="D594" s="656">
        <f t="shared" si="278"/>
        <v>0</v>
      </c>
      <c r="E594" s="656">
        <f t="shared" si="278"/>
        <v>0</v>
      </c>
    </row>
    <row r="595" spans="1:5" ht="11.4" outlineLevel="1" x14ac:dyDescent="0.25">
      <c r="A595" s="85" t="s">
        <v>6799</v>
      </c>
      <c r="B595" s="483" t="s">
        <v>2970</v>
      </c>
      <c r="C595" s="408">
        <f t="shared" si="278"/>
        <v>224284.56583160121</v>
      </c>
      <c r="D595" s="408">
        <f t="shared" si="278"/>
        <v>0</v>
      </c>
      <c r="E595" s="408">
        <f t="shared" si="278"/>
        <v>0</v>
      </c>
    </row>
    <row r="596" spans="1:5" ht="12" outlineLevel="1" x14ac:dyDescent="0.25">
      <c r="A596" s="85" t="s">
        <v>2072</v>
      </c>
      <c r="B596" s="445" t="s">
        <v>3013</v>
      </c>
      <c r="C596" s="208">
        <f t="shared" si="278"/>
        <v>-566.87132350233696</v>
      </c>
      <c r="D596" s="208">
        <f t="shared" si="278"/>
        <v>0</v>
      </c>
      <c r="E596" s="208">
        <f t="shared" si="278"/>
        <v>0</v>
      </c>
    </row>
    <row r="597" spans="1:5" ht="11.4" outlineLevel="1" x14ac:dyDescent="0.25">
      <c r="A597" s="85" t="s">
        <v>3037</v>
      </c>
      <c r="B597" s="56" t="s">
        <v>3038</v>
      </c>
      <c r="C597" s="81">
        <f t="shared" ref="C597" si="279">SUM(C587:C596)</f>
        <v>601543.91975124355</v>
      </c>
      <c r="D597" s="81">
        <f t="shared" ref="D597:E597" si="280">SUM(D587:D596)</f>
        <v>0</v>
      </c>
      <c r="E597" s="81">
        <f t="shared" si="280"/>
        <v>0</v>
      </c>
    </row>
    <row r="598" spans="1:5" outlineLevel="1" x14ac:dyDescent="0.2"/>
    <row r="599" spans="1:5" ht="11.4" outlineLevel="1" x14ac:dyDescent="0.25">
      <c r="A599" s="85" t="s">
        <v>3039</v>
      </c>
      <c r="B599" s="56" t="s">
        <v>3040</v>
      </c>
      <c r="C599" s="81">
        <f t="shared" ref="C599" si="281">C585+C597</f>
        <v>1433244.7764400151</v>
      </c>
      <c r="D599" s="81">
        <f t="shared" ref="D599:E599" si="282">D585+D597</f>
        <v>0</v>
      </c>
      <c r="E599" s="81">
        <f t="shared" si="282"/>
        <v>0</v>
      </c>
    </row>
    <row r="600" spans="1:5" outlineLevel="1" x14ac:dyDescent="0.2">
      <c r="B600" s="82"/>
      <c r="C600" s="83"/>
      <c r="D600" s="83"/>
      <c r="E600" s="83"/>
    </row>
    <row r="601" spans="1:5" outlineLevel="1" x14ac:dyDescent="0.2">
      <c r="B601" s="79">
        <v>2028</v>
      </c>
    </row>
    <row r="602" spans="1:5" ht="11.4" outlineLevel="1" x14ac:dyDescent="0.25">
      <c r="A602" s="85" t="s">
        <v>2428</v>
      </c>
      <c r="B602" s="449" t="s">
        <v>2446</v>
      </c>
      <c r="C602" s="206">
        <f t="shared" ref="C602:E613" si="283">INDEX($A$3:$E$541,MATCH($A602,$A$3:$A$541,0),MATCH(C$542,$A$3:$E$3,0))</f>
        <v>0</v>
      </c>
      <c r="D602" s="206">
        <f t="shared" si="283"/>
        <v>0</v>
      </c>
      <c r="E602" s="206">
        <f t="shared" si="283"/>
        <v>0</v>
      </c>
    </row>
    <row r="603" spans="1:5" ht="11.4" outlineLevel="1" x14ac:dyDescent="0.25">
      <c r="A603" s="85" t="s">
        <v>2472</v>
      </c>
      <c r="B603" s="654" t="s">
        <v>2484</v>
      </c>
      <c r="C603" s="655">
        <f t="shared" si="283"/>
        <v>0</v>
      </c>
      <c r="D603" s="655">
        <f t="shared" si="283"/>
        <v>0</v>
      </c>
      <c r="E603" s="655">
        <f t="shared" si="283"/>
        <v>0</v>
      </c>
    </row>
    <row r="604" spans="1:5" ht="12" outlineLevel="1" x14ac:dyDescent="0.25">
      <c r="A604" s="85" t="s">
        <v>2515</v>
      </c>
      <c r="B604" s="654" t="s">
        <v>2533</v>
      </c>
      <c r="C604" s="655">
        <f t="shared" si="283"/>
        <v>0</v>
      </c>
      <c r="D604" s="655">
        <f t="shared" si="283"/>
        <v>0</v>
      </c>
      <c r="E604" s="655">
        <f t="shared" si="283"/>
        <v>0</v>
      </c>
    </row>
    <row r="605" spans="1:5" ht="12" outlineLevel="1" x14ac:dyDescent="0.25">
      <c r="A605" s="85" t="s">
        <v>2551</v>
      </c>
      <c r="B605" s="654" t="s">
        <v>2569</v>
      </c>
      <c r="C605" s="655">
        <f t="shared" si="283"/>
        <v>0</v>
      </c>
      <c r="D605" s="655">
        <f t="shared" si="283"/>
        <v>0</v>
      </c>
      <c r="E605" s="655">
        <f t="shared" si="283"/>
        <v>0</v>
      </c>
    </row>
    <row r="606" spans="1:5" ht="12" outlineLevel="1" x14ac:dyDescent="0.25">
      <c r="A606" s="85" t="s">
        <v>2606</v>
      </c>
      <c r="B606" s="654" t="s">
        <v>2642</v>
      </c>
      <c r="C606" s="655">
        <f t="shared" si="283"/>
        <v>0</v>
      </c>
      <c r="D606" s="655">
        <f t="shared" si="283"/>
        <v>0</v>
      </c>
      <c r="E606" s="655">
        <f t="shared" si="283"/>
        <v>0</v>
      </c>
    </row>
    <row r="607" spans="1:5" ht="12" outlineLevel="1" x14ac:dyDescent="0.25">
      <c r="A607" s="85" t="s">
        <v>2660</v>
      </c>
      <c r="B607" s="654" t="s">
        <v>2678</v>
      </c>
      <c r="C607" s="655">
        <f t="shared" si="283"/>
        <v>0</v>
      </c>
      <c r="D607" s="655">
        <f t="shared" si="283"/>
        <v>0</v>
      </c>
      <c r="E607" s="655">
        <f t="shared" si="283"/>
        <v>0</v>
      </c>
    </row>
    <row r="608" spans="1:5" ht="11.4" outlineLevel="1" x14ac:dyDescent="0.25">
      <c r="A608" s="85" t="s">
        <v>2701</v>
      </c>
      <c r="B608" s="654" t="s">
        <v>2706</v>
      </c>
      <c r="C608" s="655">
        <f t="shared" si="283"/>
        <v>0</v>
      </c>
      <c r="D608" s="655">
        <f t="shared" si="283"/>
        <v>0</v>
      </c>
      <c r="E608" s="655">
        <f t="shared" si="283"/>
        <v>0</v>
      </c>
    </row>
    <row r="609" spans="1:5" ht="12" outlineLevel="1" x14ac:dyDescent="0.25">
      <c r="A609" s="85" t="s">
        <v>2749</v>
      </c>
      <c r="B609" s="654" t="s">
        <v>2767</v>
      </c>
      <c r="C609" s="655">
        <f t="shared" si="283"/>
        <v>0</v>
      </c>
      <c r="D609" s="655">
        <f t="shared" si="283"/>
        <v>0</v>
      </c>
      <c r="E609" s="655">
        <f t="shared" si="283"/>
        <v>0</v>
      </c>
    </row>
    <row r="610" spans="1:5" ht="11.4" outlineLevel="1" x14ac:dyDescent="0.25">
      <c r="A610" s="85" t="s">
        <v>2822</v>
      </c>
      <c r="B610" s="654" t="s">
        <v>2840</v>
      </c>
      <c r="C610" s="655">
        <f t="shared" si="283"/>
        <v>0</v>
      </c>
      <c r="D610" s="655">
        <f t="shared" si="283"/>
        <v>0</v>
      </c>
      <c r="E610" s="655">
        <f t="shared" si="283"/>
        <v>0</v>
      </c>
    </row>
    <row r="611" spans="1:5" ht="11.4" outlineLevel="1" x14ac:dyDescent="0.25">
      <c r="A611" s="85" t="s">
        <v>2877</v>
      </c>
      <c r="B611" s="654" t="s">
        <v>2913</v>
      </c>
      <c r="C611" s="655">
        <f t="shared" si="283"/>
        <v>0</v>
      </c>
      <c r="D611" s="655">
        <f t="shared" si="283"/>
        <v>0</v>
      </c>
      <c r="E611" s="655">
        <f t="shared" si="283"/>
        <v>0</v>
      </c>
    </row>
    <row r="612" spans="1:5" ht="11.4" outlineLevel="1" x14ac:dyDescent="0.25">
      <c r="A612" s="85" t="s">
        <v>2938</v>
      </c>
      <c r="B612" s="654" t="s">
        <v>2950</v>
      </c>
      <c r="C612" s="655">
        <f t="shared" si="283"/>
        <v>0</v>
      </c>
      <c r="D612" s="655">
        <f t="shared" si="283"/>
        <v>0</v>
      </c>
      <c r="E612" s="655">
        <f t="shared" si="283"/>
        <v>0</v>
      </c>
    </row>
    <row r="613" spans="1:5" ht="11.4" outlineLevel="1" x14ac:dyDescent="0.25">
      <c r="A613" s="85" t="s">
        <v>6801</v>
      </c>
      <c r="B613" s="445" t="s">
        <v>2976</v>
      </c>
      <c r="C613" s="407">
        <f t="shared" si="283"/>
        <v>338035.39975581953</v>
      </c>
      <c r="D613" s="407">
        <f t="shared" si="283"/>
        <v>0</v>
      </c>
      <c r="E613" s="407">
        <f t="shared" si="283"/>
        <v>0</v>
      </c>
    </row>
    <row r="614" spans="1:5" ht="11.4" outlineLevel="1" x14ac:dyDescent="0.25">
      <c r="A614" s="85" t="s">
        <v>3041</v>
      </c>
      <c r="B614" s="56" t="s">
        <v>3042</v>
      </c>
      <c r="C614" s="81">
        <f t="shared" ref="C614" si="284">SUM(C602:C613)</f>
        <v>338035.39975581953</v>
      </c>
      <c r="D614" s="81">
        <f t="shared" ref="D614:E614" si="285">SUM(D602:D613)</f>
        <v>0</v>
      </c>
      <c r="E614" s="81">
        <f t="shared" si="285"/>
        <v>0</v>
      </c>
    </row>
    <row r="615" spans="1:5" outlineLevel="1" x14ac:dyDescent="0.2"/>
    <row r="616" spans="1:5" ht="11.4" outlineLevel="1" x14ac:dyDescent="0.25">
      <c r="A616" s="85" t="s">
        <v>2431</v>
      </c>
      <c r="B616" s="449" t="s">
        <v>2449</v>
      </c>
      <c r="C616" s="206">
        <f t="shared" ref="C616:E625" si="286">INDEX($A$3:$E$541,MATCH($A616,$A$3:$A$541,0),MATCH(C$542,$A$3:$E$3,0))</f>
        <v>0</v>
      </c>
      <c r="D616" s="206">
        <f t="shared" si="286"/>
        <v>0</v>
      </c>
      <c r="E616" s="206">
        <f t="shared" si="286"/>
        <v>0</v>
      </c>
    </row>
    <row r="617" spans="1:5" ht="12" outlineLevel="1" x14ac:dyDescent="0.25">
      <c r="A617" s="85" t="s">
        <v>2518</v>
      </c>
      <c r="B617" s="654" t="s">
        <v>2536</v>
      </c>
      <c r="C617" s="655">
        <f t="shared" si="286"/>
        <v>0</v>
      </c>
      <c r="D617" s="655">
        <f t="shared" si="286"/>
        <v>0</v>
      </c>
      <c r="E617" s="655">
        <f t="shared" si="286"/>
        <v>0</v>
      </c>
    </row>
    <row r="618" spans="1:5" ht="12" outlineLevel="1" x14ac:dyDescent="0.25">
      <c r="A618" s="85" t="s">
        <v>2554</v>
      </c>
      <c r="B618" s="654" t="s">
        <v>2572</v>
      </c>
      <c r="C618" s="655">
        <f t="shared" si="286"/>
        <v>0</v>
      </c>
      <c r="D618" s="655">
        <f t="shared" si="286"/>
        <v>0</v>
      </c>
      <c r="E618" s="655">
        <f t="shared" si="286"/>
        <v>0</v>
      </c>
    </row>
    <row r="619" spans="1:5" ht="12" outlineLevel="1" x14ac:dyDescent="0.25">
      <c r="A619" s="85" t="s">
        <v>2609</v>
      </c>
      <c r="B619" s="654" t="s">
        <v>2645</v>
      </c>
      <c r="C619" s="655">
        <f t="shared" si="286"/>
        <v>0</v>
      </c>
      <c r="D619" s="655">
        <f t="shared" si="286"/>
        <v>0</v>
      </c>
      <c r="E619" s="655">
        <f t="shared" si="286"/>
        <v>0</v>
      </c>
    </row>
    <row r="620" spans="1:5" ht="12" outlineLevel="1" x14ac:dyDescent="0.25">
      <c r="A620" s="85" t="s">
        <v>2663</v>
      </c>
      <c r="B620" s="654" t="s">
        <v>2681</v>
      </c>
      <c r="C620" s="656">
        <f t="shared" si="286"/>
        <v>0</v>
      </c>
      <c r="D620" s="656">
        <f t="shared" si="286"/>
        <v>0</v>
      </c>
      <c r="E620" s="656">
        <f t="shared" si="286"/>
        <v>0</v>
      </c>
    </row>
    <row r="621" spans="1:5" ht="12" outlineLevel="1" x14ac:dyDescent="0.25">
      <c r="A621" s="85" t="s">
        <v>2752</v>
      </c>
      <c r="B621" s="654" t="s">
        <v>2770</v>
      </c>
      <c r="C621" s="656">
        <f t="shared" si="286"/>
        <v>0</v>
      </c>
      <c r="D621" s="656">
        <f t="shared" si="286"/>
        <v>0</v>
      </c>
      <c r="E621" s="656">
        <f t="shared" si="286"/>
        <v>0</v>
      </c>
    </row>
    <row r="622" spans="1:5" ht="11.4" outlineLevel="1" x14ac:dyDescent="0.25">
      <c r="A622" s="85" t="s">
        <v>2825</v>
      </c>
      <c r="B622" s="654" t="s">
        <v>2843</v>
      </c>
      <c r="C622" s="656">
        <f t="shared" si="286"/>
        <v>0</v>
      </c>
      <c r="D622" s="656">
        <f t="shared" si="286"/>
        <v>0</v>
      </c>
      <c r="E622" s="656">
        <f t="shared" si="286"/>
        <v>0</v>
      </c>
    </row>
    <row r="623" spans="1:5" ht="11.4" outlineLevel="1" x14ac:dyDescent="0.25">
      <c r="A623" s="85" t="s">
        <v>2880</v>
      </c>
      <c r="B623" s="654" t="s">
        <v>2916</v>
      </c>
      <c r="C623" s="656">
        <f t="shared" si="286"/>
        <v>0</v>
      </c>
      <c r="D623" s="656">
        <f t="shared" si="286"/>
        <v>0</v>
      </c>
      <c r="E623" s="656">
        <f t="shared" si="286"/>
        <v>0</v>
      </c>
    </row>
    <row r="624" spans="1:5" ht="11.4" outlineLevel="1" x14ac:dyDescent="0.25">
      <c r="A624" s="85" t="s">
        <v>6803</v>
      </c>
      <c r="B624" s="483" t="s">
        <v>2979</v>
      </c>
      <c r="C624" s="408">
        <f t="shared" si="286"/>
        <v>321686.84789391904</v>
      </c>
      <c r="D624" s="408">
        <f t="shared" si="286"/>
        <v>0</v>
      </c>
      <c r="E624" s="408">
        <f t="shared" si="286"/>
        <v>0</v>
      </c>
    </row>
    <row r="625" spans="1:5" ht="12" outlineLevel="1" x14ac:dyDescent="0.25">
      <c r="A625" s="85" t="s">
        <v>3016</v>
      </c>
      <c r="B625" s="650" t="s">
        <v>3022</v>
      </c>
      <c r="C625" s="651">
        <f t="shared" si="286"/>
        <v>0</v>
      </c>
      <c r="D625" s="651">
        <f t="shared" si="286"/>
        <v>0</v>
      </c>
      <c r="E625" s="651">
        <f t="shared" si="286"/>
        <v>0</v>
      </c>
    </row>
    <row r="626" spans="1:5" ht="11.4" outlineLevel="1" x14ac:dyDescent="0.25">
      <c r="A626" s="85" t="s">
        <v>3043</v>
      </c>
      <c r="B626" s="56" t="s">
        <v>3044</v>
      </c>
      <c r="C626" s="81">
        <f t="shared" ref="C626" si="287">SUM(C616:C625)</f>
        <v>321686.84789391904</v>
      </c>
      <c r="D626" s="81">
        <f t="shared" ref="D626:E626" si="288">SUM(D616:D625)</f>
        <v>0</v>
      </c>
      <c r="E626" s="81">
        <f t="shared" si="288"/>
        <v>0</v>
      </c>
    </row>
    <row r="627" spans="1:5" outlineLevel="1" x14ac:dyDescent="0.2"/>
    <row r="628" spans="1:5" ht="11.4" outlineLevel="1" x14ac:dyDescent="0.25">
      <c r="A628" s="85" t="s">
        <v>3045</v>
      </c>
      <c r="B628" s="56" t="s">
        <v>3046</v>
      </c>
      <c r="C628" s="81">
        <f t="shared" ref="C628" si="289">C614+C626</f>
        <v>659722.24764973857</v>
      </c>
      <c r="D628" s="81">
        <f t="shared" ref="D628:E628" si="290">D614+D626</f>
        <v>0</v>
      </c>
      <c r="E628" s="81">
        <f t="shared" si="290"/>
        <v>0</v>
      </c>
    </row>
    <row r="629" spans="1:5" outlineLevel="1" x14ac:dyDescent="0.2"/>
    <row r="630" spans="1:5" outlineLevel="1" x14ac:dyDescent="0.2">
      <c r="B630" s="79">
        <v>2029</v>
      </c>
    </row>
    <row r="631" spans="1:5" ht="11.4" outlineLevel="1" x14ac:dyDescent="0.25">
      <c r="A631" s="85" t="s">
        <v>2437</v>
      </c>
      <c r="B631" s="449" t="s">
        <v>2455</v>
      </c>
      <c r="C631" s="206">
        <f t="shared" ref="C631:E642" si="291">INDEX($A$3:$E$541,MATCH($A631,$A$3:$A$541,0),MATCH(C$542,$A$3:$E$3,0))</f>
        <v>0</v>
      </c>
      <c r="D631" s="206">
        <f t="shared" si="291"/>
        <v>0</v>
      </c>
      <c r="E631" s="206">
        <f t="shared" si="291"/>
        <v>0</v>
      </c>
    </row>
    <row r="632" spans="1:5" ht="11.4" outlineLevel="1" x14ac:dyDescent="0.25">
      <c r="A632" s="85" t="s">
        <v>2475</v>
      </c>
      <c r="B632" s="654" t="s">
        <v>2487</v>
      </c>
      <c r="C632" s="655">
        <f t="shared" si="291"/>
        <v>0</v>
      </c>
      <c r="D632" s="655">
        <f t="shared" si="291"/>
        <v>0</v>
      </c>
      <c r="E632" s="655">
        <f t="shared" si="291"/>
        <v>0</v>
      </c>
    </row>
    <row r="633" spans="1:5" ht="12" outlineLevel="1" x14ac:dyDescent="0.25">
      <c r="A633" s="85" t="s">
        <v>2524</v>
      </c>
      <c r="B633" s="654" t="s">
        <v>2542</v>
      </c>
      <c r="C633" s="655">
        <f t="shared" si="291"/>
        <v>0</v>
      </c>
      <c r="D633" s="655">
        <f t="shared" si="291"/>
        <v>0</v>
      </c>
      <c r="E633" s="655">
        <f t="shared" si="291"/>
        <v>0</v>
      </c>
    </row>
    <row r="634" spans="1:5" ht="12" outlineLevel="1" x14ac:dyDescent="0.25">
      <c r="A634" s="85" t="s">
        <v>2560</v>
      </c>
      <c r="B634" s="654" t="s">
        <v>2578</v>
      </c>
      <c r="C634" s="655">
        <f t="shared" si="291"/>
        <v>0</v>
      </c>
      <c r="D634" s="655">
        <f t="shared" si="291"/>
        <v>0</v>
      </c>
      <c r="E634" s="655">
        <f t="shared" si="291"/>
        <v>0</v>
      </c>
    </row>
    <row r="635" spans="1:5" ht="12" outlineLevel="1" x14ac:dyDescent="0.25">
      <c r="A635" s="85" t="s">
        <v>2615</v>
      </c>
      <c r="B635" s="654" t="s">
        <v>2651</v>
      </c>
      <c r="C635" s="655">
        <f t="shared" si="291"/>
        <v>0</v>
      </c>
      <c r="D635" s="655">
        <f t="shared" si="291"/>
        <v>0</v>
      </c>
      <c r="E635" s="655">
        <f t="shared" si="291"/>
        <v>0</v>
      </c>
    </row>
    <row r="636" spans="1:5" ht="12" outlineLevel="1" x14ac:dyDescent="0.25">
      <c r="A636" s="85" t="s">
        <v>2669</v>
      </c>
      <c r="B636" s="654" t="s">
        <v>2687</v>
      </c>
      <c r="C636" s="655">
        <f t="shared" si="291"/>
        <v>0</v>
      </c>
      <c r="D636" s="655">
        <f t="shared" si="291"/>
        <v>0</v>
      </c>
      <c r="E636" s="655">
        <f t="shared" si="291"/>
        <v>0</v>
      </c>
    </row>
    <row r="637" spans="1:5" ht="11.4" outlineLevel="1" x14ac:dyDescent="0.25">
      <c r="A637" s="85" t="s">
        <v>2704</v>
      </c>
      <c r="B637" s="654" t="s">
        <v>2709</v>
      </c>
      <c r="C637" s="655">
        <f t="shared" si="291"/>
        <v>0</v>
      </c>
      <c r="D637" s="655">
        <f t="shared" si="291"/>
        <v>0</v>
      </c>
      <c r="E637" s="655">
        <f t="shared" si="291"/>
        <v>0</v>
      </c>
    </row>
    <row r="638" spans="1:5" ht="12" outlineLevel="1" x14ac:dyDescent="0.25">
      <c r="A638" s="85" t="s">
        <v>2758</v>
      </c>
      <c r="B638" s="654" t="s">
        <v>2776</v>
      </c>
      <c r="C638" s="655">
        <f t="shared" si="291"/>
        <v>0</v>
      </c>
      <c r="D638" s="655">
        <f t="shared" si="291"/>
        <v>0</v>
      </c>
      <c r="E638" s="655">
        <f t="shared" si="291"/>
        <v>0</v>
      </c>
    </row>
    <row r="639" spans="1:5" ht="11.4" outlineLevel="1" x14ac:dyDescent="0.25">
      <c r="A639" s="85" t="s">
        <v>2831</v>
      </c>
      <c r="B639" s="654" t="s">
        <v>2849</v>
      </c>
      <c r="C639" s="655">
        <f t="shared" si="291"/>
        <v>0</v>
      </c>
      <c r="D639" s="655">
        <f t="shared" si="291"/>
        <v>0</v>
      </c>
      <c r="E639" s="655">
        <f t="shared" si="291"/>
        <v>0</v>
      </c>
    </row>
    <row r="640" spans="1:5" ht="11.4" outlineLevel="1" x14ac:dyDescent="0.25">
      <c r="A640" s="85" t="s">
        <v>2886</v>
      </c>
      <c r="B640" s="654" t="s">
        <v>2922</v>
      </c>
      <c r="C640" s="655">
        <f t="shared" si="291"/>
        <v>0</v>
      </c>
      <c r="D640" s="655">
        <f t="shared" si="291"/>
        <v>0</v>
      </c>
      <c r="E640" s="655">
        <f t="shared" si="291"/>
        <v>0</v>
      </c>
    </row>
    <row r="641" spans="1:5" ht="11.4" outlineLevel="1" x14ac:dyDescent="0.25">
      <c r="A641" s="85" t="s">
        <v>2941</v>
      </c>
      <c r="B641" s="654" t="s">
        <v>2953</v>
      </c>
      <c r="C641" s="655">
        <f t="shared" si="291"/>
        <v>0</v>
      </c>
      <c r="D641" s="655">
        <f t="shared" si="291"/>
        <v>0</v>
      </c>
      <c r="E641" s="655">
        <f t="shared" si="291"/>
        <v>0</v>
      </c>
    </row>
    <row r="642" spans="1:5" ht="11.4" outlineLevel="1" x14ac:dyDescent="0.25">
      <c r="A642" s="85" t="s">
        <v>6805</v>
      </c>
      <c r="B642" s="445" t="s">
        <v>2985</v>
      </c>
      <c r="C642" s="407">
        <f t="shared" si="291"/>
        <v>0</v>
      </c>
      <c r="D642" s="407">
        <f t="shared" si="291"/>
        <v>0</v>
      </c>
      <c r="E642" s="407">
        <f t="shared" si="291"/>
        <v>0</v>
      </c>
    </row>
    <row r="643" spans="1:5" ht="11.4" outlineLevel="1" x14ac:dyDescent="0.25">
      <c r="A643" s="85" t="s">
        <v>3047</v>
      </c>
      <c r="B643" s="56" t="s">
        <v>3048</v>
      </c>
      <c r="C643" s="81">
        <f t="shared" ref="C643" si="292">SUM(C631:C642)</f>
        <v>0</v>
      </c>
      <c r="D643" s="81">
        <f t="shared" ref="D643:E643" si="293">SUM(D631:D642)</f>
        <v>0</v>
      </c>
      <c r="E643" s="81">
        <f t="shared" si="293"/>
        <v>0</v>
      </c>
    </row>
    <row r="644" spans="1:5" outlineLevel="1" x14ac:dyDescent="0.2"/>
    <row r="645" spans="1:5" ht="11.4" outlineLevel="1" x14ac:dyDescent="0.25">
      <c r="A645" s="85" t="s">
        <v>2440</v>
      </c>
      <c r="B645" s="449" t="s">
        <v>2458</v>
      </c>
      <c r="C645" s="206">
        <f t="shared" ref="C645:E654" si="294">INDEX($A$3:$E$541,MATCH($A645,$A$3:$A$541,0),MATCH(C$542,$A$3:$E$3,0))</f>
        <v>0</v>
      </c>
      <c r="D645" s="206">
        <f t="shared" si="294"/>
        <v>0</v>
      </c>
      <c r="E645" s="206">
        <f t="shared" si="294"/>
        <v>0</v>
      </c>
    </row>
    <row r="646" spans="1:5" ht="12" outlineLevel="1" x14ac:dyDescent="0.25">
      <c r="A646" s="85" t="s">
        <v>2527</v>
      </c>
      <c r="B646" s="654" t="s">
        <v>2545</v>
      </c>
      <c r="C646" s="655">
        <f t="shared" si="294"/>
        <v>0</v>
      </c>
      <c r="D646" s="655">
        <f t="shared" si="294"/>
        <v>0</v>
      </c>
      <c r="E646" s="655">
        <f t="shared" si="294"/>
        <v>0</v>
      </c>
    </row>
    <row r="647" spans="1:5" ht="12" outlineLevel="1" x14ac:dyDescent="0.25">
      <c r="A647" s="85" t="s">
        <v>2563</v>
      </c>
      <c r="B647" s="654" t="s">
        <v>2581</v>
      </c>
      <c r="C647" s="655">
        <f t="shared" si="294"/>
        <v>0</v>
      </c>
      <c r="D647" s="655">
        <f t="shared" si="294"/>
        <v>0</v>
      </c>
      <c r="E647" s="655">
        <f t="shared" si="294"/>
        <v>0</v>
      </c>
    </row>
    <row r="648" spans="1:5" ht="12" outlineLevel="1" x14ac:dyDescent="0.25">
      <c r="A648" s="85" t="s">
        <v>2618</v>
      </c>
      <c r="B648" s="654" t="s">
        <v>2654</v>
      </c>
      <c r="C648" s="655">
        <f t="shared" si="294"/>
        <v>0</v>
      </c>
      <c r="D648" s="655">
        <f t="shared" si="294"/>
        <v>0</v>
      </c>
      <c r="E648" s="655">
        <f t="shared" si="294"/>
        <v>0</v>
      </c>
    </row>
    <row r="649" spans="1:5" ht="12" outlineLevel="1" x14ac:dyDescent="0.25">
      <c r="A649" s="85" t="s">
        <v>2672</v>
      </c>
      <c r="B649" s="654" t="s">
        <v>2690</v>
      </c>
      <c r="C649" s="656">
        <f t="shared" si="294"/>
        <v>0</v>
      </c>
      <c r="D649" s="656">
        <f t="shared" si="294"/>
        <v>0</v>
      </c>
      <c r="E649" s="656">
        <f t="shared" si="294"/>
        <v>0</v>
      </c>
    </row>
    <row r="650" spans="1:5" ht="12" outlineLevel="1" x14ac:dyDescent="0.25">
      <c r="A650" s="85" t="s">
        <v>2761</v>
      </c>
      <c r="B650" s="654" t="s">
        <v>2779</v>
      </c>
      <c r="C650" s="656">
        <f t="shared" si="294"/>
        <v>0</v>
      </c>
      <c r="D650" s="656">
        <f t="shared" si="294"/>
        <v>0</v>
      </c>
      <c r="E650" s="656">
        <f t="shared" si="294"/>
        <v>0</v>
      </c>
    </row>
    <row r="651" spans="1:5" ht="11.4" outlineLevel="1" x14ac:dyDescent="0.25">
      <c r="A651" s="85" t="s">
        <v>2834</v>
      </c>
      <c r="B651" s="654" t="s">
        <v>2852</v>
      </c>
      <c r="C651" s="656">
        <f t="shared" si="294"/>
        <v>0</v>
      </c>
      <c r="D651" s="656">
        <f t="shared" si="294"/>
        <v>0</v>
      </c>
      <c r="E651" s="656">
        <f t="shared" si="294"/>
        <v>0</v>
      </c>
    </row>
    <row r="652" spans="1:5" ht="11.4" outlineLevel="1" x14ac:dyDescent="0.25">
      <c r="A652" s="85" t="s">
        <v>2889</v>
      </c>
      <c r="B652" s="654" t="s">
        <v>2925</v>
      </c>
      <c r="C652" s="656">
        <f t="shared" si="294"/>
        <v>0</v>
      </c>
      <c r="D652" s="656">
        <f t="shared" si="294"/>
        <v>0</v>
      </c>
      <c r="E652" s="656">
        <f t="shared" si="294"/>
        <v>0</v>
      </c>
    </row>
    <row r="653" spans="1:5" ht="11.4" outlineLevel="1" x14ac:dyDescent="0.25">
      <c r="A653" s="85" t="s">
        <v>6807</v>
      </c>
      <c r="B653" s="483" t="s">
        <v>2988</v>
      </c>
      <c r="C653" s="408">
        <f t="shared" si="294"/>
        <v>0</v>
      </c>
      <c r="D653" s="408">
        <f t="shared" si="294"/>
        <v>0</v>
      </c>
      <c r="E653" s="408">
        <f t="shared" si="294"/>
        <v>0</v>
      </c>
    </row>
    <row r="654" spans="1:5" ht="12" outlineLevel="1" x14ac:dyDescent="0.25">
      <c r="A654" s="85" t="s">
        <v>3019</v>
      </c>
      <c r="B654" s="650" t="s">
        <v>3025</v>
      </c>
      <c r="C654" s="651">
        <f t="shared" si="294"/>
        <v>0</v>
      </c>
      <c r="D654" s="651">
        <f t="shared" si="294"/>
        <v>0</v>
      </c>
      <c r="E654" s="651">
        <f t="shared" si="294"/>
        <v>0</v>
      </c>
    </row>
    <row r="655" spans="1:5" ht="11.4" outlineLevel="1" x14ac:dyDescent="0.25">
      <c r="A655" s="85" t="s">
        <v>3049</v>
      </c>
      <c r="B655" s="56" t="s">
        <v>3050</v>
      </c>
      <c r="C655" s="81">
        <f t="shared" ref="C655" si="295">SUM(C645:C654)</f>
        <v>0</v>
      </c>
      <c r="D655" s="81">
        <f t="shared" ref="D655:E655" si="296">SUM(D645:D654)</f>
        <v>0</v>
      </c>
      <c r="E655" s="81">
        <f t="shared" si="296"/>
        <v>0</v>
      </c>
    </row>
    <row r="656" spans="1:5" outlineLevel="1" x14ac:dyDescent="0.2"/>
    <row r="657" spans="1:5" ht="11.4" outlineLevel="1" x14ac:dyDescent="0.25">
      <c r="A657" s="85" t="s">
        <v>3051</v>
      </c>
      <c r="B657" s="56" t="s">
        <v>3052</v>
      </c>
      <c r="C657" s="81">
        <f t="shared" ref="C657" si="297">C643+C655</f>
        <v>0</v>
      </c>
      <c r="D657" s="81">
        <f t="shared" ref="D657:E657" si="298">D643+D655</f>
        <v>0</v>
      </c>
      <c r="E657" s="81">
        <f t="shared" si="298"/>
        <v>0</v>
      </c>
    </row>
    <row r="658" spans="1:5" outlineLevel="1" x14ac:dyDescent="0.2"/>
    <row r="659" spans="1:5" outlineLevel="1" x14ac:dyDescent="0.2">
      <c r="B659" s="79" t="s">
        <v>5965</v>
      </c>
    </row>
    <row r="660" spans="1:5" ht="11.4" outlineLevel="1" x14ac:dyDescent="0.25">
      <c r="A660" s="85" t="s">
        <v>6833</v>
      </c>
      <c r="B660" s="648" t="s">
        <v>6904</v>
      </c>
      <c r="C660" s="649">
        <f>_xlfn.IFNA(INDEX($A$3:$E$541,MATCH($A660,$A$3:$A$541,0),MATCH(C$542,$A$3:$E$3,0)),0)</f>
        <v>0</v>
      </c>
      <c r="D660" s="649">
        <f>_xlfn.IFNA(INDEX($A$3:$E$541,MATCH($A660,$A$3:$A$541,0),MATCH(D$542,$A$3:$E$3,0)),0)</f>
        <v>0</v>
      </c>
      <c r="E660" s="649">
        <f>_xlfn.IFNA(INDEX($A$3:$E$541,MATCH($A660,$A$3:$A$541,0),MATCH(E$542,$A$3:$E$3,0)),0)</f>
        <v>0</v>
      </c>
    </row>
    <row r="661" spans="1:5" ht="11.4" outlineLevel="1" x14ac:dyDescent="0.25">
      <c r="A661" s="85" t="s">
        <v>6834</v>
      </c>
      <c r="B661" s="654" t="s">
        <v>6905</v>
      </c>
      <c r="C661" s="655">
        <f t="shared" ref="C661:E671" si="299">_xlfn.IFNA(INDEX($A$3:$E$541,MATCH($A661,$A$3:$A$541,0),MATCH(C$542,$A$3:$E$3,0)),0)</f>
        <v>0</v>
      </c>
      <c r="D661" s="655">
        <f t="shared" si="299"/>
        <v>0</v>
      </c>
      <c r="E661" s="655">
        <f t="shared" si="299"/>
        <v>0</v>
      </c>
    </row>
    <row r="662" spans="1:5" ht="12" outlineLevel="1" x14ac:dyDescent="0.25">
      <c r="A662" s="85" t="s">
        <v>6854</v>
      </c>
      <c r="B662" s="654" t="s">
        <v>6906</v>
      </c>
      <c r="C662" s="655">
        <f t="shared" si="299"/>
        <v>0</v>
      </c>
      <c r="D662" s="655">
        <f t="shared" si="299"/>
        <v>0</v>
      </c>
      <c r="E662" s="655">
        <f t="shared" si="299"/>
        <v>0</v>
      </c>
    </row>
    <row r="663" spans="1:5" ht="12" outlineLevel="1" x14ac:dyDescent="0.25">
      <c r="A663" s="85" t="s">
        <v>6835</v>
      </c>
      <c r="B663" s="654" t="s">
        <v>6907</v>
      </c>
      <c r="C663" s="655">
        <f t="shared" si="299"/>
        <v>0</v>
      </c>
      <c r="D663" s="655">
        <f t="shared" si="299"/>
        <v>0</v>
      </c>
      <c r="E663" s="655">
        <f t="shared" si="299"/>
        <v>0</v>
      </c>
    </row>
    <row r="664" spans="1:5" ht="12" outlineLevel="1" x14ac:dyDescent="0.25">
      <c r="A664" s="85" t="s">
        <v>6836</v>
      </c>
      <c r="B664" s="654" t="s">
        <v>6908</v>
      </c>
      <c r="C664" s="655">
        <f t="shared" si="299"/>
        <v>0</v>
      </c>
      <c r="D664" s="655">
        <f t="shared" si="299"/>
        <v>0</v>
      </c>
      <c r="E664" s="655">
        <f t="shared" si="299"/>
        <v>0</v>
      </c>
    </row>
    <row r="665" spans="1:5" ht="12" outlineLevel="1" x14ac:dyDescent="0.25">
      <c r="A665" s="85" t="s">
        <v>6837</v>
      </c>
      <c r="B665" s="654" t="s">
        <v>6909</v>
      </c>
      <c r="C665" s="655">
        <f t="shared" si="299"/>
        <v>0</v>
      </c>
      <c r="D665" s="655">
        <f t="shared" si="299"/>
        <v>0</v>
      </c>
      <c r="E665" s="655">
        <f t="shared" si="299"/>
        <v>0</v>
      </c>
    </row>
    <row r="666" spans="1:5" ht="11.4" outlineLevel="1" x14ac:dyDescent="0.25">
      <c r="A666" s="85" t="s">
        <v>6838</v>
      </c>
      <c r="B666" s="654" t="s">
        <v>6910</v>
      </c>
      <c r="C666" s="655">
        <f t="shared" si="299"/>
        <v>0</v>
      </c>
      <c r="D666" s="655">
        <f t="shared" si="299"/>
        <v>0</v>
      </c>
      <c r="E666" s="655">
        <f t="shared" si="299"/>
        <v>0</v>
      </c>
    </row>
    <row r="667" spans="1:5" ht="12" outlineLevel="1" x14ac:dyDescent="0.25">
      <c r="A667" s="85" t="s">
        <v>6839</v>
      </c>
      <c r="B667" s="654" t="s">
        <v>6911</v>
      </c>
      <c r="C667" s="655">
        <f t="shared" si="299"/>
        <v>0</v>
      </c>
      <c r="D667" s="655">
        <f t="shared" si="299"/>
        <v>0</v>
      </c>
      <c r="E667" s="655">
        <f t="shared" si="299"/>
        <v>0</v>
      </c>
    </row>
    <row r="668" spans="1:5" ht="11.4" outlineLevel="1" x14ac:dyDescent="0.25">
      <c r="A668" s="85" t="s">
        <v>6840</v>
      </c>
      <c r="B668" s="654" t="s">
        <v>6912</v>
      </c>
      <c r="C668" s="655">
        <f t="shared" si="299"/>
        <v>0</v>
      </c>
      <c r="D668" s="655">
        <f t="shared" si="299"/>
        <v>0</v>
      </c>
      <c r="E668" s="655">
        <f t="shared" si="299"/>
        <v>0</v>
      </c>
    </row>
    <row r="669" spans="1:5" ht="11.4" outlineLevel="1" x14ac:dyDescent="0.25">
      <c r="A669" s="85" t="s">
        <v>6841</v>
      </c>
      <c r="B669" s="654" t="s">
        <v>6913</v>
      </c>
      <c r="C669" s="655">
        <f t="shared" si="299"/>
        <v>0</v>
      </c>
      <c r="D669" s="655">
        <f t="shared" si="299"/>
        <v>0</v>
      </c>
      <c r="E669" s="655">
        <f t="shared" si="299"/>
        <v>0</v>
      </c>
    </row>
    <row r="670" spans="1:5" ht="11.4" outlineLevel="1" x14ac:dyDescent="0.25">
      <c r="A670" s="85" t="s">
        <v>6842</v>
      </c>
      <c r="B670" s="654" t="s">
        <v>6914</v>
      </c>
      <c r="C670" s="655">
        <f t="shared" si="299"/>
        <v>0</v>
      </c>
      <c r="D670" s="655">
        <f t="shared" si="299"/>
        <v>0</v>
      </c>
      <c r="E670" s="655">
        <f t="shared" si="299"/>
        <v>0</v>
      </c>
    </row>
    <row r="671" spans="1:5" ht="11.4" outlineLevel="1" x14ac:dyDescent="0.25">
      <c r="A671" s="85" t="s">
        <v>6809</v>
      </c>
      <c r="B671" s="445" t="s">
        <v>6915</v>
      </c>
      <c r="C671" s="407">
        <f t="shared" si="299"/>
        <v>0</v>
      </c>
      <c r="D671" s="407">
        <f t="shared" si="299"/>
        <v>0</v>
      </c>
      <c r="E671" s="407">
        <f t="shared" si="299"/>
        <v>0</v>
      </c>
    </row>
    <row r="672" spans="1:5" ht="11.4" outlineLevel="1" x14ac:dyDescent="0.25">
      <c r="A672" s="85" t="s">
        <v>6843</v>
      </c>
      <c r="B672" s="56" t="s">
        <v>6916</v>
      </c>
      <c r="C672" s="81">
        <f t="shared" ref="C672" si="300">SUM(C660:C671)</f>
        <v>0</v>
      </c>
      <c r="D672" s="81">
        <f t="shared" ref="D672:E672" si="301">SUM(D660:D671)</f>
        <v>0</v>
      </c>
      <c r="E672" s="81">
        <f t="shared" si="301"/>
        <v>0</v>
      </c>
    </row>
    <row r="673" spans="1:5" outlineLevel="1" x14ac:dyDescent="0.2"/>
    <row r="674" spans="1:5" ht="11.4" outlineLevel="1" x14ac:dyDescent="0.25">
      <c r="A674" s="85" t="s">
        <v>6844</v>
      </c>
      <c r="B674" s="648" t="s">
        <v>6917</v>
      </c>
      <c r="C674" s="649">
        <f t="shared" ref="C674:E683" si="302">_xlfn.IFNA(INDEX($A$3:$E$541,MATCH($A674,$A$3:$A$541,0),MATCH(C$542,$A$3:$E$3,0)),0)</f>
        <v>0</v>
      </c>
      <c r="D674" s="649">
        <f t="shared" si="302"/>
        <v>0</v>
      </c>
      <c r="E674" s="649">
        <f t="shared" si="302"/>
        <v>0</v>
      </c>
    </row>
    <row r="675" spans="1:5" ht="12" outlineLevel="1" x14ac:dyDescent="0.25">
      <c r="A675" s="85" t="s">
        <v>6855</v>
      </c>
      <c r="B675" s="654" t="s">
        <v>6918</v>
      </c>
      <c r="C675" s="655">
        <f t="shared" si="302"/>
        <v>0</v>
      </c>
      <c r="D675" s="655">
        <f t="shared" si="302"/>
        <v>0</v>
      </c>
      <c r="E675" s="655">
        <f t="shared" si="302"/>
        <v>0</v>
      </c>
    </row>
    <row r="676" spans="1:5" ht="12" outlineLevel="1" x14ac:dyDescent="0.25">
      <c r="A676" s="85" t="s">
        <v>6845</v>
      </c>
      <c r="B676" s="654" t="s">
        <v>6919</v>
      </c>
      <c r="C676" s="655">
        <f t="shared" si="302"/>
        <v>0</v>
      </c>
      <c r="D676" s="655">
        <f t="shared" si="302"/>
        <v>0</v>
      </c>
      <c r="E676" s="655">
        <f t="shared" si="302"/>
        <v>0</v>
      </c>
    </row>
    <row r="677" spans="1:5" ht="12" outlineLevel="1" x14ac:dyDescent="0.25">
      <c r="A677" s="85" t="s">
        <v>6846</v>
      </c>
      <c r="B677" s="654" t="s">
        <v>6920</v>
      </c>
      <c r="C677" s="655">
        <f t="shared" si="302"/>
        <v>0</v>
      </c>
      <c r="D677" s="655">
        <f t="shared" si="302"/>
        <v>0</v>
      </c>
      <c r="E677" s="655">
        <f t="shared" si="302"/>
        <v>0</v>
      </c>
    </row>
    <row r="678" spans="1:5" ht="12" outlineLevel="1" x14ac:dyDescent="0.25">
      <c r="A678" s="85" t="s">
        <v>6847</v>
      </c>
      <c r="B678" s="654" t="s">
        <v>6921</v>
      </c>
      <c r="C678" s="656">
        <f t="shared" si="302"/>
        <v>0</v>
      </c>
      <c r="D678" s="656">
        <f t="shared" si="302"/>
        <v>0</v>
      </c>
      <c r="E678" s="656">
        <f t="shared" si="302"/>
        <v>0</v>
      </c>
    </row>
    <row r="679" spans="1:5" ht="12" outlineLevel="1" x14ac:dyDescent="0.25">
      <c r="A679" s="85" t="s">
        <v>6848</v>
      </c>
      <c r="B679" s="654" t="s">
        <v>6922</v>
      </c>
      <c r="C679" s="656">
        <f t="shared" si="302"/>
        <v>0</v>
      </c>
      <c r="D679" s="656">
        <f t="shared" si="302"/>
        <v>0</v>
      </c>
      <c r="E679" s="656">
        <f t="shared" si="302"/>
        <v>0</v>
      </c>
    </row>
    <row r="680" spans="1:5" ht="11.4" outlineLevel="1" x14ac:dyDescent="0.25">
      <c r="A680" s="85" t="s">
        <v>6849</v>
      </c>
      <c r="B680" s="654" t="s">
        <v>6923</v>
      </c>
      <c r="C680" s="656">
        <f t="shared" si="302"/>
        <v>0</v>
      </c>
      <c r="D680" s="656">
        <f t="shared" si="302"/>
        <v>0</v>
      </c>
      <c r="E680" s="656">
        <f t="shared" si="302"/>
        <v>0</v>
      </c>
    </row>
    <row r="681" spans="1:5" ht="11.4" outlineLevel="1" x14ac:dyDescent="0.25">
      <c r="A681" s="85" t="s">
        <v>6850</v>
      </c>
      <c r="B681" s="654" t="s">
        <v>6924</v>
      </c>
      <c r="C681" s="656">
        <f t="shared" si="302"/>
        <v>0</v>
      </c>
      <c r="D681" s="656">
        <f t="shared" si="302"/>
        <v>0</v>
      </c>
      <c r="E681" s="656">
        <f t="shared" si="302"/>
        <v>0</v>
      </c>
    </row>
    <row r="682" spans="1:5" ht="11.4" outlineLevel="1" x14ac:dyDescent="0.25">
      <c r="A682" s="85" t="s">
        <v>6811</v>
      </c>
      <c r="B682" s="483" t="s">
        <v>6925</v>
      </c>
      <c r="C682" s="408">
        <f t="shared" si="302"/>
        <v>0</v>
      </c>
      <c r="D682" s="408">
        <f t="shared" si="302"/>
        <v>0</v>
      </c>
      <c r="E682" s="408">
        <f t="shared" si="302"/>
        <v>0</v>
      </c>
    </row>
    <row r="683" spans="1:5" ht="12" outlineLevel="1" x14ac:dyDescent="0.25">
      <c r="A683" s="85" t="s">
        <v>6851</v>
      </c>
      <c r="B683" s="650" t="s">
        <v>6926</v>
      </c>
      <c r="C683" s="651">
        <f t="shared" si="302"/>
        <v>0</v>
      </c>
      <c r="D683" s="651">
        <f t="shared" si="302"/>
        <v>0</v>
      </c>
      <c r="E683" s="651">
        <f t="shared" si="302"/>
        <v>0</v>
      </c>
    </row>
    <row r="684" spans="1:5" ht="11.4" outlineLevel="1" x14ac:dyDescent="0.25">
      <c r="A684" s="85" t="s">
        <v>6852</v>
      </c>
      <c r="B684" s="56" t="s">
        <v>6927</v>
      </c>
      <c r="C684" s="81">
        <f t="shared" ref="C684" si="303">SUM(C674:C683)</f>
        <v>0</v>
      </c>
      <c r="D684" s="81">
        <f t="shared" ref="D684:E684" si="304">SUM(D674:D683)</f>
        <v>0</v>
      </c>
      <c r="E684" s="81">
        <f t="shared" si="304"/>
        <v>0</v>
      </c>
    </row>
    <row r="685" spans="1:5" outlineLevel="1" x14ac:dyDescent="0.2"/>
    <row r="686" spans="1:5" ht="11.4" outlineLevel="1" x14ac:dyDescent="0.25">
      <c r="A686" s="85" t="s">
        <v>6853</v>
      </c>
      <c r="B686" s="56" t="s">
        <v>6928</v>
      </c>
      <c r="C686" s="81">
        <f t="shared" ref="C686" si="305">C672+C684</f>
        <v>0</v>
      </c>
      <c r="D686" s="81">
        <f t="shared" ref="D686:E686" si="306">D672+D684</f>
        <v>0</v>
      </c>
      <c r="E686" s="81">
        <f t="shared" si="306"/>
        <v>0</v>
      </c>
    </row>
    <row r="687" spans="1:5" x14ac:dyDescent="0.2">
      <c r="B687" s="82"/>
      <c r="C687" s="83"/>
      <c r="D687" s="83"/>
      <c r="E687" s="83"/>
    </row>
    <row r="688" spans="1:5" s="345" customFormat="1" ht="20.399999999999999" x14ac:dyDescent="0.3">
      <c r="A688" s="342"/>
      <c r="B688" s="455" t="s">
        <v>546</v>
      </c>
      <c r="C688" s="344" t="str">
        <f>C$3</f>
        <v>BUSTO ARSIZIO</v>
      </c>
      <c r="D688" s="344" t="str">
        <f>D$3</f>
        <v>FAGNANO OLONA</v>
      </c>
      <c r="E688" s="344" t="str">
        <f>E$3</f>
        <v>VENEGONO SUPERIORE</v>
      </c>
    </row>
    <row r="689" spans="1:5" hidden="1" outlineLevel="1" x14ac:dyDescent="0.2">
      <c r="B689" s="79">
        <v>2026</v>
      </c>
    </row>
    <row r="690" spans="1:5" ht="11.4" hidden="1" outlineLevel="1" x14ac:dyDescent="0.25">
      <c r="A690" s="85" t="s">
        <v>2393</v>
      </c>
      <c r="B690" s="449" t="s">
        <v>2411</v>
      </c>
      <c r="C690" s="206">
        <f t="shared" ref="C690:E701" si="307">INDEX($A$3:$E$541,MATCH($A690,$A$3:$A$541,0),MATCH(C$542,$A$3:$E$3,0))</f>
        <v>0</v>
      </c>
      <c r="D690" s="206">
        <f t="shared" si="307"/>
        <v>0</v>
      </c>
      <c r="E690" s="206">
        <f t="shared" si="307"/>
        <v>0</v>
      </c>
    </row>
    <row r="691" spans="1:5" ht="11.4" hidden="1" outlineLevel="1" x14ac:dyDescent="0.25">
      <c r="A691" s="85" t="s">
        <v>2467</v>
      </c>
      <c r="B691" s="654" t="s">
        <v>2479</v>
      </c>
      <c r="C691" s="655">
        <f t="shared" si="307"/>
        <v>0</v>
      </c>
      <c r="D691" s="655">
        <f t="shared" si="307"/>
        <v>0</v>
      </c>
      <c r="E691" s="655">
        <f t="shared" si="307"/>
        <v>0</v>
      </c>
    </row>
    <row r="692" spans="1:5" ht="12" hidden="1" outlineLevel="1" x14ac:dyDescent="0.25">
      <c r="A692" s="85" t="s">
        <v>1830</v>
      </c>
      <c r="B692" s="483" t="s">
        <v>1878</v>
      </c>
      <c r="C692" s="207">
        <f t="shared" si="307"/>
        <v>0</v>
      </c>
      <c r="D692" s="207">
        <f t="shared" si="307"/>
        <v>0</v>
      </c>
      <c r="E692" s="207">
        <f t="shared" si="307"/>
        <v>0</v>
      </c>
    </row>
    <row r="693" spans="1:5" ht="12" hidden="1" outlineLevel="1" x14ac:dyDescent="0.25">
      <c r="A693" s="85" t="s">
        <v>1730</v>
      </c>
      <c r="B693" s="483" t="s">
        <v>1748</v>
      </c>
      <c r="C693" s="207">
        <f t="shared" si="307"/>
        <v>0</v>
      </c>
      <c r="D693" s="207">
        <f t="shared" si="307"/>
        <v>0</v>
      </c>
      <c r="E693" s="207">
        <f t="shared" si="307"/>
        <v>0</v>
      </c>
    </row>
    <row r="694" spans="1:5" ht="12" hidden="1" outlineLevel="1" x14ac:dyDescent="0.25">
      <c r="A694" s="85" t="s">
        <v>2589</v>
      </c>
      <c r="B694" s="654" t="s">
        <v>2625</v>
      </c>
      <c r="C694" s="655">
        <f t="shared" si="307"/>
        <v>0</v>
      </c>
      <c r="D694" s="655">
        <f t="shared" si="307"/>
        <v>0</v>
      </c>
      <c r="E694" s="655">
        <f t="shared" si="307"/>
        <v>0</v>
      </c>
    </row>
    <row r="695" spans="1:5" ht="12" hidden="1" outlineLevel="1" x14ac:dyDescent="0.25">
      <c r="A695" s="85" t="s">
        <v>1967</v>
      </c>
      <c r="B695" s="483" t="s">
        <v>1985</v>
      </c>
      <c r="C695" s="207">
        <f t="shared" si="307"/>
        <v>0</v>
      </c>
      <c r="D695" s="207">
        <f t="shared" si="307"/>
        <v>0</v>
      </c>
      <c r="E695" s="207">
        <f t="shared" si="307"/>
        <v>0</v>
      </c>
    </row>
    <row r="696" spans="1:5" ht="11.4" hidden="1" outlineLevel="1" x14ac:dyDescent="0.25">
      <c r="A696" s="85" t="s">
        <v>1648</v>
      </c>
      <c r="B696" s="483" t="s">
        <v>1676</v>
      </c>
      <c r="C696" s="207">
        <f t="shared" si="307"/>
        <v>0</v>
      </c>
      <c r="D696" s="207">
        <f t="shared" si="307"/>
        <v>0</v>
      </c>
      <c r="E696" s="207">
        <f t="shared" si="307"/>
        <v>0</v>
      </c>
    </row>
    <row r="697" spans="1:5" ht="12" hidden="1" outlineLevel="1" x14ac:dyDescent="0.25">
      <c r="A697" s="85" t="s">
        <v>2714</v>
      </c>
      <c r="B697" s="483" t="s">
        <v>2732</v>
      </c>
      <c r="C697" s="207">
        <f t="shared" si="307"/>
        <v>0</v>
      </c>
      <c r="D697" s="207">
        <f t="shared" si="307"/>
        <v>0</v>
      </c>
      <c r="E697" s="207">
        <f t="shared" si="307"/>
        <v>0</v>
      </c>
    </row>
    <row r="698" spans="1:5" ht="11.4" hidden="1" outlineLevel="1" x14ac:dyDescent="0.25">
      <c r="A698" s="85" t="s">
        <v>2787</v>
      </c>
      <c r="B698" s="483" t="s">
        <v>2805</v>
      </c>
      <c r="C698" s="207">
        <f t="shared" si="307"/>
        <v>0</v>
      </c>
      <c r="D698" s="207">
        <f t="shared" si="307"/>
        <v>0</v>
      </c>
      <c r="E698" s="207">
        <f t="shared" si="307"/>
        <v>0</v>
      </c>
    </row>
    <row r="699" spans="1:5" ht="11.4" hidden="1" outlineLevel="1" x14ac:dyDescent="0.25">
      <c r="A699" s="85" t="s">
        <v>2860</v>
      </c>
      <c r="B699" s="654" t="s">
        <v>2896</v>
      </c>
      <c r="C699" s="655">
        <f t="shared" si="307"/>
        <v>0</v>
      </c>
      <c r="D699" s="655">
        <f t="shared" si="307"/>
        <v>0</v>
      </c>
      <c r="E699" s="655">
        <f t="shared" si="307"/>
        <v>0</v>
      </c>
    </row>
    <row r="700" spans="1:5" ht="11.4" hidden="1" outlineLevel="1" x14ac:dyDescent="0.25">
      <c r="A700" s="85" t="s">
        <v>2933</v>
      </c>
      <c r="B700" s="654" t="s">
        <v>2945</v>
      </c>
      <c r="C700" s="655">
        <f t="shared" si="307"/>
        <v>0</v>
      </c>
      <c r="D700" s="655">
        <f t="shared" si="307"/>
        <v>0</v>
      </c>
      <c r="E700" s="655">
        <f t="shared" si="307"/>
        <v>0</v>
      </c>
    </row>
    <row r="701" spans="1:5" ht="11.4" hidden="1" outlineLevel="1" x14ac:dyDescent="0.25">
      <c r="A701" s="85" t="s">
        <v>6794</v>
      </c>
      <c r="B701" s="445" t="s">
        <v>2959</v>
      </c>
      <c r="C701" s="407">
        <f t="shared" si="307"/>
        <v>0</v>
      </c>
      <c r="D701" s="407">
        <f t="shared" si="307"/>
        <v>0</v>
      </c>
      <c r="E701" s="407">
        <f t="shared" si="307"/>
        <v>0</v>
      </c>
    </row>
    <row r="702" spans="1:5" ht="11.4" hidden="1" outlineLevel="1" x14ac:dyDescent="0.25">
      <c r="A702" s="85" t="s">
        <v>3028</v>
      </c>
      <c r="B702" s="56" t="s">
        <v>3064</v>
      </c>
      <c r="C702" s="81">
        <f t="shared" ref="C702" si="308">SUM(C690:C701)</f>
        <v>0</v>
      </c>
      <c r="D702" s="81">
        <f t="shared" ref="D702:E702" si="309">SUM(D690:D701)</f>
        <v>0</v>
      </c>
      <c r="E702" s="81">
        <f t="shared" si="309"/>
        <v>0</v>
      </c>
    </row>
    <row r="703" spans="1:5" hidden="1" outlineLevel="1" x14ac:dyDescent="0.2"/>
    <row r="704" spans="1:5" ht="11.4" hidden="1" outlineLevel="1" x14ac:dyDescent="0.25">
      <c r="A704" s="85" t="s">
        <v>2396</v>
      </c>
      <c r="B704" s="449" t="s">
        <v>2414</v>
      </c>
      <c r="C704" s="206">
        <f t="shared" ref="C704:E713" si="310">INDEX($A$3:$E$541,MATCH($A704,$A$3:$A$541,0),MATCH(C$542,$A$3:$E$3,0))</f>
        <v>0</v>
      </c>
      <c r="D704" s="206">
        <f t="shared" si="310"/>
        <v>0</v>
      </c>
      <c r="E704" s="206">
        <f t="shared" si="310"/>
        <v>0</v>
      </c>
    </row>
    <row r="705" spans="1:5" ht="12" hidden="1" outlineLevel="1" x14ac:dyDescent="0.25">
      <c r="A705" s="85" t="s">
        <v>1833</v>
      </c>
      <c r="B705" s="483" t="s">
        <v>1881</v>
      </c>
      <c r="C705" s="207">
        <f t="shared" si="310"/>
        <v>0</v>
      </c>
      <c r="D705" s="207">
        <f t="shared" si="310"/>
        <v>0</v>
      </c>
      <c r="E705" s="207">
        <f t="shared" si="310"/>
        <v>0</v>
      </c>
    </row>
    <row r="706" spans="1:5" ht="12" hidden="1" outlineLevel="1" x14ac:dyDescent="0.25">
      <c r="A706" s="85" t="s">
        <v>1733</v>
      </c>
      <c r="B706" s="483" t="s">
        <v>1751</v>
      </c>
      <c r="C706" s="207">
        <f t="shared" si="310"/>
        <v>0</v>
      </c>
      <c r="D706" s="207">
        <f t="shared" si="310"/>
        <v>0</v>
      </c>
      <c r="E706" s="207">
        <f t="shared" si="310"/>
        <v>0</v>
      </c>
    </row>
    <row r="707" spans="1:5" ht="12" hidden="1" outlineLevel="1" x14ac:dyDescent="0.25">
      <c r="A707" s="85" t="s">
        <v>2592</v>
      </c>
      <c r="B707" s="654" t="s">
        <v>2628</v>
      </c>
      <c r="C707" s="655">
        <f t="shared" si="310"/>
        <v>0</v>
      </c>
      <c r="D707" s="655">
        <f t="shared" si="310"/>
        <v>0</v>
      </c>
      <c r="E707" s="655">
        <f t="shared" si="310"/>
        <v>0</v>
      </c>
    </row>
    <row r="708" spans="1:5" ht="12" hidden="1" outlineLevel="1" x14ac:dyDescent="0.25">
      <c r="A708" s="85" t="s">
        <v>1970</v>
      </c>
      <c r="B708" s="483" t="s">
        <v>1988</v>
      </c>
      <c r="C708" s="408">
        <f t="shared" si="310"/>
        <v>0</v>
      </c>
      <c r="D708" s="408">
        <f t="shared" si="310"/>
        <v>0</v>
      </c>
      <c r="E708" s="408">
        <f t="shared" si="310"/>
        <v>0</v>
      </c>
    </row>
    <row r="709" spans="1:5" ht="12" hidden="1" outlineLevel="1" x14ac:dyDescent="0.25">
      <c r="A709" s="85" t="s">
        <v>2717</v>
      </c>
      <c r="B709" s="483" t="s">
        <v>2735</v>
      </c>
      <c r="C709" s="408">
        <f t="shared" si="310"/>
        <v>0</v>
      </c>
      <c r="D709" s="408">
        <f t="shared" si="310"/>
        <v>0</v>
      </c>
      <c r="E709" s="408">
        <f t="shared" si="310"/>
        <v>0</v>
      </c>
    </row>
    <row r="710" spans="1:5" ht="11.4" hidden="1" outlineLevel="1" x14ac:dyDescent="0.25">
      <c r="A710" s="85" t="s">
        <v>2790</v>
      </c>
      <c r="B710" s="483" t="s">
        <v>2808</v>
      </c>
      <c r="C710" s="408">
        <f t="shared" si="310"/>
        <v>0</v>
      </c>
      <c r="D710" s="408">
        <f t="shared" si="310"/>
        <v>0</v>
      </c>
      <c r="E710" s="408">
        <f t="shared" si="310"/>
        <v>0</v>
      </c>
    </row>
    <row r="711" spans="1:5" ht="11.4" hidden="1" outlineLevel="1" x14ac:dyDescent="0.25">
      <c r="A711" s="85" t="s">
        <v>2863</v>
      </c>
      <c r="B711" s="654" t="s">
        <v>2899</v>
      </c>
      <c r="C711" s="656">
        <f t="shared" si="310"/>
        <v>0</v>
      </c>
      <c r="D711" s="656">
        <f t="shared" si="310"/>
        <v>0</v>
      </c>
      <c r="E711" s="656">
        <f t="shared" si="310"/>
        <v>0</v>
      </c>
    </row>
    <row r="712" spans="1:5" ht="11.4" hidden="1" outlineLevel="1" x14ac:dyDescent="0.25">
      <c r="A712" s="85" t="s">
        <v>6796</v>
      </c>
      <c r="B712" s="483" t="s">
        <v>2962</v>
      </c>
      <c r="C712" s="408">
        <f t="shared" si="310"/>
        <v>0</v>
      </c>
      <c r="D712" s="408">
        <f t="shared" si="310"/>
        <v>0</v>
      </c>
      <c r="E712" s="408">
        <f t="shared" si="310"/>
        <v>0</v>
      </c>
    </row>
    <row r="713" spans="1:5" ht="12" hidden="1" outlineLevel="1" x14ac:dyDescent="0.25">
      <c r="A713" s="85" t="s">
        <v>2077</v>
      </c>
      <c r="B713" s="445" t="s">
        <v>3011</v>
      </c>
      <c r="C713" s="208">
        <f t="shared" si="310"/>
        <v>0</v>
      </c>
      <c r="D713" s="208">
        <f t="shared" si="310"/>
        <v>0</v>
      </c>
      <c r="E713" s="208">
        <f t="shared" si="310"/>
        <v>0</v>
      </c>
    </row>
    <row r="714" spans="1:5" ht="11.4" hidden="1" outlineLevel="1" x14ac:dyDescent="0.25">
      <c r="A714" s="85" t="s">
        <v>3053</v>
      </c>
      <c r="B714" s="56" t="s">
        <v>3065</v>
      </c>
      <c r="C714" s="81">
        <f t="shared" ref="C714" si="311">SUM(C704:C713)</f>
        <v>0</v>
      </c>
      <c r="D714" s="81">
        <f t="shared" ref="D714:E714" si="312">SUM(D704:D713)</f>
        <v>0</v>
      </c>
      <c r="E714" s="81">
        <f t="shared" si="312"/>
        <v>0</v>
      </c>
    </row>
    <row r="715" spans="1:5" hidden="1" outlineLevel="1" x14ac:dyDescent="0.2"/>
    <row r="716" spans="1:5" ht="11.4" hidden="1" outlineLevel="1" x14ac:dyDescent="0.25">
      <c r="A716" s="85" t="s">
        <v>3054</v>
      </c>
      <c r="B716" s="56" t="s">
        <v>3066</v>
      </c>
      <c r="C716" s="81">
        <f t="shared" ref="C716" si="313">C702+C714</f>
        <v>0</v>
      </c>
      <c r="D716" s="81">
        <f t="shared" ref="D716:E716" si="314">D702+D714</f>
        <v>0</v>
      </c>
      <c r="E716" s="81">
        <f t="shared" si="314"/>
        <v>0</v>
      </c>
    </row>
    <row r="717" spans="1:5" hidden="1" outlineLevel="1" x14ac:dyDescent="0.2"/>
    <row r="718" spans="1:5" hidden="1" outlineLevel="1" x14ac:dyDescent="0.2">
      <c r="B718" s="79">
        <v>2027</v>
      </c>
    </row>
    <row r="719" spans="1:5" ht="11.4" hidden="1" outlineLevel="1" x14ac:dyDescent="0.25">
      <c r="A719" s="85" t="s">
        <v>2402</v>
      </c>
      <c r="B719" s="449" t="s">
        <v>2420</v>
      </c>
      <c r="C719" s="206">
        <f t="shared" ref="C719:E730" si="315">INDEX($A$3:$E$541,MATCH($A719,$A$3:$A$541,0),MATCH(C$542,$A$3:$E$3,0))</f>
        <v>0</v>
      </c>
      <c r="D719" s="206">
        <f t="shared" si="315"/>
        <v>0</v>
      </c>
      <c r="E719" s="206">
        <f t="shared" si="315"/>
        <v>0</v>
      </c>
    </row>
    <row r="720" spans="1:5" ht="11.4" hidden="1" outlineLevel="1" x14ac:dyDescent="0.25">
      <c r="A720" s="85" t="s">
        <v>2470</v>
      </c>
      <c r="B720" s="654" t="s">
        <v>2482</v>
      </c>
      <c r="C720" s="655">
        <f t="shared" si="315"/>
        <v>0</v>
      </c>
      <c r="D720" s="655">
        <f t="shared" si="315"/>
        <v>0</v>
      </c>
      <c r="E720" s="655">
        <f t="shared" si="315"/>
        <v>0</v>
      </c>
    </row>
    <row r="721" spans="1:5" ht="12" hidden="1" outlineLevel="1" x14ac:dyDescent="0.25">
      <c r="A721" s="85" t="s">
        <v>1851</v>
      </c>
      <c r="B721" s="483" t="s">
        <v>1905</v>
      </c>
      <c r="C721" s="207">
        <f t="shared" si="315"/>
        <v>0</v>
      </c>
      <c r="D721" s="207">
        <f t="shared" si="315"/>
        <v>0</v>
      </c>
      <c r="E721" s="207">
        <f t="shared" si="315"/>
        <v>0</v>
      </c>
    </row>
    <row r="722" spans="1:5" ht="12" hidden="1" outlineLevel="1" x14ac:dyDescent="0.25">
      <c r="A722" s="85" t="s">
        <v>1777</v>
      </c>
      <c r="B722" s="483" t="s">
        <v>1804</v>
      </c>
      <c r="C722" s="207">
        <f t="shared" si="315"/>
        <v>0</v>
      </c>
      <c r="D722" s="207">
        <f t="shared" si="315"/>
        <v>0</v>
      </c>
      <c r="E722" s="207">
        <f t="shared" si="315"/>
        <v>0</v>
      </c>
    </row>
    <row r="723" spans="1:5" ht="12" hidden="1" outlineLevel="1" x14ac:dyDescent="0.25">
      <c r="A723" s="85" t="s">
        <v>2598</v>
      </c>
      <c r="B723" s="654" t="s">
        <v>2634</v>
      </c>
      <c r="C723" s="655">
        <f t="shared" si="315"/>
        <v>0</v>
      </c>
      <c r="D723" s="655">
        <f t="shared" si="315"/>
        <v>0</v>
      </c>
      <c r="E723" s="655">
        <f t="shared" si="315"/>
        <v>0</v>
      </c>
    </row>
    <row r="724" spans="1:5" ht="12" hidden="1" outlineLevel="1" x14ac:dyDescent="0.25">
      <c r="A724" s="85" t="s">
        <v>2006</v>
      </c>
      <c r="B724" s="483" t="s">
        <v>2037</v>
      </c>
      <c r="C724" s="207">
        <f t="shared" si="315"/>
        <v>0</v>
      </c>
      <c r="D724" s="207">
        <f t="shared" si="315"/>
        <v>0</v>
      </c>
      <c r="E724" s="207">
        <f t="shared" si="315"/>
        <v>0</v>
      </c>
    </row>
    <row r="725" spans="1:5" ht="11.4" hidden="1" outlineLevel="1" x14ac:dyDescent="0.25">
      <c r="A725" s="85" t="s">
        <v>1655</v>
      </c>
      <c r="B725" s="483" t="s">
        <v>1672</v>
      </c>
      <c r="C725" s="207">
        <f t="shared" si="315"/>
        <v>0</v>
      </c>
      <c r="D725" s="207">
        <f t="shared" si="315"/>
        <v>0</v>
      </c>
      <c r="E725" s="207">
        <f t="shared" si="315"/>
        <v>0</v>
      </c>
    </row>
    <row r="726" spans="1:5" ht="12" hidden="1" outlineLevel="1" x14ac:dyDescent="0.25">
      <c r="A726" s="85" t="s">
        <v>2723</v>
      </c>
      <c r="B726" s="483" t="s">
        <v>2741</v>
      </c>
      <c r="C726" s="207">
        <f t="shared" si="315"/>
        <v>0</v>
      </c>
      <c r="D726" s="207">
        <f t="shared" si="315"/>
        <v>0</v>
      </c>
      <c r="E726" s="207">
        <f t="shared" si="315"/>
        <v>0</v>
      </c>
    </row>
    <row r="727" spans="1:5" ht="11.4" hidden="1" outlineLevel="1" x14ac:dyDescent="0.25">
      <c r="A727" s="85" t="s">
        <v>2796</v>
      </c>
      <c r="B727" s="483" t="s">
        <v>2814</v>
      </c>
      <c r="C727" s="207">
        <f t="shared" si="315"/>
        <v>0</v>
      </c>
      <c r="D727" s="207">
        <f t="shared" si="315"/>
        <v>0</v>
      </c>
      <c r="E727" s="207">
        <f t="shared" si="315"/>
        <v>0</v>
      </c>
    </row>
    <row r="728" spans="1:5" ht="11.4" hidden="1" outlineLevel="1" x14ac:dyDescent="0.25">
      <c r="A728" s="85" t="s">
        <v>2869</v>
      </c>
      <c r="B728" s="654" t="s">
        <v>2905</v>
      </c>
      <c r="C728" s="655">
        <f t="shared" si="315"/>
        <v>0</v>
      </c>
      <c r="D728" s="655">
        <f t="shared" si="315"/>
        <v>0</v>
      </c>
      <c r="E728" s="655">
        <f t="shared" si="315"/>
        <v>0</v>
      </c>
    </row>
    <row r="729" spans="1:5" ht="11.4" hidden="1" outlineLevel="1" x14ac:dyDescent="0.25">
      <c r="A729" s="85" t="s">
        <v>2936</v>
      </c>
      <c r="B729" s="654" t="s">
        <v>2948</v>
      </c>
      <c r="C729" s="655">
        <f t="shared" si="315"/>
        <v>0</v>
      </c>
      <c r="D729" s="655">
        <f t="shared" si="315"/>
        <v>0</v>
      </c>
      <c r="E729" s="655">
        <f t="shared" si="315"/>
        <v>0</v>
      </c>
    </row>
    <row r="730" spans="1:5" ht="11.4" hidden="1" outlineLevel="1" x14ac:dyDescent="0.25">
      <c r="A730" s="85" t="s">
        <v>6798</v>
      </c>
      <c r="B730" s="445" t="s">
        <v>2968</v>
      </c>
      <c r="C730" s="407">
        <f t="shared" si="315"/>
        <v>0</v>
      </c>
      <c r="D730" s="407">
        <f t="shared" si="315"/>
        <v>0</v>
      </c>
      <c r="E730" s="407">
        <f t="shared" si="315"/>
        <v>0</v>
      </c>
    </row>
    <row r="731" spans="1:5" ht="11.4" hidden="1" outlineLevel="1" x14ac:dyDescent="0.25">
      <c r="A731" s="85" t="s">
        <v>3055</v>
      </c>
      <c r="B731" s="56" t="s">
        <v>3067</v>
      </c>
      <c r="C731" s="81">
        <f t="shared" ref="C731" si="316">SUM(C719:C730)</f>
        <v>0</v>
      </c>
      <c r="D731" s="81">
        <f t="shared" ref="D731:E731" si="317">SUM(D719:D730)</f>
        <v>0</v>
      </c>
      <c r="E731" s="81">
        <f t="shared" si="317"/>
        <v>0</v>
      </c>
    </row>
    <row r="732" spans="1:5" hidden="1" outlineLevel="1" x14ac:dyDescent="0.2"/>
    <row r="733" spans="1:5" ht="11.4" hidden="1" outlineLevel="1" x14ac:dyDescent="0.25">
      <c r="A733" s="85" t="s">
        <v>2405</v>
      </c>
      <c r="B733" s="449" t="s">
        <v>2423</v>
      </c>
      <c r="C733" s="206">
        <f t="shared" ref="C733:E742" si="318">INDEX($A$3:$E$541,MATCH($A733,$A$3:$A$541,0),MATCH(C$542,$A$3:$E$3,0))</f>
        <v>0</v>
      </c>
      <c r="D733" s="206">
        <f t="shared" si="318"/>
        <v>0</v>
      </c>
      <c r="E733" s="206">
        <f t="shared" si="318"/>
        <v>0</v>
      </c>
    </row>
    <row r="734" spans="1:5" ht="12" hidden="1" outlineLevel="1" x14ac:dyDescent="0.25">
      <c r="A734" s="85" t="s">
        <v>1854</v>
      </c>
      <c r="B734" s="483" t="s">
        <v>1908</v>
      </c>
      <c r="C734" s="207">
        <f t="shared" si="318"/>
        <v>0</v>
      </c>
      <c r="D734" s="207">
        <f t="shared" si="318"/>
        <v>0</v>
      </c>
      <c r="E734" s="207">
        <f t="shared" si="318"/>
        <v>0</v>
      </c>
    </row>
    <row r="735" spans="1:5" ht="12" hidden="1" outlineLevel="1" x14ac:dyDescent="0.25">
      <c r="A735" s="85" t="s">
        <v>1780</v>
      </c>
      <c r="B735" s="483" t="s">
        <v>1807</v>
      </c>
      <c r="C735" s="207">
        <f t="shared" si="318"/>
        <v>0</v>
      </c>
      <c r="D735" s="207">
        <f t="shared" si="318"/>
        <v>0</v>
      </c>
      <c r="E735" s="207">
        <f t="shared" si="318"/>
        <v>0</v>
      </c>
    </row>
    <row r="736" spans="1:5" ht="12" hidden="1" outlineLevel="1" x14ac:dyDescent="0.25">
      <c r="A736" s="85" t="s">
        <v>2601</v>
      </c>
      <c r="B736" s="654" t="s">
        <v>2637</v>
      </c>
      <c r="C736" s="655">
        <f t="shared" si="318"/>
        <v>0</v>
      </c>
      <c r="D736" s="655">
        <f t="shared" si="318"/>
        <v>0</v>
      </c>
      <c r="E736" s="655">
        <f t="shared" si="318"/>
        <v>0</v>
      </c>
    </row>
    <row r="737" spans="1:5" ht="12" hidden="1" outlineLevel="1" x14ac:dyDescent="0.25">
      <c r="A737" s="85" t="s">
        <v>2009</v>
      </c>
      <c r="B737" s="483" t="s">
        <v>2040</v>
      </c>
      <c r="C737" s="207">
        <f t="shared" si="318"/>
        <v>0</v>
      </c>
      <c r="D737" s="207">
        <f t="shared" si="318"/>
        <v>0</v>
      </c>
      <c r="E737" s="207">
        <f t="shared" si="318"/>
        <v>0</v>
      </c>
    </row>
    <row r="738" spans="1:5" ht="12" hidden="1" outlineLevel="1" x14ac:dyDescent="0.25">
      <c r="A738" s="85" t="s">
        <v>2726</v>
      </c>
      <c r="B738" s="483" t="s">
        <v>2744</v>
      </c>
      <c r="C738" s="207">
        <f t="shared" si="318"/>
        <v>0</v>
      </c>
      <c r="D738" s="207">
        <f t="shared" si="318"/>
        <v>0</v>
      </c>
      <c r="E738" s="207">
        <f t="shared" si="318"/>
        <v>0</v>
      </c>
    </row>
    <row r="739" spans="1:5" ht="11.4" hidden="1" outlineLevel="1" x14ac:dyDescent="0.25">
      <c r="A739" s="85" t="s">
        <v>2799</v>
      </c>
      <c r="B739" s="483" t="s">
        <v>2817</v>
      </c>
      <c r="C739" s="408">
        <f t="shared" si="318"/>
        <v>0</v>
      </c>
      <c r="D739" s="408">
        <f t="shared" si="318"/>
        <v>0</v>
      </c>
      <c r="E739" s="408">
        <f t="shared" si="318"/>
        <v>0</v>
      </c>
    </row>
    <row r="740" spans="1:5" ht="11.4" hidden="1" outlineLevel="1" x14ac:dyDescent="0.25">
      <c r="A740" s="85" t="s">
        <v>2872</v>
      </c>
      <c r="B740" s="654" t="s">
        <v>2908</v>
      </c>
      <c r="C740" s="656">
        <f t="shared" si="318"/>
        <v>0</v>
      </c>
      <c r="D740" s="656">
        <f t="shared" si="318"/>
        <v>0</v>
      </c>
      <c r="E740" s="656">
        <f t="shared" si="318"/>
        <v>0</v>
      </c>
    </row>
    <row r="741" spans="1:5" ht="11.4" hidden="1" outlineLevel="1" x14ac:dyDescent="0.25">
      <c r="A741" s="85" t="s">
        <v>6800</v>
      </c>
      <c r="B741" s="483" t="s">
        <v>2971</v>
      </c>
      <c r="C741" s="408">
        <f t="shared" si="318"/>
        <v>0</v>
      </c>
      <c r="D741" s="408">
        <f t="shared" si="318"/>
        <v>0</v>
      </c>
      <c r="E741" s="408">
        <f t="shared" si="318"/>
        <v>0</v>
      </c>
    </row>
    <row r="742" spans="1:5" ht="12" hidden="1" outlineLevel="1" x14ac:dyDescent="0.25">
      <c r="A742" s="85" t="s">
        <v>2082</v>
      </c>
      <c r="B742" s="445" t="s">
        <v>3014</v>
      </c>
      <c r="C742" s="208">
        <f t="shared" si="318"/>
        <v>0</v>
      </c>
      <c r="D742" s="208">
        <f t="shared" si="318"/>
        <v>0</v>
      </c>
      <c r="E742" s="208">
        <f t="shared" si="318"/>
        <v>0</v>
      </c>
    </row>
    <row r="743" spans="1:5" ht="11.4" hidden="1" outlineLevel="1" x14ac:dyDescent="0.25">
      <c r="A743" s="85" t="s">
        <v>3056</v>
      </c>
      <c r="B743" s="56" t="s">
        <v>3068</v>
      </c>
      <c r="C743" s="81">
        <f t="shared" ref="C743" si="319">SUM(C733:C742)</f>
        <v>0</v>
      </c>
      <c r="D743" s="81">
        <f t="shared" ref="D743:E743" si="320">SUM(D733:D742)</f>
        <v>0</v>
      </c>
      <c r="E743" s="81">
        <f t="shared" si="320"/>
        <v>0</v>
      </c>
    </row>
    <row r="744" spans="1:5" hidden="1" outlineLevel="1" x14ac:dyDescent="0.2"/>
    <row r="745" spans="1:5" ht="11.4" hidden="1" outlineLevel="1" x14ac:dyDescent="0.25">
      <c r="A745" s="85" t="s">
        <v>3057</v>
      </c>
      <c r="B745" s="56" t="s">
        <v>3069</v>
      </c>
      <c r="C745" s="81">
        <f t="shared" ref="C745" si="321">C731+C743</f>
        <v>0</v>
      </c>
      <c r="D745" s="81">
        <f t="shared" ref="D745:E745" si="322">D731+D743</f>
        <v>0</v>
      </c>
      <c r="E745" s="81">
        <f t="shared" si="322"/>
        <v>0</v>
      </c>
    </row>
    <row r="746" spans="1:5" hidden="1" outlineLevel="1" x14ac:dyDescent="0.2">
      <c r="B746" s="82"/>
      <c r="C746" s="83"/>
      <c r="D746" s="83"/>
      <c r="E746" s="83"/>
    </row>
    <row r="747" spans="1:5" hidden="1" outlineLevel="1" x14ac:dyDescent="0.2">
      <c r="B747" s="79">
        <v>2028</v>
      </c>
    </row>
    <row r="748" spans="1:5" ht="11.4" hidden="1" outlineLevel="1" x14ac:dyDescent="0.25">
      <c r="A748" s="85" t="s">
        <v>2429</v>
      </c>
      <c r="B748" s="449" t="s">
        <v>2447</v>
      </c>
      <c r="C748" s="206">
        <f t="shared" ref="C748:E759" si="323">INDEX($A$3:$E$541,MATCH($A748,$A$3:$A$541,0),MATCH(C$542,$A$3:$E$3,0))</f>
        <v>0</v>
      </c>
      <c r="D748" s="206">
        <f t="shared" si="323"/>
        <v>0</v>
      </c>
      <c r="E748" s="206">
        <f t="shared" si="323"/>
        <v>0</v>
      </c>
    </row>
    <row r="749" spans="1:5" ht="11.4" hidden="1" outlineLevel="1" x14ac:dyDescent="0.25">
      <c r="A749" s="85" t="s">
        <v>2473</v>
      </c>
      <c r="B749" s="654" t="s">
        <v>2485</v>
      </c>
      <c r="C749" s="655">
        <f t="shared" si="323"/>
        <v>0</v>
      </c>
      <c r="D749" s="655">
        <f t="shared" si="323"/>
        <v>0</v>
      </c>
      <c r="E749" s="655">
        <f t="shared" si="323"/>
        <v>0</v>
      </c>
    </row>
    <row r="750" spans="1:5" ht="12" hidden="1" outlineLevel="1" x14ac:dyDescent="0.25">
      <c r="A750" s="85" t="s">
        <v>2516</v>
      </c>
      <c r="B750" s="654" t="s">
        <v>2534</v>
      </c>
      <c r="C750" s="655">
        <f t="shared" si="323"/>
        <v>0</v>
      </c>
      <c r="D750" s="655">
        <f t="shared" si="323"/>
        <v>0</v>
      </c>
      <c r="E750" s="655">
        <f t="shared" si="323"/>
        <v>0</v>
      </c>
    </row>
    <row r="751" spans="1:5" ht="12" hidden="1" outlineLevel="1" x14ac:dyDescent="0.25">
      <c r="A751" s="85" t="s">
        <v>2552</v>
      </c>
      <c r="B751" s="654" t="s">
        <v>2570</v>
      </c>
      <c r="C751" s="655">
        <f t="shared" si="323"/>
        <v>0</v>
      </c>
      <c r="D751" s="655">
        <f t="shared" si="323"/>
        <v>0</v>
      </c>
      <c r="E751" s="655">
        <f t="shared" si="323"/>
        <v>0</v>
      </c>
    </row>
    <row r="752" spans="1:5" ht="12" hidden="1" outlineLevel="1" x14ac:dyDescent="0.25">
      <c r="A752" s="85" t="s">
        <v>2607</v>
      </c>
      <c r="B752" s="654" t="s">
        <v>2643</v>
      </c>
      <c r="C752" s="655">
        <f t="shared" si="323"/>
        <v>0</v>
      </c>
      <c r="D752" s="655">
        <f t="shared" si="323"/>
        <v>0</v>
      </c>
      <c r="E752" s="655">
        <f t="shared" si="323"/>
        <v>0</v>
      </c>
    </row>
    <row r="753" spans="1:5" ht="12" hidden="1" outlineLevel="1" x14ac:dyDescent="0.25">
      <c r="A753" s="85" t="s">
        <v>2661</v>
      </c>
      <c r="B753" s="654" t="s">
        <v>2679</v>
      </c>
      <c r="C753" s="655">
        <f t="shared" si="323"/>
        <v>0</v>
      </c>
      <c r="D753" s="655">
        <f t="shared" si="323"/>
        <v>0</v>
      </c>
      <c r="E753" s="655">
        <f t="shared" si="323"/>
        <v>0</v>
      </c>
    </row>
    <row r="754" spans="1:5" ht="11.4" hidden="1" outlineLevel="1" x14ac:dyDescent="0.25">
      <c r="A754" s="85" t="s">
        <v>2702</v>
      </c>
      <c r="B754" s="654" t="s">
        <v>2707</v>
      </c>
      <c r="C754" s="655">
        <f t="shared" si="323"/>
        <v>0</v>
      </c>
      <c r="D754" s="655">
        <f t="shared" si="323"/>
        <v>0</v>
      </c>
      <c r="E754" s="655">
        <f t="shared" si="323"/>
        <v>0</v>
      </c>
    </row>
    <row r="755" spans="1:5" ht="12" hidden="1" outlineLevel="1" x14ac:dyDescent="0.25">
      <c r="A755" s="85" t="s">
        <v>2750</v>
      </c>
      <c r="B755" s="654" t="s">
        <v>2768</v>
      </c>
      <c r="C755" s="655">
        <f t="shared" si="323"/>
        <v>0</v>
      </c>
      <c r="D755" s="655">
        <f t="shared" si="323"/>
        <v>0</v>
      </c>
      <c r="E755" s="655">
        <f t="shared" si="323"/>
        <v>0</v>
      </c>
    </row>
    <row r="756" spans="1:5" ht="11.4" hidden="1" outlineLevel="1" x14ac:dyDescent="0.25">
      <c r="A756" s="85" t="s">
        <v>2823</v>
      </c>
      <c r="B756" s="654" t="s">
        <v>2841</v>
      </c>
      <c r="C756" s="655">
        <f t="shared" si="323"/>
        <v>0</v>
      </c>
      <c r="D756" s="655">
        <f t="shared" si="323"/>
        <v>0</v>
      </c>
      <c r="E756" s="655">
        <f t="shared" si="323"/>
        <v>0</v>
      </c>
    </row>
    <row r="757" spans="1:5" ht="11.4" hidden="1" outlineLevel="1" x14ac:dyDescent="0.25">
      <c r="A757" s="85" t="s">
        <v>2878</v>
      </c>
      <c r="B757" s="654" t="s">
        <v>2914</v>
      </c>
      <c r="C757" s="655">
        <f t="shared" si="323"/>
        <v>0</v>
      </c>
      <c r="D757" s="655">
        <f t="shared" si="323"/>
        <v>0</v>
      </c>
      <c r="E757" s="655">
        <f t="shared" si="323"/>
        <v>0</v>
      </c>
    </row>
    <row r="758" spans="1:5" ht="11.4" hidden="1" outlineLevel="1" x14ac:dyDescent="0.25">
      <c r="A758" s="85" t="s">
        <v>2939</v>
      </c>
      <c r="B758" s="654" t="s">
        <v>3070</v>
      </c>
      <c r="C758" s="655">
        <f t="shared" si="323"/>
        <v>0</v>
      </c>
      <c r="D758" s="655">
        <f t="shared" si="323"/>
        <v>0</v>
      </c>
      <c r="E758" s="655">
        <f t="shared" si="323"/>
        <v>0</v>
      </c>
    </row>
    <row r="759" spans="1:5" ht="11.4" hidden="1" outlineLevel="1" x14ac:dyDescent="0.25">
      <c r="A759" s="85" t="s">
        <v>6802</v>
      </c>
      <c r="B759" s="445" t="s">
        <v>2977</v>
      </c>
      <c r="C759" s="407">
        <f t="shared" si="323"/>
        <v>0</v>
      </c>
      <c r="D759" s="407">
        <f t="shared" si="323"/>
        <v>0</v>
      </c>
      <c r="E759" s="407">
        <f t="shared" si="323"/>
        <v>0</v>
      </c>
    </row>
    <row r="760" spans="1:5" ht="11.4" hidden="1" outlineLevel="1" x14ac:dyDescent="0.25">
      <c r="A760" s="85" t="s">
        <v>3058</v>
      </c>
      <c r="B760" s="56" t="s">
        <v>3071</v>
      </c>
      <c r="C760" s="81">
        <f t="shared" ref="C760" si="324">SUM(C748:C759)</f>
        <v>0</v>
      </c>
      <c r="D760" s="81">
        <f t="shared" ref="D760:E760" si="325">SUM(D748:D759)</f>
        <v>0</v>
      </c>
      <c r="E760" s="81">
        <f t="shared" si="325"/>
        <v>0</v>
      </c>
    </row>
    <row r="761" spans="1:5" hidden="1" outlineLevel="1" x14ac:dyDescent="0.2"/>
    <row r="762" spans="1:5" ht="11.4" hidden="1" outlineLevel="1" x14ac:dyDescent="0.25">
      <c r="A762" s="85" t="s">
        <v>2432</v>
      </c>
      <c r="B762" s="449" t="s">
        <v>2450</v>
      </c>
      <c r="C762" s="206">
        <f t="shared" ref="C762:E771" si="326">INDEX($A$3:$E$541,MATCH($A762,$A$3:$A$541,0),MATCH(C$542,$A$3:$E$3,0))</f>
        <v>0</v>
      </c>
      <c r="D762" s="206">
        <f t="shared" si="326"/>
        <v>0</v>
      </c>
      <c r="E762" s="206">
        <f t="shared" si="326"/>
        <v>0</v>
      </c>
    </row>
    <row r="763" spans="1:5" ht="12" hidden="1" outlineLevel="1" x14ac:dyDescent="0.25">
      <c r="A763" s="85" t="s">
        <v>2519</v>
      </c>
      <c r="B763" s="654" t="s">
        <v>2537</v>
      </c>
      <c r="C763" s="655">
        <f t="shared" si="326"/>
        <v>0</v>
      </c>
      <c r="D763" s="655">
        <f t="shared" si="326"/>
        <v>0</v>
      </c>
      <c r="E763" s="655">
        <f t="shared" si="326"/>
        <v>0</v>
      </c>
    </row>
    <row r="764" spans="1:5" ht="12" hidden="1" outlineLevel="1" x14ac:dyDescent="0.25">
      <c r="A764" s="85" t="s">
        <v>2555</v>
      </c>
      <c r="B764" s="654" t="s">
        <v>2573</v>
      </c>
      <c r="C764" s="655">
        <f t="shared" si="326"/>
        <v>0</v>
      </c>
      <c r="D764" s="655">
        <f t="shared" si="326"/>
        <v>0</v>
      </c>
      <c r="E764" s="655">
        <f t="shared" si="326"/>
        <v>0</v>
      </c>
    </row>
    <row r="765" spans="1:5" ht="12" hidden="1" outlineLevel="1" x14ac:dyDescent="0.25">
      <c r="A765" s="85" t="s">
        <v>2610</v>
      </c>
      <c r="B765" s="654" t="s">
        <v>2646</v>
      </c>
      <c r="C765" s="655">
        <f t="shared" si="326"/>
        <v>0</v>
      </c>
      <c r="D765" s="655">
        <f t="shared" si="326"/>
        <v>0</v>
      </c>
      <c r="E765" s="655">
        <f t="shared" si="326"/>
        <v>0</v>
      </c>
    </row>
    <row r="766" spans="1:5" ht="12" hidden="1" outlineLevel="1" x14ac:dyDescent="0.25">
      <c r="A766" s="85" t="s">
        <v>2664</v>
      </c>
      <c r="B766" s="654" t="s">
        <v>2682</v>
      </c>
      <c r="C766" s="656">
        <f t="shared" si="326"/>
        <v>0</v>
      </c>
      <c r="D766" s="656">
        <f t="shared" si="326"/>
        <v>0</v>
      </c>
      <c r="E766" s="656">
        <f t="shared" si="326"/>
        <v>0</v>
      </c>
    </row>
    <row r="767" spans="1:5" ht="12" hidden="1" outlineLevel="1" x14ac:dyDescent="0.25">
      <c r="A767" s="85" t="s">
        <v>2753</v>
      </c>
      <c r="B767" s="654" t="s">
        <v>2771</v>
      </c>
      <c r="C767" s="656">
        <f t="shared" si="326"/>
        <v>0</v>
      </c>
      <c r="D767" s="656">
        <f t="shared" si="326"/>
        <v>0</v>
      </c>
      <c r="E767" s="656">
        <f t="shared" si="326"/>
        <v>0</v>
      </c>
    </row>
    <row r="768" spans="1:5" ht="11.4" hidden="1" outlineLevel="1" x14ac:dyDescent="0.25">
      <c r="A768" s="85" t="s">
        <v>2826</v>
      </c>
      <c r="B768" s="654" t="s">
        <v>2844</v>
      </c>
      <c r="C768" s="656">
        <f t="shared" si="326"/>
        <v>0</v>
      </c>
      <c r="D768" s="656">
        <f t="shared" si="326"/>
        <v>0</v>
      </c>
      <c r="E768" s="656">
        <f t="shared" si="326"/>
        <v>0</v>
      </c>
    </row>
    <row r="769" spans="1:5" ht="11.4" hidden="1" outlineLevel="1" x14ac:dyDescent="0.25">
      <c r="A769" s="85" t="s">
        <v>2881</v>
      </c>
      <c r="B769" s="654" t="s">
        <v>2917</v>
      </c>
      <c r="C769" s="656">
        <f t="shared" si="326"/>
        <v>0</v>
      </c>
      <c r="D769" s="656">
        <f t="shared" si="326"/>
        <v>0</v>
      </c>
      <c r="E769" s="656">
        <f t="shared" si="326"/>
        <v>0</v>
      </c>
    </row>
    <row r="770" spans="1:5" ht="11.4" hidden="1" outlineLevel="1" x14ac:dyDescent="0.25">
      <c r="A770" s="85" t="s">
        <v>6804</v>
      </c>
      <c r="B770" s="483" t="s">
        <v>2980</v>
      </c>
      <c r="C770" s="408">
        <f t="shared" si="326"/>
        <v>0</v>
      </c>
      <c r="D770" s="408">
        <f t="shared" si="326"/>
        <v>0</v>
      </c>
      <c r="E770" s="408">
        <f t="shared" si="326"/>
        <v>0</v>
      </c>
    </row>
    <row r="771" spans="1:5" ht="12" hidden="1" outlineLevel="1" x14ac:dyDescent="0.25">
      <c r="A771" s="85" t="s">
        <v>3017</v>
      </c>
      <c r="B771" s="650" t="s">
        <v>3023</v>
      </c>
      <c r="C771" s="651">
        <f t="shared" si="326"/>
        <v>0</v>
      </c>
      <c r="D771" s="651">
        <f t="shared" si="326"/>
        <v>0</v>
      </c>
      <c r="E771" s="651">
        <f t="shared" si="326"/>
        <v>0</v>
      </c>
    </row>
    <row r="772" spans="1:5" ht="11.4" hidden="1" outlineLevel="1" x14ac:dyDescent="0.25">
      <c r="A772" s="85" t="s">
        <v>3059</v>
      </c>
      <c r="B772" s="56" t="s">
        <v>3072</v>
      </c>
      <c r="C772" s="81">
        <f t="shared" ref="C772" si="327">SUM(C762:C771)</f>
        <v>0</v>
      </c>
      <c r="D772" s="81">
        <f t="shared" ref="D772:E772" si="328">SUM(D762:D771)</f>
        <v>0</v>
      </c>
      <c r="E772" s="81">
        <f t="shared" si="328"/>
        <v>0</v>
      </c>
    </row>
    <row r="773" spans="1:5" hidden="1" outlineLevel="1" x14ac:dyDescent="0.2"/>
    <row r="774" spans="1:5" ht="11.4" hidden="1" outlineLevel="1" x14ac:dyDescent="0.25">
      <c r="A774" s="85" t="s">
        <v>3060</v>
      </c>
      <c r="B774" s="56" t="s">
        <v>3073</v>
      </c>
      <c r="C774" s="81">
        <f t="shared" ref="C774" si="329">C760+C772</f>
        <v>0</v>
      </c>
      <c r="D774" s="81">
        <f t="shared" ref="D774:E774" si="330">D760+D772</f>
        <v>0</v>
      </c>
      <c r="E774" s="81">
        <f t="shared" si="330"/>
        <v>0</v>
      </c>
    </row>
    <row r="775" spans="1:5" hidden="1" outlineLevel="1" x14ac:dyDescent="0.2"/>
    <row r="776" spans="1:5" hidden="1" outlineLevel="1" x14ac:dyDescent="0.2">
      <c r="B776" s="79">
        <v>2029</v>
      </c>
    </row>
    <row r="777" spans="1:5" ht="11.4" hidden="1" outlineLevel="1" x14ac:dyDescent="0.25">
      <c r="A777" s="85" t="s">
        <v>2438</v>
      </c>
      <c r="B777" s="449" t="s">
        <v>2456</v>
      </c>
      <c r="C777" s="206">
        <f t="shared" ref="C777:E788" si="331">INDEX($A$3:$E$541,MATCH($A777,$A$3:$A$541,0),MATCH(C$542,$A$3:$E$3,0))</f>
        <v>0</v>
      </c>
      <c r="D777" s="206">
        <f t="shared" si="331"/>
        <v>0</v>
      </c>
      <c r="E777" s="206">
        <f t="shared" si="331"/>
        <v>0</v>
      </c>
    </row>
    <row r="778" spans="1:5" ht="11.4" hidden="1" outlineLevel="1" x14ac:dyDescent="0.25">
      <c r="A778" s="85" t="s">
        <v>2476</v>
      </c>
      <c r="B778" s="654" t="s">
        <v>2488</v>
      </c>
      <c r="C778" s="655">
        <f t="shared" si="331"/>
        <v>0</v>
      </c>
      <c r="D778" s="655">
        <f t="shared" si="331"/>
        <v>0</v>
      </c>
      <c r="E778" s="655">
        <f t="shared" si="331"/>
        <v>0</v>
      </c>
    </row>
    <row r="779" spans="1:5" ht="12" hidden="1" outlineLevel="1" x14ac:dyDescent="0.25">
      <c r="A779" s="85" t="s">
        <v>2525</v>
      </c>
      <c r="B779" s="654" t="s">
        <v>2543</v>
      </c>
      <c r="C779" s="655">
        <f t="shared" si="331"/>
        <v>0</v>
      </c>
      <c r="D779" s="655">
        <f t="shared" si="331"/>
        <v>0</v>
      </c>
      <c r="E779" s="655">
        <f t="shared" si="331"/>
        <v>0</v>
      </c>
    </row>
    <row r="780" spans="1:5" ht="12" hidden="1" outlineLevel="1" x14ac:dyDescent="0.25">
      <c r="A780" s="85" t="s">
        <v>2561</v>
      </c>
      <c r="B780" s="654" t="s">
        <v>2579</v>
      </c>
      <c r="C780" s="655">
        <f t="shared" si="331"/>
        <v>0</v>
      </c>
      <c r="D780" s="655">
        <f t="shared" si="331"/>
        <v>0</v>
      </c>
      <c r="E780" s="655">
        <f t="shared" si="331"/>
        <v>0</v>
      </c>
    </row>
    <row r="781" spans="1:5" ht="12" hidden="1" outlineLevel="1" x14ac:dyDescent="0.25">
      <c r="A781" s="85" t="s">
        <v>2616</v>
      </c>
      <c r="B781" s="654" t="s">
        <v>2652</v>
      </c>
      <c r="C781" s="655">
        <f t="shared" si="331"/>
        <v>0</v>
      </c>
      <c r="D781" s="655">
        <f t="shared" si="331"/>
        <v>0</v>
      </c>
      <c r="E781" s="655">
        <f t="shared" si="331"/>
        <v>0</v>
      </c>
    </row>
    <row r="782" spans="1:5" ht="12" hidden="1" outlineLevel="1" x14ac:dyDescent="0.25">
      <c r="A782" s="85" t="s">
        <v>2670</v>
      </c>
      <c r="B782" s="654" t="s">
        <v>2688</v>
      </c>
      <c r="C782" s="655">
        <f t="shared" si="331"/>
        <v>0</v>
      </c>
      <c r="D782" s="655">
        <f t="shared" si="331"/>
        <v>0</v>
      </c>
      <c r="E782" s="655">
        <f t="shared" si="331"/>
        <v>0</v>
      </c>
    </row>
    <row r="783" spans="1:5" ht="11.4" hidden="1" outlineLevel="1" x14ac:dyDescent="0.25">
      <c r="A783" s="85" t="s">
        <v>2705</v>
      </c>
      <c r="B783" s="654" t="s">
        <v>2710</v>
      </c>
      <c r="C783" s="655">
        <f t="shared" si="331"/>
        <v>0</v>
      </c>
      <c r="D783" s="655">
        <f t="shared" si="331"/>
        <v>0</v>
      </c>
      <c r="E783" s="655">
        <f t="shared" si="331"/>
        <v>0</v>
      </c>
    </row>
    <row r="784" spans="1:5" ht="12" hidden="1" outlineLevel="1" x14ac:dyDescent="0.25">
      <c r="A784" s="85" t="s">
        <v>2759</v>
      </c>
      <c r="B784" s="654" t="s">
        <v>2777</v>
      </c>
      <c r="C784" s="655">
        <f t="shared" si="331"/>
        <v>0</v>
      </c>
      <c r="D784" s="655">
        <f t="shared" si="331"/>
        <v>0</v>
      </c>
      <c r="E784" s="655">
        <f t="shared" si="331"/>
        <v>0</v>
      </c>
    </row>
    <row r="785" spans="1:5" ht="11.4" hidden="1" outlineLevel="1" x14ac:dyDescent="0.25">
      <c r="A785" s="85" t="s">
        <v>2832</v>
      </c>
      <c r="B785" s="654" t="s">
        <v>2850</v>
      </c>
      <c r="C785" s="655">
        <f t="shared" si="331"/>
        <v>0</v>
      </c>
      <c r="D785" s="655">
        <f t="shared" si="331"/>
        <v>0</v>
      </c>
      <c r="E785" s="655">
        <f t="shared" si="331"/>
        <v>0</v>
      </c>
    </row>
    <row r="786" spans="1:5" ht="11.4" hidden="1" outlineLevel="1" x14ac:dyDescent="0.25">
      <c r="A786" s="85" t="s">
        <v>2887</v>
      </c>
      <c r="B786" s="654" t="s">
        <v>2923</v>
      </c>
      <c r="C786" s="655">
        <f t="shared" si="331"/>
        <v>0</v>
      </c>
      <c r="D786" s="655">
        <f t="shared" si="331"/>
        <v>0</v>
      </c>
      <c r="E786" s="655">
        <f t="shared" si="331"/>
        <v>0</v>
      </c>
    </row>
    <row r="787" spans="1:5" ht="11.4" hidden="1" outlineLevel="1" x14ac:dyDescent="0.25">
      <c r="A787" s="85" t="s">
        <v>2942</v>
      </c>
      <c r="B787" s="654" t="s">
        <v>2954</v>
      </c>
      <c r="C787" s="655">
        <f t="shared" si="331"/>
        <v>0</v>
      </c>
      <c r="D787" s="655">
        <f t="shared" si="331"/>
        <v>0</v>
      </c>
      <c r="E787" s="655">
        <f t="shared" si="331"/>
        <v>0</v>
      </c>
    </row>
    <row r="788" spans="1:5" ht="11.4" hidden="1" outlineLevel="1" x14ac:dyDescent="0.25">
      <c r="A788" s="85" t="s">
        <v>6806</v>
      </c>
      <c r="B788" s="445" t="s">
        <v>2986</v>
      </c>
      <c r="C788" s="407">
        <f t="shared" si="331"/>
        <v>0</v>
      </c>
      <c r="D788" s="407">
        <f t="shared" si="331"/>
        <v>0</v>
      </c>
      <c r="E788" s="407">
        <f t="shared" si="331"/>
        <v>0</v>
      </c>
    </row>
    <row r="789" spans="1:5" ht="11.4" hidden="1" outlineLevel="1" x14ac:dyDescent="0.25">
      <c r="A789" s="85" t="s">
        <v>3061</v>
      </c>
      <c r="B789" s="56" t="s">
        <v>3074</v>
      </c>
      <c r="C789" s="81">
        <f t="shared" ref="C789" si="332">SUM(C777:C788)</f>
        <v>0</v>
      </c>
      <c r="D789" s="81">
        <f t="shared" ref="D789:E789" si="333">SUM(D777:D788)</f>
        <v>0</v>
      </c>
      <c r="E789" s="81">
        <f t="shared" si="333"/>
        <v>0</v>
      </c>
    </row>
    <row r="790" spans="1:5" hidden="1" outlineLevel="1" x14ac:dyDescent="0.2"/>
    <row r="791" spans="1:5" ht="11.4" hidden="1" outlineLevel="1" x14ac:dyDescent="0.25">
      <c r="A791" s="85" t="s">
        <v>2441</v>
      </c>
      <c r="B791" s="449" t="s">
        <v>2459</v>
      </c>
      <c r="C791" s="206">
        <f t="shared" ref="C791:E800" si="334">INDEX($A$3:$E$541,MATCH($A791,$A$3:$A$541,0),MATCH(C$542,$A$3:$E$3,0))</f>
        <v>0</v>
      </c>
      <c r="D791" s="206">
        <f t="shared" si="334"/>
        <v>0</v>
      </c>
      <c r="E791" s="206">
        <f t="shared" si="334"/>
        <v>0</v>
      </c>
    </row>
    <row r="792" spans="1:5" ht="12" hidden="1" outlineLevel="1" x14ac:dyDescent="0.25">
      <c r="A792" s="85" t="s">
        <v>2528</v>
      </c>
      <c r="B792" s="654" t="s">
        <v>2546</v>
      </c>
      <c r="C792" s="655">
        <f t="shared" si="334"/>
        <v>0</v>
      </c>
      <c r="D792" s="655">
        <f t="shared" si="334"/>
        <v>0</v>
      </c>
      <c r="E792" s="655">
        <f t="shared" si="334"/>
        <v>0</v>
      </c>
    </row>
    <row r="793" spans="1:5" ht="12" hidden="1" outlineLevel="1" x14ac:dyDescent="0.25">
      <c r="A793" s="85" t="s">
        <v>2564</v>
      </c>
      <c r="B793" s="654" t="s">
        <v>2582</v>
      </c>
      <c r="C793" s="655">
        <f t="shared" si="334"/>
        <v>0</v>
      </c>
      <c r="D793" s="655">
        <f t="shared" si="334"/>
        <v>0</v>
      </c>
      <c r="E793" s="655">
        <f t="shared" si="334"/>
        <v>0</v>
      </c>
    </row>
    <row r="794" spans="1:5" ht="12" hidden="1" outlineLevel="1" x14ac:dyDescent="0.25">
      <c r="A794" s="85" t="s">
        <v>2619</v>
      </c>
      <c r="B794" s="654" t="s">
        <v>2655</v>
      </c>
      <c r="C794" s="655">
        <f t="shared" si="334"/>
        <v>0</v>
      </c>
      <c r="D794" s="655">
        <f t="shared" si="334"/>
        <v>0</v>
      </c>
      <c r="E794" s="655">
        <f t="shared" si="334"/>
        <v>0</v>
      </c>
    </row>
    <row r="795" spans="1:5" ht="12" hidden="1" outlineLevel="1" x14ac:dyDescent="0.25">
      <c r="A795" s="85" t="s">
        <v>2673</v>
      </c>
      <c r="B795" s="654" t="s">
        <v>2691</v>
      </c>
      <c r="C795" s="656">
        <f t="shared" si="334"/>
        <v>0</v>
      </c>
      <c r="D795" s="656">
        <f t="shared" si="334"/>
        <v>0</v>
      </c>
      <c r="E795" s="656">
        <f t="shared" si="334"/>
        <v>0</v>
      </c>
    </row>
    <row r="796" spans="1:5" ht="12" hidden="1" outlineLevel="1" x14ac:dyDescent="0.25">
      <c r="A796" s="85" t="s">
        <v>2762</v>
      </c>
      <c r="B796" s="654" t="s">
        <v>2780</v>
      </c>
      <c r="C796" s="656">
        <f t="shared" si="334"/>
        <v>0</v>
      </c>
      <c r="D796" s="656">
        <f t="shared" si="334"/>
        <v>0</v>
      </c>
      <c r="E796" s="656">
        <f t="shared" si="334"/>
        <v>0</v>
      </c>
    </row>
    <row r="797" spans="1:5" ht="11.4" hidden="1" outlineLevel="1" x14ac:dyDescent="0.25">
      <c r="A797" s="85" t="s">
        <v>2835</v>
      </c>
      <c r="B797" s="654" t="s">
        <v>2853</v>
      </c>
      <c r="C797" s="656">
        <f t="shared" si="334"/>
        <v>0</v>
      </c>
      <c r="D797" s="656">
        <f t="shared" si="334"/>
        <v>0</v>
      </c>
      <c r="E797" s="656">
        <f t="shared" si="334"/>
        <v>0</v>
      </c>
    </row>
    <row r="798" spans="1:5" ht="11.4" hidden="1" outlineLevel="1" x14ac:dyDescent="0.25">
      <c r="A798" s="85" t="s">
        <v>2890</v>
      </c>
      <c r="B798" s="654" t="s">
        <v>2926</v>
      </c>
      <c r="C798" s="656">
        <f t="shared" si="334"/>
        <v>0</v>
      </c>
      <c r="D798" s="656">
        <f t="shared" si="334"/>
        <v>0</v>
      </c>
      <c r="E798" s="656">
        <f t="shared" si="334"/>
        <v>0</v>
      </c>
    </row>
    <row r="799" spans="1:5" ht="11.4" hidden="1" outlineLevel="1" x14ac:dyDescent="0.25">
      <c r="A799" s="85" t="s">
        <v>6808</v>
      </c>
      <c r="B799" s="483" t="s">
        <v>2989</v>
      </c>
      <c r="C799" s="408">
        <f t="shared" si="334"/>
        <v>0</v>
      </c>
      <c r="D799" s="408">
        <f t="shared" si="334"/>
        <v>0</v>
      </c>
      <c r="E799" s="408">
        <f t="shared" si="334"/>
        <v>0</v>
      </c>
    </row>
    <row r="800" spans="1:5" ht="12" hidden="1" outlineLevel="1" x14ac:dyDescent="0.25">
      <c r="A800" s="85" t="s">
        <v>3020</v>
      </c>
      <c r="B800" s="650" t="s">
        <v>3026</v>
      </c>
      <c r="C800" s="651">
        <f t="shared" si="334"/>
        <v>0</v>
      </c>
      <c r="D800" s="651">
        <f t="shared" si="334"/>
        <v>0</v>
      </c>
      <c r="E800" s="651">
        <f t="shared" si="334"/>
        <v>0</v>
      </c>
    </row>
    <row r="801" spans="1:5" ht="11.4" hidden="1" outlineLevel="1" x14ac:dyDescent="0.25">
      <c r="A801" s="85" t="s">
        <v>3062</v>
      </c>
      <c r="B801" s="56" t="s">
        <v>3075</v>
      </c>
      <c r="C801" s="81">
        <f t="shared" ref="C801" si="335">SUM(C791:C800)</f>
        <v>0</v>
      </c>
      <c r="D801" s="81">
        <f t="shared" ref="D801:E801" si="336">SUM(D791:D800)</f>
        <v>0</v>
      </c>
      <c r="E801" s="81">
        <f t="shared" si="336"/>
        <v>0</v>
      </c>
    </row>
    <row r="802" spans="1:5" hidden="1" outlineLevel="1" x14ac:dyDescent="0.2"/>
    <row r="803" spans="1:5" ht="11.4" hidden="1" outlineLevel="1" x14ac:dyDescent="0.25">
      <c r="A803" s="85" t="s">
        <v>3063</v>
      </c>
      <c r="B803" s="56" t="s">
        <v>3076</v>
      </c>
      <c r="C803" s="81">
        <f t="shared" ref="C803" si="337">C789+C801</f>
        <v>0</v>
      </c>
      <c r="D803" s="81">
        <f t="shared" ref="D803:E803" si="338">D789+D801</f>
        <v>0</v>
      </c>
      <c r="E803" s="81">
        <f t="shared" si="338"/>
        <v>0</v>
      </c>
    </row>
    <row r="804" spans="1:5" hidden="1" outlineLevel="1" x14ac:dyDescent="0.2"/>
    <row r="805" spans="1:5" hidden="1" outlineLevel="1" x14ac:dyDescent="0.2">
      <c r="B805" s="79" t="s">
        <v>5965</v>
      </c>
    </row>
    <row r="806" spans="1:5" ht="11.4" hidden="1" outlineLevel="1" x14ac:dyDescent="0.25">
      <c r="A806" s="85" t="s">
        <v>6856</v>
      </c>
      <c r="B806" s="648" t="s">
        <v>6879</v>
      </c>
      <c r="C806" s="649">
        <f>_xlfn.IFNA(INDEX($A$3:$E$541,MATCH($A806,$A$3:$A$541,0),MATCH(C$542,$A$3:$E$3,0)),0)</f>
        <v>0</v>
      </c>
      <c r="D806" s="649">
        <f>_xlfn.IFNA(INDEX($A$3:$E$541,MATCH($A806,$A$3:$A$541,0),MATCH(D$542,$A$3:$E$3,0)),0)</f>
        <v>0</v>
      </c>
      <c r="E806" s="649">
        <f>_xlfn.IFNA(INDEX($A$3:$E$541,MATCH($A806,$A$3:$A$541,0),MATCH(E$542,$A$3:$E$3,0)),0)</f>
        <v>0</v>
      </c>
    </row>
    <row r="807" spans="1:5" ht="11.4" hidden="1" outlineLevel="1" x14ac:dyDescent="0.25">
      <c r="A807" s="85" t="s">
        <v>6857</v>
      </c>
      <c r="B807" s="654" t="s">
        <v>6880</v>
      </c>
      <c r="C807" s="655">
        <f t="shared" ref="C807:E817" si="339">_xlfn.IFNA(INDEX($A$3:$E$541,MATCH($A807,$A$3:$A$541,0),MATCH(C$542,$A$3:$E$3,0)),0)</f>
        <v>0</v>
      </c>
      <c r="D807" s="655">
        <f t="shared" si="339"/>
        <v>0</v>
      </c>
      <c r="E807" s="655">
        <f t="shared" si="339"/>
        <v>0</v>
      </c>
    </row>
    <row r="808" spans="1:5" ht="12" hidden="1" outlineLevel="1" x14ac:dyDescent="0.25">
      <c r="A808" s="85" t="s">
        <v>6858</v>
      </c>
      <c r="B808" s="654" t="s">
        <v>6902</v>
      </c>
      <c r="C808" s="655">
        <f t="shared" si="339"/>
        <v>0</v>
      </c>
      <c r="D808" s="655">
        <f t="shared" si="339"/>
        <v>0</v>
      </c>
      <c r="E808" s="655">
        <f t="shared" si="339"/>
        <v>0</v>
      </c>
    </row>
    <row r="809" spans="1:5" ht="12" hidden="1" outlineLevel="1" x14ac:dyDescent="0.25">
      <c r="A809" s="85" t="s">
        <v>6859</v>
      </c>
      <c r="B809" s="654" t="s">
        <v>6881</v>
      </c>
      <c r="C809" s="655">
        <f t="shared" si="339"/>
        <v>0</v>
      </c>
      <c r="D809" s="655">
        <f t="shared" si="339"/>
        <v>0</v>
      </c>
      <c r="E809" s="655">
        <f t="shared" si="339"/>
        <v>0</v>
      </c>
    </row>
    <row r="810" spans="1:5" ht="12" hidden="1" outlineLevel="1" x14ac:dyDescent="0.25">
      <c r="A810" s="85" t="s">
        <v>6860</v>
      </c>
      <c r="B810" s="654" t="s">
        <v>6882</v>
      </c>
      <c r="C810" s="655">
        <f t="shared" si="339"/>
        <v>0</v>
      </c>
      <c r="D810" s="655">
        <f t="shared" si="339"/>
        <v>0</v>
      </c>
      <c r="E810" s="655">
        <f t="shared" si="339"/>
        <v>0</v>
      </c>
    </row>
    <row r="811" spans="1:5" ht="12" hidden="1" outlineLevel="1" x14ac:dyDescent="0.25">
      <c r="A811" s="85" t="s">
        <v>6861</v>
      </c>
      <c r="B811" s="654" t="s">
        <v>6883</v>
      </c>
      <c r="C811" s="655">
        <f t="shared" si="339"/>
        <v>0</v>
      </c>
      <c r="D811" s="655">
        <f t="shared" si="339"/>
        <v>0</v>
      </c>
      <c r="E811" s="655">
        <f t="shared" si="339"/>
        <v>0</v>
      </c>
    </row>
    <row r="812" spans="1:5" ht="11.4" hidden="1" outlineLevel="1" x14ac:dyDescent="0.25">
      <c r="A812" s="85" t="s">
        <v>6862</v>
      </c>
      <c r="B812" s="654" t="s">
        <v>6884</v>
      </c>
      <c r="C812" s="655">
        <f t="shared" si="339"/>
        <v>0</v>
      </c>
      <c r="D812" s="655">
        <f t="shared" si="339"/>
        <v>0</v>
      </c>
      <c r="E812" s="655">
        <f t="shared" si="339"/>
        <v>0</v>
      </c>
    </row>
    <row r="813" spans="1:5" ht="12" hidden="1" outlineLevel="1" x14ac:dyDescent="0.25">
      <c r="A813" s="85" t="s">
        <v>6863</v>
      </c>
      <c r="B813" s="654" t="s">
        <v>6885</v>
      </c>
      <c r="C813" s="655">
        <f t="shared" si="339"/>
        <v>0</v>
      </c>
      <c r="D813" s="655">
        <f t="shared" si="339"/>
        <v>0</v>
      </c>
      <c r="E813" s="655">
        <f t="shared" si="339"/>
        <v>0</v>
      </c>
    </row>
    <row r="814" spans="1:5" ht="11.4" hidden="1" outlineLevel="1" x14ac:dyDescent="0.25">
      <c r="A814" s="85" t="s">
        <v>6864</v>
      </c>
      <c r="B814" s="654" t="s">
        <v>6886</v>
      </c>
      <c r="C814" s="655">
        <f t="shared" si="339"/>
        <v>0</v>
      </c>
      <c r="D814" s="655">
        <f t="shared" si="339"/>
        <v>0</v>
      </c>
      <c r="E814" s="655">
        <f t="shared" si="339"/>
        <v>0</v>
      </c>
    </row>
    <row r="815" spans="1:5" ht="11.4" hidden="1" outlineLevel="1" x14ac:dyDescent="0.25">
      <c r="A815" s="85" t="s">
        <v>6865</v>
      </c>
      <c r="B815" s="654" t="s">
        <v>6887</v>
      </c>
      <c r="C815" s="655">
        <f t="shared" si="339"/>
        <v>0</v>
      </c>
      <c r="D815" s="655">
        <f t="shared" si="339"/>
        <v>0</v>
      </c>
      <c r="E815" s="655">
        <f t="shared" si="339"/>
        <v>0</v>
      </c>
    </row>
    <row r="816" spans="1:5" ht="11.4" hidden="1" outlineLevel="1" x14ac:dyDescent="0.25">
      <c r="A816" s="85" t="s">
        <v>6866</v>
      </c>
      <c r="B816" s="654" t="s">
        <v>6888</v>
      </c>
      <c r="C816" s="655">
        <f t="shared" si="339"/>
        <v>0</v>
      </c>
      <c r="D816" s="655">
        <f t="shared" si="339"/>
        <v>0</v>
      </c>
      <c r="E816" s="655">
        <f t="shared" si="339"/>
        <v>0</v>
      </c>
    </row>
    <row r="817" spans="1:5" ht="11.4" hidden="1" outlineLevel="1" x14ac:dyDescent="0.25">
      <c r="A817" s="85" t="s">
        <v>6810</v>
      </c>
      <c r="B817" s="445" t="s">
        <v>6889</v>
      </c>
      <c r="C817" s="407">
        <f t="shared" si="339"/>
        <v>0</v>
      </c>
      <c r="D817" s="407">
        <f t="shared" si="339"/>
        <v>0</v>
      </c>
      <c r="E817" s="407">
        <f t="shared" si="339"/>
        <v>0</v>
      </c>
    </row>
    <row r="818" spans="1:5" ht="11.4" hidden="1" outlineLevel="1" x14ac:dyDescent="0.25">
      <c r="A818" s="85" t="s">
        <v>6867</v>
      </c>
      <c r="B818" s="56" t="s">
        <v>6890</v>
      </c>
      <c r="C818" s="81">
        <f t="shared" ref="C818" si="340">SUM(C806:C817)</f>
        <v>0</v>
      </c>
      <c r="D818" s="81">
        <f t="shared" ref="D818:E818" si="341">SUM(D806:D817)</f>
        <v>0</v>
      </c>
      <c r="E818" s="81">
        <f t="shared" si="341"/>
        <v>0</v>
      </c>
    </row>
    <row r="819" spans="1:5" hidden="1" outlineLevel="1" x14ac:dyDescent="0.2"/>
    <row r="820" spans="1:5" ht="11.4" hidden="1" outlineLevel="1" x14ac:dyDescent="0.25">
      <c r="A820" s="85" t="s">
        <v>6868</v>
      </c>
      <c r="B820" s="648" t="s">
        <v>6891</v>
      </c>
      <c r="C820" s="649">
        <f t="shared" ref="C820:E829" si="342">_xlfn.IFNA(INDEX($A$3:$E$541,MATCH($A820,$A$3:$A$541,0),MATCH(C$542,$A$3:$E$3,0)),0)</f>
        <v>0</v>
      </c>
      <c r="D820" s="649">
        <f t="shared" si="342"/>
        <v>0</v>
      </c>
      <c r="E820" s="649">
        <f t="shared" si="342"/>
        <v>0</v>
      </c>
    </row>
    <row r="821" spans="1:5" ht="12" hidden="1" outlineLevel="1" x14ac:dyDescent="0.25">
      <c r="A821" s="85" t="s">
        <v>6869</v>
      </c>
      <c r="B821" s="654" t="s">
        <v>6903</v>
      </c>
      <c r="C821" s="655">
        <f t="shared" si="342"/>
        <v>0</v>
      </c>
      <c r="D821" s="655">
        <f t="shared" si="342"/>
        <v>0</v>
      </c>
      <c r="E821" s="655">
        <f t="shared" si="342"/>
        <v>0</v>
      </c>
    </row>
    <row r="822" spans="1:5" ht="12" hidden="1" outlineLevel="1" x14ac:dyDescent="0.25">
      <c r="A822" s="85" t="s">
        <v>6870</v>
      </c>
      <c r="B822" s="654" t="s">
        <v>6892</v>
      </c>
      <c r="C822" s="655">
        <f t="shared" si="342"/>
        <v>0</v>
      </c>
      <c r="D822" s="655">
        <f t="shared" si="342"/>
        <v>0</v>
      </c>
      <c r="E822" s="655">
        <f t="shared" si="342"/>
        <v>0</v>
      </c>
    </row>
    <row r="823" spans="1:5" ht="12" hidden="1" outlineLevel="1" x14ac:dyDescent="0.25">
      <c r="A823" s="85" t="s">
        <v>6871</v>
      </c>
      <c r="B823" s="654" t="s">
        <v>6893</v>
      </c>
      <c r="C823" s="655">
        <f t="shared" si="342"/>
        <v>0</v>
      </c>
      <c r="D823" s="655">
        <f t="shared" si="342"/>
        <v>0</v>
      </c>
      <c r="E823" s="655">
        <f t="shared" si="342"/>
        <v>0</v>
      </c>
    </row>
    <row r="824" spans="1:5" ht="12" hidden="1" outlineLevel="1" x14ac:dyDescent="0.25">
      <c r="A824" s="85" t="s">
        <v>6872</v>
      </c>
      <c r="B824" s="654" t="s">
        <v>6894</v>
      </c>
      <c r="C824" s="656">
        <f t="shared" si="342"/>
        <v>0</v>
      </c>
      <c r="D824" s="656">
        <f t="shared" si="342"/>
        <v>0</v>
      </c>
      <c r="E824" s="656">
        <f t="shared" si="342"/>
        <v>0</v>
      </c>
    </row>
    <row r="825" spans="1:5" ht="12" hidden="1" outlineLevel="1" x14ac:dyDescent="0.25">
      <c r="A825" s="85" t="s">
        <v>6873</v>
      </c>
      <c r="B825" s="654" t="s">
        <v>6895</v>
      </c>
      <c r="C825" s="656">
        <f t="shared" si="342"/>
        <v>0</v>
      </c>
      <c r="D825" s="656">
        <f t="shared" si="342"/>
        <v>0</v>
      </c>
      <c r="E825" s="656">
        <f t="shared" si="342"/>
        <v>0</v>
      </c>
    </row>
    <row r="826" spans="1:5" ht="11.4" hidden="1" outlineLevel="1" x14ac:dyDescent="0.25">
      <c r="A826" s="85" t="s">
        <v>6874</v>
      </c>
      <c r="B826" s="654" t="s">
        <v>6896</v>
      </c>
      <c r="C826" s="656">
        <f t="shared" si="342"/>
        <v>0</v>
      </c>
      <c r="D826" s="656">
        <f t="shared" si="342"/>
        <v>0</v>
      </c>
      <c r="E826" s="656">
        <f t="shared" si="342"/>
        <v>0</v>
      </c>
    </row>
    <row r="827" spans="1:5" ht="11.4" hidden="1" outlineLevel="1" x14ac:dyDescent="0.25">
      <c r="A827" s="85" t="s">
        <v>6875</v>
      </c>
      <c r="B827" s="654" t="s">
        <v>6897</v>
      </c>
      <c r="C827" s="656">
        <f t="shared" si="342"/>
        <v>0</v>
      </c>
      <c r="D827" s="656">
        <f t="shared" si="342"/>
        <v>0</v>
      </c>
      <c r="E827" s="656">
        <f t="shared" si="342"/>
        <v>0</v>
      </c>
    </row>
    <row r="828" spans="1:5" ht="11.4" hidden="1" outlineLevel="1" x14ac:dyDescent="0.25">
      <c r="A828" s="85" t="s">
        <v>6812</v>
      </c>
      <c r="B828" s="483" t="s">
        <v>6898</v>
      </c>
      <c r="C828" s="408">
        <f t="shared" si="342"/>
        <v>0</v>
      </c>
      <c r="D828" s="408">
        <f t="shared" si="342"/>
        <v>0</v>
      </c>
      <c r="E828" s="408">
        <f t="shared" si="342"/>
        <v>0</v>
      </c>
    </row>
    <row r="829" spans="1:5" ht="12" hidden="1" outlineLevel="1" x14ac:dyDescent="0.25">
      <c r="A829" s="85" t="s">
        <v>6876</v>
      </c>
      <c r="B829" s="650" t="s">
        <v>6899</v>
      </c>
      <c r="C829" s="651">
        <f t="shared" si="342"/>
        <v>0</v>
      </c>
      <c r="D829" s="651">
        <f t="shared" si="342"/>
        <v>0</v>
      </c>
      <c r="E829" s="651">
        <f t="shared" si="342"/>
        <v>0</v>
      </c>
    </row>
    <row r="830" spans="1:5" ht="11.4" hidden="1" outlineLevel="1" x14ac:dyDescent="0.25">
      <c r="A830" s="85" t="s">
        <v>6877</v>
      </c>
      <c r="B830" s="56" t="s">
        <v>6900</v>
      </c>
      <c r="C830" s="81">
        <f t="shared" ref="C830" si="343">SUM(C820:C829)</f>
        <v>0</v>
      </c>
      <c r="D830" s="81">
        <f t="shared" ref="D830:E830" si="344">SUM(D820:D829)</f>
        <v>0</v>
      </c>
      <c r="E830" s="81">
        <f t="shared" si="344"/>
        <v>0</v>
      </c>
    </row>
    <row r="831" spans="1:5" hidden="1" outlineLevel="1" x14ac:dyDescent="0.2"/>
    <row r="832" spans="1:5" ht="11.4" hidden="1" outlineLevel="1" x14ac:dyDescent="0.25">
      <c r="A832" s="85" t="s">
        <v>6878</v>
      </c>
      <c r="B832" s="56" t="s">
        <v>6901</v>
      </c>
      <c r="C832" s="81">
        <f t="shared" ref="C832" si="345">C818+C830</f>
        <v>0</v>
      </c>
      <c r="D832" s="81">
        <f t="shared" ref="D832:E832" si="346">D818+D830</f>
        <v>0</v>
      </c>
      <c r="E832" s="81">
        <f t="shared" si="346"/>
        <v>0</v>
      </c>
    </row>
    <row r="833" spans="1:5" collapsed="1" x14ac:dyDescent="0.2">
      <c r="B833" s="82"/>
      <c r="C833" s="83"/>
      <c r="D833" s="83"/>
      <c r="E833" s="83"/>
    </row>
    <row r="834" spans="1:5" s="345" customFormat="1" ht="20.399999999999999" x14ac:dyDescent="0.3">
      <c r="A834" s="342"/>
      <c r="B834" s="455" t="s">
        <v>547</v>
      </c>
      <c r="C834" s="344" t="str">
        <f>C$3</f>
        <v>BUSTO ARSIZIO</v>
      </c>
      <c r="D834" s="344" t="str">
        <f>D$3</f>
        <v>FAGNANO OLONA</v>
      </c>
      <c r="E834" s="344" t="str">
        <f>E$3</f>
        <v>VENEGONO SUPERIORE</v>
      </c>
    </row>
    <row r="835" spans="1:5" x14ac:dyDescent="0.2">
      <c r="B835" s="79">
        <v>2026</v>
      </c>
    </row>
    <row r="836" spans="1:5" ht="11.4" x14ac:dyDescent="0.25">
      <c r="A836" s="85" t="s">
        <v>3030</v>
      </c>
      <c r="B836" s="209" t="s">
        <v>3085</v>
      </c>
      <c r="C836" s="206">
        <f t="shared" ref="C836:E837" si="347">INDEX($A$3:$E$833,MATCH($A836,$A$3:$A$833,0),MATCH(C$542,$A$3:$E$3,0))</f>
        <v>315566.36782700795</v>
      </c>
      <c r="D836" s="206">
        <f t="shared" si="347"/>
        <v>0</v>
      </c>
      <c r="E836" s="206">
        <f t="shared" si="347"/>
        <v>0</v>
      </c>
    </row>
    <row r="837" spans="1:5" ht="11.4" x14ac:dyDescent="0.25">
      <c r="A837" s="85" t="s">
        <v>3028</v>
      </c>
      <c r="B837" s="211" t="s">
        <v>3086</v>
      </c>
      <c r="C837" s="212">
        <f t="shared" si="347"/>
        <v>0</v>
      </c>
      <c r="D837" s="212">
        <f t="shared" si="347"/>
        <v>0</v>
      </c>
      <c r="E837" s="212">
        <f t="shared" si="347"/>
        <v>0</v>
      </c>
    </row>
    <row r="838" spans="1:5" ht="11.4" x14ac:dyDescent="0.25">
      <c r="A838" s="85" t="s">
        <v>3077</v>
      </c>
      <c r="B838" s="56" t="s">
        <v>3087</v>
      </c>
      <c r="C838" s="81">
        <f>C836+C837</f>
        <v>315566.36782700795</v>
      </c>
      <c r="D838" s="81">
        <f>D836+D837</f>
        <v>0</v>
      </c>
      <c r="E838" s="81">
        <f>E836+E837</f>
        <v>0</v>
      </c>
    </row>
    <row r="839" spans="1:5" ht="11.4" x14ac:dyDescent="0.25">
      <c r="A839" s="85" t="s">
        <v>3031</v>
      </c>
      <c r="B839" s="209" t="s">
        <v>3088</v>
      </c>
      <c r="C839" s="210">
        <f t="shared" ref="C839:E840" si="348">INDEX($A$3:$E$833,MATCH($A839,$A$3:$A$833,0),MATCH(C$542,$A$3:$E$3,0))</f>
        <v>223989.91151016203</v>
      </c>
      <c r="D839" s="210">
        <f t="shared" si="348"/>
        <v>0</v>
      </c>
      <c r="E839" s="210">
        <f t="shared" si="348"/>
        <v>0</v>
      </c>
    </row>
    <row r="840" spans="1:5" ht="11.4" x14ac:dyDescent="0.25">
      <c r="A840" s="85" t="s">
        <v>3053</v>
      </c>
      <c r="B840" s="211" t="s">
        <v>3089</v>
      </c>
      <c r="C840" s="212">
        <f t="shared" si="348"/>
        <v>0</v>
      </c>
      <c r="D840" s="212">
        <f t="shared" si="348"/>
        <v>0</v>
      </c>
      <c r="E840" s="212">
        <f t="shared" si="348"/>
        <v>0</v>
      </c>
    </row>
    <row r="841" spans="1:5" ht="11.4" x14ac:dyDescent="0.25">
      <c r="A841" s="85" t="s">
        <v>3078</v>
      </c>
      <c r="B841" s="56" t="s">
        <v>3090</v>
      </c>
      <c r="C841" s="81">
        <f>C839+C840</f>
        <v>223989.91151016203</v>
      </c>
      <c r="D841" s="81">
        <f>D839+D840</f>
        <v>0</v>
      </c>
      <c r="E841" s="81">
        <f>E839+E840</f>
        <v>0</v>
      </c>
    </row>
    <row r="843" spans="1:5" x14ac:dyDescent="0.2">
      <c r="B843" s="79">
        <v>2027</v>
      </c>
    </row>
    <row r="844" spans="1:5" ht="11.4" x14ac:dyDescent="0.25">
      <c r="A844" s="85" t="s">
        <v>3035</v>
      </c>
      <c r="B844" s="209" t="s">
        <v>3091</v>
      </c>
      <c r="C844" s="210">
        <f t="shared" ref="C844:E845" si="349">INDEX($A$3:$E$833,MATCH($A844,$A$3:$A$833,0),MATCH(C$542,$A$3:$E$3,0))</f>
        <v>831700.8566887714</v>
      </c>
      <c r="D844" s="210">
        <f t="shared" si="349"/>
        <v>0</v>
      </c>
      <c r="E844" s="210">
        <f t="shared" si="349"/>
        <v>0</v>
      </c>
    </row>
    <row r="845" spans="1:5" ht="11.4" x14ac:dyDescent="0.25">
      <c r="A845" s="85" t="s">
        <v>3055</v>
      </c>
      <c r="B845" s="211" t="s">
        <v>3092</v>
      </c>
      <c r="C845" s="212">
        <f t="shared" si="349"/>
        <v>0</v>
      </c>
      <c r="D845" s="212">
        <f t="shared" si="349"/>
        <v>0</v>
      </c>
      <c r="E845" s="212">
        <f t="shared" si="349"/>
        <v>0</v>
      </c>
    </row>
    <row r="846" spans="1:5" ht="11.4" x14ac:dyDescent="0.25">
      <c r="A846" s="85" t="s">
        <v>3079</v>
      </c>
      <c r="B846" s="56" t="s">
        <v>3093</v>
      </c>
      <c r="C846" s="81">
        <f>C844+C845</f>
        <v>831700.8566887714</v>
      </c>
      <c r="D846" s="81">
        <f>D844+D845</f>
        <v>0</v>
      </c>
      <c r="E846" s="81">
        <f>E844+E845</f>
        <v>0</v>
      </c>
    </row>
    <row r="847" spans="1:5" ht="11.4" x14ac:dyDescent="0.25">
      <c r="A847" s="85" t="s">
        <v>3037</v>
      </c>
      <c r="B847" s="209" t="s">
        <v>3094</v>
      </c>
      <c r="C847" s="210">
        <f t="shared" ref="C847:E848" si="350">INDEX($A$3:$E$833,MATCH($A847,$A$3:$A$833,0),MATCH(C$542,$A$3:$E$3,0))</f>
        <v>601543.91975124355</v>
      </c>
      <c r="D847" s="210">
        <f t="shared" si="350"/>
        <v>0</v>
      </c>
      <c r="E847" s="210">
        <f t="shared" si="350"/>
        <v>0</v>
      </c>
    </row>
    <row r="848" spans="1:5" ht="11.4" x14ac:dyDescent="0.25">
      <c r="A848" s="85" t="s">
        <v>3056</v>
      </c>
      <c r="B848" s="211" t="s">
        <v>3095</v>
      </c>
      <c r="C848" s="212">
        <f t="shared" si="350"/>
        <v>0</v>
      </c>
      <c r="D848" s="212">
        <f t="shared" si="350"/>
        <v>0</v>
      </c>
      <c r="E848" s="212">
        <f t="shared" si="350"/>
        <v>0</v>
      </c>
    </row>
    <row r="849" spans="1:5" ht="11.4" x14ac:dyDescent="0.25">
      <c r="A849" s="85" t="s">
        <v>3080</v>
      </c>
      <c r="B849" s="56" t="s">
        <v>3096</v>
      </c>
      <c r="C849" s="81">
        <f>C847+C848</f>
        <v>601543.91975124355</v>
      </c>
      <c r="D849" s="81">
        <f>D847+D848</f>
        <v>0</v>
      </c>
      <c r="E849" s="81">
        <f>E847+E848</f>
        <v>0</v>
      </c>
    </row>
    <row r="851" spans="1:5" x14ac:dyDescent="0.2">
      <c r="B851" s="79">
        <v>2028</v>
      </c>
    </row>
    <row r="852" spans="1:5" ht="11.4" x14ac:dyDescent="0.25">
      <c r="A852" s="85" t="s">
        <v>3041</v>
      </c>
      <c r="B852" s="209" t="s">
        <v>3097</v>
      </c>
      <c r="C852" s="210">
        <f t="shared" ref="C852:E853" si="351">INDEX($A$3:$E$833,MATCH($A852,$A$3:$A$833,0),MATCH(C$542,$A$3:$E$3,0))</f>
        <v>338035.39975581953</v>
      </c>
      <c r="D852" s="210">
        <f t="shared" si="351"/>
        <v>0</v>
      </c>
      <c r="E852" s="210">
        <f t="shared" si="351"/>
        <v>0</v>
      </c>
    </row>
    <row r="853" spans="1:5" ht="11.4" x14ac:dyDescent="0.25">
      <c r="A853" s="85" t="s">
        <v>3058</v>
      </c>
      <c r="B853" s="211" t="s">
        <v>3098</v>
      </c>
      <c r="C853" s="212">
        <f t="shared" si="351"/>
        <v>0</v>
      </c>
      <c r="D853" s="212">
        <f t="shared" si="351"/>
        <v>0</v>
      </c>
      <c r="E853" s="212">
        <f t="shared" si="351"/>
        <v>0</v>
      </c>
    </row>
    <row r="854" spans="1:5" ht="11.4" x14ac:dyDescent="0.25">
      <c r="A854" s="85" t="s">
        <v>3081</v>
      </c>
      <c r="B854" s="56" t="s">
        <v>3099</v>
      </c>
      <c r="C854" s="81">
        <f>C852+C853</f>
        <v>338035.39975581953</v>
      </c>
      <c r="D854" s="81">
        <f>D852+D853</f>
        <v>0</v>
      </c>
      <c r="E854" s="81">
        <f>E852+E853</f>
        <v>0</v>
      </c>
    </row>
    <row r="855" spans="1:5" ht="11.4" x14ac:dyDescent="0.25">
      <c r="A855" s="85" t="s">
        <v>3043</v>
      </c>
      <c r="B855" s="209" t="s">
        <v>3100</v>
      </c>
      <c r="C855" s="210">
        <f t="shared" ref="C855:E856" si="352">INDEX($A$3:$E$833,MATCH($A855,$A$3:$A$833,0),MATCH(C$542,$A$3:$E$3,0))</f>
        <v>321686.84789391904</v>
      </c>
      <c r="D855" s="210">
        <f t="shared" si="352"/>
        <v>0</v>
      </c>
      <c r="E855" s="210">
        <f t="shared" si="352"/>
        <v>0</v>
      </c>
    </row>
    <row r="856" spans="1:5" ht="11.4" x14ac:dyDescent="0.25">
      <c r="A856" s="85" t="s">
        <v>3059</v>
      </c>
      <c r="B856" s="211" t="s">
        <v>3101</v>
      </c>
      <c r="C856" s="212">
        <f t="shared" si="352"/>
        <v>0</v>
      </c>
      <c r="D856" s="212">
        <f t="shared" si="352"/>
        <v>0</v>
      </c>
      <c r="E856" s="212">
        <f t="shared" si="352"/>
        <v>0</v>
      </c>
    </row>
    <row r="857" spans="1:5" ht="11.4" x14ac:dyDescent="0.25">
      <c r="A857" s="85" t="s">
        <v>3082</v>
      </c>
      <c r="B857" s="56" t="s">
        <v>3102</v>
      </c>
      <c r="C857" s="81">
        <f>C855+C856</f>
        <v>321686.84789391904</v>
      </c>
      <c r="D857" s="81">
        <f>D855+D856</f>
        <v>0</v>
      </c>
      <c r="E857" s="81">
        <f>E855+E856</f>
        <v>0</v>
      </c>
    </row>
    <row r="859" spans="1:5" x14ac:dyDescent="0.2">
      <c r="B859" s="79">
        <v>2029</v>
      </c>
    </row>
    <row r="860" spans="1:5" ht="11.4" x14ac:dyDescent="0.25">
      <c r="A860" s="85" t="s">
        <v>3047</v>
      </c>
      <c r="B860" s="209" t="s">
        <v>3103</v>
      </c>
      <c r="C860" s="210">
        <f t="shared" ref="C860:E861" si="353">INDEX($A$3:$E$833,MATCH($A860,$A$3:$A$833,0),MATCH(C$542,$A$3:$E$3,0))</f>
        <v>0</v>
      </c>
      <c r="D860" s="210">
        <f t="shared" si="353"/>
        <v>0</v>
      </c>
      <c r="E860" s="210">
        <f t="shared" si="353"/>
        <v>0</v>
      </c>
    </row>
    <row r="861" spans="1:5" ht="11.4" x14ac:dyDescent="0.25">
      <c r="A861" s="85" t="s">
        <v>3061</v>
      </c>
      <c r="B861" s="211" t="s">
        <v>3104</v>
      </c>
      <c r="C861" s="212">
        <f t="shared" si="353"/>
        <v>0</v>
      </c>
      <c r="D861" s="212">
        <f t="shared" si="353"/>
        <v>0</v>
      </c>
      <c r="E861" s="212">
        <f t="shared" si="353"/>
        <v>0</v>
      </c>
    </row>
    <row r="862" spans="1:5" ht="11.4" x14ac:dyDescent="0.25">
      <c r="A862" s="85" t="s">
        <v>3083</v>
      </c>
      <c r="B862" s="56" t="s">
        <v>3105</v>
      </c>
      <c r="C862" s="81">
        <f>C860+C861</f>
        <v>0</v>
      </c>
      <c r="D862" s="81">
        <f>D860+D861</f>
        <v>0</v>
      </c>
      <c r="E862" s="81">
        <f>E860+E861</f>
        <v>0</v>
      </c>
    </row>
    <row r="863" spans="1:5" ht="11.4" x14ac:dyDescent="0.25">
      <c r="A863" s="85" t="s">
        <v>3049</v>
      </c>
      <c r="B863" s="209" t="s">
        <v>3106</v>
      </c>
      <c r="C863" s="210">
        <f t="shared" ref="C863:E864" si="354">INDEX($A$3:$E$833,MATCH($A863,$A$3:$A$833,0),MATCH(C$542,$A$3:$E$3,0))</f>
        <v>0</v>
      </c>
      <c r="D863" s="210">
        <f t="shared" si="354"/>
        <v>0</v>
      </c>
      <c r="E863" s="210">
        <f t="shared" si="354"/>
        <v>0</v>
      </c>
    </row>
    <row r="864" spans="1:5" ht="11.4" x14ac:dyDescent="0.25">
      <c r="A864" s="85" t="s">
        <v>3062</v>
      </c>
      <c r="B864" s="211" t="s">
        <v>3107</v>
      </c>
      <c r="C864" s="212">
        <f t="shared" si="354"/>
        <v>0</v>
      </c>
      <c r="D864" s="212">
        <f t="shared" si="354"/>
        <v>0</v>
      </c>
      <c r="E864" s="212">
        <f t="shared" si="354"/>
        <v>0</v>
      </c>
    </row>
    <row r="865" spans="1:5" ht="11.4" x14ac:dyDescent="0.25">
      <c r="A865" s="85" t="s">
        <v>3084</v>
      </c>
      <c r="B865" s="56" t="s">
        <v>3108</v>
      </c>
      <c r="C865" s="81">
        <f>C863+C864</f>
        <v>0</v>
      </c>
      <c r="D865" s="81">
        <f>D863+D864</f>
        <v>0</v>
      </c>
      <c r="E865" s="81">
        <f>E863+E864</f>
        <v>0</v>
      </c>
    </row>
    <row r="867" spans="1:5" x14ac:dyDescent="0.2">
      <c r="B867" s="79" t="s">
        <v>5965</v>
      </c>
    </row>
    <row r="868" spans="1:5" ht="11.4" x14ac:dyDescent="0.25">
      <c r="A868" s="85" t="s">
        <v>6843</v>
      </c>
      <c r="B868" s="209" t="s">
        <v>6929</v>
      </c>
      <c r="C868" s="210">
        <f t="shared" ref="C868:E869" si="355">INDEX($A$3:$E$833,MATCH($A868,$A$3:$A$833,0),MATCH(C$542,$A$3:$E$3,0))</f>
        <v>0</v>
      </c>
      <c r="D868" s="210">
        <f t="shared" si="355"/>
        <v>0</v>
      </c>
      <c r="E868" s="210">
        <f t="shared" si="355"/>
        <v>0</v>
      </c>
    </row>
    <row r="869" spans="1:5" ht="11.4" x14ac:dyDescent="0.25">
      <c r="A869" s="85" t="s">
        <v>6867</v>
      </c>
      <c r="B869" s="211" t="s">
        <v>6930</v>
      </c>
      <c r="C869" s="212">
        <f t="shared" si="355"/>
        <v>0</v>
      </c>
      <c r="D869" s="212">
        <f t="shared" si="355"/>
        <v>0</v>
      </c>
      <c r="E869" s="212">
        <f t="shared" si="355"/>
        <v>0</v>
      </c>
    </row>
    <row r="870" spans="1:5" ht="11.4" x14ac:dyDescent="0.25">
      <c r="A870" s="85" t="s">
        <v>6935</v>
      </c>
      <c r="B870" s="56" t="s">
        <v>6931</v>
      </c>
      <c r="C870" s="81">
        <f>C868+C869</f>
        <v>0</v>
      </c>
      <c r="D870" s="81">
        <f>D868+D869</f>
        <v>0</v>
      </c>
      <c r="E870" s="81">
        <f>E868+E869</f>
        <v>0</v>
      </c>
    </row>
    <row r="871" spans="1:5" ht="11.4" x14ac:dyDescent="0.25">
      <c r="A871" s="85" t="s">
        <v>6852</v>
      </c>
      <c r="B871" s="209" t="s">
        <v>6932</v>
      </c>
      <c r="C871" s="210">
        <f t="shared" ref="C871:E872" si="356">INDEX($A$3:$E$833,MATCH($A871,$A$3:$A$833,0),MATCH(C$542,$A$3:$E$3,0))</f>
        <v>0</v>
      </c>
      <c r="D871" s="210">
        <f t="shared" si="356"/>
        <v>0</v>
      </c>
      <c r="E871" s="210">
        <f t="shared" si="356"/>
        <v>0</v>
      </c>
    </row>
    <row r="872" spans="1:5" ht="11.4" x14ac:dyDescent="0.25">
      <c r="A872" s="85" t="s">
        <v>6877</v>
      </c>
      <c r="B872" s="211" t="s">
        <v>6933</v>
      </c>
      <c r="C872" s="212">
        <f t="shared" si="356"/>
        <v>0</v>
      </c>
      <c r="D872" s="212">
        <f t="shared" si="356"/>
        <v>0</v>
      </c>
      <c r="E872" s="212">
        <f t="shared" si="356"/>
        <v>0</v>
      </c>
    </row>
    <row r="873" spans="1:5" ht="11.4" x14ac:dyDescent="0.25">
      <c r="A873" s="85" t="s">
        <v>6936</v>
      </c>
      <c r="B873" s="56" t="s">
        <v>6934</v>
      </c>
      <c r="C873" s="81">
        <f>C871+C872</f>
        <v>0</v>
      </c>
      <c r="D873" s="81">
        <f>D871+D872</f>
        <v>0</v>
      </c>
      <c r="E873" s="81">
        <f>E871+E872</f>
        <v>0</v>
      </c>
    </row>
  </sheetData>
  <pageMargins left="0.7" right="0.7" top="0.75" bottom="0.75" header="0.3" footer="0.3"/>
  <pageSetup paperSize="9" orientation="portrait" r:id="rId1"/>
  <ignoredErrors>
    <ignoredError sqref="C128 C140 C91 C79" formula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01DF9-1CC6-4CDA-AD9E-DE24AD1EFAB3}">
  <sheetPr codeName="Foglio21">
    <tabColor rgb="FFFFFFCC"/>
  </sheetPr>
  <dimension ref="A1:E1192"/>
  <sheetViews>
    <sheetView showGridLines="0" workbookViewId="0">
      <pane xSplit="2" ySplit="3" topLeftCell="C1070" activePane="bottomRight" state="frozen"/>
      <selection pane="topRight" activeCell="C1" sqref="C1"/>
      <selection pane="bottomLeft" activeCell="A4" sqref="A4"/>
      <selection pane="bottomRight" activeCell="E1" sqref="E1:E1048576"/>
    </sheetView>
  </sheetViews>
  <sheetFormatPr defaultColWidth="9.109375" defaultRowHeight="10.199999999999999" outlineLevelRow="1" x14ac:dyDescent="0.2"/>
  <cols>
    <col min="1" max="1" width="25.44140625" style="85" bestFit="1" customWidth="1"/>
    <col min="2" max="2" width="69" style="51" bestFit="1" customWidth="1"/>
    <col min="3" max="5" width="12.6640625" style="51" customWidth="1"/>
    <col min="6" max="16384" width="9.109375" style="51"/>
  </cols>
  <sheetData>
    <row r="1" spans="1:5" x14ac:dyDescent="0.2">
      <c r="B1" s="454" t="s">
        <v>3109</v>
      </c>
      <c r="C1" s="61"/>
      <c r="D1" s="61"/>
      <c r="E1" s="61"/>
    </row>
    <row r="2" spans="1:5" x14ac:dyDescent="0.2">
      <c r="C2" s="84"/>
      <c r="D2" s="84"/>
      <c r="E2" s="84"/>
    </row>
    <row r="3" spans="1:5" s="345" customFormat="1" ht="20.399999999999999" x14ac:dyDescent="0.3">
      <c r="A3" s="342"/>
      <c r="B3" s="343"/>
      <c r="C3" s="344" t="str">
        <f>Ambiti!B4</f>
        <v>BUSTO ARSIZIO</v>
      </c>
      <c r="D3" s="344" t="str">
        <f>Ambiti!C4</f>
        <v>FAGNANO OLONA</v>
      </c>
      <c r="E3" s="344" t="str">
        <f>Ambiti!D4</f>
        <v>VENEGONO SUPERIORE</v>
      </c>
    </row>
    <row r="5" spans="1:5" x14ac:dyDescent="0.2">
      <c r="B5" s="79">
        <v>2026</v>
      </c>
    </row>
    <row r="6" spans="1:5" ht="11.4" outlineLevel="1" x14ac:dyDescent="0.25">
      <c r="A6" s="85" t="s">
        <v>3111</v>
      </c>
      <c r="B6" s="209" t="s">
        <v>3410</v>
      </c>
      <c r="C6" s="210">
        <f>INDEX(PEF_GEST_26!$A$3:$AAA$50,MATCH($A6,PEF_GEST_26!$A$3:$A$50,0),MATCH(C$3,PEF_GEST_26!$A$3:$AAA$3,0))</f>
        <v>1177705.7897880001</v>
      </c>
      <c r="D6" s="210">
        <f>INDEX(PEF_GEST_26!$A$3:$AAA$50,MATCH($A6,PEF_GEST_26!$A$3:$A$50,0),MATCH(D$3,PEF_GEST_26!$A$3:$AAA$3,0))</f>
        <v>121561.6094088</v>
      </c>
      <c r="E6" s="210">
        <f>INDEX(PEF_GEST_26!$A$3:$AAA$50,MATCH($A6,PEF_GEST_26!$A$3:$A$50,0),MATCH(E$3,PEF_GEST_26!$A$3:$AAA$3,0))</f>
        <v>0</v>
      </c>
    </row>
    <row r="7" spans="1:5" ht="11.4" outlineLevel="1" x14ac:dyDescent="0.25">
      <c r="A7" s="85" t="s">
        <v>3112</v>
      </c>
      <c r="B7" s="657" t="s">
        <v>3411</v>
      </c>
      <c r="C7" s="659">
        <v>0</v>
      </c>
      <c r="D7" s="659">
        <v>0</v>
      </c>
      <c r="E7" s="659">
        <v>0</v>
      </c>
    </row>
    <row r="8" spans="1:5" ht="11.4" outlineLevel="1" x14ac:dyDescent="0.25">
      <c r="A8" s="85" t="s">
        <v>3113</v>
      </c>
      <c r="B8" s="204" t="s">
        <v>3412</v>
      </c>
      <c r="C8" s="658">
        <f>C6-C7</f>
        <v>1177705.7897880001</v>
      </c>
      <c r="D8" s="658">
        <f>D6-D7</f>
        <v>121561.6094088</v>
      </c>
      <c r="E8" s="658">
        <f>E6-E7</f>
        <v>0</v>
      </c>
    </row>
    <row r="9" spans="1:5" ht="11.4" outlineLevel="1" x14ac:dyDescent="0.25">
      <c r="A9" s="85" t="s">
        <v>3114</v>
      </c>
      <c r="B9" s="209" t="s">
        <v>3413</v>
      </c>
      <c r="C9" s="210">
        <f>INDEX(PEF_COM_26!$A$3:$AAA$50,MATCH($A9,PEF_COM_26!$A$3:$A$50,0),MATCH(C$3,PEF_COM_26!$A$3:$AAA$3,0))</f>
        <v>0</v>
      </c>
      <c r="D9" s="210">
        <f>INDEX(PEF_COM_26!$A$3:$AAA$50,MATCH($A9,PEF_COM_26!$A$3:$A$50,0),MATCH(D$3,PEF_COM_26!$A$3:$AAA$3,0))</f>
        <v>0</v>
      </c>
      <c r="E9" s="210">
        <f>INDEX(PEF_COM_26!$A$3:$AAA$50,MATCH($A9,PEF_COM_26!$A$3:$A$50,0),MATCH(E$3,PEF_COM_26!$A$3:$AAA$3,0))</f>
        <v>0</v>
      </c>
    </row>
    <row r="10" spans="1:5" ht="11.4" outlineLevel="1" x14ac:dyDescent="0.25">
      <c r="A10" s="85" t="s">
        <v>3115</v>
      </c>
      <c r="B10" s="657" t="s">
        <v>3414</v>
      </c>
      <c r="C10" s="659">
        <v>0</v>
      </c>
      <c r="D10" s="659">
        <v>0</v>
      </c>
      <c r="E10" s="659">
        <v>0</v>
      </c>
    </row>
    <row r="11" spans="1:5" ht="11.4" outlineLevel="1" x14ac:dyDescent="0.25">
      <c r="A11" s="85" t="s">
        <v>3116</v>
      </c>
      <c r="B11" s="204" t="s">
        <v>3415</v>
      </c>
      <c r="C11" s="658">
        <f>C9-C10</f>
        <v>0</v>
      </c>
      <c r="D11" s="658">
        <f>D9-D10</f>
        <v>0</v>
      </c>
      <c r="E11" s="658">
        <f>E9-E10</f>
        <v>0</v>
      </c>
    </row>
    <row r="12" spans="1:5" outlineLevel="1" x14ac:dyDescent="0.2">
      <c r="B12" s="137"/>
      <c r="C12" s="662"/>
      <c r="D12" s="662"/>
      <c r="E12" s="662"/>
    </row>
    <row r="13" spans="1:5" ht="11.4" outlineLevel="1" x14ac:dyDescent="0.25">
      <c r="A13" s="85" t="s">
        <v>3117</v>
      </c>
      <c r="B13" s="209" t="s">
        <v>3416</v>
      </c>
      <c r="C13" s="210">
        <f>INDEX(PEF_GEST_26!$A$3:$AAA$50,MATCH($A13,PEF_GEST_26!$A$3:$A$50,0),MATCH(C$3,PEF_GEST_26!$A$3:$AAA$3,0))</f>
        <v>0</v>
      </c>
      <c r="D13" s="210">
        <f>INDEX(PEF_GEST_26!$A$3:$AAA$50,MATCH($A13,PEF_GEST_26!$A$3:$A$50,0),MATCH(D$3,PEF_GEST_26!$A$3:$AAA$3,0))</f>
        <v>189.21991440000002</v>
      </c>
      <c r="E13" s="210">
        <f>INDEX(PEF_GEST_26!$A$3:$AAA$50,MATCH($A13,PEF_GEST_26!$A$3:$A$50,0),MATCH(E$3,PEF_GEST_26!$A$3:$AAA$3,0))</f>
        <v>0</v>
      </c>
    </row>
    <row r="14" spans="1:5" ht="11.4" outlineLevel="1" x14ac:dyDescent="0.25">
      <c r="A14" s="85" t="s">
        <v>3118</v>
      </c>
      <c r="B14" s="657" t="s">
        <v>3417</v>
      </c>
      <c r="C14" s="659">
        <v>0</v>
      </c>
      <c r="D14" s="659">
        <v>0</v>
      </c>
      <c r="E14" s="659">
        <v>0</v>
      </c>
    </row>
    <row r="15" spans="1:5" ht="11.4" outlineLevel="1" x14ac:dyDescent="0.25">
      <c r="A15" s="85" t="s">
        <v>3119</v>
      </c>
      <c r="B15" s="204" t="s">
        <v>3418</v>
      </c>
      <c r="C15" s="658">
        <f>C13-C14</f>
        <v>0</v>
      </c>
      <c r="D15" s="658">
        <f>D13-D14</f>
        <v>189.21991440000002</v>
      </c>
      <c r="E15" s="658">
        <f>E13-E14</f>
        <v>0</v>
      </c>
    </row>
    <row r="16" spans="1:5" ht="11.4" outlineLevel="1" x14ac:dyDescent="0.25">
      <c r="A16" s="85" t="s">
        <v>3120</v>
      </c>
      <c r="B16" s="209" t="s">
        <v>3419</v>
      </c>
      <c r="C16" s="210">
        <f>INDEX(PEF_COM_26!$A$3:$AAA$50,MATCH($A16,PEF_COM_26!$A$3:$A$50,0),MATCH(C$3,PEF_COM_26!$A$3:$AAA$3,0))</f>
        <v>0</v>
      </c>
      <c r="D16" s="210">
        <f>INDEX(PEF_COM_26!$A$3:$AAA$50,MATCH($A16,PEF_COM_26!$A$3:$A$50,0),MATCH(D$3,PEF_COM_26!$A$3:$AAA$3,0))</f>
        <v>0</v>
      </c>
      <c r="E16" s="210">
        <f>INDEX(PEF_COM_26!$A$3:$AAA$50,MATCH($A16,PEF_COM_26!$A$3:$A$50,0),MATCH(E$3,PEF_COM_26!$A$3:$AAA$3,0))</f>
        <v>0</v>
      </c>
    </row>
    <row r="17" spans="1:5" ht="11.4" outlineLevel="1" x14ac:dyDescent="0.25">
      <c r="A17" s="85" t="s">
        <v>3121</v>
      </c>
      <c r="B17" s="657" t="s">
        <v>3420</v>
      </c>
      <c r="C17" s="659">
        <v>0</v>
      </c>
      <c r="D17" s="659">
        <v>0</v>
      </c>
      <c r="E17" s="659">
        <v>0</v>
      </c>
    </row>
    <row r="18" spans="1:5" ht="11.4" outlineLevel="1" x14ac:dyDescent="0.25">
      <c r="A18" s="85" t="s">
        <v>3122</v>
      </c>
      <c r="B18" s="204" t="s">
        <v>3421</v>
      </c>
      <c r="C18" s="658">
        <f>C16-C17</f>
        <v>0</v>
      </c>
      <c r="D18" s="658">
        <f>D16-D17</f>
        <v>0</v>
      </c>
      <c r="E18" s="658">
        <f>E16-E17</f>
        <v>0</v>
      </c>
    </row>
    <row r="19" spans="1:5" outlineLevel="1" x14ac:dyDescent="0.2">
      <c r="B19" s="137"/>
      <c r="C19" s="662"/>
      <c r="D19" s="662"/>
      <c r="E19" s="662"/>
    </row>
    <row r="20" spans="1:5" ht="11.4" outlineLevel="1" x14ac:dyDescent="0.25">
      <c r="A20" s="85" t="s">
        <v>3123</v>
      </c>
      <c r="B20" s="209" t="s">
        <v>3422</v>
      </c>
      <c r="C20" s="210">
        <f>INDEX(PEF_GEST_26!$A$3:$AAA$50,MATCH($A20,PEF_GEST_26!$A$3:$A$50,0),MATCH(C$3,PEF_GEST_26!$A$3:$AAA$3,0))</f>
        <v>3216365.3281056001</v>
      </c>
      <c r="D20" s="210">
        <f>INDEX(PEF_GEST_26!$A$3:$AAA$50,MATCH($A20,PEF_GEST_26!$A$3:$A$50,0),MATCH(D$3,PEF_GEST_26!$A$3:$AAA$3,0))</f>
        <v>564604.21989840001</v>
      </c>
      <c r="E20" s="210">
        <f>INDEX(PEF_GEST_26!$A$3:$AAA$50,MATCH($A20,PEF_GEST_26!$A$3:$A$50,0),MATCH(E$3,PEF_GEST_26!$A$3:$AAA$3,0))</f>
        <v>0</v>
      </c>
    </row>
    <row r="21" spans="1:5" ht="11.4" outlineLevel="1" x14ac:dyDescent="0.25">
      <c r="A21" s="85" t="s">
        <v>3124</v>
      </c>
      <c r="B21" s="657" t="s">
        <v>3423</v>
      </c>
      <c r="C21" s="659">
        <v>0</v>
      </c>
      <c r="D21" s="659">
        <v>0</v>
      </c>
      <c r="E21" s="659">
        <v>0</v>
      </c>
    </row>
    <row r="22" spans="1:5" ht="11.4" outlineLevel="1" x14ac:dyDescent="0.25">
      <c r="A22" s="85" t="s">
        <v>3125</v>
      </c>
      <c r="B22" s="204" t="s">
        <v>3424</v>
      </c>
      <c r="C22" s="658">
        <f>C20-C21</f>
        <v>3216365.3281056001</v>
      </c>
      <c r="D22" s="658">
        <f>D20-D21</f>
        <v>564604.21989840001</v>
      </c>
      <c r="E22" s="658">
        <f>E20-E21</f>
        <v>0</v>
      </c>
    </row>
    <row r="23" spans="1:5" ht="11.4" outlineLevel="1" x14ac:dyDescent="0.25">
      <c r="A23" s="85" t="s">
        <v>3126</v>
      </c>
      <c r="B23" s="209" t="s">
        <v>3425</v>
      </c>
      <c r="C23" s="210">
        <f>INDEX(PEF_COM_26!$A$3:$AAA$50,MATCH($A23,PEF_COM_26!$A$3:$A$50,0),MATCH(C$3,PEF_COM_26!$A$3:$AAA$3,0))</f>
        <v>0</v>
      </c>
      <c r="D23" s="210">
        <f>INDEX(PEF_COM_26!$A$3:$AAA$50,MATCH($A23,PEF_COM_26!$A$3:$A$50,0),MATCH(D$3,PEF_COM_26!$A$3:$AAA$3,0))</f>
        <v>0</v>
      </c>
      <c r="E23" s="210">
        <f>INDEX(PEF_COM_26!$A$3:$AAA$50,MATCH($A23,PEF_COM_26!$A$3:$A$50,0),MATCH(E$3,PEF_COM_26!$A$3:$AAA$3,0))</f>
        <v>0</v>
      </c>
    </row>
    <row r="24" spans="1:5" ht="11.4" outlineLevel="1" x14ac:dyDescent="0.25">
      <c r="A24" s="85" t="s">
        <v>3127</v>
      </c>
      <c r="B24" s="657" t="s">
        <v>3426</v>
      </c>
      <c r="C24" s="659">
        <v>0</v>
      </c>
      <c r="D24" s="659">
        <v>0</v>
      </c>
      <c r="E24" s="659">
        <v>0</v>
      </c>
    </row>
    <row r="25" spans="1:5" ht="11.4" outlineLevel="1" x14ac:dyDescent="0.25">
      <c r="A25" s="85" t="s">
        <v>3128</v>
      </c>
      <c r="B25" s="204" t="s">
        <v>3427</v>
      </c>
      <c r="C25" s="658">
        <f>C23-C24</f>
        <v>0</v>
      </c>
      <c r="D25" s="658">
        <f>D23-D24</f>
        <v>0</v>
      </c>
      <c r="E25" s="658">
        <f>E23-E24</f>
        <v>0</v>
      </c>
    </row>
    <row r="26" spans="1:5" outlineLevel="1" x14ac:dyDescent="0.2">
      <c r="B26" s="137"/>
      <c r="C26" s="662"/>
      <c r="D26" s="662"/>
      <c r="E26" s="662"/>
    </row>
    <row r="27" spans="1:5" ht="11.4" outlineLevel="1" x14ac:dyDescent="0.25">
      <c r="A27" s="85" t="s">
        <v>3129</v>
      </c>
      <c r="B27" s="209" t="s">
        <v>3428</v>
      </c>
      <c r="C27" s="210">
        <f>INDEX(PEF_GEST_26!$A$3:$AAA$50,MATCH($A27,PEF_GEST_26!$A$3:$A$50,0),MATCH(C$3,PEF_GEST_26!$A$3:$AAA$3,0))</f>
        <v>4395004.8099407991</v>
      </c>
      <c r="D27" s="210">
        <f>INDEX(PEF_GEST_26!$A$3:$AAA$50,MATCH($A27,PEF_GEST_26!$A$3:$A$50,0),MATCH(D$3,PEF_GEST_26!$A$3:$AAA$3,0))</f>
        <v>434936.80137600005</v>
      </c>
      <c r="E27" s="210">
        <f>INDEX(PEF_GEST_26!$A$3:$AAA$50,MATCH($A27,PEF_GEST_26!$A$3:$A$50,0),MATCH(E$3,PEF_GEST_26!$A$3:$AAA$3,0))</f>
        <v>0</v>
      </c>
    </row>
    <row r="28" spans="1:5" ht="11.4" outlineLevel="1" x14ac:dyDescent="0.25">
      <c r="A28" s="85" t="s">
        <v>3130</v>
      </c>
      <c r="B28" s="657" t="s">
        <v>3429</v>
      </c>
      <c r="C28" s="659">
        <v>0</v>
      </c>
      <c r="D28" s="659">
        <v>0</v>
      </c>
      <c r="E28" s="659">
        <v>0</v>
      </c>
    </row>
    <row r="29" spans="1:5" ht="11.4" outlineLevel="1" x14ac:dyDescent="0.25">
      <c r="A29" s="85" t="s">
        <v>3131</v>
      </c>
      <c r="B29" s="204" t="s">
        <v>3430</v>
      </c>
      <c r="C29" s="658">
        <f>C27-C28</f>
        <v>4395004.8099407991</v>
      </c>
      <c r="D29" s="658">
        <f>D27-D28</f>
        <v>434936.80137600005</v>
      </c>
      <c r="E29" s="658">
        <f>E27-E28</f>
        <v>0</v>
      </c>
    </row>
    <row r="30" spans="1:5" ht="11.4" outlineLevel="1" x14ac:dyDescent="0.25">
      <c r="A30" s="85" t="s">
        <v>3132</v>
      </c>
      <c r="B30" s="209" t="s">
        <v>3431</v>
      </c>
      <c r="C30" s="210">
        <f>INDEX(PEF_COM_26!$A$3:$AAA$50,MATCH($A30,PEF_COM_26!$A$3:$A$50,0),MATCH(C$3,PEF_COM_26!$A$3:$AAA$3,0))</f>
        <v>0</v>
      </c>
      <c r="D30" s="210">
        <f>INDEX(PEF_COM_26!$A$3:$AAA$50,MATCH($A30,PEF_COM_26!$A$3:$A$50,0),MATCH(D$3,PEF_COM_26!$A$3:$AAA$3,0))</f>
        <v>0</v>
      </c>
      <c r="E30" s="210">
        <f>INDEX(PEF_COM_26!$A$3:$AAA$50,MATCH($A30,PEF_COM_26!$A$3:$A$50,0),MATCH(E$3,PEF_COM_26!$A$3:$AAA$3,0))</f>
        <v>0</v>
      </c>
    </row>
    <row r="31" spans="1:5" ht="11.4" outlineLevel="1" x14ac:dyDescent="0.25">
      <c r="A31" s="85" t="s">
        <v>3133</v>
      </c>
      <c r="B31" s="657" t="s">
        <v>3432</v>
      </c>
      <c r="C31" s="659">
        <v>0</v>
      </c>
      <c r="D31" s="659">
        <v>0</v>
      </c>
      <c r="E31" s="659">
        <v>0</v>
      </c>
    </row>
    <row r="32" spans="1:5" ht="11.4" outlineLevel="1" x14ac:dyDescent="0.25">
      <c r="A32" s="85" t="s">
        <v>3134</v>
      </c>
      <c r="B32" s="204" t="s">
        <v>3433</v>
      </c>
      <c r="C32" s="658">
        <f>C30-C31</f>
        <v>0</v>
      </c>
      <c r="D32" s="658">
        <f>D30-D31</f>
        <v>0</v>
      </c>
      <c r="E32" s="658">
        <f>E30-E31</f>
        <v>0</v>
      </c>
    </row>
    <row r="33" spans="1:5" outlineLevel="1" x14ac:dyDescent="0.2">
      <c r="B33" s="137"/>
      <c r="C33" s="662"/>
      <c r="D33" s="662"/>
      <c r="E33" s="662"/>
    </row>
    <row r="34" spans="1:5" ht="11.4" outlineLevel="1" x14ac:dyDescent="0.25">
      <c r="A34" s="85" t="s">
        <v>2392</v>
      </c>
      <c r="B34" s="209" t="s">
        <v>3708</v>
      </c>
      <c r="C34" s="210">
        <f>INDEX('IN_RC-T'!$A$3:$AAA$865,MATCH($A34,'IN_RC-T'!$A$3:$A$865,0),MATCH(C$3,'IN_RC-T'!$A$3:$AAA$3,0))</f>
        <v>0</v>
      </c>
      <c r="D34" s="210">
        <f>INDEX('IN_RC-T'!$A$3:$AAA$865,MATCH($A34,'IN_RC-T'!$A$3:$A$865,0),MATCH(D$3,'IN_RC-T'!$A$3:$AAA$3,0))</f>
        <v>0</v>
      </c>
      <c r="E34" s="210">
        <f>INDEX('IN_RC-T'!$A$3:$AAA$865,MATCH($A34,'IN_RC-T'!$A$3:$A$865,0),MATCH(E$3,'IN_RC-T'!$A$3:$AAA$3,0))</f>
        <v>0</v>
      </c>
    </row>
    <row r="35" spans="1:5" ht="11.4" outlineLevel="1" x14ac:dyDescent="0.25">
      <c r="A35" s="85" t="s">
        <v>3581</v>
      </c>
      <c r="B35" s="657" t="s">
        <v>3656</v>
      </c>
      <c r="C35" s="659">
        <v>0</v>
      </c>
      <c r="D35" s="659">
        <v>0</v>
      </c>
      <c r="E35" s="659">
        <v>0</v>
      </c>
    </row>
    <row r="36" spans="1:5" ht="11.4" outlineLevel="1" x14ac:dyDescent="0.25">
      <c r="A36" s="85" t="s">
        <v>3582</v>
      </c>
      <c r="B36" s="204" t="s">
        <v>3678</v>
      </c>
      <c r="C36" s="658">
        <f>C34-C35</f>
        <v>0</v>
      </c>
      <c r="D36" s="658">
        <f>D34-D35</f>
        <v>0</v>
      </c>
      <c r="E36" s="658">
        <f>E34-E35</f>
        <v>0</v>
      </c>
    </row>
    <row r="37" spans="1:5" ht="11.4" outlineLevel="1" x14ac:dyDescent="0.25">
      <c r="A37" s="85" t="s">
        <v>2466</v>
      </c>
      <c r="B37" s="209" t="s">
        <v>3440</v>
      </c>
      <c r="C37" s="210">
        <f>INDEX('IN_RC-T'!$A$3:$AAA$865,MATCH($A37,'IN_RC-T'!$A$3:$A$865,0),MATCH(C$3,'IN_RC-T'!$A$3:$AAA$3,0))</f>
        <v>0</v>
      </c>
      <c r="D37" s="210">
        <f>INDEX('IN_RC-T'!$A$3:$AAA$865,MATCH($A37,'IN_RC-T'!$A$3:$A$865,0),MATCH(D$3,'IN_RC-T'!$A$3:$AAA$3,0))</f>
        <v>0</v>
      </c>
      <c r="E37" s="210">
        <f>INDEX('IN_RC-T'!$A$3:$AAA$865,MATCH($A37,'IN_RC-T'!$A$3:$A$865,0),MATCH(E$3,'IN_RC-T'!$A$3:$AAA$3,0))</f>
        <v>0</v>
      </c>
    </row>
    <row r="38" spans="1:5" ht="11.4" outlineLevel="1" x14ac:dyDescent="0.25">
      <c r="A38" s="85" t="s">
        <v>3438</v>
      </c>
      <c r="B38" s="657" t="s">
        <v>3434</v>
      </c>
      <c r="C38" s="659">
        <v>0</v>
      </c>
      <c r="D38" s="659">
        <v>0</v>
      </c>
      <c r="E38" s="659">
        <v>0</v>
      </c>
    </row>
    <row r="39" spans="1:5" ht="11.4" outlineLevel="1" x14ac:dyDescent="0.25">
      <c r="A39" s="85" t="s">
        <v>3439</v>
      </c>
      <c r="B39" s="204" t="s">
        <v>3679</v>
      </c>
      <c r="C39" s="658">
        <f>C37-C38</f>
        <v>0</v>
      </c>
      <c r="D39" s="658">
        <f>D37-D38</f>
        <v>0</v>
      </c>
      <c r="E39" s="658">
        <f>E37-E38</f>
        <v>0</v>
      </c>
    </row>
    <row r="40" spans="1:5" ht="12" outlineLevel="1" x14ac:dyDescent="0.25">
      <c r="A40" s="85" t="s">
        <v>1829</v>
      </c>
      <c r="B40" s="209" t="s">
        <v>3435</v>
      </c>
      <c r="C40" s="210">
        <f>INDEX('IN_RC-T'!$A$3:$AAA$865,MATCH($A40,'IN_RC-T'!$A$3:$A$865,0),MATCH(C$3,'IN_RC-T'!$A$3:$AAA$3,0))</f>
        <v>0</v>
      </c>
      <c r="D40" s="210">
        <f>INDEX('IN_RC-T'!$A$3:$AAA$865,MATCH($A40,'IN_RC-T'!$A$3:$A$865,0),MATCH(D$3,'IN_RC-T'!$A$3:$AAA$3,0))</f>
        <v>0</v>
      </c>
      <c r="E40" s="210">
        <f>INDEX('IN_RC-T'!$A$3:$AAA$865,MATCH($A40,'IN_RC-T'!$A$3:$A$865,0),MATCH(E$3,'IN_RC-T'!$A$3:$AAA$3,0))</f>
        <v>0</v>
      </c>
    </row>
    <row r="41" spans="1:5" ht="12" outlineLevel="1" x14ac:dyDescent="0.25">
      <c r="A41" s="85" t="s">
        <v>3135</v>
      </c>
      <c r="B41" s="657" t="s">
        <v>3436</v>
      </c>
      <c r="C41" s="659">
        <v>0</v>
      </c>
      <c r="D41" s="659">
        <v>0</v>
      </c>
      <c r="E41" s="659">
        <v>0</v>
      </c>
    </row>
    <row r="42" spans="1:5" ht="12" outlineLevel="1" x14ac:dyDescent="0.25">
      <c r="A42" s="85" t="s">
        <v>3136</v>
      </c>
      <c r="B42" s="204" t="s">
        <v>3437</v>
      </c>
      <c r="C42" s="658">
        <f>C40-C41</f>
        <v>0</v>
      </c>
      <c r="D42" s="658">
        <f>D40-D41</f>
        <v>0</v>
      </c>
      <c r="E42" s="658">
        <f>E40-E41</f>
        <v>0</v>
      </c>
    </row>
    <row r="43" spans="1:5" ht="12" outlineLevel="1" x14ac:dyDescent="0.25">
      <c r="A43" s="85" t="s">
        <v>1729</v>
      </c>
      <c r="B43" s="209" t="s">
        <v>3709</v>
      </c>
      <c r="C43" s="210">
        <f>INDEX('IN_RC-T'!$A$3:$AAA$865,MATCH($A43,'IN_RC-T'!$A$3:$A$865,0),MATCH(C$3,'IN_RC-T'!$A$3:$AAA$3,0))</f>
        <v>0</v>
      </c>
      <c r="D43" s="210">
        <f>INDEX('IN_RC-T'!$A$3:$AAA$865,MATCH($A43,'IN_RC-T'!$A$3:$A$865,0),MATCH(D$3,'IN_RC-T'!$A$3:$AAA$3,0))</f>
        <v>0</v>
      </c>
      <c r="E43" s="210">
        <f>INDEX('IN_RC-T'!$A$3:$AAA$865,MATCH($A43,'IN_RC-T'!$A$3:$A$865,0),MATCH(E$3,'IN_RC-T'!$A$3:$AAA$3,0))</f>
        <v>0</v>
      </c>
    </row>
    <row r="44" spans="1:5" ht="12" outlineLevel="1" x14ac:dyDescent="0.25">
      <c r="A44" s="85" t="s">
        <v>3442</v>
      </c>
      <c r="B44" s="664" t="s">
        <v>3441</v>
      </c>
      <c r="C44" s="655">
        <v>0</v>
      </c>
      <c r="D44" s="655">
        <v>0</v>
      </c>
      <c r="E44" s="655">
        <v>0</v>
      </c>
    </row>
    <row r="45" spans="1:5" ht="12" outlineLevel="1" x14ac:dyDescent="0.25">
      <c r="A45" s="85" t="s">
        <v>3443</v>
      </c>
      <c r="B45" s="204" t="s">
        <v>3680</v>
      </c>
      <c r="C45" s="658">
        <f>C43-C44</f>
        <v>0</v>
      </c>
      <c r="D45" s="658">
        <f>D43-D44</f>
        <v>0</v>
      </c>
      <c r="E45" s="658">
        <f>E43-E44</f>
        <v>0</v>
      </c>
    </row>
    <row r="46" spans="1:5" ht="12" outlineLevel="1" x14ac:dyDescent="0.25">
      <c r="A46" s="85" t="s">
        <v>2588</v>
      </c>
      <c r="B46" s="209" t="s">
        <v>3710</v>
      </c>
      <c r="C46" s="210">
        <f>INDEX('IN_RC-T'!$A$3:$AAA$865,MATCH($A46,'IN_RC-T'!$A$3:$A$865,0),MATCH(C$3,'IN_RC-T'!$A$3:$AAA$3,0))</f>
        <v>0</v>
      </c>
      <c r="D46" s="210">
        <f>INDEX('IN_RC-T'!$A$3:$AAA$865,MATCH($A46,'IN_RC-T'!$A$3:$A$865,0),MATCH(D$3,'IN_RC-T'!$A$3:$AAA$3,0))</f>
        <v>0</v>
      </c>
      <c r="E46" s="210">
        <f>INDEX('IN_RC-T'!$A$3:$AAA$865,MATCH($A46,'IN_RC-T'!$A$3:$A$865,0),MATCH(E$3,'IN_RC-T'!$A$3:$AAA$3,0))</f>
        <v>0</v>
      </c>
    </row>
    <row r="47" spans="1:5" ht="12" outlineLevel="1" x14ac:dyDescent="0.25">
      <c r="A47" s="85" t="s">
        <v>3444</v>
      </c>
      <c r="B47" s="664" t="s">
        <v>3448</v>
      </c>
      <c r="C47" s="655">
        <v>0</v>
      </c>
      <c r="D47" s="655">
        <v>0</v>
      </c>
      <c r="E47" s="655">
        <v>0</v>
      </c>
    </row>
    <row r="48" spans="1:5" ht="12" outlineLevel="1" x14ac:dyDescent="0.25">
      <c r="A48" s="85" t="s">
        <v>3445</v>
      </c>
      <c r="B48" s="204" t="s">
        <v>3681</v>
      </c>
      <c r="C48" s="658">
        <f>C46-C47</f>
        <v>0</v>
      </c>
      <c r="D48" s="658">
        <f>D46-D47</f>
        <v>0</v>
      </c>
      <c r="E48" s="658">
        <f>E46-E47</f>
        <v>0</v>
      </c>
    </row>
    <row r="49" spans="1:5" ht="12" outlineLevel="1" x14ac:dyDescent="0.25">
      <c r="A49" s="85" t="s">
        <v>1966</v>
      </c>
      <c r="B49" s="209" t="s">
        <v>3840</v>
      </c>
      <c r="C49" s="210">
        <f>INDEX('IN_RC-T'!$A$3:$AAA$865,MATCH($A49,'IN_RC-T'!$A$3:$A$865,0),MATCH(C$3,'IN_RC-T'!$A$3:$AAA$3,0))</f>
        <v>0</v>
      </c>
      <c r="D49" s="210">
        <f>INDEX('IN_RC-T'!$A$3:$AAA$865,MATCH($A49,'IN_RC-T'!$A$3:$A$865,0),MATCH(D$3,'IN_RC-T'!$A$3:$AAA$3,0))</f>
        <v>0</v>
      </c>
      <c r="E49" s="210">
        <f>INDEX('IN_RC-T'!$A$3:$AAA$865,MATCH($A49,'IN_RC-T'!$A$3:$A$865,0),MATCH(E$3,'IN_RC-T'!$A$3:$AAA$3,0))</f>
        <v>0</v>
      </c>
    </row>
    <row r="50" spans="1:5" ht="12" outlineLevel="1" x14ac:dyDescent="0.25">
      <c r="A50" s="85" t="s">
        <v>3446</v>
      </c>
      <c r="B50" s="664" t="s">
        <v>3841</v>
      </c>
      <c r="C50" s="655">
        <v>0</v>
      </c>
      <c r="D50" s="655">
        <v>0</v>
      </c>
      <c r="E50" s="655">
        <v>0</v>
      </c>
    </row>
    <row r="51" spans="1:5" ht="12" outlineLevel="1" x14ac:dyDescent="0.25">
      <c r="A51" s="85" t="s">
        <v>3447</v>
      </c>
      <c r="B51" s="204" t="s">
        <v>3842</v>
      </c>
      <c r="C51" s="658">
        <f>C49-C50</f>
        <v>0</v>
      </c>
      <c r="D51" s="658">
        <f>D49-D50</f>
        <v>0</v>
      </c>
      <c r="E51" s="658">
        <f>E49-E50</f>
        <v>0</v>
      </c>
    </row>
    <row r="52" spans="1:5" ht="11.4" outlineLevel="1" x14ac:dyDescent="0.25">
      <c r="A52" s="85" t="s">
        <v>1647</v>
      </c>
      <c r="B52" s="209" t="s">
        <v>3712</v>
      </c>
      <c r="C52" s="210">
        <f>INDEX('IN_RC-T'!$A$3:$AAA$865,MATCH($A52,'IN_RC-T'!$A$3:$A$865,0),MATCH(C$3,'IN_RC-T'!$A$3:$AAA$3,0))</f>
        <v>0</v>
      </c>
      <c r="D52" s="210">
        <f>INDEX('IN_RC-T'!$A$3:$AAA$865,MATCH($A52,'IN_RC-T'!$A$3:$A$865,0),MATCH(D$3,'IN_RC-T'!$A$3:$AAA$3,0))</f>
        <v>0</v>
      </c>
      <c r="E52" s="210">
        <f>INDEX('IN_RC-T'!$A$3:$AAA$865,MATCH($A52,'IN_RC-T'!$A$3:$A$865,0),MATCH(E$3,'IN_RC-T'!$A$3:$AAA$3,0))</f>
        <v>0</v>
      </c>
    </row>
    <row r="53" spans="1:5" ht="11.4" outlineLevel="1" x14ac:dyDescent="0.25">
      <c r="A53" s="85" t="s">
        <v>3137</v>
      </c>
      <c r="B53" s="657" t="s">
        <v>3449</v>
      </c>
      <c r="C53" s="659">
        <v>0</v>
      </c>
      <c r="D53" s="659">
        <v>0</v>
      </c>
      <c r="E53" s="659">
        <v>0</v>
      </c>
    </row>
    <row r="54" spans="1:5" ht="11.4" outlineLevel="1" x14ac:dyDescent="0.25">
      <c r="A54" s="85" t="s">
        <v>3138</v>
      </c>
      <c r="B54" s="204" t="s">
        <v>3450</v>
      </c>
      <c r="C54" s="658">
        <f>C52-C53</f>
        <v>0</v>
      </c>
      <c r="D54" s="658">
        <f>D52-D53</f>
        <v>0</v>
      </c>
      <c r="E54" s="658">
        <f>E52-E53</f>
        <v>0</v>
      </c>
    </row>
    <row r="55" spans="1:5" ht="12" outlineLevel="1" x14ac:dyDescent="0.25">
      <c r="A55" s="85" t="s">
        <v>2713</v>
      </c>
      <c r="B55" s="209" t="s">
        <v>3451</v>
      </c>
      <c r="C55" s="210">
        <f>INDEX('IN_RC-T'!$A$3:$AAA$865,MATCH($A55,'IN_RC-T'!$A$3:$A$865,0),MATCH(C$3,'IN_RC-T'!$A$3:$AAA$3,0))</f>
        <v>0</v>
      </c>
      <c r="D55" s="210">
        <f>INDEX('IN_RC-T'!$A$3:$AAA$865,MATCH($A55,'IN_RC-T'!$A$3:$A$865,0),MATCH(D$3,'IN_RC-T'!$A$3:$AAA$3,0))</f>
        <v>0</v>
      </c>
      <c r="E55" s="210">
        <f>INDEX('IN_RC-T'!$A$3:$AAA$865,MATCH($A55,'IN_RC-T'!$A$3:$A$865,0),MATCH(E$3,'IN_RC-T'!$A$3:$AAA$3,0))</f>
        <v>0</v>
      </c>
    </row>
    <row r="56" spans="1:5" ht="12" outlineLevel="1" x14ac:dyDescent="0.25">
      <c r="A56" s="85" t="s">
        <v>3139</v>
      </c>
      <c r="B56" s="657" t="s">
        <v>3452</v>
      </c>
      <c r="C56" s="659">
        <v>0</v>
      </c>
      <c r="D56" s="659">
        <v>0</v>
      </c>
      <c r="E56" s="659">
        <v>0</v>
      </c>
    </row>
    <row r="57" spans="1:5" ht="12" outlineLevel="1" x14ac:dyDescent="0.25">
      <c r="A57" s="85" t="s">
        <v>3140</v>
      </c>
      <c r="B57" s="204" t="s">
        <v>3453</v>
      </c>
      <c r="C57" s="658">
        <f>C55-C56</f>
        <v>0</v>
      </c>
      <c r="D57" s="658">
        <f>D55-D56</f>
        <v>0</v>
      </c>
      <c r="E57" s="658">
        <f>E55-E56</f>
        <v>0</v>
      </c>
    </row>
    <row r="58" spans="1:5" ht="11.4" outlineLevel="1" x14ac:dyDescent="0.25">
      <c r="A58" s="85" t="s">
        <v>2786</v>
      </c>
      <c r="B58" s="209" t="s">
        <v>3713</v>
      </c>
      <c r="C58" s="210">
        <f>INDEX('IN_RC-T'!$A$3:$AAA$865,MATCH($A58,'IN_RC-T'!$A$3:$A$865,0),MATCH(C$3,'IN_RC-T'!$A$3:$AAA$3,0))</f>
        <v>0</v>
      </c>
      <c r="D58" s="210">
        <f>INDEX('IN_RC-T'!$A$3:$AAA$865,MATCH($A58,'IN_RC-T'!$A$3:$A$865,0),MATCH(D$3,'IN_RC-T'!$A$3:$AAA$3,0))</f>
        <v>0</v>
      </c>
      <c r="E58" s="210">
        <f>INDEX('IN_RC-T'!$A$3:$AAA$865,MATCH($A58,'IN_RC-T'!$A$3:$A$865,0),MATCH(E$3,'IN_RC-T'!$A$3:$AAA$3,0))</f>
        <v>0</v>
      </c>
    </row>
    <row r="59" spans="1:5" ht="12" outlineLevel="1" x14ac:dyDescent="0.25">
      <c r="A59" s="85" t="s">
        <v>3454</v>
      </c>
      <c r="B59" s="657" t="s">
        <v>3456</v>
      </c>
      <c r="C59" s="659">
        <v>0</v>
      </c>
      <c r="D59" s="659">
        <v>0</v>
      </c>
      <c r="E59" s="659">
        <v>0</v>
      </c>
    </row>
    <row r="60" spans="1:5" ht="12" outlineLevel="1" x14ac:dyDescent="0.25">
      <c r="A60" s="85" t="s">
        <v>3455</v>
      </c>
      <c r="B60" s="204" t="s">
        <v>3457</v>
      </c>
      <c r="C60" s="658">
        <f>C58-C59</f>
        <v>0</v>
      </c>
      <c r="D60" s="658">
        <f>D58-D59</f>
        <v>0</v>
      </c>
      <c r="E60" s="658">
        <f>E58-E59</f>
        <v>0</v>
      </c>
    </row>
    <row r="61" spans="1:5" ht="11.4" outlineLevel="1" x14ac:dyDescent="0.25">
      <c r="A61" s="85" t="s">
        <v>2859</v>
      </c>
      <c r="B61" s="209" t="s">
        <v>3714</v>
      </c>
      <c r="C61" s="210">
        <f>INDEX('IN_RC-T'!$A$3:$AAA$865,MATCH($A61,'IN_RC-T'!$A$3:$A$865,0),MATCH(C$3,'IN_RC-T'!$A$3:$AAA$3,0))</f>
        <v>0</v>
      </c>
      <c r="D61" s="210">
        <f>INDEX('IN_RC-T'!$A$3:$AAA$865,MATCH($A61,'IN_RC-T'!$A$3:$A$865,0),MATCH(D$3,'IN_RC-T'!$A$3:$AAA$3,0))</f>
        <v>0</v>
      </c>
      <c r="E61" s="210">
        <f>INDEX('IN_RC-T'!$A$3:$AAA$865,MATCH($A61,'IN_RC-T'!$A$3:$A$865,0),MATCH(E$3,'IN_RC-T'!$A$3:$AAA$3,0))</f>
        <v>0</v>
      </c>
    </row>
    <row r="62" spans="1:5" ht="12" outlineLevel="1" x14ac:dyDescent="0.25">
      <c r="A62" s="85" t="s">
        <v>3458</v>
      </c>
      <c r="B62" s="664" t="s">
        <v>3460</v>
      </c>
      <c r="C62" s="655">
        <v>0</v>
      </c>
      <c r="D62" s="655">
        <v>0</v>
      </c>
      <c r="E62" s="655">
        <v>0</v>
      </c>
    </row>
    <row r="63" spans="1:5" ht="12" outlineLevel="1" x14ac:dyDescent="0.25">
      <c r="A63" s="85" t="s">
        <v>3459</v>
      </c>
      <c r="B63" s="204" t="s">
        <v>3461</v>
      </c>
      <c r="C63" s="658">
        <f>C61-C62</f>
        <v>0</v>
      </c>
      <c r="D63" s="658">
        <f>D61-D62</f>
        <v>0</v>
      </c>
      <c r="E63" s="658">
        <f>E61-E62</f>
        <v>0</v>
      </c>
    </row>
    <row r="64" spans="1:5" ht="11.4" outlineLevel="1" x14ac:dyDescent="0.25">
      <c r="A64" s="85" t="s">
        <v>2932</v>
      </c>
      <c r="B64" s="209" t="s">
        <v>3715</v>
      </c>
      <c r="C64" s="210">
        <f>INDEX('IN_RC-T'!$A$3:$AAA$865,MATCH($A64,'IN_RC-T'!$A$3:$A$865,0),MATCH(C$3,'IN_RC-T'!$A$3:$AAA$3,0))</f>
        <v>0</v>
      </c>
      <c r="D64" s="210">
        <f>INDEX('IN_RC-T'!$A$3:$AAA$865,MATCH($A64,'IN_RC-T'!$A$3:$A$865,0),MATCH(D$3,'IN_RC-T'!$A$3:$AAA$3,0))</f>
        <v>0</v>
      </c>
      <c r="E64" s="210">
        <f>INDEX('IN_RC-T'!$A$3:$AAA$865,MATCH($A64,'IN_RC-T'!$A$3:$A$865,0),MATCH(E$3,'IN_RC-T'!$A$3:$AAA$3,0))</f>
        <v>0</v>
      </c>
    </row>
    <row r="65" spans="1:5" ht="11.4" outlineLevel="1" x14ac:dyDescent="0.25">
      <c r="A65" s="85" t="s">
        <v>3462</v>
      </c>
      <c r="B65" s="664" t="s">
        <v>3658</v>
      </c>
      <c r="C65" s="655">
        <v>0</v>
      </c>
      <c r="D65" s="655">
        <v>0</v>
      </c>
      <c r="E65" s="655">
        <v>0</v>
      </c>
    </row>
    <row r="66" spans="1:5" ht="11.4" outlineLevel="1" x14ac:dyDescent="0.25">
      <c r="A66" s="85" t="s">
        <v>3463</v>
      </c>
      <c r="B66" s="204" t="s">
        <v>3683</v>
      </c>
      <c r="C66" s="658">
        <f>C64-C65</f>
        <v>0</v>
      </c>
      <c r="D66" s="658">
        <f>D64-D65</f>
        <v>0</v>
      </c>
      <c r="E66" s="658">
        <f>E64-E65</f>
        <v>0</v>
      </c>
    </row>
    <row r="67" spans="1:5" ht="11.4" outlineLevel="1" x14ac:dyDescent="0.25">
      <c r="A67" s="85" t="s">
        <v>6793</v>
      </c>
      <c r="B67" s="209" t="s">
        <v>3464</v>
      </c>
      <c r="C67" s="210">
        <f>INDEX('IN_RC-T'!$A$3:$AAA$865,MATCH($A67,'IN_RC-T'!$A$3:$A$865,0),MATCH(C$3,'IN_RC-T'!$A$3:$AAA$3,0))</f>
        <v>315566.36782700795</v>
      </c>
      <c r="D67" s="210">
        <f>INDEX('IN_RC-T'!$A$3:$AAA$865,MATCH($A67,'IN_RC-T'!$A$3:$A$865,0),MATCH(D$3,'IN_RC-T'!$A$3:$AAA$3,0))</f>
        <v>0</v>
      </c>
      <c r="E67" s="210">
        <f>INDEX('IN_RC-T'!$A$3:$AAA$865,MATCH($A67,'IN_RC-T'!$A$3:$A$865,0),MATCH(E$3,'IN_RC-T'!$A$3:$AAA$3,0))</f>
        <v>0</v>
      </c>
    </row>
    <row r="68" spans="1:5" ht="11.4" outlineLevel="1" x14ac:dyDescent="0.25">
      <c r="A68" s="85" t="s">
        <v>6953</v>
      </c>
      <c r="B68" s="657" t="s">
        <v>3659</v>
      </c>
      <c r="C68" s="659">
        <v>0</v>
      </c>
      <c r="D68" s="659">
        <v>0</v>
      </c>
      <c r="E68" s="659">
        <v>0</v>
      </c>
    </row>
    <row r="69" spans="1:5" ht="11.4" outlineLevel="1" x14ac:dyDescent="0.25">
      <c r="A69" s="85" t="s">
        <v>6937</v>
      </c>
      <c r="B69" s="204" t="s">
        <v>3684</v>
      </c>
      <c r="C69" s="658">
        <f>C67-C68</f>
        <v>315566.36782700795</v>
      </c>
      <c r="D69" s="658">
        <f>D67-D68</f>
        <v>0</v>
      </c>
      <c r="E69" s="658">
        <f>E67-E68</f>
        <v>0</v>
      </c>
    </row>
    <row r="70" spans="1:5" ht="11.4" outlineLevel="1" x14ac:dyDescent="0.25">
      <c r="A70" s="85" t="s">
        <v>3030</v>
      </c>
      <c r="B70" s="209" t="s">
        <v>3085</v>
      </c>
      <c r="C70" s="210">
        <f>INDEX('IN_RC-T'!$A$3:$AAA$865,MATCH($A70,'IN_RC-T'!$A$3:$A$865,0),MATCH(C$3,'IN_RC-T'!$A$3:$AAA$3,0))</f>
        <v>315566.36782700795</v>
      </c>
      <c r="D70" s="210">
        <f>INDEX('IN_RC-T'!$A$3:$AAA$865,MATCH($A70,'IN_RC-T'!$A$3:$A$865,0),MATCH(D$3,'IN_RC-T'!$A$3:$AAA$3,0))</f>
        <v>0</v>
      </c>
      <c r="E70" s="210">
        <f>INDEX('IN_RC-T'!$A$3:$AAA$865,MATCH($A70,'IN_RC-T'!$A$3:$A$865,0),MATCH(E$3,'IN_RC-T'!$A$3:$AAA$3,0))</f>
        <v>0</v>
      </c>
    </row>
    <row r="71" spans="1:5" ht="11.4" outlineLevel="1" x14ac:dyDescent="0.25">
      <c r="A71" s="85" t="s">
        <v>3141</v>
      </c>
      <c r="B71" s="660" t="s">
        <v>3672</v>
      </c>
      <c r="C71" s="661">
        <f>C35+C38+C41+C44+C47+C50+C53+C56+C59+C62+C65+C68</f>
        <v>0</v>
      </c>
      <c r="D71" s="661">
        <f>D35+D38+D41+D44+D47+D50+D53+D56+D59+D62+D65+D68</f>
        <v>0</v>
      </c>
      <c r="E71" s="661">
        <f>E35+E38+E41+E44+E47+E50+E53+E56+E59+E62+E65+E68</f>
        <v>0</v>
      </c>
    </row>
    <row r="72" spans="1:5" ht="11.4" outlineLevel="1" x14ac:dyDescent="0.25">
      <c r="A72" s="85" t="s">
        <v>3142</v>
      </c>
      <c r="B72" s="204" t="s">
        <v>3685</v>
      </c>
      <c r="C72" s="658">
        <f>C70-C71</f>
        <v>315566.36782700795</v>
      </c>
      <c r="D72" s="658">
        <f>D70-D71</f>
        <v>0</v>
      </c>
      <c r="E72" s="658">
        <f>E70-E71</f>
        <v>0</v>
      </c>
    </row>
    <row r="73" spans="1:5" outlineLevel="1" x14ac:dyDescent="0.2">
      <c r="B73" s="137"/>
      <c r="C73" s="137"/>
      <c r="D73" s="137"/>
      <c r="E73" s="137"/>
    </row>
    <row r="74" spans="1:5" ht="11.4" outlineLevel="1" x14ac:dyDescent="0.25">
      <c r="A74" s="85" t="s">
        <v>2393</v>
      </c>
      <c r="B74" s="209" t="s">
        <v>3716</v>
      </c>
      <c r="C74" s="210">
        <f>INDEX('IN_RC-T'!$A$3:$AAA$865,MATCH($A74,'IN_RC-T'!$A$3:$A$865,0),MATCH(C$3,'IN_RC-T'!$A$3:$AAA$3,0))</f>
        <v>0</v>
      </c>
      <c r="D74" s="210">
        <f>INDEX('IN_RC-T'!$A$3:$AAA$865,MATCH($A74,'IN_RC-T'!$A$3:$A$865,0),MATCH(D$3,'IN_RC-T'!$A$3:$AAA$3,0))</f>
        <v>0</v>
      </c>
      <c r="E74" s="210">
        <f>INDEX('IN_RC-T'!$A$3:$AAA$865,MATCH($A74,'IN_RC-T'!$A$3:$A$865,0),MATCH(E$3,'IN_RC-T'!$A$3:$AAA$3,0))</f>
        <v>0</v>
      </c>
    </row>
    <row r="75" spans="1:5" ht="11.4" outlineLevel="1" x14ac:dyDescent="0.25">
      <c r="A75" s="85" t="s">
        <v>3607</v>
      </c>
      <c r="B75" s="657" t="s">
        <v>3660</v>
      </c>
      <c r="C75" s="659">
        <v>0</v>
      </c>
      <c r="D75" s="659">
        <v>0</v>
      </c>
      <c r="E75" s="659">
        <v>0</v>
      </c>
    </row>
    <row r="76" spans="1:5" ht="11.4" outlineLevel="1" x14ac:dyDescent="0.25">
      <c r="A76" s="85" t="s">
        <v>3608</v>
      </c>
      <c r="B76" s="204" t="s">
        <v>3686</v>
      </c>
      <c r="C76" s="658">
        <f>C74-C75</f>
        <v>0</v>
      </c>
      <c r="D76" s="658">
        <f>D74-D75</f>
        <v>0</v>
      </c>
      <c r="E76" s="658">
        <f>E74-E75</f>
        <v>0</v>
      </c>
    </row>
    <row r="77" spans="1:5" ht="11.4" outlineLevel="1" x14ac:dyDescent="0.25">
      <c r="A77" s="85" t="s">
        <v>2467</v>
      </c>
      <c r="B77" s="209" t="s">
        <v>3479</v>
      </c>
      <c r="C77" s="210">
        <f>INDEX('IN_RC-T'!$A$3:$AAA$865,MATCH($A77,'IN_RC-T'!$A$3:$A$865,0),MATCH(C$3,'IN_RC-T'!$A$3:$AAA$3,0))</f>
        <v>0</v>
      </c>
      <c r="D77" s="210">
        <f>INDEX('IN_RC-T'!$A$3:$AAA$865,MATCH($A77,'IN_RC-T'!$A$3:$A$865,0),MATCH(D$3,'IN_RC-T'!$A$3:$AAA$3,0))</f>
        <v>0</v>
      </c>
      <c r="E77" s="210">
        <f>INDEX('IN_RC-T'!$A$3:$AAA$865,MATCH($A77,'IN_RC-T'!$A$3:$A$865,0),MATCH(E$3,'IN_RC-T'!$A$3:$AAA$3,0))</f>
        <v>0</v>
      </c>
    </row>
    <row r="78" spans="1:5" ht="11.4" outlineLevel="1" x14ac:dyDescent="0.25">
      <c r="A78" s="85" t="s">
        <v>3465</v>
      </c>
      <c r="B78" s="657" t="s">
        <v>3480</v>
      </c>
      <c r="C78" s="659">
        <v>0</v>
      </c>
      <c r="D78" s="659">
        <v>0</v>
      </c>
      <c r="E78" s="659">
        <v>0</v>
      </c>
    </row>
    <row r="79" spans="1:5" ht="11.4" outlineLevel="1" x14ac:dyDescent="0.25">
      <c r="A79" s="85" t="s">
        <v>3466</v>
      </c>
      <c r="B79" s="204" t="s">
        <v>3687</v>
      </c>
      <c r="C79" s="658">
        <f>C77-C78</f>
        <v>0</v>
      </c>
      <c r="D79" s="658">
        <f>D77-D78</f>
        <v>0</v>
      </c>
      <c r="E79" s="658">
        <f>E77-E78</f>
        <v>0</v>
      </c>
    </row>
    <row r="80" spans="1:5" ht="12" outlineLevel="1" x14ac:dyDescent="0.25">
      <c r="A80" s="85" t="s">
        <v>1830</v>
      </c>
      <c r="B80" s="209" t="s">
        <v>3481</v>
      </c>
      <c r="C80" s="210">
        <f>INDEX('IN_RC-T'!$A$3:$AAA$865,MATCH($A80,'IN_RC-T'!$A$3:$A$865,0),MATCH(C$3,'IN_RC-T'!$A$3:$AAA$3,0))</f>
        <v>0</v>
      </c>
      <c r="D80" s="210">
        <f>INDEX('IN_RC-T'!$A$3:$AAA$865,MATCH($A80,'IN_RC-T'!$A$3:$A$865,0),MATCH(D$3,'IN_RC-T'!$A$3:$AAA$3,0))</f>
        <v>0</v>
      </c>
      <c r="E80" s="210">
        <f>INDEX('IN_RC-T'!$A$3:$AAA$865,MATCH($A80,'IN_RC-T'!$A$3:$A$865,0),MATCH(E$3,'IN_RC-T'!$A$3:$AAA$3,0))</f>
        <v>0</v>
      </c>
    </row>
    <row r="81" spans="1:5" ht="12" outlineLevel="1" x14ac:dyDescent="0.25">
      <c r="A81" s="85" t="s">
        <v>3143</v>
      </c>
      <c r="B81" s="657" t="s">
        <v>3482</v>
      </c>
      <c r="C81" s="659">
        <v>0</v>
      </c>
      <c r="D81" s="659">
        <v>0</v>
      </c>
      <c r="E81" s="659">
        <v>0</v>
      </c>
    </row>
    <row r="82" spans="1:5" ht="12" outlineLevel="1" x14ac:dyDescent="0.25">
      <c r="A82" s="85" t="s">
        <v>3144</v>
      </c>
      <c r="B82" s="204" t="s">
        <v>3483</v>
      </c>
      <c r="C82" s="658">
        <f>C80-C81</f>
        <v>0</v>
      </c>
      <c r="D82" s="658">
        <f>D80-D81</f>
        <v>0</v>
      </c>
      <c r="E82" s="658">
        <f>E80-E81</f>
        <v>0</v>
      </c>
    </row>
    <row r="83" spans="1:5" ht="12" outlineLevel="1" x14ac:dyDescent="0.25">
      <c r="A83" s="85" t="s">
        <v>1730</v>
      </c>
      <c r="B83" s="209" t="s">
        <v>3717</v>
      </c>
      <c r="C83" s="210">
        <f>INDEX('IN_RC-T'!$A$3:$AAA$865,MATCH($A83,'IN_RC-T'!$A$3:$A$865,0),MATCH(C$3,'IN_RC-T'!$A$3:$AAA$3,0))</f>
        <v>0</v>
      </c>
      <c r="D83" s="210">
        <f>INDEX('IN_RC-T'!$A$3:$AAA$865,MATCH($A83,'IN_RC-T'!$A$3:$A$865,0),MATCH(D$3,'IN_RC-T'!$A$3:$AAA$3,0))</f>
        <v>0</v>
      </c>
      <c r="E83" s="210">
        <f>INDEX('IN_RC-T'!$A$3:$AAA$865,MATCH($A83,'IN_RC-T'!$A$3:$A$865,0),MATCH(E$3,'IN_RC-T'!$A$3:$AAA$3,0))</f>
        <v>0</v>
      </c>
    </row>
    <row r="84" spans="1:5" ht="12" outlineLevel="1" x14ac:dyDescent="0.25">
      <c r="A84" s="85" t="s">
        <v>3467</v>
      </c>
      <c r="B84" s="664" t="s">
        <v>3484</v>
      </c>
      <c r="C84" s="655">
        <v>0</v>
      </c>
      <c r="D84" s="655">
        <v>0</v>
      </c>
      <c r="E84" s="655">
        <v>0</v>
      </c>
    </row>
    <row r="85" spans="1:5" ht="12" outlineLevel="1" x14ac:dyDescent="0.25">
      <c r="A85" s="85" t="s">
        <v>3468</v>
      </c>
      <c r="B85" s="204" t="s">
        <v>3688</v>
      </c>
      <c r="C85" s="658">
        <f>C83-C84</f>
        <v>0</v>
      </c>
      <c r="D85" s="658">
        <f>D83-D84</f>
        <v>0</v>
      </c>
      <c r="E85" s="658">
        <f>E83-E84</f>
        <v>0</v>
      </c>
    </row>
    <row r="86" spans="1:5" ht="12" outlineLevel="1" x14ac:dyDescent="0.25">
      <c r="A86" s="85" t="s">
        <v>2589</v>
      </c>
      <c r="B86" s="209" t="s">
        <v>3718</v>
      </c>
      <c r="C86" s="210">
        <f>INDEX('IN_RC-T'!$A$3:$AAA$865,MATCH($A86,'IN_RC-T'!$A$3:$A$865,0),MATCH(C$3,'IN_RC-T'!$A$3:$AAA$3,0))</f>
        <v>0</v>
      </c>
      <c r="D86" s="210">
        <f>INDEX('IN_RC-T'!$A$3:$AAA$865,MATCH($A86,'IN_RC-T'!$A$3:$A$865,0),MATCH(D$3,'IN_RC-T'!$A$3:$AAA$3,0))</f>
        <v>0</v>
      </c>
      <c r="E86" s="210">
        <f>INDEX('IN_RC-T'!$A$3:$AAA$865,MATCH($A86,'IN_RC-T'!$A$3:$A$865,0),MATCH(E$3,'IN_RC-T'!$A$3:$AAA$3,0))</f>
        <v>0</v>
      </c>
    </row>
    <row r="87" spans="1:5" ht="12" outlineLevel="1" x14ac:dyDescent="0.25">
      <c r="A87" s="85" t="s">
        <v>3469</v>
      </c>
      <c r="B87" s="664" t="s">
        <v>3485</v>
      </c>
      <c r="C87" s="655">
        <v>0</v>
      </c>
      <c r="D87" s="655">
        <v>0</v>
      </c>
      <c r="E87" s="655">
        <v>0</v>
      </c>
    </row>
    <row r="88" spans="1:5" ht="12" outlineLevel="1" x14ac:dyDescent="0.25">
      <c r="A88" s="85" t="s">
        <v>3470</v>
      </c>
      <c r="B88" s="204" t="s">
        <v>3689</v>
      </c>
      <c r="C88" s="658">
        <f>C86-C87</f>
        <v>0</v>
      </c>
      <c r="D88" s="658">
        <f>D86-D87</f>
        <v>0</v>
      </c>
      <c r="E88" s="658">
        <f>E86-E87</f>
        <v>0</v>
      </c>
    </row>
    <row r="89" spans="1:5" ht="12" outlineLevel="1" x14ac:dyDescent="0.25">
      <c r="A89" s="85" t="s">
        <v>1967</v>
      </c>
      <c r="B89" s="209" t="s">
        <v>3843</v>
      </c>
      <c r="C89" s="210">
        <f>INDEX('IN_RC-T'!$A$3:$AAA$865,MATCH($A89,'IN_RC-T'!$A$3:$A$865,0),MATCH(C$3,'IN_RC-T'!$A$3:$AAA$3,0))</f>
        <v>0</v>
      </c>
      <c r="D89" s="210">
        <f>INDEX('IN_RC-T'!$A$3:$AAA$865,MATCH($A89,'IN_RC-T'!$A$3:$A$865,0),MATCH(D$3,'IN_RC-T'!$A$3:$AAA$3,0))</f>
        <v>0</v>
      </c>
      <c r="E89" s="210">
        <f>INDEX('IN_RC-T'!$A$3:$AAA$865,MATCH($A89,'IN_RC-T'!$A$3:$A$865,0),MATCH(E$3,'IN_RC-T'!$A$3:$AAA$3,0))</f>
        <v>0</v>
      </c>
    </row>
    <row r="90" spans="1:5" ht="12" outlineLevel="1" x14ac:dyDescent="0.25">
      <c r="A90" s="85" t="s">
        <v>3471</v>
      </c>
      <c r="B90" s="664" t="s">
        <v>3844</v>
      </c>
      <c r="C90" s="655">
        <v>0</v>
      </c>
      <c r="D90" s="655">
        <v>0</v>
      </c>
      <c r="E90" s="655">
        <v>0</v>
      </c>
    </row>
    <row r="91" spans="1:5" ht="12" outlineLevel="1" x14ac:dyDescent="0.25">
      <c r="A91" s="85" t="s">
        <v>3472</v>
      </c>
      <c r="B91" s="204" t="s">
        <v>3845</v>
      </c>
      <c r="C91" s="658">
        <f>C89-C90</f>
        <v>0</v>
      </c>
      <c r="D91" s="658">
        <f>D89-D90</f>
        <v>0</v>
      </c>
      <c r="E91" s="658">
        <f>E89-E90</f>
        <v>0</v>
      </c>
    </row>
    <row r="92" spans="1:5" ht="11.4" outlineLevel="1" x14ac:dyDescent="0.25">
      <c r="A92" s="85" t="s">
        <v>1648</v>
      </c>
      <c r="B92" s="209" t="s">
        <v>3720</v>
      </c>
      <c r="C92" s="210">
        <f>INDEX('IN_RC-T'!$A$3:$AAA$865,MATCH($A92,'IN_RC-T'!$A$3:$A$865,0),MATCH(C$3,'IN_RC-T'!$A$3:$AAA$3,0))</f>
        <v>0</v>
      </c>
      <c r="D92" s="210">
        <f>INDEX('IN_RC-T'!$A$3:$AAA$865,MATCH($A92,'IN_RC-T'!$A$3:$A$865,0),MATCH(D$3,'IN_RC-T'!$A$3:$AAA$3,0))</f>
        <v>0</v>
      </c>
      <c r="E92" s="210">
        <f>INDEX('IN_RC-T'!$A$3:$AAA$865,MATCH($A92,'IN_RC-T'!$A$3:$A$865,0),MATCH(E$3,'IN_RC-T'!$A$3:$AAA$3,0))</f>
        <v>0</v>
      </c>
    </row>
    <row r="93" spans="1:5" ht="11.4" outlineLevel="1" x14ac:dyDescent="0.25">
      <c r="A93" s="85" t="s">
        <v>3145</v>
      </c>
      <c r="B93" s="657" t="s">
        <v>3486</v>
      </c>
      <c r="C93" s="659">
        <v>0</v>
      </c>
      <c r="D93" s="659">
        <v>0</v>
      </c>
      <c r="E93" s="659">
        <v>0</v>
      </c>
    </row>
    <row r="94" spans="1:5" ht="11.4" outlineLevel="1" x14ac:dyDescent="0.25">
      <c r="A94" s="85" t="s">
        <v>3146</v>
      </c>
      <c r="B94" s="204" t="s">
        <v>3487</v>
      </c>
      <c r="C94" s="658">
        <f>C92-C93</f>
        <v>0</v>
      </c>
      <c r="D94" s="658">
        <f>D92-D93</f>
        <v>0</v>
      </c>
      <c r="E94" s="658">
        <f>E92-E93</f>
        <v>0</v>
      </c>
    </row>
    <row r="95" spans="1:5" ht="12" outlineLevel="1" x14ac:dyDescent="0.25">
      <c r="A95" s="85" t="s">
        <v>2714</v>
      </c>
      <c r="B95" s="209" t="s">
        <v>3488</v>
      </c>
      <c r="C95" s="210">
        <f>INDEX('IN_RC-T'!$A$3:$AAA$865,MATCH($A95,'IN_RC-T'!$A$3:$A$865,0),MATCH(C$3,'IN_RC-T'!$A$3:$AAA$3,0))</f>
        <v>0</v>
      </c>
      <c r="D95" s="210">
        <f>INDEX('IN_RC-T'!$A$3:$AAA$865,MATCH($A95,'IN_RC-T'!$A$3:$A$865,0),MATCH(D$3,'IN_RC-T'!$A$3:$AAA$3,0))</f>
        <v>0</v>
      </c>
      <c r="E95" s="210">
        <f>INDEX('IN_RC-T'!$A$3:$AAA$865,MATCH($A95,'IN_RC-T'!$A$3:$A$865,0),MATCH(E$3,'IN_RC-T'!$A$3:$AAA$3,0))</f>
        <v>0</v>
      </c>
    </row>
    <row r="96" spans="1:5" ht="12" outlineLevel="1" x14ac:dyDescent="0.25">
      <c r="A96" s="85" t="s">
        <v>3147</v>
      </c>
      <c r="B96" s="657" t="s">
        <v>3489</v>
      </c>
      <c r="C96" s="659">
        <v>0</v>
      </c>
      <c r="D96" s="659">
        <v>0</v>
      </c>
      <c r="E96" s="659">
        <v>0</v>
      </c>
    </row>
    <row r="97" spans="1:5" ht="12" outlineLevel="1" x14ac:dyDescent="0.25">
      <c r="A97" s="85" t="s">
        <v>3148</v>
      </c>
      <c r="B97" s="204" t="s">
        <v>3490</v>
      </c>
      <c r="C97" s="658">
        <f>C95-C96</f>
        <v>0</v>
      </c>
      <c r="D97" s="658">
        <f>D95-D96</f>
        <v>0</v>
      </c>
      <c r="E97" s="658">
        <f>E95-E96</f>
        <v>0</v>
      </c>
    </row>
    <row r="98" spans="1:5" ht="11.4" outlineLevel="1" x14ac:dyDescent="0.25">
      <c r="A98" s="85" t="s">
        <v>2787</v>
      </c>
      <c r="B98" s="209" t="s">
        <v>3721</v>
      </c>
      <c r="C98" s="210">
        <f>INDEX('IN_RC-T'!$A$3:$AAA$865,MATCH($A98,'IN_RC-T'!$A$3:$A$865,0),MATCH(C$3,'IN_RC-T'!$A$3:$AAA$3,0))</f>
        <v>0</v>
      </c>
      <c r="D98" s="210">
        <f>INDEX('IN_RC-T'!$A$3:$AAA$865,MATCH($A98,'IN_RC-T'!$A$3:$A$865,0),MATCH(D$3,'IN_RC-T'!$A$3:$AAA$3,0))</f>
        <v>0</v>
      </c>
      <c r="E98" s="210">
        <f>INDEX('IN_RC-T'!$A$3:$AAA$865,MATCH($A98,'IN_RC-T'!$A$3:$A$865,0),MATCH(E$3,'IN_RC-T'!$A$3:$AAA$3,0))</f>
        <v>0</v>
      </c>
    </row>
    <row r="99" spans="1:5" ht="12" outlineLevel="1" x14ac:dyDescent="0.25">
      <c r="A99" s="85" t="s">
        <v>3473</v>
      </c>
      <c r="B99" s="657" t="s">
        <v>3491</v>
      </c>
      <c r="C99" s="659">
        <v>0</v>
      </c>
      <c r="D99" s="659">
        <v>0</v>
      </c>
      <c r="E99" s="659">
        <v>0</v>
      </c>
    </row>
    <row r="100" spans="1:5" ht="12" outlineLevel="1" x14ac:dyDescent="0.25">
      <c r="A100" s="85" t="s">
        <v>3474</v>
      </c>
      <c r="B100" s="204" t="s">
        <v>3492</v>
      </c>
      <c r="C100" s="658">
        <f>C98-C99</f>
        <v>0</v>
      </c>
      <c r="D100" s="658">
        <f>D98-D99</f>
        <v>0</v>
      </c>
      <c r="E100" s="658">
        <f>E98-E99</f>
        <v>0</v>
      </c>
    </row>
    <row r="101" spans="1:5" ht="11.4" outlineLevel="1" x14ac:dyDescent="0.25">
      <c r="A101" s="85" t="s">
        <v>2860</v>
      </c>
      <c r="B101" s="209" t="s">
        <v>3722</v>
      </c>
      <c r="C101" s="210">
        <f>INDEX('IN_RC-T'!$A$3:$AAA$865,MATCH($A101,'IN_RC-T'!$A$3:$A$865,0),MATCH(C$3,'IN_RC-T'!$A$3:$AAA$3,0))</f>
        <v>0</v>
      </c>
      <c r="D101" s="210">
        <f>INDEX('IN_RC-T'!$A$3:$AAA$865,MATCH($A101,'IN_RC-T'!$A$3:$A$865,0),MATCH(D$3,'IN_RC-T'!$A$3:$AAA$3,0))</f>
        <v>0</v>
      </c>
      <c r="E101" s="210">
        <f>INDEX('IN_RC-T'!$A$3:$AAA$865,MATCH($A101,'IN_RC-T'!$A$3:$A$865,0),MATCH(E$3,'IN_RC-T'!$A$3:$AAA$3,0))</f>
        <v>0</v>
      </c>
    </row>
    <row r="102" spans="1:5" ht="12" outlineLevel="1" x14ac:dyDescent="0.25">
      <c r="A102" s="85" t="s">
        <v>3475</v>
      </c>
      <c r="B102" s="664" t="s">
        <v>3493</v>
      </c>
      <c r="C102" s="655">
        <v>0</v>
      </c>
      <c r="D102" s="655">
        <v>0</v>
      </c>
      <c r="E102" s="655">
        <v>0</v>
      </c>
    </row>
    <row r="103" spans="1:5" ht="12" outlineLevel="1" x14ac:dyDescent="0.25">
      <c r="A103" s="85" t="s">
        <v>3476</v>
      </c>
      <c r="B103" s="204" t="s">
        <v>3494</v>
      </c>
      <c r="C103" s="658">
        <f>C101-C102</f>
        <v>0</v>
      </c>
      <c r="D103" s="658">
        <f>D101-D102</f>
        <v>0</v>
      </c>
      <c r="E103" s="658">
        <f>E101-E102</f>
        <v>0</v>
      </c>
    </row>
    <row r="104" spans="1:5" ht="11.4" outlineLevel="1" x14ac:dyDescent="0.25">
      <c r="A104" s="85" t="s">
        <v>2933</v>
      </c>
      <c r="B104" s="209" t="s">
        <v>3723</v>
      </c>
      <c r="C104" s="210">
        <f>INDEX('IN_RC-T'!$A$3:$AAA$865,MATCH($A104,'IN_RC-T'!$A$3:$A$865,0),MATCH(C$3,'IN_RC-T'!$A$3:$AAA$3,0))</f>
        <v>0</v>
      </c>
      <c r="D104" s="210">
        <f>INDEX('IN_RC-T'!$A$3:$AAA$865,MATCH($A104,'IN_RC-T'!$A$3:$A$865,0),MATCH(D$3,'IN_RC-T'!$A$3:$AAA$3,0))</f>
        <v>0</v>
      </c>
      <c r="E104" s="210">
        <f>INDEX('IN_RC-T'!$A$3:$AAA$865,MATCH($A104,'IN_RC-T'!$A$3:$A$865,0),MATCH(E$3,'IN_RC-T'!$A$3:$AAA$3,0))</f>
        <v>0</v>
      </c>
    </row>
    <row r="105" spans="1:5" ht="11.4" outlineLevel="1" x14ac:dyDescent="0.25">
      <c r="A105" s="85" t="s">
        <v>3477</v>
      </c>
      <c r="B105" s="664" t="s">
        <v>3662</v>
      </c>
      <c r="C105" s="655">
        <v>0</v>
      </c>
      <c r="D105" s="655">
        <v>0</v>
      </c>
      <c r="E105" s="655">
        <v>0</v>
      </c>
    </row>
    <row r="106" spans="1:5" ht="11.4" outlineLevel="1" x14ac:dyDescent="0.25">
      <c r="A106" s="85" t="s">
        <v>3478</v>
      </c>
      <c r="B106" s="204" t="s">
        <v>3691</v>
      </c>
      <c r="C106" s="658">
        <f>C104-C105</f>
        <v>0</v>
      </c>
      <c r="D106" s="658">
        <f>D104-D105</f>
        <v>0</v>
      </c>
      <c r="E106" s="658">
        <f>E104-E105</f>
        <v>0</v>
      </c>
    </row>
    <row r="107" spans="1:5" ht="11.4" outlineLevel="1" x14ac:dyDescent="0.25">
      <c r="A107" s="85" t="s">
        <v>6794</v>
      </c>
      <c r="B107" s="209" t="s">
        <v>3495</v>
      </c>
      <c r="C107" s="210">
        <f>INDEX('IN_RC-T'!$A$3:$AAA$865,MATCH($A107,'IN_RC-T'!$A$3:$A$865,0),MATCH(C$3,'IN_RC-T'!$A$3:$AAA$3,0))</f>
        <v>0</v>
      </c>
      <c r="D107" s="210">
        <f>INDEX('IN_RC-T'!$A$3:$AAA$865,MATCH($A107,'IN_RC-T'!$A$3:$A$865,0),MATCH(D$3,'IN_RC-T'!$A$3:$AAA$3,0))</f>
        <v>0</v>
      </c>
      <c r="E107" s="210">
        <f>INDEX('IN_RC-T'!$A$3:$AAA$865,MATCH($A107,'IN_RC-T'!$A$3:$A$865,0),MATCH(E$3,'IN_RC-T'!$A$3:$AAA$3,0))</f>
        <v>0</v>
      </c>
    </row>
    <row r="108" spans="1:5" ht="11.4" outlineLevel="1" x14ac:dyDescent="0.25">
      <c r="A108" s="85" t="s">
        <v>6954</v>
      </c>
      <c r="B108" s="657" t="s">
        <v>3663</v>
      </c>
      <c r="C108" s="659">
        <v>0</v>
      </c>
      <c r="D108" s="659">
        <v>0</v>
      </c>
      <c r="E108" s="659">
        <v>0</v>
      </c>
    </row>
    <row r="109" spans="1:5" ht="11.4" outlineLevel="1" x14ac:dyDescent="0.25">
      <c r="A109" s="85" t="s">
        <v>6945</v>
      </c>
      <c r="B109" s="204" t="s">
        <v>3692</v>
      </c>
      <c r="C109" s="658">
        <f>C107-C108</f>
        <v>0</v>
      </c>
      <c r="D109" s="658">
        <f>D107-D108</f>
        <v>0</v>
      </c>
      <c r="E109" s="658">
        <f>E107-E108</f>
        <v>0</v>
      </c>
    </row>
    <row r="110" spans="1:5" ht="11.4" outlineLevel="1" x14ac:dyDescent="0.25">
      <c r="A110" s="85" t="s">
        <v>3028</v>
      </c>
      <c r="B110" s="209" t="s">
        <v>3086</v>
      </c>
      <c r="C110" s="210">
        <f>INDEX('IN_RC-T'!$A$3:$AAA$865,MATCH($A110,'IN_RC-T'!$A$3:$A$865,0),MATCH(C$3,'IN_RC-T'!$A$3:$AAA$3,0))</f>
        <v>0</v>
      </c>
      <c r="D110" s="210">
        <f>INDEX('IN_RC-T'!$A$3:$AAA$865,MATCH($A110,'IN_RC-T'!$A$3:$A$865,0),MATCH(D$3,'IN_RC-T'!$A$3:$AAA$3,0))</f>
        <v>0</v>
      </c>
      <c r="E110" s="210">
        <f>INDEX('IN_RC-T'!$A$3:$AAA$865,MATCH($A110,'IN_RC-T'!$A$3:$A$865,0),MATCH(E$3,'IN_RC-T'!$A$3:$AAA$3,0))</f>
        <v>0</v>
      </c>
    </row>
    <row r="111" spans="1:5" ht="11.4" outlineLevel="1" x14ac:dyDescent="0.25">
      <c r="A111" s="85" t="s">
        <v>3149</v>
      </c>
      <c r="B111" s="660" t="s">
        <v>3673</v>
      </c>
      <c r="C111" s="661">
        <f>C75+C78+C81+C84+C87+C90+C93+C96+C99+C102+C105+C108</f>
        <v>0</v>
      </c>
      <c r="D111" s="661">
        <f>D75+D78+D81+D84+D87+D90+D93+D96+D99+D102+D105+D108</f>
        <v>0</v>
      </c>
      <c r="E111" s="661">
        <f>E75+E78+E81+E84+E87+E90+E93+E96+E99+E102+E105+E108</f>
        <v>0</v>
      </c>
    </row>
    <row r="112" spans="1:5" ht="11.4" outlineLevel="1" x14ac:dyDescent="0.25">
      <c r="A112" s="85" t="s">
        <v>3150</v>
      </c>
      <c r="B112" s="204" t="s">
        <v>3693</v>
      </c>
      <c r="C112" s="658">
        <f>C110-C111</f>
        <v>0</v>
      </c>
      <c r="D112" s="658">
        <f>D110-D111</f>
        <v>0</v>
      </c>
      <c r="E112" s="658">
        <f>E110-E111</f>
        <v>0</v>
      </c>
    </row>
    <row r="113" spans="1:5" outlineLevel="1" x14ac:dyDescent="0.2">
      <c r="B113" s="137"/>
      <c r="C113" s="137"/>
      <c r="D113" s="137"/>
      <c r="E113" s="137"/>
    </row>
    <row r="114" spans="1:5" ht="11.4" outlineLevel="1" x14ac:dyDescent="0.25">
      <c r="A114" s="85" t="s">
        <v>3151</v>
      </c>
      <c r="B114" s="209" t="s">
        <v>3496</v>
      </c>
      <c r="C114" s="210">
        <f>INDEX(PEF_COM_26!$A$3:$AAA$50,MATCH($A114,PEF_COM_26!$A$3:$A$50,0),MATCH(C$3,PEF_COM_26!$A$3:$AAA$3,0))</f>
        <v>0</v>
      </c>
      <c r="D114" s="210">
        <f>INDEX(PEF_COM_26!$A$3:$AAA$50,MATCH($A114,PEF_COM_26!$A$3:$A$50,0),MATCH(D$3,PEF_COM_26!$A$3:$AAA$3,0))</f>
        <v>0</v>
      </c>
      <c r="E114" s="210">
        <f>INDEX(PEF_COM_26!$A$3:$AAA$50,MATCH($A114,PEF_COM_26!$A$3:$A$50,0),MATCH(E$3,PEF_COM_26!$A$3:$AAA$3,0))</f>
        <v>0</v>
      </c>
    </row>
    <row r="115" spans="1:5" ht="11.4" outlineLevel="1" x14ac:dyDescent="0.25">
      <c r="A115" s="85" t="s">
        <v>3152</v>
      </c>
      <c r="B115" s="657" t="s">
        <v>3497</v>
      </c>
      <c r="C115" s="659">
        <v>0</v>
      </c>
      <c r="D115" s="659">
        <v>0</v>
      </c>
      <c r="E115" s="659">
        <v>0</v>
      </c>
    </row>
    <row r="116" spans="1:5" ht="11.4" outlineLevel="1" x14ac:dyDescent="0.25">
      <c r="A116" s="85" t="s">
        <v>3153</v>
      </c>
      <c r="B116" s="204" t="s">
        <v>3498</v>
      </c>
      <c r="C116" s="658">
        <f>C114-C115</f>
        <v>0</v>
      </c>
      <c r="D116" s="658">
        <f>D114-D115</f>
        <v>0</v>
      </c>
      <c r="E116" s="658">
        <f>E114-E115</f>
        <v>0</v>
      </c>
    </row>
    <row r="117" spans="1:5" outlineLevel="1" x14ac:dyDescent="0.2">
      <c r="B117" s="137"/>
      <c r="C117" s="137"/>
      <c r="D117" s="137"/>
      <c r="E117" s="137"/>
    </row>
    <row r="118" spans="1:5" ht="11.4" outlineLevel="1" x14ac:dyDescent="0.25">
      <c r="A118" s="85" t="s">
        <v>3645</v>
      </c>
      <c r="B118" s="86" t="s">
        <v>4976</v>
      </c>
      <c r="C118" s="87">
        <f t="shared" ref="C118" si="0">C7+C14+C21+C28+C71</f>
        <v>0</v>
      </c>
      <c r="D118" s="87">
        <f t="shared" ref="D118:E118" si="1">D7+D14+D21+D28+D71</f>
        <v>0</v>
      </c>
      <c r="E118" s="87">
        <f t="shared" si="1"/>
        <v>0</v>
      </c>
    </row>
    <row r="119" spans="1:5" ht="11.4" outlineLevel="1" x14ac:dyDescent="0.25">
      <c r="A119" s="85" t="s">
        <v>3646</v>
      </c>
      <c r="B119" s="86" t="s">
        <v>4977</v>
      </c>
      <c r="C119" s="87">
        <f>C10+C17+C24+C31+C111+C115</f>
        <v>0</v>
      </c>
      <c r="D119" s="87">
        <f>D10+D17+D24+D31+D111+D115</f>
        <v>0</v>
      </c>
      <c r="E119" s="87">
        <f>E10+E17+E24+E31+E111+E115</f>
        <v>0</v>
      </c>
    </row>
    <row r="120" spans="1:5" ht="11.4" outlineLevel="1" x14ac:dyDescent="0.25">
      <c r="A120" s="85" t="s">
        <v>3647</v>
      </c>
      <c r="B120" s="56" t="s">
        <v>4978</v>
      </c>
      <c r="C120" s="81">
        <f>C118+C119</f>
        <v>0</v>
      </c>
      <c r="D120" s="81">
        <f>D118+D119</f>
        <v>0</v>
      </c>
      <c r="E120" s="81">
        <f>E118+E119</f>
        <v>0</v>
      </c>
    </row>
    <row r="121" spans="1:5" outlineLevel="1" x14ac:dyDescent="0.2">
      <c r="B121" s="137"/>
      <c r="C121" s="137"/>
      <c r="D121" s="137"/>
      <c r="E121" s="137"/>
    </row>
    <row r="122" spans="1:5" ht="11.4" outlineLevel="1" x14ac:dyDescent="0.25">
      <c r="A122" s="85" t="s">
        <v>3154</v>
      </c>
      <c r="B122" s="209" t="s">
        <v>3499</v>
      </c>
      <c r="C122" s="210">
        <f>INDEX(PEF_GEST_26!$A$3:$AAA$50,MATCH($A122,PEF_GEST_26!$A$3:$A$50,0),MATCH(C$3,PEF_GEST_26!$A$3:$AAA$3,0))</f>
        <v>2456567.5796376001</v>
      </c>
      <c r="D122" s="210">
        <f>INDEX(PEF_GEST_26!$A$3:$AAA$50,MATCH($A122,PEF_GEST_26!$A$3:$A$50,0),MATCH(D$3,PEF_GEST_26!$A$3:$AAA$3,0))</f>
        <v>0</v>
      </c>
      <c r="E122" s="210">
        <f>INDEX(PEF_GEST_26!$A$3:$AAA$50,MATCH($A122,PEF_GEST_26!$A$3:$A$50,0),MATCH(E$3,PEF_GEST_26!$A$3:$AAA$3,0))</f>
        <v>0</v>
      </c>
    </row>
    <row r="123" spans="1:5" ht="11.4" outlineLevel="1" x14ac:dyDescent="0.25">
      <c r="A123" s="85" t="s">
        <v>3155</v>
      </c>
      <c r="B123" s="657" t="s">
        <v>3500</v>
      </c>
      <c r="C123" s="659">
        <v>0</v>
      </c>
      <c r="D123" s="659">
        <v>0</v>
      </c>
      <c r="E123" s="659">
        <v>0</v>
      </c>
    </row>
    <row r="124" spans="1:5" ht="11.4" outlineLevel="1" x14ac:dyDescent="0.25">
      <c r="A124" s="85" t="s">
        <v>3156</v>
      </c>
      <c r="B124" s="204" t="s">
        <v>3501</v>
      </c>
      <c r="C124" s="658">
        <f>C122-C123</f>
        <v>2456567.5796376001</v>
      </c>
      <c r="D124" s="658">
        <f>D122-D123</f>
        <v>0</v>
      </c>
      <c r="E124" s="658">
        <f>E122-E123</f>
        <v>0</v>
      </c>
    </row>
    <row r="125" spans="1:5" ht="11.4" outlineLevel="1" x14ac:dyDescent="0.25">
      <c r="A125" s="85" t="s">
        <v>3157</v>
      </c>
      <c r="B125" s="209" t="s">
        <v>3502</v>
      </c>
      <c r="C125" s="210">
        <f>INDEX(PEF_COM_26!$A$3:$AAA$50,MATCH($A125,PEF_COM_26!$A$3:$A$50,0),MATCH(C$3,PEF_COM_26!$A$3:$AAA$3,0))</f>
        <v>0</v>
      </c>
      <c r="D125" s="210">
        <f>INDEX(PEF_COM_26!$A$3:$AAA$50,MATCH($A125,PEF_COM_26!$A$3:$A$50,0),MATCH(D$3,PEF_COM_26!$A$3:$AAA$3,0))</f>
        <v>0</v>
      </c>
      <c r="E125" s="210">
        <f>INDEX(PEF_COM_26!$A$3:$AAA$50,MATCH($A125,PEF_COM_26!$A$3:$A$50,0),MATCH(E$3,PEF_COM_26!$A$3:$AAA$3,0))</f>
        <v>0</v>
      </c>
    </row>
    <row r="126" spans="1:5" ht="11.4" outlineLevel="1" x14ac:dyDescent="0.25">
      <c r="A126" s="85" t="s">
        <v>3158</v>
      </c>
      <c r="B126" s="657" t="s">
        <v>3503</v>
      </c>
      <c r="C126" s="659">
        <v>0</v>
      </c>
      <c r="D126" s="659">
        <v>0</v>
      </c>
      <c r="E126" s="659">
        <v>0</v>
      </c>
    </row>
    <row r="127" spans="1:5" ht="11.4" outlineLevel="1" x14ac:dyDescent="0.25">
      <c r="A127" s="85" t="s">
        <v>3159</v>
      </c>
      <c r="B127" s="204" t="s">
        <v>3504</v>
      </c>
      <c r="C127" s="658">
        <f>C125-C126</f>
        <v>0</v>
      </c>
      <c r="D127" s="658">
        <f>D125-D126</f>
        <v>0</v>
      </c>
      <c r="E127" s="658">
        <f>E125-E126</f>
        <v>0</v>
      </c>
    </row>
    <row r="128" spans="1:5" outlineLevel="1" x14ac:dyDescent="0.2">
      <c r="B128" s="137"/>
      <c r="C128" s="662"/>
      <c r="D128" s="662"/>
      <c r="E128" s="662"/>
    </row>
    <row r="129" spans="1:5" ht="11.4" outlineLevel="1" x14ac:dyDescent="0.25">
      <c r="A129" s="85" t="s">
        <v>3160</v>
      </c>
      <c r="B129" s="209" t="s">
        <v>3505</v>
      </c>
      <c r="C129" s="210">
        <f>INDEX(PEF_GEST_26!$A$3:$AAA$50,MATCH($A129,PEF_GEST_26!$A$3:$A$50,0),MATCH(C$3,PEF_GEST_26!$A$3:$AAA$3,0))</f>
        <v>614409.89280000003</v>
      </c>
      <c r="D129" s="210">
        <f>INDEX(PEF_GEST_26!$A$3:$AAA$50,MATCH($A129,PEF_GEST_26!$A$3:$A$50,0),MATCH(D$3,PEF_GEST_26!$A$3:$AAA$3,0))</f>
        <v>0</v>
      </c>
      <c r="E129" s="210">
        <f>INDEX(PEF_GEST_26!$A$3:$AAA$50,MATCH($A129,PEF_GEST_26!$A$3:$A$50,0),MATCH(E$3,PEF_GEST_26!$A$3:$AAA$3,0))</f>
        <v>0</v>
      </c>
    </row>
    <row r="130" spans="1:5" ht="11.4" outlineLevel="1" x14ac:dyDescent="0.25">
      <c r="A130" s="85" t="s">
        <v>3161</v>
      </c>
      <c r="B130" s="657" t="s">
        <v>3506</v>
      </c>
      <c r="C130" s="659">
        <v>0</v>
      </c>
      <c r="D130" s="659">
        <v>0</v>
      </c>
      <c r="E130" s="659">
        <v>0</v>
      </c>
    </row>
    <row r="131" spans="1:5" ht="11.4" outlineLevel="1" x14ac:dyDescent="0.25">
      <c r="A131" s="85" t="s">
        <v>3162</v>
      </c>
      <c r="B131" s="204" t="s">
        <v>3507</v>
      </c>
      <c r="C131" s="658">
        <f>C129-C130</f>
        <v>614409.89280000003</v>
      </c>
      <c r="D131" s="658">
        <f>D129-D130</f>
        <v>0</v>
      </c>
      <c r="E131" s="658">
        <f>E129-E130</f>
        <v>0</v>
      </c>
    </row>
    <row r="132" spans="1:5" ht="11.4" outlineLevel="1" x14ac:dyDescent="0.25">
      <c r="A132" s="85" t="s">
        <v>3163</v>
      </c>
      <c r="B132" s="209" t="s">
        <v>3508</v>
      </c>
      <c r="C132" s="210">
        <f>INDEX(PEF_COM_26!$A$3:$AAA$50,MATCH($A132,PEF_COM_26!$A$3:$A$50,0),MATCH(C$3,PEF_COM_26!$A$3:$AAA$3,0))</f>
        <v>0</v>
      </c>
      <c r="D132" s="210">
        <f>INDEX(PEF_COM_26!$A$3:$AAA$50,MATCH($A132,PEF_COM_26!$A$3:$A$50,0),MATCH(D$3,PEF_COM_26!$A$3:$AAA$3,0))</f>
        <v>0</v>
      </c>
      <c r="E132" s="210">
        <f>INDEX(PEF_COM_26!$A$3:$AAA$50,MATCH($A132,PEF_COM_26!$A$3:$A$50,0),MATCH(E$3,PEF_COM_26!$A$3:$AAA$3,0))</f>
        <v>0</v>
      </c>
    </row>
    <row r="133" spans="1:5" ht="11.4" outlineLevel="1" x14ac:dyDescent="0.25">
      <c r="A133" s="85" t="s">
        <v>3164</v>
      </c>
      <c r="B133" s="657" t="s">
        <v>3509</v>
      </c>
      <c r="C133" s="659">
        <v>0</v>
      </c>
      <c r="D133" s="659">
        <v>0</v>
      </c>
      <c r="E133" s="659">
        <v>0</v>
      </c>
    </row>
    <row r="134" spans="1:5" ht="11.4" outlineLevel="1" x14ac:dyDescent="0.25">
      <c r="A134" s="85" t="s">
        <v>3165</v>
      </c>
      <c r="B134" s="204" t="s">
        <v>3510</v>
      </c>
      <c r="C134" s="658">
        <f>C132-C133</f>
        <v>0</v>
      </c>
      <c r="D134" s="658">
        <f>D132-D133</f>
        <v>0</v>
      </c>
      <c r="E134" s="658">
        <f>E132-E133</f>
        <v>0</v>
      </c>
    </row>
    <row r="135" spans="1:5" outlineLevel="1" x14ac:dyDescent="0.2">
      <c r="B135" s="137"/>
      <c r="C135" s="662"/>
      <c r="D135" s="662"/>
      <c r="E135" s="662"/>
    </row>
    <row r="136" spans="1:5" ht="11.4" outlineLevel="1" x14ac:dyDescent="0.25">
      <c r="A136" s="85" t="s">
        <v>3166</v>
      </c>
      <c r="B136" s="209" t="s">
        <v>3511</v>
      </c>
      <c r="C136" s="210">
        <f>INDEX(PEF_GEST_26!$A$3:$AAA$50,MATCH($A136,PEF_GEST_26!$A$3:$A$50,0),MATCH(C$3,PEF_GEST_26!$A$3:$AAA$3,0))</f>
        <v>1427110.4677104</v>
      </c>
      <c r="D136" s="210">
        <f>INDEX(PEF_GEST_26!$A$3:$AAA$50,MATCH($A136,PEF_GEST_26!$A$3:$A$50,0),MATCH(D$3,PEF_GEST_26!$A$3:$AAA$3,0))</f>
        <v>52656.265595999997</v>
      </c>
      <c r="E136" s="210">
        <f>INDEX(PEF_GEST_26!$A$3:$AAA$50,MATCH($A136,PEF_GEST_26!$A$3:$A$50,0),MATCH(E$3,PEF_GEST_26!$A$3:$AAA$3,0))</f>
        <v>0</v>
      </c>
    </row>
    <row r="137" spans="1:5" ht="11.4" outlineLevel="1" x14ac:dyDescent="0.25">
      <c r="A137" s="85" t="s">
        <v>3167</v>
      </c>
      <c r="B137" s="657" t="s">
        <v>3512</v>
      </c>
      <c r="C137" s="659">
        <v>0</v>
      </c>
      <c r="D137" s="659">
        <v>0</v>
      </c>
      <c r="E137" s="659">
        <v>0</v>
      </c>
    </row>
    <row r="138" spans="1:5" ht="11.4" outlineLevel="1" x14ac:dyDescent="0.25">
      <c r="A138" s="85" t="s">
        <v>3168</v>
      </c>
      <c r="B138" s="204" t="s">
        <v>3513</v>
      </c>
      <c r="C138" s="658">
        <f>C136-C137</f>
        <v>1427110.4677104</v>
      </c>
      <c r="D138" s="658">
        <f>D136-D137</f>
        <v>52656.265595999997</v>
      </c>
      <c r="E138" s="658">
        <f>E136-E137</f>
        <v>0</v>
      </c>
    </row>
    <row r="139" spans="1:5" ht="11.4" outlineLevel="1" x14ac:dyDescent="0.25">
      <c r="A139" s="85" t="s">
        <v>3169</v>
      </c>
      <c r="B139" s="209" t="s">
        <v>3514</v>
      </c>
      <c r="C139" s="210">
        <f>INDEX(PEF_COM_26!$A$3:$AAA$50,MATCH($A139,PEF_COM_26!$A$3:$A$50,0),MATCH(C$3,PEF_COM_26!$A$3:$AAA$3,0))</f>
        <v>0</v>
      </c>
      <c r="D139" s="210">
        <f>INDEX(PEF_COM_26!$A$3:$AAA$50,MATCH($A139,PEF_COM_26!$A$3:$A$50,0),MATCH(D$3,PEF_COM_26!$A$3:$AAA$3,0))</f>
        <v>0</v>
      </c>
      <c r="E139" s="210">
        <f>INDEX(PEF_COM_26!$A$3:$AAA$50,MATCH($A139,PEF_COM_26!$A$3:$A$50,0),MATCH(E$3,PEF_COM_26!$A$3:$AAA$3,0))</f>
        <v>0</v>
      </c>
    </row>
    <row r="140" spans="1:5" ht="11.4" outlineLevel="1" x14ac:dyDescent="0.25">
      <c r="A140" s="85" t="s">
        <v>3170</v>
      </c>
      <c r="B140" s="657" t="s">
        <v>3515</v>
      </c>
      <c r="C140" s="659">
        <v>0</v>
      </c>
      <c r="D140" s="659">
        <v>0</v>
      </c>
      <c r="E140" s="659">
        <v>0</v>
      </c>
    </row>
    <row r="141" spans="1:5" ht="11.4" outlineLevel="1" x14ac:dyDescent="0.25">
      <c r="A141" s="85" t="s">
        <v>3171</v>
      </c>
      <c r="B141" s="204" t="s">
        <v>3516</v>
      </c>
      <c r="C141" s="658">
        <f>C139-C140</f>
        <v>0</v>
      </c>
      <c r="D141" s="658">
        <f>D139-D140</f>
        <v>0</v>
      </c>
      <c r="E141" s="658">
        <f>E139-E140</f>
        <v>0</v>
      </c>
    </row>
    <row r="142" spans="1:5" outlineLevel="1" x14ac:dyDescent="0.2">
      <c r="B142" s="137"/>
      <c r="C142" s="662"/>
      <c r="D142" s="662"/>
      <c r="E142" s="662"/>
    </row>
    <row r="143" spans="1:5" ht="11.4" outlineLevel="1" x14ac:dyDescent="0.25">
      <c r="A143" s="85" t="s">
        <v>3172</v>
      </c>
      <c r="B143" s="209" t="s">
        <v>3517</v>
      </c>
      <c r="C143" s="210">
        <f>INDEX(PEF_GEST_26!$A$3:$AAA$50,MATCH($A143,PEF_GEST_26!$A$3:$A$50,0),MATCH(C$3,PEF_GEST_26!$A$3:$AAA$3,0))</f>
        <v>0</v>
      </c>
      <c r="D143" s="210">
        <f>INDEX(PEF_GEST_26!$A$3:$AAA$50,MATCH($A143,PEF_GEST_26!$A$3:$A$50,0),MATCH(D$3,PEF_GEST_26!$A$3:$AAA$3,0))</f>
        <v>0</v>
      </c>
      <c r="E143" s="210">
        <f>INDEX(PEF_GEST_26!$A$3:$AAA$50,MATCH($A143,PEF_GEST_26!$A$3:$A$50,0),MATCH(E$3,PEF_GEST_26!$A$3:$AAA$3,0))</f>
        <v>0</v>
      </c>
    </row>
    <row r="144" spans="1:5" ht="11.4" outlineLevel="1" x14ac:dyDescent="0.25">
      <c r="A144" s="85" t="s">
        <v>3173</v>
      </c>
      <c r="B144" s="657" t="s">
        <v>3518</v>
      </c>
      <c r="C144" s="659">
        <v>0</v>
      </c>
      <c r="D144" s="659">
        <v>0</v>
      </c>
      <c r="E144" s="659">
        <v>0</v>
      </c>
    </row>
    <row r="145" spans="1:5" ht="11.4" outlineLevel="1" x14ac:dyDescent="0.25">
      <c r="A145" s="85" t="s">
        <v>3174</v>
      </c>
      <c r="B145" s="204" t="s">
        <v>3519</v>
      </c>
      <c r="C145" s="658">
        <f>C143-C144</f>
        <v>0</v>
      </c>
      <c r="D145" s="658">
        <f>D143-D144</f>
        <v>0</v>
      </c>
      <c r="E145" s="658">
        <f>E143-E144</f>
        <v>0</v>
      </c>
    </row>
    <row r="146" spans="1:5" ht="11.4" outlineLevel="1" x14ac:dyDescent="0.25">
      <c r="A146" s="85" t="s">
        <v>3175</v>
      </c>
      <c r="B146" s="209" t="s">
        <v>3520</v>
      </c>
      <c r="C146" s="210">
        <f>INDEX(PEF_COM_26!$A$3:$AAA$50,MATCH($A146,PEF_COM_26!$A$3:$A$50,0),MATCH(C$3,PEF_COM_26!$A$3:$AAA$3,0))</f>
        <v>0</v>
      </c>
      <c r="D146" s="210">
        <f>INDEX(PEF_COM_26!$A$3:$AAA$50,MATCH($A146,PEF_COM_26!$A$3:$A$50,0),MATCH(D$3,PEF_COM_26!$A$3:$AAA$3,0))</f>
        <v>0</v>
      </c>
      <c r="E146" s="210">
        <f>INDEX(PEF_COM_26!$A$3:$AAA$50,MATCH($A146,PEF_COM_26!$A$3:$A$50,0),MATCH(E$3,PEF_COM_26!$A$3:$AAA$3,0))</f>
        <v>0</v>
      </c>
    </row>
    <row r="147" spans="1:5" ht="11.4" outlineLevel="1" x14ac:dyDescent="0.25">
      <c r="A147" s="85" t="s">
        <v>3176</v>
      </c>
      <c r="B147" s="657" t="s">
        <v>3521</v>
      </c>
      <c r="C147" s="659">
        <v>0</v>
      </c>
      <c r="D147" s="659">
        <v>0</v>
      </c>
      <c r="E147" s="659">
        <v>0</v>
      </c>
    </row>
    <row r="148" spans="1:5" ht="11.4" outlineLevel="1" x14ac:dyDescent="0.25">
      <c r="A148" s="85" t="s">
        <v>3177</v>
      </c>
      <c r="B148" s="204" t="s">
        <v>3522</v>
      </c>
      <c r="C148" s="658">
        <f>C146-C147</f>
        <v>0</v>
      </c>
      <c r="D148" s="658">
        <f>D146-D147</f>
        <v>0</v>
      </c>
      <c r="E148" s="658">
        <f>E146-E147</f>
        <v>0</v>
      </c>
    </row>
    <row r="149" spans="1:5" outlineLevel="1" x14ac:dyDescent="0.2">
      <c r="B149" s="137"/>
      <c r="C149" s="137"/>
      <c r="D149" s="137"/>
      <c r="E149" s="137"/>
    </row>
    <row r="150" spans="1:5" ht="11.4" outlineLevel="1" x14ac:dyDescent="0.25">
      <c r="A150" s="85" t="s">
        <v>3178</v>
      </c>
      <c r="B150" s="209" t="s">
        <v>3523</v>
      </c>
      <c r="C150" s="210">
        <f>INDEX(PEF_GEST_26!$A$3:$AAA$50,MATCH($A150,PEF_GEST_26!$A$3:$A$50,0),MATCH(C$3,PEF_GEST_26!$A$3:$AAA$3,0))</f>
        <v>0</v>
      </c>
      <c r="D150" s="210">
        <f>INDEX(PEF_GEST_26!$A$3:$AAA$50,MATCH($A150,PEF_GEST_26!$A$3:$A$50,0),MATCH(D$3,PEF_GEST_26!$A$3:$AAA$3,0))</f>
        <v>0</v>
      </c>
      <c r="E150" s="210">
        <f>INDEX(PEF_GEST_26!$A$3:$AAA$50,MATCH($A150,PEF_GEST_26!$A$3:$A$50,0),MATCH(E$3,PEF_GEST_26!$A$3:$AAA$3,0))</f>
        <v>0</v>
      </c>
    </row>
    <row r="151" spans="1:5" ht="11.4" outlineLevel="1" x14ac:dyDescent="0.25">
      <c r="A151" s="85" t="s">
        <v>3179</v>
      </c>
      <c r="B151" s="657" t="s">
        <v>3524</v>
      </c>
      <c r="C151" s="659">
        <v>0</v>
      </c>
      <c r="D151" s="659">
        <v>0</v>
      </c>
      <c r="E151" s="659">
        <v>0</v>
      </c>
    </row>
    <row r="152" spans="1:5" ht="11.4" outlineLevel="1" x14ac:dyDescent="0.25">
      <c r="A152" s="85" t="s">
        <v>3180</v>
      </c>
      <c r="B152" s="204" t="s">
        <v>3525</v>
      </c>
      <c r="C152" s="658">
        <f>C150-C151</f>
        <v>0</v>
      </c>
      <c r="D152" s="658">
        <f>D150-D151</f>
        <v>0</v>
      </c>
      <c r="E152" s="658">
        <f>E150-E151</f>
        <v>0</v>
      </c>
    </row>
    <row r="153" spans="1:5" ht="11.4" outlineLevel="1" x14ac:dyDescent="0.25">
      <c r="A153" s="85" t="s">
        <v>3181</v>
      </c>
      <c r="B153" s="209" t="s">
        <v>3526</v>
      </c>
      <c r="C153" s="210">
        <f>INDEX(PEF_COM_26!$A$3:$AAA$50,MATCH($A153,PEF_COM_26!$A$3:$A$50,0),MATCH(C$3,PEF_COM_26!$A$3:$AAA$3,0))</f>
        <v>0</v>
      </c>
      <c r="D153" s="210">
        <f>INDEX(PEF_COM_26!$A$3:$AAA$50,MATCH($A153,PEF_COM_26!$A$3:$A$50,0),MATCH(D$3,PEF_COM_26!$A$3:$AAA$3,0))</f>
        <v>0</v>
      </c>
      <c r="E153" s="210">
        <f>INDEX(PEF_COM_26!$A$3:$AAA$50,MATCH($A153,PEF_COM_26!$A$3:$A$50,0),MATCH(E$3,PEF_COM_26!$A$3:$AAA$3,0))</f>
        <v>0</v>
      </c>
    </row>
    <row r="154" spans="1:5" ht="11.4" outlineLevel="1" x14ac:dyDescent="0.25">
      <c r="A154" s="85" t="s">
        <v>3182</v>
      </c>
      <c r="B154" s="657" t="s">
        <v>3527</v>
      </c>
      <c r="C154" s="659">
        <v>0</v>
      </c>
      <c r="D154" s="659">
        <v>0</v>
      </c>
      <c r="E154" s="659">
        <v>0</v>
      </c>
    </row>
    <row r="155" spans="1:5" ht="11.4" outlineLevel="1" x14ac:dyDescent="0.25">
      <c r="A155" s="85" t="s">
        <v>3183</v>
      </c>
      <c r="B155" s="204" t="s">
        <v>3528</v>
      </c>
      <c r="C155" s="658">
        <f>C153-C154</f>
        <v>0</v>
      </c>
      <c r="D155" s="658">
        <f>D153-D154</f>
        <v>0</v>
      </c>
      <c r="E155" s="658">
        <f>E153-E154</f>
        <v>0</v>
      </c>
    </row>
    <row r="156" spans="1:5" outlineLevel="1" x14ac:dyDescent="0.2">
      <c r="B156" s="137"/>
      <c r="C156" s="137"/>
      <c r="D156" s="137"/>
      <c r="E156" s="137"/>
    </row>
    <row r="157" spans="1:5" ht="11.4" outlineLevel="1" x14ac:dyDescent="0.25">
      <c r="A157" s="85" t="s">
        <v>3184</v>
      </c>
      <c r="B157" s="209" t="s">
        <v>3529</v>
      </c>
      <c r="C157" s="210">
        <f>INDEX(PEF_GEST_26!$A$3:$AAA$50,MATCH($A157,PEF_GEST_26!$A$3:$A$50,0),MATCH(C$3,PEF_GEST_26!$A$3:$AAA$3,0))</f>
        <v>776842.25678022834</v>
      </c>
      <c r="D157" s="210">
        <f>INDEX(PEF_GEST_26!$A$3:$AAA$50,MATCH($A157,PEF_GEST_26!$A$3:$A$50,0),MATCH(D$3,PEF_GEST_26!$A$3:$AAA$3,0))</f>
        <v>46709.289151592602</v>
      </c>
      <c r="E157" s="210">
        <f>INDEX(PEF_GEST_26!$A$3:$AAA$50,MATCH($A157,PEF_GEST_26!$A$3:$A$50,0),MATCH(E$3,PEF_GEST_26!$A$3:$AAA$3,0))</f>
        <v>0</v>
      </c>
    </row>
    <row r="158" spans="1:5" ht="11.4" outlineLevel="1" x14ac:dyDescent="0.25">
      <c r="A158" s="85" t="s">
        <v>3185</v>
      </c>
      <c r="B158" s="657" t="s">
        <v>3530</v>
      </c>
      <c r="C158" s="659">
        <v>0</v>
      </c>
      <c r="D158" s="659">
        <v>0</v>
      </c>
      <c r="E158" s="659">
        <v>0</v>
      </c>
    </row>
    <row r="159" spans="1:5" ht="11.4" outlineLevel="1" x14ac:dyDescent="0.25">
      <c r="A159" s="85" t="s">
        <v>3186</v>
      </c>
      <c r="B159" s="204" t="s">
        <v>3531</v>
      </c>
      <c r="C159" s="658">
        <f>C157-C158</f>
        <v>776842.25678022834</v>
      </c>
      <c r="D159" s="658">
        <f>D157-D158</f>
        <v>46709.289151592602</v>
      </c>
      <c r="E159" s="658">
        <f>E157-E158</f>
        <v>0</v>
      </c>
    </row>
    <row r="160" spans="1:5" ht="11.4" outlineLevel="1" x14ac:dyDescent="0.25">
      <c r="A160" s="85" t="s">
        <v>3187</v>
      </c>
      <c r="B160" s="209" t="s">
        <v>3532</v>
      </c>
      <c r="C160" s="210">
        <f>INDEX(PEF_COM_26!$A$3:$AAA$50,MATCH($A160,PEF_COM_26!$A$3:$A$50,0),MATCH(C$3,PEF_COM_26!$A$3:$AAA$3,0))</f>
        <v>0</v>
      </c>
      <c r="D160" s="210">
        <f>INDEX(PEF_COM_26!$A$3:$AAA$50,MATCH($A160,PEF_COM_26!$A$3:$A$50,0),MATCH(D$3,PEF_COM_26!$A$3:$AAA$3,0))</f>
        <v>0</v>
      </c>
      <c r="E160" s="210">
        <f>INDEX(PEF_COM_26!$A$3:$AAA$50,MATCH($A160,PEF_COM_26!$A$3:$A$50,0),MATCH(E$3,PEF_COM_26!$A$3:$AAA$3,0))</f>
        <v>23913.992320676058</v>
      </c>
    </row>
    <row r="161" spans="1:5" ht="11.4" outlineLevel="1" x14ac:dyDescent="0.25">
      <c r="A161" s="85" t="s">
        <v>3188</v>
      </c>
      <c r="B161" s="657" t="s">
        <v>3533</v>
      </c>
      <c r="C161" s="659">
        <v>0</v>
      </c>
      <c r="D161" s="659">
        <v>0</v>
      </c>
      <c r="E161" s="659">
        <v>0</v>
      </c>
    </row>
    <row r="162" spans="1:5" ht="11.4" outlineLevel="1" x14ac:dyDescent="0.25">
      <c r="A162" s="85" t="s">
        <v>3189</v>
      </c>
      <c r="B162" s="204" t="s">
        <v>3534</v>
      </c>
      <c r="C162" s="658">
        <f>C160-C161</f>
        <v>0</v>
      </c>
      <c r="D162" s="658">
        <f>D160-D161</f>
        <v>0</v>
      </c>
      <c r="E162" s="658">
        <f>E160-E161</f>
        <v>23913.992320676058</v>
      </c>
    </row>
    <row r="163" spans="1:5" outlineLevel="1" x14ac:dyDescent="0.2">
      <c r="B163" s="137"/>
      <c r="C163" s="137"/>
      <c r="D163" s="137"/>
      <c r="E163" s="137"/>
    </row>
    <row r="164" spans="1:5" ht="11.4" outlineLevel="1" x14ac:dyDescent="0.25">
      <c r="A164" s="85" t="s">
        <v>3190</v>
      </c>
      <c r="B164" s="209" t="s">
        <v>3535</v>
      </c>
      <c r="C164" s="210">
        <f>INDEX(PEF_GEST_26!$A$3:$AAA$50,MATCH($A164,PEF_GEST_26!$A$3:$A$50,0),MATCH(C$3,PEF_GEST_26!$A$3:$AAA$3,0))</f>
        <v>0</v>
      </c>
      <c r="D164" s="210">
        <f>INDEX(PEF_GEST_26!$A$3:$AAA$50,MATCH($A164,PEF_GEST_26!$A$3:$A$50,0),MATCH(D$3,PEF_GEST_26!$A$3:$AAA$3,0))</f>
        <v>0</v>
      </c>
      <c r="E164" s="210">
        <f>INDEX(PEF_GEST_26!$A$3:$AAA$50,MATCH($A164,PEF_GEST_26!$A$3:$A$50,0),MATCH(E$3,PEF_GEST_26!$A$3:$AAA$3,0))</f>
        <v>0</v>
      </c>
    </row>
    <row r="165" spans="1:5" ht="11.4" outlineLevel="1" x14ac:dyDescent="0.25">
      <c r="A165" s="85" t="s">
        <v>3191</v>
      </c>
      <c r="B165" s="657" t="s">
        <v>3536</v>
      </c>
      <c r="C165" s="659">
        <v>0</v>
      </c>
      <c r="D165" s="659">
        <v>0</v>
      </c>
      <c r="E165" s="659">
        <v>0</v>
      </c>
    </row>
    <row r="166" spans="1:5" ht="11.4" outlineLevel="1" x14ac:dyDescent="0.25">
      <c r="A166" s="85" t="s">
        <v>3192</v>
      </c>
      <c r="B166" s="204" t="s">
        <v>3537</v>
      </c>
      <c r="C166" s="658">
        <f>C164-C165</f>
        <v>0</v>
      </c>
      <c r="D166" s="658">
        <f>D164-D165</f>
        <v>0</v>
      </c>
      <c r="E166" s="658">
        <f>E164-E165</f>
        <v>0</v>
      </c>
    </row>
    <row r="167" spans="1:5" ht="11.4" outlineLevel="1" x14ac:dyDescent="0.25">
      <c r="A167" s="85" t="s">
        <v>3193</v>
      </c>
      <c r="B167" s="209" t="s">
        <v>3538</v>
      </c>
      <c r="C167" s="210">
        <f>INDEX(PEF_GEST_26!$A$3:$AAA$50,MATCH($A167,PEF_GEST_26!$A$3:$A$50,0),MATCH(C$3,PEF_GEST_26!$A$3:$AAA$3,0))</f>
        <v>928313.04456000007</v>
      </c>
      <c r="D167" s="210">
        <f>INDEX(PEF_GEST_26!$A$3:$AAA$50,MATCH($A167,PEF_GEST_26!$A$3:$A$50,0),MATCH(D$3,PEF_GEST_26!$A$3:$AAA$3,0))</f>
        <v>0</v>
      </c>
      <c r="E167" s="210">
        <f>INDEX(PEF_GEST_26!$A$3:$AAA$50,MATCH($A167,PEF_GEST_26!$A$3:$A$50,0),MATCH(E$3,PEF_GEST_26!$A$3:$AAA$3,0))</f>
        <v>0</v>
      </c>
    </row>
    <row r="168" spans="1:5" ht="11.4" outlineLevel="1" x14ac:dyDescent="0.25">
      <c r="A168" s="85" t="s">
        <v>3194</v>
      </c>
      <c r="B168" s="657" t="s">
        <v>3539</v>
      </c>
      <c r="C168" s="659">
        <v>0</v>
      </c>
      <c r="D168" s="659">
        <v>0</v>
      </c>
      <c r="E168" s="659">
        <v>0</v>
      </c>
    </row>
    <row r="169" spans="1:5" ht="11.4" outlineLevel="1" x14ac:dyDescent="0.25">
      <c r="A169" s="85" t="s">
        <v>3195</v>
      </c>
      <c r="B169" s="204" t="s">
        <v>3540</v>
      </c>
      <c r="C169" s="658">
        <f>C167-C168</f>
        <v>928313.04456000007</v>
      </c>
      <c r="D169" s="658">
        <f>D167-D168</f>
        <v>0</v>
      </c>
      <c r="E169" s="658">
        <f>E167-E168</f>
        <v>0</v>
      </c>
    </row>
    <row r="170" spans="1:5" ht="11.4" outlineLevel="1" x14ac:dyDescent="0.25">
      <c r="A170" s="85" t="s">
        <v>3196</v>
      </c>
      <c r="B170" s="209" t="s">
        <v>3541</v>
      </c>
      <c r="C170" s="210">
        <f>INDEX(PEF_GEST_26!$A$3:$AAA$50,MATCH($A170,PEF_GEST_26!$A$3:$A$50,0),MATCH(C$3,PEF_GEST_26!$A$3:$AAA$3,0))</f>
        <v>0</v>
      </c>
      <c r="D170" s="210">
        <f>INDEX(PEF_GEST_26!$A$3:$AAA$50,MATCH($A170,PEF_GEST_26!$A$3:$A$50,0),MATCH(D$3,PEF_GEST_26!$A$3:$AAA$3,0))</f>
        <v>0</v>
      </c>
      <c r="E170" s="210">
        <f>INDEX(PEF_GEST_26!$A$3:$AAA$50,MATCH($A170,PEF_GEST_26!$A$3:$A$50,0),MATCH(E$3,PEF_GEST_26!$A$3:$AAA$3,0))</f>
        <v>0</v>
      </c>
    </row>
    <row r="171" spans="1:5" ht="11.4" outlineLevel="1" x14ac:dyDescent="0.25">
      <c r="A171" s="85" t="s">
        <v>3197</v>
      </c>
      <c r="B171" s="657" t="s">
        <v>3542</v>
      </c>
      <c r="C171" s="659">
        <v>0</v>
      </c>
      <c r="D171" s="659">
        <v>0</v>
      </c>
      <c r="E171" s="659">
        <v>0</v>
      </c>
    </row>
    <row r="172" spans="1:5" ht="11.4" outlineLevel="1" x14ac:dyDescent="0.25">
      <c r="A172" s="85" t="s">
        <v>3198</v>
      </c>
      <c r="B172" s="204" t="s">
        <v>3543</v>
      </c>
      <c r="C172" s="658">
        <f>C170-C171</f>
        <v>0</v>
      </c>
      <c r="D172" s="658">
        <f>D170-D171</f>
        <v>0</v>
      </c>
      <c r="E172" s="658">
        <f>E170-E171</f>
        <v>0</v>
      </c>
    </row>
    <row r="173" spans="1:5" ht="11.4" outlineLevel="1" x14ac:dyDescent="0.25">
      <c r="A173" s="85" t="s">
        <v>3199</v>
      </c>
      <c r="B173" s="209" t="s">
        <v>3544</v>
      </c>
      <c r="C173" s="210">
        <f>INDEX(PEF_GEST_26!$A$3:$AAA$50,MATCH($A173,PEF_GEST_26!$A$3:$A$50,0),MATCH(C$3,PEF_GEST_26!$A$3:$AAA$3,0))</f>
        <v>0</v>
      </c>
      <c r="D173" s="210">
        <f>INDEX(PEF_GEST_26!$A$3:$AAA$50,MATCH($A173,PEF_GEST_26!$A$3:$A$50,0),MATCH(D$3,PEF_GEST_26!$A$3:$AAA$3,0))</f>
        <v>0</v>
      </c>
      <c r="E173" s="210">
        <f>INDEX(PEF_GEST_26!$A$3:$AAA$50,MATCH($A173,PEF_GEST_26!$A$3:$A$50,0),MATCH(E$3,PEF_GEST_26!$A$3:$AAA$3,0))</f>
        <v>0</v>
      </c>
    </row>
    <row r="174" spans="1:5" ht="11.4" outlineLevel="1" x14ac:dyDescent="0.25">
      <c r="A174" s="85" t="s">
        <v>3200</v>
      </c>
      <c r="B174" s="657" t="s">
        <v>3545</v>
      </c>
      <c r="C174" s="659">
        <v>0</v>
      </c>
      <c r="D174" s="659">
        <v>0</v>
      </c>
      <c r="E174" s="659">
        <v>0</v>
      </c>
    </row>
    <row r="175" spans="1:5" ht="11.4" outlineLevel="1" x14ac:dyDescent="0.25">
      <c r="A175" s="85" t="s">
        <v>3201</v>
      </c>
      <c r="B175" s="204" t="s">
        <v>3546</v>
      </c>
      <c r="C175" s="658">
        <f>C173-C174</f>
        <v>0</v>
      </c>
      <c r="D175" s="658">
        <f>D173-D174</f>
        <v>0</v>
      </c>
      <c r="E175" s="658">
        <f>E173-E174</f>
        <v>0</v>
      </c>
    </row>
    <row r="176" spans="1:5" ht="11.4" outlineLevel="1" x14ac:dyDescent="0.25">
      <c r="A176" s="85" t="s">
        <v>3202</v>
      </c>
      <c r="B176" s="209" t="s">
        <v>3547</v>
      </c>
      <c r="C176" s="210">
        <f t="shared" ref="C176:E177" si="2">C164+C167+C170+C173</f>
        <v>928313.04456000007</v>
      </c>
      <c r="D176" s="210">
        <f t="shared" si="2"/>
        <v>0</v>
      </c>
      <c r="E176" s="210">
        <f t="shared" si="2"/>
        <v>0</v>
      </c>
    </row>
    <row r="177" spans="1:5" ht="11.4" outlineLevel="1" x14ac:dyDescent="0.25">
      <c r="A177" s="85" t="s">
        <v>3203</v>
      </c>
      <c r="B177" s="660" t="s">
        <v>3674</v>
      </c>
      <c r="C177" s="661">
        <f t="shared" si="2"/>
        <v>0</v>
      </c>
      <c r="D177" s="661">
        <f t="shared" si="2"/>
        <v>0</v>
      </c>
      <c r="E177" s="661">
        <f t="shared" si="2"/>
        <v>0</v>
      </c>
    </row>
    <row r="178" spans="1:5" ht="11.4" outlineLevel="1" x14ac:dyDescent="0.25">
      <c r="A178" s="85" t="s">
        <v>3204</v>
      </c>
      <c r="B178" s="204" t="s">
        <v>3548</v>
      </c>
      <c r="C178" s="658">
        <f>C176-C177</f>
        <v>928313.04456000007</v>
      </c>
      <c r="D178" s="658">
        <f>D176-D177</f>
        <v>0</v>
      </c>
      <c r="E178" s="658">
        <f>E176-E177</f>
        <v>0</v>
      </c>
    </row>
    <row r="179" spans="1:5" outlineLevel="1" x14ac:dyDescent="0.2">
      <c r="B179" s="137"/>
      <c r="C179" s="137"/>
      <c r="D179" s="137"/>
      <c r="E179" s="137"/>
    </row>
    <row r="180" spans="1:5" ht="11.4" outlineLevel="1" x14ac:dyDescent="0.25">
      <c r="A180" s="85" t="s">
        <v>3205</v>
      </c>
      <c r="B180" s="209" t="s">
        <v>3549</v>
      </c>
      <c r="C180" s="210">
        <f>INDEX(PEF_COM_26!$A$3:$AAA$50,MATCH($A180,PEF_COM_26!$A$3:$A$50,0),MATCH(C$3,PEF_COM_26!$A$3:$AAA$3,0))</f>
        <v>0</v>
      </c>
      <c r="D180" s="210">
        <f>INDEX(PEF_COM_26!$A$3:$AAA$50,MATCH($A180,PEF_COM_26!$A$3:$A$50,0),MATCH(D$3,PEF_COM_26!$A$3:$AAA$3,0))</f>
        <v>0</v>
      </c>
      <c r="E180" s="210">
        <f>INDEX(PEF_COM_26!$A$3:$AAA$50,MATCH($A180,PEF_COM_26!$A$3:$A$50,0),MATCH(E$3,PEF_COM_26!$A$3:$AAA$3,0))</f>
        <v>0</v>
      </c>
    </row>
    <row r="181" spans="1:5" ht="11.4" outlineLevel="1" x14ac:dyDescent="0.25">
      <c r="A181" s="85" t="s">
        <v>3206</v>
      </c>
      <c r="B181" s="657" t="s">
        <v>3550</v>
      </c>
      <c r="C181" s="659">
        <v>0</v>
      </c>
      <c r="D181" s="659">
        <v>0</v>
      </c>
      <c r="E181" s="659">
        <v>0</v>
      </c>
    </row>
    <row r="182" spans="1:5" ht="11.4" outlineLevel="1" x14ac:dyDescent="0.25">
      <c r="A182" s="85" t="s">
        <v>3207</v>
      </c>
      <c r="B182" s="204" t="s">
        <v>3551</v>
      </c>
      <c r="C182" s="658">
        <f>C180-C181</f>
        <v>0</v>
      </c>
      <c r="D182" s="658">
        <f>D180-D181</f>
        <v>0</v>
      </c>
      <c r="E182" s="658">
        <f>E180-E181</f>
        <v>0</v>
      </c>
    </row>
    <row r="183" spans="1:5" ht="11.4" outlineLevel="1" x14ac:dyDescent="0.25">
      <c r="A183" s="85" t="s">
        <v>3208</v>
      </c>
      <c r="B183" s="209" t="s">
        <v>3552</v>
      </c>
      <c r="C183" s="210">
        <f>INDEX(PEF_COM_26!$A$3:$AAA$50,MATCH($A183,PEF_COM_26!$A$3:$A$50,0),MATCH(C$3,PEF_COM_26!$A$3:$AAA$3,0))</f>
        <v>0</v>
      </c>
      <c r="D183" s="210">
        <f>INDEX(PEF_COM_26!$A$3:$AAA$50,MATCH($A183,PEF_COM_26!$A$3:$A$50,0),MATCH(D$3,PEF_COM_26!$A$3:$AAA$3,0))</f>
        <v>0</v>
      </c>
      <c r="E183" s="210">
        <f>INDEX(PEF_COM_26!$A$3:$AAA$50,MATCH($A183,PEF_COM_26!$A$3:$A$50,0),MATCH(E$3,PEF_COM_26!$A$3:$AAA$3,0))</f>
        <v>0</v>
      </c>
    </row>
    <row r="184" spans="1:5" ht="11.4" outlineLevel="1" x14ac:dyDescent="0.25">
      <c r="A184" s="85" t="s">
        <v>3209</v>
      </c>
      <c r="B184" s="657" t="s">
        <v>3553</v>
      </c>
      <c r="C184" s="659">
        <v>0</v>
      </c>
      <c r="D184" s="659">
        <v>0</v>
      </c>
      <c r="E184" s="659">
        <v>0</v>
      </c>
    </row>
    <row r="185" spans="1:5" ht="11.4" outlineLevel="1" x14ac:dyDescent="0.25">
      <c r="A185" s="85" t="s">
        <v>3210</v>
      </c>
      <c r="B185" s="204" t="s">
        <v>3554</v>
      </c>
      <c r="C185" s="658">
        <f>C183-C184</f>
        <v>0</v>
      </c>
      <c r="D185" s="658">
        <f>D183-D184</f>
        <v>0</v>
      </c>
      <c r="E185" s="658">
        <f>E183-E184</f>
        <v>0</v>
      </c>
    </row>
    <row r="186" spans="1:5" ht="11.4" outlineLevel="1" x14ac:dyDescent="0.25">
      <c r="A186" s="85" t="s">
        <v>3211</v>
      </c>
      <c r="B186" s="209" t="s">
        <v>3555</v>
      </c>
      <c r="C186" s="210">
        <f>INDEX(PEF_COM_26!$A$3:$AAA$50,MATCH($A186,PEF_COM_26!$A$3:$A$50,0),MATCH(C$3,PEF_COM_26!$A$3:$AAA$3,0))</f>
        <v>0</v>
      </c>
      <c r="D186" s="210">
        <f>INDEX(PEF_COM_26!$A$3:$AAA$50,MATCH($A186,PEF_COM_26!$A$3:$A$50,0),MATCH(D$3,PEF_COM_26!$A$3:$AAA$3,0))</f>
        <v>0</v>
      </c>
      <c r="E186" s="210">
        <f>INDEX(PEF_COM_26!$A$3:$AAA$50,MATCH($A186,PEF_COM_26!$A$3:$A$50,0),MATCH(E$3,PEF_COM_26!$A$3:$AAA$3,0))</f>
        <v>0</v>
      </c>
    </row>
    <row r="187" spans="1:5" ht="11.4" outlineLevel="1" x14ac:dyDescent="0.25">
      <c r="A187" s="85" t="s">
        <v>3212</v>
      </c>
      <c r="B187" s="657" t="s">
        <v>3556</v>
      </c>
      <c r="C187" s="659">
        <v>0</v>
      </c>
      <c r="D187" s="659">
        <v>0</v>
      </c>
      <c r="E187" s="659">
        <v>0</v>
      </c>
    </row>
    <row r="188" spans="1:5" ht="11.4" outlineLevel="1" x14ac:dyDescent="0.25">
      <c r="A188" s="85" t="s">
        <v>3213</v>
      </c>
      <c r="B188" s="204" t="s">
        <v>3557</v>
      </c>
      <c r="C188" s="658">
        <f>C186-C187</f>
        <v>0</v>
      </c>
      <c r="D188" s="658">
        <f>D186-D187</f>
        <v>0</v>
      </c>
      <c r="E188" s="658">
        <f>E186-E187</f>
        <v>0</v>
      </c>
    </row>
    <row r="189" spans="1:5" ht="11.4" outlineLevel="1" x14ac:dyDescent="0.25">
      <c r="A189" s="85" t="s">
        <v>3214</v>
      </c>
      <c r="B189" s="209" t="s">
        <v>3558</v>
      </c>
      <c r="C189" s="210">
        <f>INDEX(PEF_COM_26!$A$3:$AAA$50,MATCH($A189,PEF_COM_26!$A$3:$A$50,0),MATCH(C$3,PEF_COM_26!$A$3:$AAA$3,0))</f>
        <v>0</v>
      </c>
      <c r="D189" s="210">
        <f>INDEX(PEF_COM_26!$A$3:$AAA$50,MATCH($A189,PEF_COM_26!$A$3:$A$50,0),MATCH(D$3,PEF_COM_26!$A$3:$AAA$3,0))</f>
        <v>0</v>
      </c>
      <c r="E189" s="210">
        <f>INDEX(PEF_COM_26!$A$3:$AAA$50,MATCH($A189,PEF_COM_26!$A$3:$A$50,0),MATCH(E$3,PEF_COM_26!$A$3:$AAA$3,0))</f>
        <v>0</v>
      </c>
    </row>
    <row r="190" spans="1:5" ht="11.4" outlineLevel="1" x14ac:dyDescent="0.25">
      <c r="A190" s="85" t="s">
        <v>3215</v>
      </c>
      <c r="B190" s="657" t="s">
        <v>3559</v>
      </c>
      <c r="C190" s="659">
        <v>0</v>
      </c>
      <c r="D190" s="659">
        <v>0</v>
      </c>
      <c r="E190" s="659">
        <v>0</v>
      </c>
    </row>
    <row r="191" spans="1:5" ht="11.4" outlineLevel="1" x14ac:dyDescent="0.25">
      <c r="A191" s="85" t="s">
        <v>3216</v>
      </c>
      <c r="B191" s="204" t="s">
        <v>3560</v>
      </c>
      <c r="C191" s="658">
        <f>C189-C190</f>
        <v>0</v>
      </c>
      <c r="D191" s="658">
        <f>D189-D190</f>
        <v>0</v>
      </c>
      <c r="E191" s="658">
        <f>E189-E190</f>
        <v>0</v>
      </c>
    </row>
    <row r="192" spans="1:5" ht="11.4" outlineLevel="1" x14ac:dyDescent="0.25">
      <c r="A192" s="85" t="s">
        <v>3217</v>
      </c>
      <c r="B192" s="209" t="s">
        <v>3561</v>
      </c>
      <c r="C192" s="210">
        <f t="shared" ref="C192:E193" si="3">C180+C183+C186+C189</f>
        <v>0</v>
      </c>
      <c r="D192" s="210">
        <f t="shared" si="3"/>
        <v>0</v>
      </c>
      <c r="E192" s="210">
        <f t="shared" si="3"/>
        <v>0</v>
      </c>
    </row>
    <row r="193" spans="1:5" ht="11.4" outlineLevel="1" x14ac:dyDescent="0.25">
      <c r="A193" s="85" t="s">
        <v>3218</v>
      </c>
      <c r="B193" s="660" t="s">
        <v>3675</v>
      </c>
      <c r="C193" s="661">
        <f t="shared" si="3"/>
        <v>0</v>
      </c>
      <c r="D193" s="661">
        <f t="shared" si="3"/>
        <v>0</v>
      </c>
      <c r="E193" s="661">
        <f t="shared" si="3"/>
        <v>0</v>
      </c>
    </row>
    <row r="194" spans="1:5" ht="11.4" outlineLevel="1" x14ac:dyDescent="0.25">
      <c r="A194" s="85" t="s">
        <v>3219</v>
      </c>
      <c r="B194" s="204" t="s">
        <v>3562</v>
      </c>
      <c r="C194" s="658">
        <f>C192-C193</f>
        <v>0</v>
      </c>
      <c r="D194" s="658">
        <f>D192-D193</f>
        <v>0</v>
      </c>
      <c r="E194" s="658">
        <f>E192-E193</f>
        <v>0</v>
      </c>
    </row>
    <row r="195" spans="1:5" outlineLevel="1" x14ac:dyDescent="0.2">
      <c r="B195" s="137"/>
      <c r="C195" s="137"/>
      <c r="D195" s="137"/>
      <c r="E195" s="137"/>
    </row>
    <row r="196" spans="1:5" ht="11.4" outlineLevel="1" x14ac:dyDescent="0.25">
      <c r="A196" s="85" t="s">
        <v>3220</v>
      </c>
      <c r="B196" s="209" t="s">
        <v>3563</v>
      </c>
      <c r="C196" s="210">
        <f>INDEX(PEF_GEST_26!$A$3:$AAA$50,MATCH($A196,PEF_GEST_26!$A$3:$A$50,0),MATCH(C$3,PEF_GEST_26!$A$3:$AAA$3,0))</f>
        <v>564685.85927193251</v>
      </c>
      <c r="D196" s="210">
        <f>INDEX(PEF_GEST_26!$A$3:$AAA$50,MATCH($A196,PEF_GEST_26!$A$3:$A$50,0),MATCH(D$3,PEF_GEST_26!$A$3:$AAA$3,0))</f>
        <v>35793.728642320726</v>
      </c>
      <c r="E196" s="210">
        <f>INDEX(PEF_GEST_26!$A$3:$AAA$50,MATCH($A196,PEF_GEST_26!$A$3:$A$50,0),MATCH(E$3,PEF_GEST_26!$A$3:$AAA$3,0))</f>
        <v>0</v>
      </c>
    </row>
    <row r="197" spans="1:5" ht="11.4" outlineLevel="1" x14ac:dyDescent="0.25">
      <c r="A197" s="85" t="s">
        <v>3221</v>
      </c>
      <c r="B197" s="657" t="s">
        <v>3564</v>
      </c>
      <c r="C197" s="659">
        <v>0</v>
      </c>
      <c r="D197" s="659">
        <v>0</v>
      </c>
      <c r="E197" s="659">
        <v>0</v>
      </c>
    </row>
    <row r="198" spans="1:5" ht="11.4" outlineLevel="1" x14ac:dyDescent="0.25">
      <c r="A198" s="85" t="s">
        <v>3222</v>
      </c>
      <c r="B198" s="204" t="s">
        <v>3565</v>
      </c>
      <c r="C198" s="658">
        <f>C196-C197</f>
        <v>564685.85927193251</v>
      </c>
      <c r="D198" s="658">
        <f>D196-D197</f>
        <v>35793.728642320726</v>
      </c>
      <c r="E198" s="658">
        <f>E196-E197</f>
        <v>0</v>
      </c>
    </row>
    <row r="199" spans="1:5" ht="11.4" outlineLevel="1" x14ac:dyDescent="0.25">
      <c r="A199" s="85" t="s">
        <v>3223</v>
      </c>
      <c r="B199" s="209" t="s">
        <v>3566</v>
      </c>
      <c r="C199" s="210">
        <f>INDEX(PEF_COM_26!$A$3:$AAA$50,MATCH($A199,PEF_COM_26!$A$3:$A$50,0),MATCH(C$3,PEF_COM_26!$A$3:$AAA$3,0))</f>
        <v>0</v>
      </c>
      <c r="D199" s="210">
        <f>INDEX(PEF_COM_26!$A$3:$AAA$50,MATCH($A199,PEF_COM_26!$A$3:$A$50,0),MATCH(D$3,PEF_COM_26!$A$3:$AAA$3,0))</f>
        <v>0</v>
      </c>
      <c r="E199" s="210">
        <f>INDEX(PEF_COM_26!$A$3:$AAA$50,MATCH($A199,PEF_COM_26!$A$3:$A$50,0),MATCH(E$3,PEF_COM_26!$A$3:$AAA$3,0))</f>
        <v>30235.202642371227</v>
      </c>
    </row>
    <row r="200" spans="1:5" ht="11.4" outlineLevel="1" x14ac:dyDescent="0.25">
      <c r="A200" s="85" t="s">
        <v>3224</v>
      </c>
      <c r="B200" s="657" t="s">
        <v>3567</v>
      </c>
      <c r="C200" s="659">
        <v>0</v>
      </c>
      <c r="D200" s="659">
        <v>0</v>
      </c>
      <c r="E200" s="659">
        <v>0</v>
      </c>
    </row>
    <row r="201" spans="1:5" ht="11.4" outlineLevel="1" x14ac:dyDescent="0.25">
      <c r="A201" s="85" t="s">
        <v>3225</v>
      </c>
      <c r="B201" s="204" t="s">
        <v>3568</v>
      </c>
      <c r="C201" s="658">
        <f>C199-C200</f>
        <v>0</v>
      </c>
      <c r="D201" s="658">
        <f>D199-D200</f>
        <v>0</v>
      </c>
      <c r="E201" s="658">
        <f>E199-E200</f>
        <v>30235.202642371227</v>
      </c>
    </row>
    <row r="202" spans="1:5" outlineLevel="1" x14ac:dyDescent="0.2">
      <c r="B202" s="137"/>
      <c r="C202" s="662"/>
      <c r="D202" s="662"/>
      <c r="E202" s="662"/>
    </row>
    <row r="203" spans="1:5" ht="11.4" outlineLevel="1" x14ac:dyDescent="0.25">
      <c r="A203" s="85" t="s">
        <v>3226</v>
      </c>
      <c r="B203" s="209" t="s">
        <v>3569</v>
      </c>
      <c r="C203" s="210">
        <f>INDEX(PEF_GEST_26!$A$3:$AAA$50,MATCH($A203,PEF_GEST_26!$A$3:$A$50,0),MATCH(C$3,PEF_GEST_26!$A$3:$AAA$3,0))</f>
        <v>4787.5776740000001</v>
      </c>
      <c r="D203" s="210">
        <f>INDEX(PEF_GEST_26!$A$3:$AAA$50,MATCH($A203,PEF_GEST_26!$A$3:$A$50,0),MATCH(D$3,PEF_GEST_26!$A$3:$AAA$3,0))</f>
        <v>0</v>
      </c>
      <c r="E203" s="210">
        <f>INDEX(PEF_GEST_26!$A$3:$AAA$50,MATCH($A203,PEF_GEST_26!$A$3:$A$50,0),MATCH(E$3,PEF_GEST_26!$A$3:$AAA$3,0))</f>
        <v>0</v>
      </c>
    </row>
    <row r="204" spans="1:5" ht="11.4" outlineLevel="1" x14ac:dyDescent="0.25">
      <c r="A204" s="85" t="s">
        <v>3227</v>
      </c>
      <c r="B204" s="657" t="s">
        <v>3570</v>
      </c>
      <c r="C204" s="659">
        <v>0</v>
      </c>
      <c r="D204" s="659">
        <v>0</v>
      </c>
      <c r="E204" s="659">
        <v>0</v>
      </c>
    </row>
    <row r="205" spans="1:5" ht="11.4" outlineLevel="1" x14ac:dyDescent="0.25">
      <c r="A205" s="85" t="s">
        <v>3228</v>
      </c>
      <c r="B205" s="204" t="s">
        <v>3571</v>
      </c>
      <c r="C205" s="658">
        <f>C203-C204</f>
        <v>4787.5776740000001</v>
      </c>
      <c r="D205" s="658">
        <f>D203-D204</f>
        <v>0</v>
      </c>
      <c r="E205" s="658">
        <f>E203-E204</f>
        <v>0</v>
      </c>
    </row>
    <row r="206" spans="1:5" ht="11.4" outlineLevel="1" x14ac:dyDescent="0.25">
      <c r="A206" s="85" t="s">
        <v>3229</v>
      </c>
      <c r="B206" s="209" t="s">
        <v>3572</v>
      </c>
      <c r="C206" s="210">
        <f>INDEX(PEF_COM_26!$A$3:$AAA$50,MATCH($A206,PEF_COM_26!$A$3:$A$50,0),MATCH(C$3,PEF_COM_26!$A$3:$AAA$3,0))</f>
        <v>0</v>
      </c>
      <c r="D206" s="210">
        <f>INDEX(PEF_COM_26!$A$3:$AAA$50,MATCH($A206,PEF_COM_26!$A$3:$A$50,0),MATCH(D$3,PEF_COM_26!$A$3:$AAA$3,0))</f>
        <v>0</v>
      </c>
      <c r="E206" s="210">
        <f>INDEX(PEF_COM_26!$A$3:$AAA$50,MATCH($A206,PEF_COM_26!$A$3:$A$50,0),MATCH(E$3,PEF_COM_26!$A$3:$AAA$3,0))</f>
        <v>0</v>
      </c>
    </row>
    <row r="207" spans="1:5" ht="11.4" outlineLevel="1" x14ac:dyDescent="0.25">
      <c r="A207" s="85" t="s">
        <v>3230</v>
      </c>
      <c r="B207" s="657" t="s">
        <v>3573</v>
      </c>
      <c r="C207" s="659">
        <v>0</v>
      </c>
      <c r="D207" s="659">
        <v>0</v>
      </c>
      <c r="E207" s="659">
        <v>0</v>
      </c>
    </row>
    <row r="208" spans="1:5" ht="11.4" outlineLevel="1" x14ac:dyDescent="0.25">
      <c r="A208" s="85" t="s">
        <v>3231</v>
      </c>
      <c r="B208" s="204" t="s">
        <v>3574</v>
      </c>
      <c r="C208" s="658">
        <f>C206-C207</f>
        <v>0</v>
      </c>
      <c r="D208" s="658">
        <f>D206-D207</f>
        <v>0</v>
      </c>
      <c r="E208" s="658">
        <f>E206-E207</f>
        <v>0</v>
      </c>
    </row>
    <row r="209" spans="1:5" outlineLevel="1" x14ac:dyDescent="0.2">
      <c r="B209" s="137"/>
      <c r="C209" s="137"/>
      <c r="D209" s="137"/>
      <c r="E209" s="137"/>
    </row>
    <row r="210" spans="1:5" ht="11.4" outlineLevel="1" x14ac:dyDescent="0.25">
      <c r="A210" s="85" t="s">
        <v>3232</v>
      </c>
      <c r="B210" s="209" t="s">
        <v>3575</v>
      </c>
      <c r="C210" s="210">
        <f>INDEX(PEF_GEST_26!$A$3:$AAA$50,MATCH($A210,PEF_GEST_26!$A$3:$A$50,0),MATCH(C$3,PEF_GEST_26!$A$3:$AAA$3,0))</f>
        <v>0</v>
      </c>
      <c r="D210" s="210">
        <f>INDEX(PEF_GEST_26!$A$3:$AAA$50,MATCH($A210,PEF_GEST_26!$A$3:$A$50,0),MATCH(D$3,PEF_GEST_26!$A$3:$AAA$3,0))</f>
        <v>0</v>
      </c>
      <c r="E210" s="210">
        <f>INDEX(PEF_GEST_26!$A$3:$AAA$50,MATCH($A210,PEF_GEST_26!$A$3:$A$50,0),MATCH(E$3,PEF_GEST_26!$A$3:$AAA$3,0))</f>
        <v>0</v>
      </c>
    </row>
    <row r="211" spans="1:5" ht="11.4" outlineLevel="1" x14ac:dyDescent="0.25">
      <c r="A211" s="85" t="s">
        <v>3233</v>
      </c>
      <c r="B211" s="657" t="s">
        <v>3576</v>
      </c>
      <c r="C211" s="659">
        <v>0</v>
      </c>
      <c r="D211" s="659">
        <v>0</v>
      </c>
      <c r="E211" s="659">
        <v>0</v>
      </c>
    </row>
    <row r="212" spans="1:5" ht="11.4" outlineLevel="1" x14ac:dyDescent="0.25">
      <c r="A212" s="85" t="s">
        <v>3234</v>
      </c>
      <c r="B212" s="204" t="s">
        <v>3577</v>
      </c>
      <c r="C212" s="658">
        <f>C210-C211</f>
        <v>0</v>
      </c>
      <c r="D212" s="658">
        <f>D210-D211</f>
        <v>0</v>
      </c>
      <c r="E212" s="658">
        <f>E210-E211</f>
        <v>0</v>
      </c>
    </row>
    <row r="213" spans="1:5" ht="11.4" outlineLevel="1" x14ac:dyDescent="0.25">
      <c r="A213" s="85" t="s">
        <v>3235</v>
      </c>
      <c r="B213" s="209" t="s">
        <v>3578</v>
      </c>
      <c r="C213" s="210">
        <f>INDEX(PEF_COM_26!$A$3:$AAA$50,MATCH($A213,PEF_COM_26!$A$3:$A$50,0),MATCH(C$3,PEF_COM_26!$A$3:$AAA$3,0))</f>
        <v>0</v>
      </c>
      <c r="D213" s="210">
        <f>INDEX(PEF_COM_26!$A$3:$AAA$50,MATCH($A213,PEF_COM_26!$A$3:$A$50,0),MATCH(D$3,PEF_COM_26!$A$3:$AAA$3,0))</f>
        <v>0</v>
      </c>
      <c r="E213" s="210">
        <f>INDEX(PEF_COM_26!$A$3:$AAA$50,MATCH($A213,PEF_COM_26!$A$3:$A$50,0),MATCH(E$3,PEF_COM_26!$A$3:$AAA$3,0))</f>
        <v>0</v>
      </c>
    </row>
    <row r="214" spans="1:5" ht="11.4" outlineLevel="1" x14ac:dyDescent="0.25">
      <c r="A214" s="85" t="s">
        <v>3236</v>
      </c>
      <c r="B214" s="657" t="s">
        <v>3579</v>
      </c>
      <c r="C214" s="659">
        <v>0</v>
      </c>
      <c r="D214" s="659">
        <v>0</v>
      </c>
      <c r="E214" s="659">
        <v>0</v>
      </c>
    </row>
    <row r="215" spans="1:5" ht="11.4" outlineLevel="1" x14ac:dyDescent="0.25">
      <c r="A215" s="85" t="s">
        <v>3237</v>
      </c>
      <c r="B215" s="204" t="s">
        <v>3580</v>
      </c>
      <c r="C215" s="658">
        <f>C213-C214</f>
        <v>0</v>
      </c>
      <c r="D215" s="658">
        <f>D213-D214</f>
        <v>0</v>
      </c>
      <c r="E215" s="658">
        <f>E213-E214</f>
        <v>0</v>
      </c>
    </row>
    <row r="216" spans="1:5" outlineLevel="1" x14ac:dyDescent="0.2">
      <c r="B216" s="137"/>
      <c r="C216" s="137"/>
      <c r="D216" s="137"/>
      <c r="E216" s="137"/>
    </row>
    <row r="217" spans="1:5" ht="11.4" outlineLevel="1" x14ac:dyDescent="0.25">
      <c r="A217" s="85" t="s">
        <v>2395</v>
      </c>
      <c r="B217" s="209" t="s">
        <v>3724</v>
      </c>
      <c r="C217" s="210">
        <f>INDEX('IN_RC-T'!$A$3:$AAA$865,MATCH($A217,'IN_RC-T'!$A$3:$A$865,0),MATCH(C$3,'IN_RC-T'!$A$3:$AAA$3,0))</f>
        <v>0</v>
      </c>
      <c r="D217" s="210">
        <f>INDEX('IN_RC-T'!$A$3:$AAA$865,MATCH($A217,'IN_RC-T'!$A$3:$A$865,0),MATCH(D$3,'IN_RC-T'!$A$3:$AAA$3,0))</f>
        <v>0</v>
      </c>
      <c r="E217" s="210">
        <f>INDEX('IN_RC-T'!$A$3:$AAA$865,MATCH($A217,'IN_RC-T'!$A$3:$A$865,0),MATCH(E$3,'IN_RC-T'!$A$3:$AAA$3,0))</f>
        <v>0</v>
      </c>
    </row>
    <row r="218" spans="1:5" ht="11.4" outlineLevel="1" x14ac:dyDescent="0.25">
      <c r="A218" s="85" t="s">
        <v>3583</v>
      </c>
      <c r="B218" s="657" t="s">
        <v>3664</v>
      </c>
      <c r="C218" s="659">
        <v>0</v>
      </c>
      <c r="D218" s="659">
        <v>0</v>
      </c>
      <c r="E218" s="659">
        <v>0</v>
      </c>
    </row>
    <row r="219" spans="1:5" ht="11.4" outlineLevel="1" x14ac:dyDescent="0.25">
      <c r="A219" s="85" t="s">
        <v>3584</v>
      </c>
      <c r="B219" s="204" t="s">
        <v>3694</v>
      </c>
      <c r="C219" s="658">
        <f>C217-C218</f>
        <v>0</v>
      </c>
      <c r="D219" s="658">
        <f>D217-D218</f>
        <v>0</v>
      </c>
      <c r="E219" s="658">
        <f>E217-E218</f>
        <v>0</v>
      </c>
    </row>
    <row r="220" spans="1:5" ht="12" outlineLevel="1" x14ac:dyDescent="0.25">
      <c r="A220" s="85" t="s">
        <v>1832</v>
      </c>
      <c r="B220" s="209" t="s">
        <v>3611</v>
      </c>
      <c r="C220" s="210">
        <f>INDEX('IN_RC-T'!$A$3:$AAA$865,MATCH($A220,'IN_RC-T'!$A$3:$A$865,0),MATCH(C$3,'IN_RC-T'!$A$3:$AAA$3,0))</f>
        <v>0</v>
      </c>
      <c r="D220" s="210">
        <f>INDEX('IN_RC-T'!$A$3:$AAA$865,MATCH($A220,'IN_RC-T'!$A$3:$A$865,0),MATCH(D$3,'IN_RC-T'!$A$3:$AAA$3,0))</f>
        <v>0</v>
      </c>
      <c r="E220" s="210">
        <f>INDEX('IN_RC-T'!$A$3:$AAA$865,MATCH($A220,'IN_RC-T'!$A$3:$A$865,0),MATCH(E$3,'IN_RC-T'!$A$3:$AAA$3,0))</f>
        <v>0</v>
      </c>
    </row>
    <row r="221" spans="1:5" ht="12" outlineLevel="1" x14ac:dyDescent="0.25">
      <c r="A221" s="85" t="s">
        <v>3238</v>
      </c>
      <c r="B221" s="657" t="s">
        <v>3612</v>
      </c>
      <c r="C221" s="659">
        <v>0</v>
      </c>
      <c r="D221" s="659">
        <v>0</v>
      </c>
      <c r="E221" s="659">
        <v>0</v>
      </c>
    </row>
    <row r="222" spans="1:5" ht="12" outlineLevel="1" x14ac:dyDescent="0.25">
      <c r="A222" s="85" t="s">
        <v>3239</v>
      </c>
      <c r="B222" s="204" t="s">
        <v>3613</v>
      </c>
      <c r="C222" s="658">
        <f>C220-C221</f>
        <v>0</v>
      </c>
      <c r="D222" s="658">
        <f>D220-D221</f>
        <v>0</v>
      </c>
      <c r="E222" s="658">
        <f>E220-E221</f>
        <v>0</v>
      </c>
    </row>
    <row r="223" spans="1:5" ht="12" outlineLevel="1" x14ac:dyDescent="0.25">
      <c r="A223" s="85" t="s">
        <v>1732</v>
      </c>
      <c r="B223" s="209" t="s">
        <v>3725</v>
      </c>
      <c r="C223" s="210">
        <f>INDEX('IN_RC-T'!$A$3:$AAA$865,MATCH($A223,'IN_RC-T'!$A$3:$A$865,0),MATCH(C$3,'IN_RC-T'!$A$3:$AAA$3,0))</f>
        <v>0</v>
      </c>
      <c r="D223" s="210">
        <f>INDEX('IN_RC-T'!$A$3:$AAA$865,MATCH($A223,'IN_RC-T'!$A$3:$A$865,0),MATCH(D$3,'IN_RC-T'!$A$3:$AAA$3,0))</f>
        <v>0</v>
      </c>
      <c r="E223" s="210">
        <f>INDEX('IN_RC-T'!$A$3:$AAA$865,MATCH($A223,'IN_RC-T'!$A$3:$A$865,0),MATCH(E$3,'IN_RC-T'!$A$3:$AAA$3,0))</f>
        <v>0</v>
      </c>
    </row>
    <row r="224" spans="1:5" ht="12" outlineLevel="1" x14ac:dyDescent="0.25">
      <c r="A224" s="85" t="s">
        <v>3585</v>
      </c>
      <c r="B224" s="664" t="s">
        <v>3614</v>
      </c>
      <c r="C224" s="655">
        <v>0</v>
      </c>
      <c r="D224" s="655">
        <v>0</v>
      </c>
      <c r="E224" s="655">
        <v>0</v>
      </c>
    </row>
    <row r="225" spans="1:5" ht="12" outlineLevel="1" x14ac:dyDescent="0.25">
      <c r="A225" s="85" t="s">
        <v>3586</v>
      </c>
      <c r="B225" s="204" t="s">
        <v>3695</v>
      </c>
      <c r="C225" s="658">
        <f>C223-C224</f>
        <v>0</v>
      </c>
      <c r="D225" s="658">
        <f>D223-D224</f>
        <v>0</v>
      </c>
      <c r="E225" s="658">
        <f>E223-E224</f>
        <v>0</v>
      </c>
    </row>
    <row r="226" spans="1:5" ht="12" outlineLevel="1" x14ac:dyDescent="0.25">
      <c r="A226" s="85" t="s">
        <v>2591</v>
      </c>
      <c r="B226" s="209" t="s">
        <v>3726</v>
      </c>
      <c r="C226" s="210">
        <f>INDEX('IN_RC-T'!$A$3:$AAA$865,MATCH($A226,'IN_RC-T'!$A$3:$A$865,0),MATCH(C$3,'IN_RC-T'!$A$3:$AAA$3,0))</f>
        <v>0</v>
      </c>
      <c r="D226" s="210">
        <f>INDEX('IN_RC-T'!$A$3:$AAA$865,MATCH($A226,'IN_RC-T'!$A$3:$A$865,0),MATCH(D$3,'IN_RC-T'!$A$3:$AAA$3,0))</f>
        <v>0</v>
      </c>
      <c r="E226" s="210">
        <f>INDEX('IN_RC-T'!$A$3:$AAA$865,MATCH($A226,'IN_RC-T'!$A$3:$A$865,0),MATCH(E$3,'IN_RC-T'!$A$3:$AAA$3,0))</f>
        <v>0</v>
      </c>
    </row>
    <row r="227" spans="1:5" ht="12" outlineLevel="1" x14ac:dyDescent="0.25">
      <c r="A227" s="85" t="s">
        <v>3587</v>
      </c>
      <c r="B227" s="664" t="s">
        <v>3615</v>
      </c>
      <c r="C227" s="655">
        <v>0</v>
      </c>
      <c r="D227" s="655">
        <v>0</v>
      </c>
      <c r="E227" s="655">
        <v>0</v>
      </c>
    </row>
    <row r="228" spans="1:5" ht="12" outlineLevel="1" x14ac:dyDescent="0.25">
      <c r="A228" s="85" t="s">
        <v>3588</v>
      </c>
      <c r="B228" s="204" t="s">
        <v>3696</v>
      </c>
      <c r="C228" s="658">
        <f>C226-C227</f>
        <v>0</v>
      </c>
      <c r="D228" s="658">
        <f>D226-D227</f>
        <v>0</v>
      </c>
      <c r="E228" s="658">
        <f>E226-E227</f>
        <v>0</v>
      </c>
    </row>
    <row r="229" spans="1:5" ht="12" outlineLevel="1" x14ac:dyDescent="0.25">
      <c r="A229" s="85" t="s">
        <v>1969</v>
      </c>
      <c r="B229" s="209" t="s">
        <v>3846</v>
      </c>
      <c r="C229" s="210">
        <f>INDEX('IN_RC-T'!$A$3:$AAA$865,MATCH($A229,'IN_RC-T'!$A$3:$A$865,0),MATCH(C$3,'IN_RC-T'!$A$3:$AAA$3,0))</f>
        <v>0</v>
      </c>
      <c r="D229" s="210">
        <f>INDEX('IN_RC-T'!$A$3:$AAA$865,MATCH($A229,'IN_RC-T'!$A$3:$A$865,0),MATCH(D$3,'IN_RC-T'!$A$3:$AAA$3,0))</f>
        <v>0</v>
      </c>
      <c r="E229" s="210">
        <f>INDEX('IN_RC-T'!$A$3:$AAA$865,MATCH($A229,'IN_RC-T'!$A$3:$A$865,0),MATCH(E$3,'IN_RC-T'!$A$3:$AAA$3,0))</f>
        <v>0</v>
      </c>
    </row>
    <row r="230" spans="1:5" ht="12" outlineLevel="1" x14ac:dyDescent="0.25">
      <c r="A230" s="85" t="s">
        <v>3589</v>
      </c>
      <c r="B230" s="664" t="s">
        <v>3847</v>
      </c>
      <c r="C230" s="655">
        <v>0</v>
      </c>
      <c r="D230" s="655">
        <v>0</v>
      </c>
      <c r="E230" s="655">
        <v>0</v>
      </c>
    </row>
    <row r="231" spans="1:5" ht="12" outlineLevel="1" x14ac:dyDescent="0.25">
      <c r="A231" s="85" t="s">
        <v>3590</v>
      </c>
      <c r="B231" s="204" t="s">
        <v>3848</v>
      </c>
      <c r="C231" s="658">
        <f>C229-C230</f>
        <v>0</v>
      </c>
      <c r="D231" s="658">
        <f>D229-D230</f>
        <v>0</v>
      </c>
      <c r="E231" s="658">
        <f>E229-E230</f>
        <v>0</v>
      </c>
    </row>
    <row r="232" spans="1:5" ht="12" outlineLevel="1" x14ac:dyDescent="0.25">
      <c r="A232" s="85" t="s">
        <v>2716</v>
      </c>
      <c r="B232" s="209" t="s">
        <v>3616</v>
      </c>
      <c r="C232" s="210">
        <f>INDEX('IN_RC-T'!$A$3:$AAA$865,MATCH($A232,'IN_RC-T'!$A$3:$A$865,0),MATCH(C$3,'IN_RC-T'!$A$3:$AAA$3,0))</f>
        <v>0</v>
      </c>
      <c r="D232" s="210">
        <f>INDEX('IN_RC-T'!$A$3:$AAA$865,MATCH($A232,'IN_RC-T'!$A$3:$A$865,0),MATCH(D$3,'IN_RC-T'!$A$3:$AAA$3,0))</f>
        <v>0</v>
      </c>
      <c r="E232" s="210">
        <f>INDEX('IN_RC-T'!$A$3:$AAA$865,MATCH($A232,'IN_RC-T'!$A$3:$A$865,0),MATCH(E$3,'IN_RC-T'!$A$3:$AAA$3,0))</f>
        <v>0</v>
      </c>
    </row>
    <row r="233" spans="1:5" ht="12" outlineLevel="1" x14ac:dyDescent="0.25">
      <c r="A233" s="85" t="s">
        <v>3240</v>
      </c>
      <c r="B233" s="657" t="s">
        <v>3617</v>
      </c>
      <c r="C233" s="659">
        <v>0</v>
      </c>
      <c r="D233" s="659">
        <v>0</v>
      </c>
      <c r="E233" s="659">
        <v>0</v>
      </c>
    </row>
    <row r="234" spans="1:5" ht="12" outlineLevel="1" x14ac:dyDescent="0.25">
      <c r="A234" s="85" t="s">
        <v>3241</v>
      </c>
      <c r="B234" s="204" t="s">
        <v>3618</v>
      </c>
      <c r="C234" s="658">
        <f>C232-C233</f>
        <v>0</v>
      </c>
      <c r="D234" s="658">
        <f>D232-D233</f>
        <v>0</v>
      </c>
      <c r="E234" s="658">
        <f>E232-E233</f>
        <v>0</v>
      </c>
    </row>
    <row r="235" spans="1:5" ht="11.4" outlineLevel="1" x14ac:dyDescent="0.25">
      <c r="A235" s="85" t="s">
        <v>2789</v>
      </c>
      <c r="B235" s="209" t="s">
        <v>3728</v>
      </c>
      <c r="C235" s="210">
        <f>INDEX('IN_RC-T'!$A$3:$AAA$865,MATCH($A235,'IN_RC-T'!$A$3:$A$865,0),MATCH(C$3,'IN_RC-T'!$A$3:$AAA$3,0))</f>
        <v>0</v>
      </c>
      <c r="D235" s="210">
        <f>INDEX('IN_RC-T'!$A$3:$AAA$865,MATCH($A235,'IN_RC-T'!$A$3:$A$865,0),MATCH(D$3,'IN_RC-T'!$A$3:$AAA$3,0))</f>
        <v>0</v>
      </c>
      <c r="E235" s="210">
        <f>INDEX('IN_RC-T'!$A$3:$AAA$865,MATCH($A235,'IN_RC-T'!$A$3:$A$865,0),MATCH(E$3,'IN_RC-T'!$A$3:$AAA$3,0))</f>
        <v>0</v>
      </c>
    </row>
    <row r="236" spans="1:5" ht="12" outlineLevel="1" x14ac:dyDescent="0.25">
      <c r="A236" s="85" t="s">
        <v>3591</v>
      </c>
      <c r="B236" s="657" t="s">
        <v>3619</v>
      </c>
      <c r="C236" s="659">
        <v>0</v>
      </c>
      <c r="D236" s="659">
        <v>0</v>
      </c>
      <c r="E236" s="659">
        <v>0</v>
      </c>
    </row>
    <row r="237" spans="1:5" ht="12" outlineLevel="1" x14ac:dyDescent="0.25">
      <c r="A237" s="85" t="s">
        <v>3592</v>
      </c>
      <c r="B237" s="204" t="s">
        <v>3620</v>
      </c>
      <c r="C237" s="658">
        <f>C235-C236</f>
        <v>0</v>
      </c>
      <c r="D237" s="658">
        <f>D235-D236</f>
        <v>0</v>
      </c>
      <c r="E237" s="658">
        <f>E235-E236</f>
        <v>0</v>
      </c>
    </row>
    <row r="238" spans="1:5" ht="11.4" outlineLevel="1" x14ac:dyDescent="0.25">
      <c r="A238" s="85" t="s">
        <v>2862</v>
      </c>
      <c r="B238" s="209" t="s">
        <v>3729</v>
      </c>
      <c r="C238" s="210">
        <f>INDEX('IN_RC-T'!$A$3:$AAA$865,MATCH($A238,'IN_RC-T'!$A$3:$A$865,0),MATCH(C$3,'IN_RC-T'!$A$3:$AAA$3,0))</f>
        <v>0</v>
      </c>
      <c r="D238" s="210">
        <f>INDEX('IN_RC-T'!$A$3:$AAA$865,MATCH($A238,'IN_RC-T'!$A$3:$A$865,0),MATCH(D$3,'IN_RC-T'!$A$3:$AAA$3,0))</f>
        <v>0</v>
      </c>
      <c r="E238" s="210">
        <f>INDEX('IN_RC-T'!$A$3:$AAA$865,MATCH($A238,'IN_RC-T'!$A$3:$A$865,0),MATCH(E$3,'IN_RC-T'!$A$3:$AAA$3,0))</f>
        <v>0</v>
      </c>
    </row>
    <row r="239" spans="1:5" ht="12" outlineLevel="1" x14ac:dyDescent="0.25">
      <c r="A239" s="85" t="s">
        <v>3593</v>
      </c>
      <c r="B239" s="664" t="s">
        <v>3621</v>
      </c>
      <c r="C239" s="655">
        <v>0</v>
      </c>
      <c r="D239" s="655">
        <v>0</v>
      </c>
      <c r="E239" s="655">
        <v>0</v>
      </c>
    </row>
    <row r="240" spans="1:5" ht="12" outlineLevel="1" x14ac:dyDescent="0.25">
      <c r="A240" s="85" t="s">
        <v>3594</v>
      </c>
      <c r="B240" s="204" t="s">
        <v>3622</v>
      </c>
      <c r="C240" s="658">
        <f>C238-C239</f>
        <v>0</v>
      </c>
      <c r="D240" s="658">
        <f>D238-D239</f>
        <v>0</v>
      </c>
      <c r="E240" s="658">
        <f>E238-E239</f>
        <v>0</v>
      </c>
    </row>
    <row r="241" spans="1:5" ht="12" outlineLevel="1" x14ac:dyDescent="0.25">
      <c r="A241" s="85" t="s">
        <v>1185</v>
      </c>
      <c r="B241" s="209" t="s">
        <v>3730</v>
      </c>
      <c r="C241" s="210">
        <f>INDEX('IN_RC-T'!$A$3:$AAA$865,MATCH($A241,'IN_RC-T'!$A$3:$A$865,0),MATCH(C$3,'IN_RC-T'!$A$3:$AAA$3,0))</f>
        <v>-294.65432143919406</v>
      </c>
      <c r="D241" s="210">
        <f>INDEX('IN_RC-T'!$A$3:$AAA$865,MATCH($A241,'IN_RC-T'!$A$3:$A$865,0),MATCH(D$3,'IN_RC-T'!$A$3:$AAA$3,0))</f>
        <v>0</v>
      </c>
      <c r="E241" s="210">
        <f>INDEX('IN_RC-T'!$A$3:$AAA$865,MATCH($A241,'IN_RC-T'!$A$3:$A$865,0),MATCH(E$3,'IN_RC-T'!$A$3:$AAA$3,0))</f>
        <v>0</v>
      </c>
    </row>
    <row r="242" spans="1:5" ht="12" outlineLevel="1" x14ac:dyDescent="0.25">
      <c r="A242" s="85" t="s">
        <v>3609</v>
      </c>
      <c r="B242" s="657" t="s">
        <v>3666</v>
      </c>
      <c r="C242" s="659">
        <v>0</v>
      </c>
      <c r="D242" s="659">
        <v>0</v>
      </c>
      <c r="E242" s="659">
        <v>0</v>
      </c>
    </row>
    <row r="243" spans="1:5" ht="12" outlineLevel="1" x14ac:dyDescent="0.25">
      <c r="A243" s="85" t="s">
        <v>3610</v>
      </c>
      <c r="B243" s="204" t="s">
        <v>3698</v>
      </c>
      <c r="C243" s="658">
        <f>C241-C242</f>
        <v>-294.65432143919406</v>
      </c>
      <c r="D243" s="658">
        <f>D241-D242</f>
        <v>0</v>
      </c>
      <c r="E243" s="658">
        <f>E241-E242</f>
        <v>0</v>
      </c>
    </row>
    <row r="244" spans="1:5" ht="11.4" outlineLevel="1" x14ac:dyDescent="0.25">
      <c r="A244" s="85" t="s">
        <v>6795</v>
      </c>
      <c r="B244" s="209" t="s">
        <v>3623</v>
      </c>
      <c r="C244" s="210">
        <f>INDEX('IN_RC-T'!$A$3:$AAA$865,MATCH($A244,'IN_RC-T'!$A$3:$A$865,0),MATCH(C$3,'IN_RC-T'!$A$3:$AAA$3,0))</f>
        <v>224284.56583160121</v>
      </c>
      <c r="D244" s="210">
        <f>INDEX('IN_RC-T'!$A$3:$AAA$865,MATCH($A244,'IN_RC-T'!$A$3:$A$865,0),MATCH(D$3,'IN_RC-T'!$A$3:$AAA$3,0))</f>
        <v>0</v>
      </c>
      <c r="E244" s="210">
        <f>INDEX('IN_RC-T'!$A$3:$AAA$865,MATCH($A244,'IN_RC-T'!$A$3:$A$865,0),MATCH(E$3,'IN_RC-T'!$A$3:$AAA$3,0))</f>
        <v>0</v>
      </c>
    </row>
    <row r="245" spans="1:5" ht="11.4" outlineLevel="1" x14ac:dyDescent="0.25">
      <c r="A245" s="85" t="s">
        <v>6955</v>
      </c>
      <c r="B245" s="657" t="s">
        <v>3667</v>
      </c>
      <c r="C245" s="659">
        <v>0</v>
      </c>
      <c r="D245" s="659">
        <v>0</v>
      </c>
      <c r="E245" s="659">
        <v>0</v>
      </c>
    </row>
    <row r="246" spans="1:5" ht="11.4" outlineLevel="1" x14ac:dyDescent="0.25">
      <c r="A246" s="85" t="s">
        <v>6938</v>
      </c>
      <c r="B246" s="204" t="s">
        <v>3699</v>
      </c>
      <c r="C246" s="658">
        <f>C244-C245</f>
        <v>224284.56583160121</v>
      </c>
      <c r="D246" s="658">
        <f>D244-D245</f>
        <v>0</v>
      </c>
      <c r="E246" s="658">
        <f>E244-E245</f>
        <v>0</v>
      </c>
    </row>
    <row r="247" spans="1:5" ht="11.4" outlineLevel="1" x14ac:dyDescent="0.25">
      <c r="A247" s="85" t="s">
        <v>3031</v>
      </c>
      <c r="B247" s="209" t="s">
        <v>3088</v>
      </c>
      <c r="C247" s="210">
        <f>INDEX('IN_RC-T'!$A$3:$AAA$865,MATCH($A247,'IN_RC-T'!$A$3:$A$865,0),MATCH(C$3,'IN_RC-T'!$A$3:$AAA$3,0))</f>
        <v>223989.91151016203</v>
      </c>
      <c r="D247" s="210">
        <f>INDEX('IN_RC-T'!$A$3:$AAA$865,MATCH($A247,'IN_RC-T'!$A$3:$A$865,0),MATCH(D$3,'IN_RC-T'!$A$3:$AAA$3,0))</f>
        <v>0</v>
      </c>
      <c r="E247" s="210">
        <f>INDEX('IN_RC-T'!$A$3:$AAA$865,MATCH($A247,'IN_RC-T'!$A$3:$A$865,0),MATCH(E$3,'IN_RC-T'!$A$3:$AAA$3,0))</f>
        <v>0</v>
      </c>
    </row>
    <row r="248" spans="1:5" ht="11.4" outlineLevel="1" x14ac:dyDescent="0.25">
      <c r="A248" s="85" t="s">
        <v>3242</v>
      </c>
      <c r="B248" s="660" t="s">
        <v>3676</v>
      </c>
      <c r="C248" s="661">
        <f>C218+C221+C224+C227+C230+C233+C236+C239+C242+C245</f>
        <v>0</v>
      </c>
      <c r="D248" s="661">
        <f>D218+D221+D224+D227+D230+D233+D236+D239+D242+D245</f>
        <v>0</v>
      </c>
      <c r="E248" s="661">
        <f>E218+E221+E224+E227+E230+E233+E236+E239+E242+E245</f>
        <v>0</v>
      </c>
    </row>
    <row r="249" spans="1:5" ht="11.4" outlineLevel="1" x14ac:dyDescent="0.25">
      <c r="A249" s="85" t="s">
        <v>3243</v>
      </c>
      <c r="B249" s="204" t="s">
        <v>3700</v>
      </c>
      <c r="C249" s="658">
        <f>C247-C248</f>
        <v>223989.91151016203</v>
      </c>
      <c r="D249" s="658">
        <f>D247-D248</f>
        <v>0</v>
      </c>
      <c r="E249" s="658">
        <f>E247-E248</f>
        <v>0</v>
      </c>
    </row>
    <row r="250" spans="1:5" outlineLevel="1" x14ac:dyDescent="0.2">
      <c r="B250" s="137"/>
      <c r="C250" s="137"/>
      <c r="D250" s="137"/>
      <c r="E250" s="137"/>
    </row>
    <row r="251" spans="1:5" ht="11.4" outlineLevel="1" x14ac:dyDescent="0.25">
      <c r="A251" s="85" t="s">
        <v>2396</v>
      </c>
      <c r="B251" s="209" t="s">
        <v>3731</v>
      </c>
      <c r="C251" s="210">
        <f>INDEX('IN_RC-T'!$A$3:$AAA$865,MATCH($A251,'IN_RC-T'!$A$3:$A$865,0),MATCH(C$3,'IN_RC-T'!$A$3:$AAA$3,0))</f>
        <v>0</v>
      </c>
      <c r="D251" s="210">
        <f>INDEX('IN_RC-T'!$A$3:$AAA$865,MATCH($A251,'IN_RC-T'!$A$3:$A$865,0),MATCH(D$3,'IN_RC-T'!$A$3:$AAA$3,0))</f>
        <v>0</v>
      </c>
      <c r="E251" s="210">
        <f>INDEX('IN_RC-T'!$A$3:$AAA$865,MATCH($A251,'IN_RC-T'!$A$3:$A$865,0),MATCH(E$3,'IN_RC-T'!$A$3:$AAA$3,0))</f>
        <v>0</v>
      </c>
    </row>
    <row r="252" spans="1:5" ht="11.4" outlineLevel="1" x14ac:dyDescent="0.25">
      <c r="A252" s="85" t="s">
        <v>3605</v>
      </c>
      <c r="B252" s="657" t="s">
        <v>3668</v>
      </c>
      <c r="C252" s="659">
        <v>0</v>
      </c>
      <c r="D252" s="659">
        <v>0</v>
      </c>
      <c r="E252" s="659">
        <v>0</v>
      </c>
    </row>
    <row r="253" spans="1:5" ht="11.4" outlineLevel="1" x14ac:dyDescent="0.25">
      <c r="A253" s="85" t="s">
        <v>3606</v>
      </c>
      <c r="B253" s="204" t="s">
        <v>3701</v>
      </c>
      <c r="C253" s="658">
        <f>C251-C252</f>
        <v>0</v>
      </c>
      <c r="D253" s="658">
        <f>D251-D252</f>
        <v>0</v>
      </c>
      <c r="E253" s="658">
        <f>E251-E252</f>
        <v>0</v>
      </c>
    </row>
    <row r="254" spans="1:5" ht="12" outlineLevel="1" x14ac:dyDescent="0.25">
      <c r="A254" s="85" t="s">
        <v>1833</v>
      </c>
      <c r="B254" s="209" t="s">
        <v>3626</v>
      </c>
      <c r="C254" s="210">
        <f>INDEX('IN_RC-T'!$A$3:$AAA$865,MATCH($A254,'IN_RC-T'!$A$3:$A$865,0),MATCH(C$3,'IN_RC-T'!$A$3:$AAA$3,0))</f>
        <v>0</v>
      </c>
      <c r="D254" s="210">
        <f>INDEX('IN_RC-T'!$A$3:$AAA$865,MATCH($A254,'IN_RC-T'!$A$3:$A$865,0),MATCH(D$3,'IN_RC-T'!$A$3:$AAA$3,0))</f>
        <v>0</v>
      </c>
      <c r="E254" s="210">
        <f>INDEX('IN_RC-T'!$A$3:$AAA$865,MATCH($A254,'IN_RC-T'!$A$3:$A$865,0),MATCH(E$3,'IN_RC-T'!$A$3:$AAA$3,0))</f>
        <v>0</v>
      </c>
    </row>
    <row r="255" spans="1:5" ht="12" outlineLevel="1" x14ac:dyDescent="0.25">
      <c r="A255" s="85" t="s">
        <v>3244</v>
      </c>
      <c r="B255" s="657" t="s">
        <v>3627</v>
      </c>
      <c r="C255" s="659">
        <v>0</v>
      </c>
      <c r="D255" s="659">
        <v>0</v>
      </c>
      <c r="E255" s="659">
        <v>0</v>
      </c>
    </row>
    <row r="256" spans="1:5" ht="12" outlineLevel="1" x14ac:dyDescent="0.25">
      <c r="A256" s="85" t="s">
        <v>3245</v>
      </c>
      <c r="B256" s="204" t="s">
        <v>3628</v>
      </c>
      <c r="C256" s="658">
        <f>C254-C255</f>
        <v>0</v>
      </c>
      <c r="D256" s="658">
        <f>D254-D255</f>
        <v>0</v>
      </c>
      <c r="E256" s="658">
        <f>E254-E255</f>
        <v>0</v>
      </c>
    </row>
    <row r="257" spans="1:5" ht="12" outlineLevel="1" x14ac:dyDescent="0.25">
      <c r="A257" s="85" t="s">
        <v>1733</v>
      </c>
      <c r="B257" s="209" t="s">
        <v>3732</v>
      </c>
      <c r="C257" s="210">
        <f>INDEX('IN_RC-T'!$A$3:$AAA$865,MATCH($A257,'IN_RC-T'!$A$3:$A$865,0),MATCH(C$3,'IN_RC-T'!$A$3:$AAA$3,0))</f>
        <v>0</v>
      </c>
      <c r="D257" s="210">
        <f>INDEX('IN_RC-T'!$A$3:$AAA$865,MATCH($A257,'IN_RC-T'!$A$3:$A$865,0),MATCH(D$3,'IN_RC-T'!$A$3:$AAA$3,0))</f>
        <v>0</v>
      </c>
      <c r="E257" s="210">
        <f>INDEX('IN_RC-T'!$A$3:$AAA$865,MATCH($A257,'IN_RC-T'!$A$3:$A$865,0),MATCH(E$3,'IN_RC-T'!$A$3:$AAA$3,0))</f>
        <v>0</v>
      </c>
    </row>
    <row r="258" spans="1:5" ht="12" outlineLevel="1" x14ac:dyDescent="0.25">
      <c r="A258" s="85" t="s">
        <v>3595</v>
      </c>
      <c r="B258" s="664" t="s">
        <v>3629</v>
      </c>
      <c r="C258" s="655">
        <v>0</v>
      </c>
      <c r="D258" s="655">
        <v>0</v>
      </c>
      <c r="E258" s="655">
        <v>0</v>
      </c>
    </row>
    <row r="259" spans="1:5" ht="12" outlineLevel="1" x14ac:dyDescent="0.25">
      <c r="A259" s="85" t="s">
        <v>3596</v>
      </c>
      <c r="B259" s="204" t="s">
        <v>3702</v>
      </c>
      <c r="C259" s="658">
        <f>C257-C258</f>
        <v>0</v>
      </c>
      <c r="D259" s="658">
        <f>D257-D258</f>
        <v>0</v>
      </c>
      <c r="E259" s="658">
        <f>E257-E258</f>
        <v>0</v>
      </c>
    </row>
    <row r="260" spans="1:5" ht="12" outlineLevel="1" x14ac:dyDescent="0.25">
      <c r="A260" s="85" t="s">
        <v>2592</v>
      </c>
      <c r="B260" s="209" t="s">
        <v>3733</v>
      </c>
      <c r="C260" s="210">
        <f>INDEX('IN_RC-T'!$A$3:$AAA$865,MATCH($A260,'IN_RC-T'!$A$3:$A$865,0),MATCH(C$3,'IN_RC-T'!$A$3:$AAA$3,0))</f>
        <v>0</v>
      </c>
      <c r="D260" s="210">
        <f>INDEX('IN_RC-T'!$A$3:$AAA$865,MATCH($A260,'IN_RC-T'!$A$3:$A$865,0),MATCH(D$3,'IN_RC-T'!$A$3:$AAA$3,0))</f>
        <v>0</v>
      </c>
      <c r="E260" s="210">
        <f>INDEX('IN_RC-T'!$A$3:$AAA$865,MATCH($A260,'IN_RC-T'!$A$3:$A$865,0),MATCH(E$3,'IN_RC-T'!$A$3:$AAA$3,0))</f>
        <v>0</v>
      </c>
    </row>
    <row r="261" spans="1:5" ht="12" outlineLevel="1" x14ac:dyDescent="0.25">
      <c r="A261" s="85" t="s">
        <v>3597</v>
      </c>
      <c r="B261" s="664" t="s">
        <v>3630</v>
      </c>
      <c r="C261" s="655">
        <v>0</v>
      </c>
      <c r="D261" s="655">
        <v>0</v>
      </c>
      <c r="E261" s="655">
        <v>0</v>
      </c>
    </row>
    <row r="262" spans="1:5" ht="12" outlineLevel="1" x14ac:dyDescent="0.25">
      <c r="A262" s="85" t="s">
        <v>3598</v>
      </c>
      <c r="B262" s="204" t="s">
        <v>3703</v>
      </c>
      <c r="C262" s="658">
        <f>C260-C261</f>
        <v>0</v>
      </c>
      <c r="D262" s="658">
        <f>D260-D261</f>
        <v>0</v>
      </c>
      <c r="E262" s="658">
        <f>E260-E261</f>
        <v>0</v>
      </c>
    </row>
    <row r="263" spans="1:5" ht="12" outlineLevel="1" x14ac:dyDescent="0.25">
      <c r="A263" s="85" t="s">
        <v>1970</v>
      </c>
      <c r="B263" s="209" t="s">
        <v>3849</v>
      </c>
      <c r="C263" s="210">
        <f>INDEX('IN_RC-T'!$A$3:$AAA$865,MATCH($A263,'IN_RC-T'!$A$3:$A$865,0),MATCH(C$3,'IN_RC-T'!$A$3:$AAA$3,0))</f>
        <v>0</v>
      </c>
      <c r="D263" s="210">
        <f>INDEX('IN_RC-T'!$A$3:$AAA$865,MATCH($A263,'IN_RC-T'!$A$3:$A$865,0),MATCH(D$3,'IN_RC-T'!$A$3:$AAA$3,0))</f>
        <v>0</v>
      </c>
      <c r="E263" s="210">
        <f>INDEX('IN_RC-T'!$A$3:$AAA$865,MATCH($A263,'IN_RC-T'!$A$3:$A$865,0),MATCH(E$3,'IN_RC-T'!$A$3:$AAA$3,0))</f>
        <v>0</v>
      </c>
    </row>
    <row r="264" spans="1:5" ht="12" outlineLevel="1" x14ac:dyDescent="0.25">
      <c r="A264" s="85" t="s">
        <v>3599</v>
      </c>
      <c r="B264" s="664" t="s">
        <v>3850</v>
      </c>
      <c r="C264" s="655">
        <v>0</v>
      </c>
      <c r="D264" s="655">
        <v>0</v>
      </c>
      <c r="E264" s="655">
        <v>0</v>
      </c>
    </row>
    <row r="265" spans="1:5" ht="12" outlineLevel="1" x14ac:dyDescent="0.25">
      <c r="A265" s="85" t="s">
        <v>3600</v>
      </c>
      <c r="B265" s="204" t="s">
        <v>3851</v>
      </c>
      <c r="C265" s="658">
        <f>C263-C264</f>
        <v>0</v>
      </c>
      <c r="D265" s="658">
        <f>D263-D264</f>
        <v>0</v>
      </c>
      <c r="E265" s="658">
        <f>E263-E264</f>
        <v>0</v>
      </c>
    </row>
    <row r="266" spans="1:5" ht="12" outlineLevel="1" x14ac:dyDescent="0.25">
      <c r="A266" s="85" t="s">
        <v>2717</v>
      </c>
      <c r="B266" s="209" t="s">
        <v>3631</v>
      </c>
      <c r="C266" s="210">
        <f>INDEX('IN_RC-T'!$A$3:$AAA$865,MATCH($A266,'IN_RC-T'!$A$3:$A$865,0),MATCH(C$3,'IN_RC-T'!$A$3:$AAA$3,0))</f>
        <v>0</v>
      </c>
      <c r="D266" s="210">
        <f>INDEX('IN_RC-T'!$A$3:$AAA$865,MATCH($A266,'IN_RC-T'!$A$3:$A$865,0),MATCH(D$3,'IN_RC-T'!$A$3:$AAA$3,0))</f>
        <v>0</v>
      </c>
      <c r="E266" s="210">
        <f>INDEX('IN_RC-T'!$A$3:$AAA$865,MATCH($A266,'IN_RC-T'!$A$3:$A$865,0),MATCH(E$3,'IN_RC-T'!$A$3:$AAA$3,0))</f>
        <v>0</v>
      </c>
    </row>
    <row r="267" spans="1:5" ht="12" outlineLevel="1" x14ac:dyDescent="0.25">
      <c r="A267" s="85" t="s">
        <v>3246</v>
      </c>
      <c r="B267" s="657" t="s">
        <v>3632</v>
      </c>
      <c r="C267" s="659">
        <v>0</v>
      </c>
      <c r="D267" s="659">
        <v>0</v>
      </c>
      <c r="E267" s="659">
        <v>0</v>
      </c>
    </row>
    <row r="268" spans="1:5" ht="12" outlineLevel="1" x14ac:dyDescent="0.25">
      <c r="A268" s="85" t="s">
        <v>3247</v>
      </c>
      <c r="B268" s="204" t="s">
        <v>3633</v>
      </c>
      <c r="C268" s="658">
        <f>C266-C267</f>
        <v>0</v>
      </c>
      <c r="D268" s="658">
        <f>D266-D267</f>
        <v>0</v>
      </c>
      <c r="E268" s="658">
        <f>E266-E267</f>
        <v>0</v>
      </c>
    </row>
    <row r="269" spans="1:5" ht="11.4" outlineLevel="1" x14ac:dyDescent="0.25">
      <c r="A269" s="85" t="s">
        <v>2790</v>
      </c>
      <c r="B269" s="209" t="s">
        <v>3735</v>
      </c>
      <c r="C269" s="210">
        <f>INDEX('IN_RC-T'!$A$3:$AAA$865,MATCH($A269,'IN_RC-T'!$A$3:$A$865,0),MATCH(C$3,'IN_RC-T'!$A$3:$AAA$3,0))</f>
        <v>0</v>
      </c>
      <c r="D269" s="210">
        <f>INDEX('IN_RC-T'!$A$3:$AAA$865,MATCH($A269,'IN_RC-T'!$A$3:$A$865,0),MATCH(D$3,'IN_RC-T'!$A$3:$AAA$3,0))</f>
        <v>0</v>
      </c>
      <c r="E269" s="210">
        <f>INDEX('IN_RC-T'!$A$3:$AAA$865,MATCH($A269,'IN_RC-T'!$A$3:$A$865,0),MATCH(E$3,'IN_RC-T'!$A$3:$AAA$3,0))</f>
        <v>0</v>
      </c>
    </row>
    <row r="270" spans="1:5" ht="12" outlineLevel="1" x14ac:dyDescent="0.25">
      <c r="A270" s="85" t="s">
        <v>3601</v>
      </c>
      <c r="B270" s="657" t="s">
        <v>3634</v>
      </c>
      <c r="C270" s="659">
        <v>0</v>
      </c>
      <c r="D270" s="659">
        <v>0</v>
      </c>
      <c r="E270" s="659">
        <v>0</v>
      </c>
    </row>
    <row r="271" spans="1:5" ht="12" outlineLevel="1" x14ac:dyDescent="0.25">
      <c r="A271" s="85" t="s">
        <v>3602</v>
      </c>
      <c r="B271" s="204" t="s">
        <v>3635</v>
      </c>
      <c r="C271" s="658">
        <f>C269-C270</f>
        <v>0</v>
      </c>
      <c r="D271" s="658">
        <f>D269-D270</f>
        <v>0</v>
      </c>
      <c r="E271" s="658">
        <f>E269-E270</f>
        <v>0</v>
      </c>
    </row>
    <row r="272" spans="1:5" ht="11.4" outlineLevel="1" x14ac:dyDescent="0.25">
      <c r="A272" s="85" t="s">
        <v>2863</v>
      </c>
      <c r="B272" s="209" t="s">
        <v>3736</v>
      </c>
      <c r="C272" s="210">
        <f>INDEX('IN_RC-T'!$A$3:$AAA$865,MATCH($A272,'IN_RC-T'!$A$3:$A$865,0),MATCH(C$3,'IN_RC-T'!$A$3:$AAA$3,0))</f>
        <v>0</v>
      </c>
      <c r="D272" s="210">
        <f>INDEX('IN_RC-T'!$A$3:$AAA$865,MATCH($A272,'IN_RC-T'!$A$3:$A$865,0),MATCH(D$3,'IN_RC-T'!$A$3:$AAA$3,0))</f>
        <v>0</v>
      </c>
      <c r="E272" s="210">
        <f>INDEX('IN_RC-T'!$A$3:$AAA$865,MATCH($A272,'IN_RC-T'!$A$3:$A$865,0),MATCH(E$3,'IN_RC-T'!$A$3:$AAA$3,0))</f>
        <v>0</v>
      </c>
    </row>
    <row r="273" spans="1:5" ht="12" outlineLevel="1" x14ac:dyDescent="0.25">
      <c r="A273" s="85" t="s">
        <v>3603</v>
      </c>
      <c r="B273" s="664" t="s">
        <v>3636</v>
      </c>
      <c r="C273" s="655">
        <v>0</v>
      </c>
      <c r="D273" s="655">
        <v>0</v>
      </c>
      <c r="E273" s="655">
        <v>0</v>
      </c>
    </row>
    <row r="274" spans="1:5" ht="12" outlineLevel="1" x14ac:dyDescent="0.25">
      <c r="A274" s="85" t="s">
        <v>3604</v>
      </c>
      <c r="B274" s="204" t="s">
        <v>3637</v>
      </c>
      <c r="C274" s="658">
        <f>C272-C273</f>
        <v>0</v>
      </c>
      <c r="D274" s="658">
        <f>D272-D273</f>
        <v>0</v>
      </c>
      <c r="E274" s="658">
        <f>E272-E273</f>
        <v>0</v>
      </c>
    </row>
    <row r="275" spans="1:5" ht="12" outlineLevel="1" x14ac:dyDescent="0.25">
      <c r="A275" s="85" t="s">
        <v>2077</v>
      </c>
      <c r="B275" s="209" t="s">
        <v>3737</v>
      </c>
      <c r="C275" s="210">
        <f>INDEX('IN_RC-T'!$A$3:$AAA$865,MATCH($A275,'IN_RC-T'!$A$3:$A$865,0),MATCH(C$3,'IN_RC-T'!$A$3:$AAA$3,0))</f>
        <v>0</v>
      </c>
      <c r="D275" s="210">
        <f>INDEX('IN_RC-T'!$A$3:$AAA$865,MATCH($A275,'IN_RC-T'!$A$3:$A$865,0),MATCH(D$3,'IN_RC-T'!$A$3:$AAA$3,0))</f>
        <v>0</v>
      </c>
      <c r="E275" s="210">
        <f>INDEX('IN_RC-T'!$A$3:$AAA$865,MATCH($A275,'IN_RC-T'!$A$3:$A$865,0),MATCH(E$3,'IN_RC-T'!$A$3:$AAA$3,0))</f>
        <v>0</v>
      </c>
    </row>
    <row r="276" spans="1:5" ht="12" outlineLevel="1" x14ac:dyDescent="0.25">
      <c r="A276" s="85" t="s">
        <v>3624</v>
      </c>
      <c r="B276" s="657" t="s">
        <v>3670</v>
      </c>
      <c r="C276" s="659">
        <v>0</v>
      </c>
      <c r="D276" s="659">
        <v>0</v>
      </c>
      <c r="E276" s="659">
        <v>0</v>
      </c>
    </row>
    <row r="277" spans="1:5" ht="12" outlineLevel="1" x14ac:dyDescent="0.25">
      <c r="A277" s="85" t="s">
        <v>3625</v>
      </c>
      <c r="B277" s="204" t="s">
        <v>3705</v>
      </c>
      <c r="C277" s="658">
        <f>C275-C276</f>
        <v>0</v>
      </c>
      <c r="D277" s="658">
        <f>D275-D276</f>
        <v>0</v>
      </c>
      <c r="E277" s="658">
        <f>E275-E276</f>
        <v>0</v>
      </c>
    </row>
    <row r="278" spans="1:5" ht="11.4" outlineLevel="1" x14ac:dyDescent="0.25">
      <c r="A278" s="85" t="s">
        <v>6796</v>
      </c>
      <c r="B278" s="209" t="s">
        <v>3638</v>
      </c>
      <c r="C278" s="210">
        <f>INDEX('IN_RC-T'!$A$3:$AAA$865,MATCH($A278,'IN_RC-T'!$A$3:$A$865,0),MATCH(C$3,'IN_RC-T'!$A$3:$AAA$3,0))</f>
        <v>0</v>
      </c>
      <c r="D278" s="210">
        <f>INDEX('IN_RC-T'!$A$3:$AAA$865,MATCH($A278,'IN_RC-T'!$A$3:$A$865,0),MATCH(D$3,'IN_RC-T'!$A$3:$AAA$3,0))</f>
        <v>0</v>
      </c>
      <c r="E278" s="210">
        <f>INDEX('IN_RC-T'!$A$3:$AAA$865,MATCH($A278,'IN_RC-T'!$A$3:$A$865,0),MATCH(E$3,'IN_RC-T'!$A$3:$AAA$3,0))</f>
        <v>0</v>
      </c>
    </row>
    <row r="279" spans="1:5" ht="11.4" outlineLevel="1" x14ac:dyDescent="0.25">
      <c r="A279" s="85" t="s">
        <v>6956</v>
      </c>
      <c r="B279" s="657" t="s">
        <v>3671</v>
      </c>
      <c r="C279" s="659">
        <v>0</v>
      </c>
      <c r="D279" s="659">
        <v>0</v>
      </c>
      <c r="E279" s="659">
        <v>0</v>
      </c>
    </row>
    <row r="280" spans="1:5" ht="11.4" outlineLevel="1" x14ac:dyDescent="0.25">
      <c r="A280" s="85" t="s">
        <v>6946</v>
      </c>
      <c r="B280" s="204" t="s">
        <v>3706</v>
      </c>
      <c r="C280" s="658">
        <f>C278-C279</f>
        <v>0</v>
      </c>
      <c r="D280" s="658">
        <f>D278-D279</f>
        <v>0</v>
      </c>
      <c r="E280" s="658">
        <f>E278-E279</f>
        <v>0</v>
      </c>
    </row>
    <row r="281" spans="1:5" ht="11.4" outlineLevel="1" x14ac:dyDescent="0.25">
      <c r="A281" s="85" t="s">
        <v>3053</v>
      </c>
      <c r="B281" s="209" t="s">
        <v>3089</v>
      </c>
      <c r="C281" s="210">
        <f>INDEX('IN_RC-T'!$A$3:$AAA$865,MATCH($A281,'IN_RC-T'!$A$3:$A$865,0),MATCH(C$3,'IN_RC-T'!$A$3:$AAA$3,0))</f>
        <v>0</v>
      </c>
      <c r="D281" s="210">
        <f>INDEX('IN_RC-T'!$A$3:$AAA$865,MATCH($A281,'IN_RC-T'!$A$3:$A$865,0),MATCH(D$3,'IN_RC-T'!$A$3:$AAA$3,0))</f>
        <v>0</v>
      </c>
      <c r="E281" s="210">
        <f>INDEX('IN_RC-T'!$A$3:$AAA$865,MATCH($A281,'IN_RC-T'!$A$3:$A$865,0),MATCH(E$3,'IN_RC-T'!$A$3:$AAA$3,0))</f>
        <v>0</v>
      </c>
    </row>
    <row r="282" spans="1:5" ht="11.4" outlineLevel="1" x14ac:dyDescent="0.25">
      <c r="A282" s="85" t="s">
        <v>3248</v>
      </c>
      <c r="B282" s="660" t="s">
        <v>3677</v>
      </c>
      <c r="C282" s="661">
        <f>C252+C255+C258+C261+C264+C267+C270+C273+C276+C279</f>
        <v>0</v>
      </c>
      <c r="D282" s="661">
        <f>D252+D255+D258+D261+D264+D267+D270+D273+D276+D279</f>
        <v>0</v>
      </c>
      <c r="E282" s="661">
        <f>E252+E255+E258+E261+E264+E267+E270+E273+E276+E279</f>
        <v>0</v>
      </c>
    </row>
    <row r="283" spans="1:5" ht="11.4" outlineLevel="1" x14ac:dyDescent="0.25">
      <c r="A283" s="85" t="s">
        <v>3249</v>
      </c>
      <c r="B283" s="204" t="s">
        <v>3707</v>
      </c>
      <c r="C283" s="658">
        <f>C281-C282</f>
        <v>0</v>
      </c>
      <c r="D283" s="658">
        <f>D281-D282</f>
        <v>0</v>
      </c>
      <c r="E283" s="658">
        <f>E281-E282</f>
        <v>0</v>
      </c>
    </row>
    <row r="284" spans="1:5" outlineLevel="1" x14ac:dyDescent="0.2">
      <c r="B284" s="137"/>
      <c r="C284" s="137"/>
      <c r="D284" s="137"/>
      <c r="E284" s="137"/>
    </row>
    <row r="285" spans="1:5" ht="11.4" outlineLevel="1" x14ac:dyDescent="0.25">
      <c r="A285" s="85" t="s">
        <v>3250</v>
      </c>
      <c r="B285" s="209" t="s">
        <v>3639</v>
      </c>
      <c r="C285" s="210">
        <f>INDEX(PEF_COM_26!$A$3:$AAA$50,MATCH($A285,PEF_COM_26!$A$3:$A$50,0),MATCH(C$3,PEF_COM_26!$A$3:$AAA$3,0))</f>
        <v>0</v>
      </c>
      <c r="D285" s="210">
        <f>INDEX(PEF_COM_26!$A$3:$AAA$50,MATCH($A285,PEF_COM_26!$A$3:$A$50,0),MATCH(D$3,PEF_COM_26!$A$3:$AAA$3,0))</f>
        <v>0</v>
      </c>
      <c r="E285" s="210">
        <f>INDEX(PEF_COM_26!$A$3:$AAA$50,MATCH($A285,PEF_COM_26!$A$3:$A$50,0),MATCH(E$3,PEF_COM_26!$A$3:$AAA$3,0))</f>
        <v>0</v>
      </c>
    </row>
    <row r="286" spans="1:5" ht="11.4" outlineLevel="1" x14ac:dyDescent="0.25">
      <c r="A286" s="85" t="s">
        <v>3251</v>
      </c>
      <c r="B286" s="657" t="s">
        <v>3640</v>
      </c>
      <c r="C286" s="659">
        <v>0</v>
      </c>
      <c r="D286" s="659">
        <v>0</v>
      </c>
      <c r="E286" s="659">
        <v>0</v>
      </c>
    </row>
    <row r="287" spans="1:5" ht="11.4" outlineLevel="1" x14ac:dyDescent="0.25">
      <c r="A287" s="85" t="s">
        <v>3252</v>
      </c>
      <c r="B287" s="204" t="s">
        <v>3641</v>
      </c>
      <c r="C287" s="658">
        <f>C285-C286</f>
        <v>0</v>
      </c>
      <c r="D287" s="658">
        <f>D285-D286</f>
        <v>0</v>
      </c>
      <c r="E287" s="658">
        <f>E285-E286</f>
        <v>0</v>
      </c>
    </row>
    <row r="288" spans="1:5" outlineLevel="1" x14ac:dyDescent="0.2">
      <c r="B288" s="137"/>
      <c r="C288" s="137"/>
      <c r="D288" s="137"/>
      <c r="E288" s="137"/>
    </row>
    <row r="289" spans="1:5" ht="11.4" outlineLevel="1" x14ac:dyDescent="0.25">
      <c r="A289" s="85" t="s">
        <v>3642</v>
      </c>
      <c r="B289" s="209" t="s">
        <v>4979</v>
      </c>
      <c r="C289" s="210">
        <f>C123+C130+C137+C144+C151+C158+C177+C197+C204+C211+C248</f>
        <v>0</v>
      </c>
      <c r="D289" s="210">
        <f>D123+D130+D137+D144+D151+D158+D177+D197+D204+D211+D248</f>
        <v>0</v>
      </c>
      <c r="E289" s="210">
        <f>E123+E130+E137+E144+E151+E158+E177+E197+E204+E211+E248</f>
        <v>0</v>
      </c>
    </row>
    <row r="290" spans="1:5" ht="11.4" outlineLevel="1" x14ac:dyDescent="0.25">
      <c r="A290" s="85" t="s">
        <v>3643</v>
      </c>
      <c r="B290" s="527" t="s">
        <v>4980</v>
      </c>
      <c r="C290" s="663">
        <f>C126+C133+C140+C147+C154+C161+C193+C200+C207+C214+C282+C286</f>
        <v>0</v>
      </c>
      <c r="D290" s="663">
        <f>D126+D133+D140+D147+D154+D161+D193+D200+D207+D214+D282+D286</f>
        <v>0</v>
      </c>
      <c r="E290" s="663">
        <f>E126+E133+E140+E147+E154+E161+E193+E200+E207+E214+E282+E286</f>
        <v>0</v>
      </c>
    </row>
    <row r="291" spans="1:5" ht="11.4" outlineLevel="1" x14ac:dyDescent="0.25">
      <c r="A291" s="85" t="s">
        <v>3644</v>
      </c>
      <c r="B291" s="204" t="s">
        <v>4981</v>
      </c>
      <c r="C291" s="658">
        <f>C289+C290</f>
        <v>0</v>
      </c>
      <c r="D291" s="658">
        <f>D289+D290</f>
        <v>0</v>
      </c>
      <c r="E291" s="658">
        <f>E289+E290</f>
        <v>0</v>
      </c>
    </row>
    <row r="292" spans="1:5" x14ac:dyDescent="0.2">
      <c r="B292" s="137"/>
      <c r="C292" s="137"/>
      <c r="D292" s="137"/>
      <c r="E292" s="137"/>
    </row>
    <row r="293" spans="1:5" x14ac:dyDescent="0.2">
      <c r="B293" s="79">
        <v>2027</v>
      </c>
    </row>
    <row r="294" spans="1:5" ht="11.4" outlineLevel="1" x14ac:dyDescent="0.25">
      <c r="A294" s="85" t="s">
        <v>3268</v>
      </c>
      <c r="B294" s="209" t="s">
        <v>3798</v>
      </c>
      <c r="C294" s="210">
        <f>INDEX(PEF_GEST_27!$A$3:$AAA$50,MATCH($A294,PEF_GEST_27!$A$3:$A$50,0),MATCH(C$3,PEF_GEST_27!$A$3:$AAA$3,0))</f>
        <v>1157506.4023600002</v>
      </c>
      <c r="D294" s="210">
        <f>INDEX(PEF_GEST_27!$A$3:$AAA$50,MATCH($A294,PEF_GEST_27!$A$3:$A$50,0),MATCH(D$3,PEF_GEST_27!$A$3:$AAA$3,0))</f>
        <v>121561.60940880001</v>
      </c>
      <c r="E294" s="210">
        <f>INDEX(PEF_GEST_27!$A$3:$AAA$50,MATCH($A294,PEF_GEST_27!$A$3:$A$50,0),MATCH(E$3,PEF_GEST_27!$A$3:$AAA$3,0))</f>
        <v>105869.11500000001</v>
      </c>
    </row>
    <row r="295" spans="1:5" ht="11.4" outlineLevel="1" x14ac:dyDescent="0.25">
      <c r="A295" s="85" t="s">
        <v>3269</v>
      </c>
      <c r="B295" s="657" t="s">
        <v>3799</v>
      </c>
      <c r="C295" s="659">
        <v>0</v>
      </c>
      <c r="D295" s="659">
        <v>0</v>
      </c>
      <c r="E295" s="659">
        <v>0</v>
      </c>
    </row>
    <row r="296" spans="1:5" ht="11.4" outlineLevel="1" x14ac:dyDescent="0.25">
      <c r="A296" s="85" t="s">
        <v>3270</v>
      </c>
      <c r="B296" s="204" t="s">
        <v>3800</v>
      </c>
      <c r="C296" s="658">
        <f>C294-C295</f>
        <v>1157506.4023600002</v>
      </c>
      <c r="D296" s="658">
        <f>D294-D295</f>
        <v>121561.60940880001</v>
      </c>
      <c r="E296" s="658">
        <f>E294-E295</f>
        <v>105869.11500000001</v>
      </c>
    </row>
    <row r="297" spans="1:5" ht="11.4" outlineLevel="1" x14ac:dyDescent="0.25">
      <c r="A297" s="85" t="s">
        <v>3271</v>
      </c>
      <c r="B297" s="209" t="s">
        <v>3801</v>
      </c>
      <c r="C297" s="210">
        <f>INDEX(PEF_COM_27!$A$3:$AAA$50,MATCH($A297,PEF_COM_27!$A$3:$A$50,0),MATCH(C$3,PEF_COM_27!$A$3:$AAA$3,0))</f>
        <v>0</v>
      </c>
      <c r="D297" s="210">
        <f>INDEX(PEF_COM_27!$A$3:$AAA$50,MATCH($A297,PEF_COM_27!$A$3:$A$50,0),MATCH(D$3,PEF_COM_27!$A$3:$AAA$3,0))</f>
        <v>0</v>
      </c>
      <c r="E297" s="210">
        <f>INDEX(PEF_COM_27!$A$3:$AAA$50,MATCH($A297,PEF_COM_27!$A$3:$A$50,0),MATCH(E$3,PEF_COM_27!$A$3:$AAA$3,0))</f>
        <v>0</v>
      </c>
    </row>
    <row r="298" spans="1:5" ht="11.4" outlineLevel="1" x14ac:dyDescent="0.25">
      <c r="A298" s="85" t="s">
        <v>3272</v>
      </c>
      <c r="B298" s="657" t="s">
        <v>3802</v>
      </c>
      <c r="C298" s="659">
        <v>0</v>
      </c>
      <c r="D298" s="659">
        <v>0</v>
      </c>
      <c r="E298" s="659">
        <v>0</v>
      </c>
    </row>
    <row r="299" spans="1:5" ht="11.4" outlineLevel="1" x14ac:dyDescent="0.25">
      <c r="A299" s="85" t="s">
        <v>3273</v>
      </c>
      <c r="B299" s="204" t="s">
        <v>3803</v>
      </c>
      <c r="C299" s="658">
        <f>C297-C298</f>
        <v>0</v>
      </c>
      <c r="D299" s="658">
        <f>D297-D298</f>
        <v>0</v>
      </c>
      <c r="E299" s="658">
        <f>E297-E298</f>
        <v>0</v>
      </c>
    </row>
    <row r="300" spans="1:5" outlineLevel="1" x14ac:dyDescent="0.2">
      <c r="B300" s="137"/>
      <c r="C300" s="662"/>
      <c r="D300" s="662"/>
      <c r="E300" s="662"/>
    </row>
    <row r="301" spans="1:5" ht="11.4" outlineLevel="1" x14ac:dyDescent="0.25">
      <c r="A301" s="85" t="s">
        <v>3274</v>
      </c>
      <c r="B301" s="209" t="s">
        <v>3804</v>
      </c>
      <c r="C301" s="210">
        <f>INDEX(PEF_GEST_27!$A$3:$AAA$50,MATCH($A301,PEF_GEST_27!$A$3:$A$50,0),MATCH(C$3,PEF_GEST_27!$A$3:$AAA$3,0))</f>
        <v>0</v>
      </c>
      <c r="D301" s="210">
        <f>INDEX(PEF_GEST_27!$A$3:$AAA$50,MATCH($A301,PEF_GEST_27!$A$3:$A$50,0),MATCH(D$3,PEF_GEST_27!$A$3:$AAA$3,0))</f>
        <v>189.21991440000002</v>
      </c>
      <c r="E301" s="210">
        <f>INDEX(PEF_GEST_27!$A$3:$AAA$50,MATCH($A301,PEF_GEST_27!$A$3:$A$50,0),MATCH(E$3,PEF_GEST_27!$A$3:$AAA$3,0))</f>
        <v>190794.41436</v>
      </c>
    </row>
    <row r="302" spans="1:5" ht="11.4" outlineLevel="1" x14ac:dyDescent="0.25">
      <c r="A302" s="85" t="s">
        <v>3275</v>
      </c>
      <c r="B302" s="657" t="s">
        <v>3805</v>
      </c>
      <c r="C302" s="659">
        <v>0</v>
      </c>
      <c r="D302" s="659">
        <v>0</v>
      </c>
      <c r="E302" s="659">
        <v>0</v>
      </c>
    </row>
    <row r="303" spans="1:5" ht="11.4" outlineLevel="1" x14ac:dyDescent="0.25">
      <c r="A303" s="85" t="s">
        <v>3276</v>
      </c>
      <c r="B303" s="204" t="s">
        <v>3806</v>
      </c>
      <c r="C303" s="658">
        <f>C301-C302</f>
        <v>0</v>
      </c>
      <c r="D303" s="658">
        <f>D301-D302</f>
        <v>189.21991440000002</v>
      </c>
      <c r="E303" s="658">
        <f>E301-E302</f>
        <v>190794.41436</v>
      </c>
    </row>
    <row r="304" spans="1:5" ht="11.4" outlineLevel="1" x14ac:dyDescent="0.25">
      <c r="A304" s="85" t="s">
        <v>3277</v>
      </c>
      <c r="B304" s="209" t="s">
        <v>3807</v>
      </c>
      <c r="C304" s="210">
        <f>INDEX(PEF_COM_27!$A$3:$AAA$50,MATCH($A304,PEF_COM_27!$A$3:$A$50,0),MATCH(C$3,PEF_COM_27!$A$3:$AAA$3,0))</f>
        <v>0</v>
      </c>
      <c r="D304" s="210">
        <f>INDEX(PEF_COM_27!$A$3:$AAA$50,MATCH($A304,PEF_COM_27!$A$3:$A$50,0),MATCH(D$3,PEF_COM_27!$A$3:$AAA$3,0))</f>
        <v>0</v>
      </c>
      <c r="E304" s="210">
        <f>INDEX(PEF_COM_27!$A$3:$AAA$50,MATCH($A304,PEF_COM_27!$A$3:$A$50,0),MATCH(E$3,PEF_COM_27!$A$3:$AAA$3,0))</f>
        <v>0</v>
      </c>
    </row>
    <row r="305" spans="1:5" ht="11.4" outlineLevel="1" x14ac:dyDescent="0.25">
      <c r="A305" s="85" t="s">
        <v>3278</v>
      </c>
      <c r="B305" s="657" t="s">
        <v>3808</v>
      </c>
      <c r="C305" s="659">
        <v>0</v>
      </c>
      <c r="D305" s="659">
        <v>0</v>
      </c>
      <c r="E305" s="659">
        <v>0</v>
      </c>
    </row>
    <row r="306" spans="1:5" ht="11.4" outlineLevel="1" x14ac:dyDescent="0.25">
      <c r="A306" s="85" t="s">
        <v>3279</v>
      </c>
      <c r="B306" s="204" t="s">
        <v>3809</v>
      </c>
      <c r="C306" s="658">
        <f>C304-C305</f>
        <v>0</v>
      </c>
      <c r="D306" s="658">
        <f>D304-D305</f>
        <v>0</v>
      </c>
      <c r="E306" s="658">
        <f>E304-E305</f>
        <v>0</v>
      </c>
    </row>
    <row r="307" spans="1:5" outlineLevel="1" x14ac:dyDescent="0.2">
      <c r="B307" s="137"/>
      <c r="C307" s="662"/>
      <c r="D307" s="662"/>
      <c r="E307" s="662"/>
    </row>
    <row r="308" spans="1:5" ht="11.4" outlineLevel="1" x14ac:dyDescent="0.25">
      <c r="A308" s="85" t="s">
        <v>3280</v>
      </c>
      <c r="B308" s="209" t="s">
        <v>3810</v>
      </c>
      <c r="C308" s="210">
        <f>INDEX(PEF_GEST_27!$A$3:$AAA$50,MATCH($A308,PEF_GEST_27!$A$3:$A$50,0),MATCH(C$3,PEF_GEST_27!$A$3:$AAA$3,0))</f>
        <v>2683893.7774</v>
      </c>
      <c r="D308" s="210">
        <f>INDEX(PEF_GEST_27!$A$3:$AAA$50,MATCH($A308,PEF_GEST_27!$A$3:$A$50,0),MATCH(D$3,PEF_GEST_27!$A$3:$AAA$3,0))</f>
        <v>564604.21989840001</v>
      </c>
      <c r="E308" s="210">
        <f>INDEX(PEF_GEST_27!$A$3:$AAA$50,MATCH($A308,PEF_GEST_27!$A$3:$A$50,0),MATCH(E$3,PEF_GEST_27!$A$3:$AAA$3,0))</f>
        <v>0</v>
      </c>
    </row>
    <row r="309" spans="1:5" ht="11.4" outlineLevel="1" x14ac:dyDescent="0.25">
      <c r="A309" s="85" t="s">
        <v>3281</v>
      </c>
      <c r="B309" s="657" t="s">
        <v>3811</v>
      </c>
      <c r="C309" s="659">
        <v>0</v>
      </c>
      <c r="D309" s="659">
        <v>0</v>
      </c>
      <c r="E309" s="659">
        <v>0</v>
      </c>
    </row>
    <row r="310" spans="1:5" ht="11.4" outlineLevel="1" x14ac:dyDescent="0.25">
      <c r="A310" s="85" t="s">
        <v>3282</v>
      </c>
      <c r="B310" s="204" t="s">
        <v>3812</v>
      </c>
      <c r="C310" s="658">
        <f>C308-C309</f>
        <v>2683893.7774</v>
      </c>
      <c r="D310" s="658">
        <f>D308-D309</f>
        <v>564604.21989840001</v>
      </c>
      <c r="E310" s="658">
        <f>E308-E309</f>
        <v>0</v>
      </c>
    </row>
    <row r="311" spans="1:5" ht="11.4" outlineLevel="1" x14ac:dyDescent="0.25">
      <c r="A311" s="85" t="s">
        <v>3283</v>
      </c>
      <c r="B311" s="209" t="s">
        <v>3813</v>
      </c>
      <c r="C311" s="210">
        <f>INDEX(PEF_COM_27!$A$3:$AAA$50,MATCH($A311,PEF_COM_27!$A$3:$A$50,0),MATCH(C$3,PEF_COM_27!$A$3:$AAA$3,0))</f>
        <v>0</v>
      </c>
      <c r="D311" s="210">
        <f>INDEX(PEF_COM_27!$A$3:$AAA$50,MATCH($A311,PEF_COM_27!$A$3:$A$50,0),MATCH(D$3,PEF_COM_27!$A$3:$AAA$3,0))</f>
        <v>0</v>
      </c>
      <c r="E311" s="210">
        <f>INDEX(PEF_COM_27!$A$3:$AAA$50,MATCH($A311,PEF_COM_27!$A$3:$A$50,0),MATCH(E$3,PEF_COM_27!$A$3:$AAA$3,0))</f>
        <v>0</v>
      </c>
    </row>
    <row r="312" spans="1:5" ht="11.4" outlineLevel="1" x14ac:dyDescent="0.25">
      <c r="A312" s="85" t="s">
        <v>3284</v>
      </c>
      <c r="B312" s="657" t="s">
        <v>3814</v>
      </c>
      <c r="C312" s="659">
        <v>0</v>
      </c>
      <c r="D312" s="659">
        <v>0</v>
      </c>
      <c r="E312" s="659">
        <v>0</v>
      </c>
    </row>
    <row r="313" spans="1:5" ht="11.4" outlineLevel="1" x14ac:dyDescent="0.25">
      <c r="A313" s="85" t="s">
        <v>3285</v>
      </c>
      <c r="B313" s="204" t="s">
        <v>3815</v>
      </c>
      <c r="C313" s="658">
        <f>C311-C312</f>
        <v>0</v>
      </c>
      <c r="D313" s="658">
        <f>D311-D312</f>
        <v>0</v>
      </c>
      <c r="E313" s="658">
        <f>E311-E312</f>
        <v>0</v>
      </c>
    </row>
    <row r="314" spans="1:5" outlineLevel="1" x14ac:dyDescent="0.2">
      <c r="B314" s="137"/>
      <c r="C314" s="662"/>
      <c r="D314" s="662"/>
      <c r="E314" s="662"/>
    </row>
    <row r="315" spans="1:5" ht="11.4" outlineLevel="1" x14ac:dyDescent="0.25">
      <c r="A315" s="85" t="s">
        <v>3286</v>
      </c>
      <c r="B315" s="209" t="s">
        <v>3816</v>
      </c>
      <c r="C315" s="210">
        <f>INDEX(PEF_GEST_27!$A$3:$AAA$50,MATCH($A315,PEF_GEST_27!$A$3:$A$50,0),MATCH(C$3,PEF_GEST_27!$A$3:$AAA$3,0))</f>
        <v>5088469.7256800001</v>
      </c>
      <c r="D315" s="210">
        <f>INDEX(PEF_GEST_27!$A$3:$AAA$50,MATCH($A315,PEF_GEST_27!$A$3:$A$50,0),MATCH(D$3,PEF_GEST_27!$A$3:$AAA$3,0))</f>
        <v>434936.80137600005</v>
      </c>
      <c r="E315" s="210">
        <f>INDEX(PEF_GEST_27!$A$3:$AAA$50,MATCH($A315,PEF_GEST_27!$A$3:$A$50,0),MATCH(E$3,PEF_GEST_27!$A$3:$AAA$3,0))</f>
        <v>423750.08456000005</v>
      </c>
    </row>
    <row r="316" spans="1:5" ht="11.4" outlineLevel="1" x14ac:dyDescent="0.25">
      <c r="A316" s="85" t="s">
        <v>3287</v>
      </c>
      <c r="B316" s="657" t="s">
        <v>3817</v>
      </c>
      <c r="C316" s="659">
        <v>0</v>
      </c>
      <c r="D316" s="659">
        <v>0</v>
      </c>
      <c r="E316" s="659">
        <v>0</v>
      </c>
    </row>
    <row r="317" spans="1:5" ht="11.4" outlineLevel="1" x14ac:dyDescent="0.25">
      <c r="A317" s="85" t="s">
        <v>3288</v>
      </c>
      <c r="B317" s="204" t="s">
        <v>3818</v>
      </c>
      <c r="C317" s="658">
        <f>C315-C316</f>
        <v>5088469.7256800001</v>
      </c>
      <c r="D317" s="658">
        <f>D315-D316</f>
        <v>434936.80137600005</v>
      </c>
      <c r="E317" s="658">
        <f>E315-E316</f>
        <v>423750.08456000005</v>
      </c>
    </row>
    <row r="318" spans="1:5" ht="11.4" outlineLevel="1" x14ac:dyDescent="0.25">
      <c r="A318" s="85" t="s">
        <v>3289</v>
      </c>
      <c r="B318" s="209" t="s">
        <v>3819</v>
      </c>
      <c r="C318" s="210">
        <f>INDEX(PEF_COM_27!$A$3:$AAA$50,MATCH($A318,PEF_COM_27!$A$3:$A$50,0),MATCH(C$3,PEF_COM_27!$A$3:$AAA$3,0))</f>
        <v>0</v>
      </c>
      <c r="D318" s="210">
        <f>INDEX(PEF_COM_27!$A$3:$AAA$50,MATCH($A318,PEF_COM_27!$A$3:$A$50,0),MATCH(D$3,PEF_COM_27!$A$3:$AAA$3,0))</f>
        <v>0</v>
      </c>
      <c r="E318" s="210">
        <f>INDEX(PEF_COM_27!$A$3:$AAA$50,MATCH($A318,PEF_COM_27!$A$3:$A$50,0),MATCH(E$3,PEF_COM_27!$A$3:$AAA$3,0))</f>
        <v>0</v>
      </c>
    </row>
    <row r="319" spans="1:5" ht="11.4" outlineLevel="1" x14ac:dyDescent="0.25">
      <c r="A319" s="85" t="s">
        <v>3290</v>
      </c>
      <c r="B319" s="657" t="s">
        <v>3820</v>
      </c>
      <c r="C319" s="659">
        <v>0</v>
      </c>
      <c r="D319" s="659">
        <v>0</v>
      </c>
      <c r="E319" s="659">
        <v>0</v>
      </c>
    </row>
    <row r="320" spans="1:5" ht="11.4" outlineLevel="1" x14ac:dyDescent="0.25">
      <c r="A320" s="85" t="s">
        <v>3291</v>
      </c>
      <c r="B320" s="204" t="s">
        <v>3821</v>
      </c>
      <c r="C320" s="658">
        <f>C318-C319</f>
        <v>0</v>
      </c>
      <c r="D320" s="658">
        <f>D318-D319</f>
        <v>0</v>
      </c>
      <c r="E320" s="658">
        <f>E318-E319</f>
        <v>0</v>
      </c>
    </row>
    <row r="321" spans="1:5" outlineLevel="1" x14ac:dyDescent="0.2">
      <c r="B321" s="137"/>
      <c r="C321" s="662"/>
      <c r="D321" s="662"/>
      <c r="E321" s="662"/>
    </row>
    <row r="322" spans="1:5" ht="11.4" outlineLevel="1" x14ac:dyDescent="0.25">
      <c r="A322" s="85" t="s">
        <v>2401</v>
      </c>
      <c r="B322" s="209" t="s">
        <v>3822</v>
      </c>
      <c r="C322" s="210">
        <f>INDEX('IN_RC-T'!$A$3:$AAA$865,MATCH($A322,'IN_RC-T'!$A$3:$A$865,0),MATCH(C$3,'IN_RC-T'!$A$3:$AAA$3,0))</f>
        <v>0</v>
      </c>
      <c r="D322" s="210">
        <f>INDEX('IN_RC-T'!$A$3:$AAA$865,MATCH($A322,'IN_RC-T'!$A$3:$A$865,0),MATCH(D$3,'IN_RC-T'!$A$3:$AAA$3,0))</f>
        <v>0</v>
      </c>
      <c r="E322" s="210">
        <f>INDEX('IN_RC-T'!$A$3:$AAA$865,MATCH($A322,'IN_RC-T'!$A$3:$A$865,0),MATCH(E$3,'IN_RC-T'!$A$3:$AAA$3,0))</f>
        <v>0</v>
      </c>
    </row>
    <row r="323" spans="1:5" ht="11.4" outlineLevel="1" x14ac:dyDescent="0.25">
      <c r="A323" s="85" t="s">
        <v>3738</v>
      </c>
      <c r="B323" s="657" t="s">
        <v>3823</v>
      </c>
      <c r="C323" s="659">
        <v>0</v>
      </c>
      <c r="D323" s="659">
        <v>0</v>
      </c>
      <c r="E323" s="659">
        <v>0</v>
      </c>
    </row>
    <row r="324" spans="1:5" ht="11.4" outlineLevel="1" x14ac:dyDescent="0.25">
      <c r="A324" s="85" t="s">
        <v>3739</v>
      </c>
      <c r="B324" s="204" t="s">
        <v>3824</v>
      </c>
      <c r="C324" s="658">
        <f>C322-C323</f>
        <v>0</v>
      </c>
      <c r="D324" s="658">
        <f>D322-D323</f>
        <v>0</v>
      </c>
      <c r="E324" s="658">
        <f>E322-E323</f>
        <v>0</v>
      </c>
    </row>
    <row r="325" spans="1:5" ht="11.4" outlineLevel="1" x14ac:dyDescent="0.25">
      <c r="A325" s="85" t="s">
        <v>2469</v>
      </c>
      <c r="B325" s="209" t="s">
        <v>3825</v>
      </c>
      <c r="C325" s="210">
        <f>INDEX('IN_RC-T'!$A$3:$AAA$865,MATCH($A325,'IN_RC-T'!$A$3:$A$865,0),MATCH(C$3,'IN_RC-T'!$A$3:$AAA$3,0))</f>
        <v>0</v>
      </c>
      <c r="D325" s="210">
        <f>INDEX('IN_RC-T'!$A$3:$AAA$865,MATCH($A325,'IN_RC-T'!$A$3:$A$865,0),MATCH(D$3,'IN_RC-T'!$A$3:$AAA$3,0))</f>
        <v>0</v>
      </c>
      <c r="E325" s="210">
        <f>INDEX('IN_RC-T'!$A$3:$AAA$865,MATCH($A325,'IN_RC-T'!$A$3:$A$865,0),MATCH(E$3,'IN_RC-T'!$A$3:$AAA$3,0))</f>
        <v>0</v>
      </c>
    </row>
    <row r="326" spans="1:5" ht="11.4" outlineLevel="1" x14ac:dyDescent="0.25">
      <c r="A326" s="85" t="s">
        <v>3740</v>
      </c>
      <c r="B326" s="657" t="s">
        <v>3826</v>
      </c>
      <c r="C326" s="659">
        <v>0</v>
      </c>
      <c r="D326" s="659">
        <v>0</v>
      </c>
      <c r="E326" s="659">
        <v>0</v>
      </c>
    </row>
    <row r="327" spans="1:5" ht="11.4" outlineLevel="1" x14ac:dyDescent="0.25">
      <c r="A327" s="85" t="s">
        <v>3741</v>
      </c>
      <c r="B327" s="204" t="s">
        <v>3827</v>
      </c>
      <c r="C327" s="658">
        <f>C325-C326</f>
        <v>0</v>
      </c>
      <c r="D327" s="658">
        <f>D325-D326</f>
        <v>0</v>
      </c>
      <c r="E327" s="658">
        <f>E325-E326</f>
        <v>0</v>
      </c>
    </row>
    <row r="328" spans="1:5" ht="12" outlineLevel="1" x14ac:dyDescent="0.25">
      <c r="A328" s="85" t="s">
        <v>1850</v>
      </c>
      <c r="B328" s="209" t="s">
        <v>3828</v>
      </c>
      <c r="C328" s="210">
        <f>INDEX('IN_RC-T'!$A$3:$AAA$865,MATCH($A328,'IN_RC-T'!$A$3:$A$865,0),MATCH(C$3,'IN_RC-T'!$A$3:$AAA$3,0))</f>
        <v>0</v>
      </c>
      <c r="D328" s="210">
        <f>INDEX('IN_RC-T'!$A$3:$AAA$865,MATCH($A328,'IN_RC-T'!$A$3:$A$865,0),MATCH(D$3,'IN_RC-T'!$A$3:$AAA$3,0))</f>
        <v>0</v>
      </c>
      <c r="E328" s="210">
        <f>INDEX('IN_RC-T'!$A$3:$AAA$865,MATCH($A328,'IN_RC-T'!$A$3:$A$865,0),MATCH(E$3,'IN_RC-T'!$A$3:$AAA$3,0))</f>
        <v>0</v>
      </c>
    </row>
    <row r="329" spans="1:5" ht="12" outlineLevel="1" x14ac:dyDescent="0.25">
      <c r="A329" s="85" t="s">
        <v>3292</v>
      </c>
      <c r="B329" s="657" t="s">
        <v>3829</v>
      </c>
      <c r="C329" s="659">
        <v>0</v>
      </c>
      <c r="D329" s="659">
        <v>0</v>
      </c>
      <c r="E329" s="659">
        <v>0</v>
      </c>
    </row>
    <row r="330" spans="1:5" ht="12" outlineLevel="1" x14ac:dyDescent="0.25">
      <c r="A330" s="85" t="s">
        <v>3293</v>
      </c>
      <c r="B330" s="204" t="s">
        <v>3830</v>
      </c>
      <c r="C330" s="658">
        <f>C328-C329</f>
        <v>0</v>
      </c>
      <c r="D330" s="658">
        <f>D328-D329</f>
        <v>0</v>
      </c>
      <c r="E330" s="658">
        <f>E328-E329</f>
        <v>0</v>
      </c>
    </row>
    <row r="331" spans="1:5" ht="12" outlineLevel="1" x14ac:dyDescent="0.25">
      <c r="A331" s="85" t="s">
        <v>1776</v>
      </c>
      <c r="B331" s="209" t="s">
        <v>3831</v>
      </c>
      <c r="C331" s="210">
        <f>INDEX('IN_RC-T'!$A$3:$AAA$865,MATCH($A331,'IN_RC-T'!$A$3:$A$865,0),MATCH(C$3,'IN_RC-T'!$A$3:$AAA$3,0))</f>
        <v>0</v>
      </c>
      <c r="D331" s="210">
        <f>INDEX('IN_RC-T'!$A$3:$AAA$865,MATCH($A331,'IN_RC-T'!$A$3:$A$865,0),MATCH(D$3,'IN_RC-T'!$A$3:$AAA$3,0))</f>
        <v>0</v>
      </c>
      <c r="E331" s="210">
        <f>INDEX('IN_RC-T'!$A$3:$AAA$865,MATCH($A331,'IN_RC-T'!$A$3:$A$865,0),MATCH(E$3,'IN_RC-T'!$A$3:$AAA$3,0))</f>
        <v>0</v>
      </c>
    </row>
    <row r="332" spans="1:5" ht="12" outlineLevel="1" x14ac:dyDescent="0.25">
      <c r="A332" s="85" t="s">
        <v>3742</v>
      </c>
      <c r="B332" s="664" t="s">
        <v>3832</v>
      </c>
      <c r="C332" s="655">
        <v>0</v>
      </c>
      <c r="D332" s="655">
        <v>0</v>
      </c>
      <c r="E332" s="655">
        <v>0</v>
      </c>
    </row>
    <row r="333" spans="1:5" ht="12" outlineLevel="1" x14ac:dyDescent="0.25">
      <c r="A333" s="85" t="s">
        <v>3743</v>
      </c>
      <c r="B333" s="204" t="s">
        <v>3833</v>
      </c>
      <c r="C333" s="658">
        <f>C331-C332</f>
        <v>0</v>
      </c>
      <c r="D333" s="658">
        <f>D331-D332</f>
        <v>0</v>
      </c>
      <c r="E333" s="658">
        <f>E331-E332</f>
        <v>0</v>
      </c>
    </row>
    <row r="334" spans="1:5" ht="12" outlineLevel="1" x14ac:dyDescent="0.25">
      <c r="A334" s="85" t="s">
        <v>2597</v>
      </c>
      <c r="B334" s="209" t="s">
        <v>3834</v>
      </c>
      <c r="C334" s="210">
        <f>INDEX('IN_RC-T'!$A$3:$AAA$865,MATCH($A334,'IN_RC-T'!$A$3:$A$865,0),MATCH(C$3,'IN_RC-T'!$A$3:$AAA$3,0))</f>
        <v>0</v>
      </c>
      <c r="D334" s="210">
        <f>INDEX('IN_RC-T'!$A$3:$AAA$865,MATCH($A334,'IN_RC-T'!$A$3:$A$865,0),MATCH(D$3,'IN_RC-T'!$A$3:$AAA$3,0))</f>
        <v>0</v>
      </c>
      <c r="E334" s="210">
        <f>INDEX('IN_RC-T'!$A$3:$AAA$865,MATCH($A334,'IN_RC-T'!$A$3:$A$865,0),MATCH(E$3,'IN_RC-T'!$A$3:$AAA$3,0))</f>
        <v>0</v>
      </c>
    </row>
    <row r="335" spans="1:5" ht="12" outlineLevel="1" x14ac:dyDescent="0.25">
      <c r="A335" s="85" t="s">
        <v>3744</v>
      </c>
      <c r="B335" s="664" t="s">
        <v>3835</v>
      </c>
      <c r="C335" s="655">
        <v>0</v>
      </c>
      <c r="D335" s="655">
        <v>0</v>
      </c>
      <c r="E335" s="655">
        <v>0</v>
      </c>
    </row>
    <row r="336" spans="1:5" ht="12" outlineLevel="1" x14ac:dyDescent="0.25">
      <c r="A336" s="85" t="s">
        <v>3745</v>
      </c>
      <c r="B336" s="204" t="s">
        <v>3836</v>
      </c>
      <c r="C336" s="658">
        <f>C334-C335</f>
        <v>0</v>
      </c>
      <c r="D336" s="658">
        <f>D334-D335</f>
        <v>0</v>
      </c>
      <c r="E336" s="658">
        <f>E334-E335</f>
        <v>0</v>
      </c>
    </row>
    <row r="337" spans="1:5" ht="12" outlineLevel="1" x14ac:dyDescent="0.25">
      <c r="A337" s="85" t="s">
        <v>2005</v>
      </c>
      <c r="B337" s="209" t="s">
        <v>3711</v>
      </c>
      <c r="C337" s="210">
        <f>INDEX('IN_RC-T'!$A$3:$AAA$865,MATCH($A337,'IN_RC-T'!$A$3:$A$865,0),MATCH(C$3,'IN_RC-T'!$A$3:$AAA$3,0))</f>
        <v>0</v>
      </c>
      <c r="D337" s="210">
        <f>INDEX('IN_RC-T'!$A$3:$AAA$865,MATCH($A337,'IN_RC-T'!$A$3:$A$865,0),MATCH(D$3,'IN_RC-T'!$A$3:$AAA$3,0))</f>
        <v>0</v>
      </c>
      <c r="E337" s="210">
        <f>INDEX('IN_RC-T'!$A$3:$AAA$865,MATCH($A337,'IN_RC-T'!$A$3:$A$865,0),MATCH(E$3,'IN_RC-T'!$A$3:$AAA$3,0))</f>
        <v>0</v>
      </c>
    </row>
    <row r="338" spans="1:5" ht="12" outlineLevel="1" x14ac:dyDescent="0.25">
      <c r="A338" s="85" t="s">
        <v>3746</v>
      </c>
      <c r="B338" s="664" t="s">
        <v>3657</v>
      </c>
      <c r="C338" s="655">
        <v>0</v>
      </c>
      <c r="D338" s="655">
        <v>0</v>
      </c>
      <c r="E338" s="655">
        <v>0</v>
      </c>
    </row>
    <row r="339" spans="1:5" ht="12" outlineLevel="1" x14ac:dyDescent="0.25">
      <c r="A339" s="85" t="s">
        <v>3747</v>
      </c>
      <c r="B339" s="204" t="s">
        <v>3682</v>
      </c>
      <c r="C339" s="658">
        <f>C337-C338</f>
        <v>0</v>
      </c>
      <c r="D339" s="658">
        <f>D337-D338</f>
        <v>0</v>
      </c>
      <c r="E339" s="658">
        <f>E337-E338</f>
        <v>0</v>
      </c>
    </row>
    <row r="340" spans="1:5" ht="11.4" outlineLevel="1" x14ac:dyDescent="0.25">
      <c r="A340" s="85" t="s">
        <v>1654</v>
      </c>
      <c r="B340" s="209" t="s">
        <v>3837</v>
      </c>
      <c r="C340" s="210">
        <f>INDEX('IN_RC-T'!$A$3:$AAA$865,MATCH($A340,'IN_RC-T'!$A$3:$A$865,0),MATCH(C$3,'IN_RC-T'!$A$3:$AAA$3,0))</f>
        <v>0</v>
      </c>
      <c r="D340" s="210">
        <f>INDEX('IN_RC-T'!$A$3:$AAA$865,MATCH($A340,'IN_RC-T'!$A$3:$A$865,0),MATCH(D$3,'IN_RC-T'!$A$3:$AAA$3,0))</f>
        <v>0</v>
      </c>
      <c r="E340" s="210">
        <f>INDEX('IN_RC-T'!$A$3:$AAA$865,MATCH($A340,'IN_RC-T'!$A$3:$A$865,0),MATCH(E$3,'IN_RC-T'!$A$3:$AAA$3,0))</f>
        <v>0</v>
      </c>
    </row>
    <row r="341" spans="1:5" ht="11.4" outlineLevel="1" x14ac:dyDescent="0.25">
      <c r="A341" s="85" t="s">
        <v>3294</v>
      </c>
      <c r="B341" s="657" t="s">
        <v>3838</v>
      </c>
      <c r="C341" s="659">
        <v>0</v>
      </c>
      <c r="D341" s="659">
        <v>0</v>
      </c>
      <c r="E341" s="659">
        <v>0</v>
      </c>
    </row>
    <row r="342" spans="1:5" ht="11.4" outlineLevel="1" x14ac:dyDescent="0.25">
      <c r="A342" s="85" t="s">
        <v>3295</v>
      </c>
      <c r="B342" s="204" t="s">
        <v>3839</v>
      </c>
      <c r="C342" s="658">
        <f>C340-C341</f>
        <v>0</v>
      </c>
      <c r="D342" s="658">
        <f>D340-D341</f>
        <v>0</v>
      </c>
      <c r="E342" s="658">
        <f>E340-E341</f>
        <v>0</v>
      </c>
    </row>
    <row r="343" spans="1:5" ht="12" outlineLevel="1" x14ac:dyDescent="0.25">
      <c r="A343" s="85" t="s">
        <v>2722</v>
      </c>
      <c r="B343" s="209" t="s">
        <v>3852</v>
      </c>
      <c r="C343" s="210">
        <f>INDEX('IN_RC-T'!$A$3:$AAA$865,MATCH($A343,'IN_RC-T'!$A$3:$A$865,0),MATCH(C$3,'IN_RC-T'!$A$3:$AAA$3,0))</f>
        <v>340344.7554539569</v>
      </c>
      <c r="D343" s="210">
        <f>INDEX('IN_RC-T'!$A$3:$AAA$865,MATCH($A343,'IN_RC-T'!$A$3:$A$865,0),MATCH(D$3,'IN_RC-T'!$A$3:$AAA$3,0))</f>
        <v>0</v>
      </c>
      <c r="E343" s="210">
        <f>INDEX('IN_RC-T'!$A$3:$AAA$865,MATCH($A343,'IN_RC-T'!$A$3:$A$865,0),MATCH(E$3,'IN_RC-T'!$A$3:$AAA$3,0))</f>
        <v>0</v>
      </c>
    </row>
    <row r="344" spans="1:5" ht="12" outlineLevel="1" x14ac:dyDescent="0.25">
      <c r="A344" s="85" t="s">
        <v>3296</v>
      </c>
      <c r="B344" s="657" t="s">
        <v>3853</v>
      </c>
      <c r="C344" s="659">
        <v>0</v>
      </c>
      <c r="D344" s="659">
        <v>0</v>
      </c>
      <c r="E344" s="659">
        <v>0</v>
      </c>
    </row>
    <row r="345" spans="1:5" ht="12" outlineLevel="1" x14ac:dyDescent="0.25">
      <c r="A345" s="85" t="s">
        <v>3297</v>
      </c>
      <c r="B345" s="204" t="s">
        <v>3854</v>
      </c>
      <c r="C345" s="658">
        <f>C343-C344</f>
        <v>340344.7554539569</v>
      </c>
      <c r="D345" s="658">
        <f>D343-D344</f>
        <v>0</v>
      </c>
      <c r="E345" s="658">
        <f>E343-E344</f>
        <v>0</v>
      </c>
    </row>
    <row r="346" spans="1:5" ht="11.4" outlineLevel="1" x14ac:dyDescent="0.25">
      <c r="A346" s="85" t="s">
        <v>2795</v>
      </c>
      <c r="B346" s="209" t="s">
        <v>3855</v>
      </c>
      <c r="C346" s="210">
        <f>INDEX('IN_RC-T'!$A$3:$AAA$865,MATCH($A346,'IN_RC-T'!$A$3:$A$865,0),MATCH(C$3,'IN_RC-T'!$A$3:$AAA$3,0))</f>
        <v>175789.73340780661</v>
      </c>
      <c r="D346" s="210">
        <f>INDEX('IN_RC-T'!$A$3:$AAA$865,MATCH($A346,'IN_RC-T'!$A$3:$A$865,0),MATCH(D$3,'IN_RC-T'!$A$3:$AAA$3,0))</f>
        <v>0</v>
      </c>
      <c r="E346" s="210">
        <f>INDEX('IN_RC-T'!$A$3:$AAA$865,MATCH($A346,'IN_RC-T'!$A$3:$A$865,0),MATCH(E$3,'IN_RC-T'!$A$3:$AAA$3,0))</f>
        <v>0</v>
      </c>
    </row>
    <row r="347" spans="1:5" ht="12" outlineLevel="1" x14ac:dyDescent="0.25">
      <c r="A347" s="85" t="s">
        <v>3748</v>
      </c>
      <c r="B347" s="657" t="s">
        <v>3856</v>
      </c>
      <c r="C347" s="659">
        <v>0</v>
      </c>
      <c r="D347" s="659">
        <v>0</v>
      </c>
      <c r="E347" s="659">
        <v>0</v>
      </c>
    </row>
    <row r="348" spans="1:5" ht="12" outlineLevel="1" x14ac:dyDescent="0.25">
      <c r="A348" s="85" t="s">
        <v>3749</v>
      </c>
      <c r="B348" s="204" t="s">
        <v>3857</v>
      </c>
      <c r="C348" s="658">
        <f>C346-C347</f>
        <v>175789.73340780661</v>
      </c>
      <c r="D348" s="658">
        <f>D346-D347</f>
        <v>0</v>
      </c>
      <c r="E348" s="658">
        <f>E346-E347</f>
        <v>0</v>
      </c>
    </row>
    <row r="349" spans="1:5" ht="11.4" outlineLevel="1" x14ac:dyDescent="0.25">
      <c r="A349" s="85" t="s">
        <v>2868</v>
      </c>
      <c r="B349" s="209" t="s">
        <v>3858</v>
      </c>
      <c r="C349" s="210">
        <f>INDEX('IN_RC-T'!$A$3:$AAA$865,MATCH($A349,'IN_RC-T'!$A$3:$A$865,0),MATCH(C$3,'IN_RC-T'!$A$3:$AAA$3,0))</f>
        <v>0</v>
      </c>
      <c r="D349" s="210">
        <f>INDEX('IN_RC-T'!$A$3:$AAA$865,MATCH($A349,'IN_RC-T'!$A$3:$A$865,0),MATCH(D$3,'IN_RC-T'!$A$3:$AAA$3,0))</f>
        <v>0</v>
      </c>
      <c r="E349" s="210">
        <f>INDEX('IN_RC-T'!$A$3:$AAA$865,MATCH($A349,'IN_RC-T'!$A$3:$A$865,0),MATCH(E$3,'IN_RC-T'!$A$3:$AAA$3,0))</f>
        <v>0</v>
      </c>
    </row>
    <row r="350" spans="1:5" ht="12" outlineLevel="1" x14ac:dyDescent="0.25">
      <c r="A350" s="85" t="s">
        <v>3750</v>
      </c>
      <c r="B350" s="664" t="s">
        <v>3859</v>
      </c>
      <c r="C350" s="655">
        <v>0</v>
      </c>
      <c r="D350" s="655">
        <v>0</v>
      </c>
      <c r="E350" s="655">
        <v>0</v>
      </c>
    </row>
    <row r="351" spans="1:5" ht="12" outlineLevel="1" x14ac:dyDescent="0.25">
      <c r="A351" s="85" t="s">
        <v>3751</v>
      </c>
      <c r="B351" s="204" t="s">
        <v>3860</v>
      </c>
      <c r="C351" s="658">
        <f>C349-C350</f>
        <v>0</v>
      </c>
      <c r="D351" s="658">
        <f>D349-D350</f>
        <v>0</v>
      </c>
      <c r="E351" s="658">
        <f>E349-E350</f>
        <v>0</v>
      </c>
    </row>
    <row r="352" spans="1:5" ht="11.4" outlineLevel="1" x14ac:dyDescent="0.25">
      <c r="A352" s="85" t="s">
        <v>2935</v>
      </c>
      <c r="B352" s="209" t="s">
        <v>3861</v>
      </c>
      <c r="C352" s="210">
        <f>INDEX('IN_RC-T'!$A$3:$AAA$865,MATCH($A352,'IN_RC-T'!$A$3:$A$865,0),MATCH(C$3,'IN_RC-T'!$A$3:$AAA$3,0))</f>
        <v>0</v>
      </c>
      <c r="D352" s="210">
        <f>INDEX('IN_RC-T'!$A$3:$AAA$865,MATCH($A352,'IN_RC-T'!$A$3:$A$865,0),MATCH(D$3,'IN_RC-T'!$A$3:$AAA$3,0))</f>
        <v>0</v>
      </c>
      <c r="E352" s="210">
        <f>INDEX('IN_RC-T'!$A$3:$AAA$865,MATCH($A352,'IN_RC-T'!$A$3:$A$865,0),MATCH(E$3,'IN_RC-T'!$A$3:$AAA$3,0))</f>
        <v>0</v>
      </c>
    </row>
    <row r="353" spans="1:5" ht="11.4" outlineLevel="1" x14ac:dyDescent="0.25">
      <c r="A353" s="85" t="s">
        <v>3752</v>
      </c>
      <c r="B353" s="664" t="s">
        <v>3862</v>
      </c>
      <c r="C353" s="655">
        <v>0</v>
      </c>
      <c r="D353" s="655">
        <v>0</v>
      </c>
      <c r="E353" s="655">
        <v>0</v>
      </c>
    </row>
    <row r="354" spans="1:5" ht="11.4" outlineLevel="1" x14ac:dyDescent="0.25">
      <c r="A354" s="85" t="s">
        <v>3753</v>
      </c>
      <c r="B354" s="204" t="s">
        <v>3863</v>
      </c>
      <c r="C354" s="658">
        <f>C352-C353</f>
        <v>0</v>
      </c>
      <c r="D354" s="658">
        <f>D352-D353</f>
        <v>0</v>
      </c>
      <c r="E354" s="658">
        <f>E352-E353</f>
        <v>0</v>
      </c>
    </row>
    <row r="355" spans="1:5" ht="11.4" outlineLevel="1" x14ac:dyDescent="0.25">
      <c r="A355" s="85" t="s">
        <v>6797</v>
      </c>
      <c r="B355" s="209" t="s">
        <v>3864</v>
      </c>
      <c r="C355" s="210">
        <f>INDEX('IN_RC-T'!$A$3:$AAA$865,MATCH($A355,'IN_RC-T'!$A$3:$A$865,0),MATCH(C$3,'IN_RC-T'!$A$3:$AAA$3,0))</f>
        <v>315566.36782700795</v>
      </c>
      <c r="D355" s="210">
        <f>INDEX('IN_RC-T'!$A$3:$AAA$865,MATCH($A355,'IN_RC-T'!$A$3:$A$865,0),MATCH(D$3,'IN_RC-T'!$A$3:$AAA$3,0))</f>
        <v>0</v>
      </c>
      <c r="E355" s="210">
        <f>INDEX('IN_RC-T'!$A$3:$AAA$865,MATCH($A355,'IN_RC-T'!$A$3:$A$865,0),MATCH(E$3,'IN_RC-T'!$A$3:$AAA$3,0))</f>
        <v>0</v>
      </c>
    </row>
    <row r="356" spans="1:5" ht="11.4" outlineLevel="1" x14ac:dyDescent="0.25">
      <c r="A356" s="85" t="s">
        <v>6958</v>
      </c>
      <c r="B356" s="657" t="s">
        <v>3865</v>
      </c>
      <c r="C356" s="659">
        <v>0</v>
      </c>
      <c r="D356" s="659">
        <v>0</v>
      </c>
      <c r="E356" s="659">
        <v>0</v>
      </c>
    </row>
    <row r="357" spans="1:5" ht="11.4" outlineLevel="1" x14ac:dyDescent="0.25">
      <c r="A357" s="85" t="s">
        <v>6939</v>
      </c>
      <c r="B357" s="204" t="s">
        <v>3866</v>
      </c>
      <c r="C357" s="658">
        <f>C355-C356</f>
        <v>315566.36782700795</v>
      </c>
      <c r="D357" s="658">
        <f>D355-D356</f>
        <v>0</v>
      </c>
      <c r="E357" s="658">
        <f>E355-E356</f>
        <v>0</v>
      </c>
    </row>
    <row r="358" spans="1:5" ht="11.4" outlineLevel="1" x14ac:dyDescent="0.25">
      <c r="A358" s="85" t="s">
        <v>3035</v>
      </c>
      <c r="B358" s="209" t="s">
        <v>3091</v>
      </c>
      <c r="C358" s="210">
        <f>INDEX('IN_RC-T'!$A$3:$AAA$865,MATCH($A358,'IN_RC-T'!$A$3:$A$865,0),MATCH(C$3,'IN_RC-T'!$A$3:$AAA$3,0))</f>
        <v>831700.8566887714</v>
      </c>
      <c r="D358" s="210">
        <f>INDEX('IN_RC-T'!$A$3:$AAA$865,MATCH($A358,'IN_RC-T'!$A$3:$A$865,0),MATCH(D$3,'IN_RC-T'!$A$3:$AAA$3,0))</f>
        <v>0</v>
      </c>
      <c r="E358" s="210">
        <f>INDEX('IN_RC-T'!$A$3:$AAA$865,MATCH($A358,'IN_RC-T'!$A$3:$A$865,0),MATCH(E$3,'IN_RC-T'!$A$3:$AAA$3,0))</f>
        <v>0</v>
      </c>
    </row>
    <row r="359" spans="1:5" ht="11.4" outlineLevel="1" x14ac:dyDescent="0.25">
      <c r="A359" s="85" t="s">
        <v>3298</v>
      </c>
      <c r="B359" s="660" t="s">
        <v>3867</v>
      </c>
      <c r="C359" s="661">
        <f>C323+C326+C329+C332+C335+C338+C341+C344+C347+C350+C353+C356</f>
        <v>0</v>
      </c>
      <c r="D359" s="661">
        <f>D323+D326+D329+D332+D335+D338+D341+D344+D347+D350+D353+D356</f>
        <v>0</v>
      </c>
      <c r="E359" s="661">
        <f>E323+E326+E329+E332+E335+E338+E341+E344+E347+E350+E353+E356</f>
        <v>0</v>
      </c>
    </row>
    <row r="360" spans="1:5" ht="11.4" outlineLevel="1" x14ac:dyDescent="0.25">
      <c r="A360" s="85" t="s">
        <v>3299</v>
      </c>
      <c r="B360" s="204" t="s">
        <v>3868</v>
      </c>
      <c r="C360" s="658">
        <f>C358-C359</f>
        <v>831700.8566887714</v>
      </c>
      <c r="D360" s="658">
        <f>D358-D359</f>
        <v>0</v>
      </c>
      <c r="E360" s="658">
        <f>E358-E359</f>
        <v>0</v>
      </c>
    </row>
    <row r="361" spans="1:5" outlineLevel="1" x14ac:dyDescent="0.2">
      <c r="B361" s="137"/>
      <c r="C361" s="137"/>
      <c r="D361" s="137"/>
      <c r="E361" s="137"/>
    </row>
    <row r="362" spans="1:5" ht="11.4" outlineLevel="1" x14ac:dyDescent="0.25">
      <c r="A362" s="85" t="s">
        <v>2402</v>
      </c>
      <c r="B362" s="209" t="s">
        <v>3869</v>
      </c>
      <c r="C362" s="210">
        <f>INDEX('IN_RC-T'!$A$3:$AAA$865,MATCH($A362,'IN_RC-T'!$A$3:$A$865,0),MATCH(C$3,'IN_RC-T'!$A$3:$AAA$3,0))</f>
        <v>0</v>
      </c>
      <c r="D362" s="210">
        <f>INDEX('IN_RC-T'!$A$3:$AAA$865,MATCH($A362,'IN_RC-T'!$A$3:$A$865,0),MATCH(D$3,'IN_RC-T'!$A$3:$AAA$3,0))</f>
        <v>0</v>
      </c>
      <c r="E362" s="210">
        <f>INDEX('IN_RC-T'!$A$3:$AAA$865,MATCH($A362,'IN_RC-T'!$A$3:$A$865,0),MATCH(E$3,'IN_RC-T'!$A$3:$AAA$3,0))</f>
        <v>0</v>
      </c>
    </row>
    <row r="363" spans="1:5" ht="11.4" outlineLevel="1" x14ac:dyDescent="0.25">
      <c r="A363" s="85" t="s">
        <v>3754</v>
      </c>
      <c r="B363" s="657" t="s">
        <v>3870</v>
      </c>
      <c r="C363" s="659">
        <v>0</v>
      </c>
      <c r="D363" s="659">
        <v>0</v>
      </c>
      <c r="E363" s="659">
        <v>0</v>
      </c>
    </row>
    <row r="364" spans="1:5" ht="11.4" outlineLevel="1" x14ac:dyDescent="0.25">
      <c r="A364" s="85" t="s">
        <v>3755</v>
      </c>
      <c r="B364" s="204" t="s">
        <v>3871</v>
      </c>
      <c r="C364" s="658">
        <f>C362-C363</f>
        <v>0</v>
      </c>
      <c r="D364" s="658">
        <f>D362-D363</f>
        <v>0</v>
      </c>
      <c r="E364" s="658">
        <f>E362-E363</f>
        <v>0</v>
      </c>
    </row>
    <row r="365" spans="1:5" ht="11.4" outlineLevel="1" x14ac:dyDescent="0.25">
      <c r="A365" s="85" t="s">
        <v>2470</v>
      </c>
      <c r="B365" s="209" t="s">
        <v>3872</v>
      </c>
      <c r="C365" s="210">
        <f>INDEX('IN_RC-T'!$A$3:$AAA$865,MATCH($A365,'IN_RC-T'!$A$3:$A$865,0),MATCH(C$3,'IN_RC-T'!$A$3:$AAA$3,0))</f>
        <v>0</v>
      </c>
      <c r="D365" s="210">
        <f>INDEX('IN_RC-T'!$A$3:$AAA$865,MATCH($A365,'IN_RC-T'!$A$3:$A$865,0),MATCH(D$3,'IN_RC-T'!$A$3:$AAA$3,0))</f>
        <v>0</v>
      </c>
      <c r="E365" s="210">
        <f>INDEX('IN_RC-T'!$A$3:$AAA$865,MATCH($A365,'IN_RC-T'!$A$3:$A$865,0),MATCH(E$3,'IN_RC-T'!$A$3:$AAA$3,0))</f>
        <v>0</v>
      </c>
    </row>
    <row r="366" spans="1:5" ht="11.4" outlineLevel="1" x14ac:dyDescent="0.25">
      <c r="A366" s="85" t="s">
        <v>3756</v>
      </c>
      <c r="B366" s="657" t="s">
        <v>3873</v>
      </c>
      <c r="C366" s="659">
        <v>0</v>
      </c>
      <c r="D366" s="659">
        <v>0</v>
      </c>
      <c r="E366" s="659">
        <v>0</v>
      </c>
    </row>
    <row r="367" spans="1:5" ht="11.4" outlineLevel="1" x14ac:dyDescent="0.25">
      <c r="A367" s="85" t="s">
        <v>3757</v>
      </c>
      <c r="B367" s="204" t="s">
        <v>3874</v>
      </c>
      <c r="C367" s="658">
        <f>C365-C366</f>
        <v>0</v>
      </c>
      <c r="D367" s="658">
        <f>D365-D366</f>
        <v>0</v>
      </c>
      <c r="E367" s="658">
        <f>E365-E366</f>
        <v>0</v>
      </c>
    </row>
    <row r="368" spans="1:5" ht="12" outlineLevel="1" x14ac:dyDescent="0.25">
      <c r="A368" s="85" t="s">
        <v>1851</v>
      </c>
      <c r="B368" s="209" t="s">
        <v>3875</v>
      </c>
      <c r="C368" s="210">
        <f>INDEX('IN_RC-T'!$A$3:$AAA$865,MATCH($A368,'IN_RC-T'!$A$3:$A$865,0),MATCH(C$3,'IN_RC-T'!$A$3:$AAA$3,0))</f>
        <v>0</v>
      </c>
      <c r="D368" s="210">
        <f>INDEX('IN_RC-T'!$A$3:$AAA$865,MATCH($A368,'IN_RC-T'!$A$3:$A$865,0),MATCH(D$3,'IN_RC-T'!$A$3:$AAA$3,0))</f>
        <v>0</v>
      </c>
      <c r="E368" s="210">
        <f>INDEX('IN_RC-T'!$A$3:$AAA$865,MATCH($A368,'IN_RC-T'!$A$3:$A$865,0),MATCH(E$3,'IN_RC-T'!$A$3:$AAA$3,0))</f>
        <v>0</v>
      </c>
    </row>
    <row r="369" spans="1:5" ht="12" outlineLevel="1" x14ac:dyDescent="0.25">
      <c r="A369" s="85" t="s">
        <v>3300</v>
      </c>
      <c r="B369" s="657" t="s">
        <v>3876</v>
      </c>
      <c r="C369" s="659">
        <v>0</v>
      </c>
      <c r="D369" s="659">
        <v>0</v>
      </c>
      <c r="E369" s="659">
        <v>0</v>
      </c>
    </row>
    <row r="370" spans="1:5" ht="12" outlineLevel="1" x14ac:dyDescent="0.25">
      <c r="A370" s="85" t="s">
        <v>3301</v>
      </c>
      <c r="B370" s="204" t="s">
        <v>3877</v>
      </c>
      <c r="C370" s="658">
        <f>C368-C369</f>
        <v>0</v>
      </c>
      <c r="D370" s="658">
        <f>D368-D369</f>
        <v>0</v>
      </c>
      <c r="E370" s="658">
        <f>E368-E369</f>
        <v>0</v>
      </c>
    </row>
    <row r="371" spans="1:5" ht="12" outlineLevel="1" x14ac:dyDescent="0.25">
      <c r="A371" s="85" t="s">
        <v>1777</v>
      </c>
      <c r="B371" s="209" t="s">
        <v>3878</v>
      </c>
      <c r="C371" s="210">
        <f>INDEX('IN_RC-T'!$A$3:$AAA$865,MATCH($A371,'IN_RC-T'!$A$3:$A$865,0),MATCH(C$3,'IN_RC-T'!$A$3:$AAA$3,0))</f>
        <v>0</v>
      </c>
      <c r="D371" s="210">
        <f>INDEX('IN_RC-T'!$A$3:$AAA$865,MATCH($A371,'IN_RC-T'!$A$3:$A$865,0),MATCH(D$3,'IN_RC-T'!$A$3:$AAA$3,0))</f>
        <v>0</v>
      </c>
      <c r="E371" s="210">
        <f>INDEX('IN_RC-T'!$A$3:$AAA$865,MATCH($A371,'IN_RC-T'!$A$3:$A$865,0),MATCH(E$3,'IN_RC-T'!$A$3:$AAA$3,0))</f>
        <v>0</v>
      </c>
    </row>
    <row r="372" spans="1:5" ht="12" outlineLevel="1" x14ac:dyDescent="0.25">
      <c r="A372" s="85" t="s">
        <v>3758</v>
      </c>
      <c r="B372" s="664" t="s">
        <v>3879</v>
      </c>
      <c r="C372" s="655">
        <v>0</v>
      </c>
      <c r="D372" s="655">
        <v>0</v>
      </c>
      <c r="E372" s="655">
        <v>0</v>
      </c>
    </row>
    <row r="373" spans="1:5" ht="12" outlineLevel="1" x14ac:dyDescent="0.25">
      <c r="A373" s="85" t="s">
        <v>3759</v>
      </c>
      <c r="B373" s="204" t="s">
        <v>3880</v>
      </c>
      <c r="C373" s="658">
        <f>C371-C372</f>
        <v>0</v>
      </c>
      <c r="D373" s="658">
        <f>D371-D372</f>
        <v>0</v>
      </c>
      <c r="E373" s="658">
        <f>E371-E372</f>
        <v>0</v>
      </c>
    </row>
    <row r="374" spans="1:5" ht="12" outlineLevel="1" x14ac:dyDescent="0.25">
      <c r="A374" s="85" t="s">
        <v>2598</v>
      </c>
      <c r="B374" s="209" t="s">
        <v>3881</v>
      </c>
      <c r="C374" s="210">
        <f>INDEX('IN_RC-T'!$A$3:$AAA$865,MATCH($A374,'IN_RC-T'!$A$3:$A$865,0),MATCH(C$3,'IN_RC-T'!$A$3:$AAA$3,0))</f>
        <v>0</v>
      </c>
      <c r="D374" s="210">
        <f>INDEX('IN_RC-T'!$A$3:$AAA$865,MATCH($A374,'IN_RC-T'!$A$3:$A$865,0),MATCH(D$3,'IN_RC-T'!$A$3:$AAA$3,0))</f>
        <v>0</v>
      </c>
      <c r="E374" s="210">
        <f>INDEX('IN_RC-T'!$A$3:$AAA$865,MATCH($A374,'IN_RC-T'!$A$3:$A$865,0),MATCH(E$3,'IN_RC-T'!$A$3:$AAA$3,0))</f>
        <v>0</v>
      </c>
    </row>
    <row r="375" spans="1:5" ht="12" outlineLevel="1" x14ac:dyDescent="0.25">
      <c r="A375" s="85" t="s">
        <v>3760</v>
      </c>
      <c r="B375" s="664" t="s">
        <v>3882</v>
      </c>
      <c r="C375" s="655">
        <v>0</v>
      </c>
      <c r="D375" s="655">
        <v>0</v>
      </c>
      <c r="E375" s="655">
        <v>0</v>
      </c>
    </row>
    <row r="376" spans="1:5" ht="12" outlineLevel="1" x14ac:dyDescent="0.25">
      <c r="A376" s="85" t="s">
        <v>3761</v>
      </c>
      <c r="B376" s="204" t="s">
        <v>3883</v>
      </c>
      <c r="C376" s="658">
        <f>C374-C375</f>
        <v>0</v>
      </c>
      <c r="D376" s="658">
        <f>D374-D375</f>
        <v>0</v>
      </c>
      <c r="E376" s="658">
        <f>E374-E375</f>
        <v>0</v>
      </c>
    </row>
    <row r="377" spans="1:5" ht="12" outlineLevel="1" x14ac:dyDescent="0.25">
      <c r="A377" s="85" t="s">
        <v>2006</v>
      </c>
      <c r="B377" s="209" t="s">
        <v>3719</v>
      </c>
      <c r="C377" s="210">
        <f>INDEX('IN_RC-T'!$A$3:$AAA$865,MATCH($A377,'IN_RC-T'!$A$3:$A$865,0),MATCH(C$3,'IN_RC-T'!$A$3:$AAA$3,0))</f>
        <v>0</v>
      </c>
      <c r="D377" s="210">
        <f>INDEX('IN_RC-T'!$A$3:$AAA$865,MATCH($A377,'IN_RC-T'!$A$3:$A$865,0),MATCH(D$3,'IN_RC-T'!$A$3:$AAA$3,0))</f>
        <v>0</v>
      </c>
      <c r="E377" s="210">
        <f>INDEX('IN_RC-T'!$A$3:$AAA$865,MATCH($A377,'IN_RC-T'!$A$3:$A$865,0),MATCH(E$3,'IN_RC-T'!$A$3:$AAA$3,0))</f>
        <v>0</v>
      </c>
    </row>
    <row r="378" spans="1:5" ht="12" outlineLevel="1" x14ac:dyDescent="0.25">
      <c r="A378" s="85" t="s">
        <v>3762</v>
      </c>
      <c r="B378" s="664" t="s">
        <v>3661</v>
      </c>
      <c r="C378" s="655">
        <v>0</v>
      </c>
      <c r="D378" s="655">
        <v>0</v>
      </c>
      <c r="E378" s="655">
        <v>0</v>
      </c>
    </row>
    <row r="379" spans="1:5" ht="12" outlineLevel="1" x14ac:dyDescent="0.25">
      <c r="A379" s="85" t="s">
        <v>3763</v>
      </c>
      <c r="B379" s="204" t="s">
        <v>3690</v>
      </c>
      <c r="C379" s="658">
        <f>C377-C378</f>
        <v>0</v>
      </c>
      <c r="D379" s="658">
        <f>D377-D378</f>
        <v>0</v>
      </c>
      <c r="E379" s="658">
        <f>E377-E378</f>
        <v>0</v>
      </c>
    </row>
    <row r="380" spans="1:5" ht="11.4" outlineLevel="1" x14ac:dyDescent="0.25">
      <c r="A380" s="85" t="s">
        <v>1655</v>
      </c>
      <c r="B380" s="209" t="s">
        <v>3884</v>
      </c>
      <c r="C380" s="210">
        <f>INDEX('IN_RC-T'!$A$3:$AAA$865,MATCH($A380,'IN_RC-T'!$A$3:$A$865,0),MATCH(C$3,'IN_RC-T'!$A$3:$AAA$3,0))</f>
        <v>0</v>
      </c>
      <c r="D380" s="210">
        <f>INDEX('IN_RC-T'!$A$3:$AAA$865,MATCH($A380,'IN_RC-T'!$A$3:$A$865,0),MATCH(D$3,'IN_RC-T'!$A$3:$AAA$3,0))</f>
        <v>0</v>
      </c>
      <c r="E380" s="210">
        <f>INDEX('IN_RC-T'!$A$3:$AAA$865,MATCH($A380,'IN_RC-T'!$A$3:$A$865,0),MATCH(E$3,'IN_RC-T'!$A$3:$AAA$3,0))</f>
        <v>0</v>
      </c>
    </row>
    <row r="381" spans="1:5" ht="11.4" outlineLevel="1" x14ac:dyDescent="0.25">
      <c r="A381" s="85" t="s">
        <v>3302</v>
      </c>
      <c r="B381" s="657" t="s">
        <v>3885</v>
      </c>
      <c r="C381" s="659">
        <v>0</v>
      </c>
      <c r="D381" s="659">
        <v>0</v>
      </c>
      <c r="E381" s="659">
        <v>0</v>
      </c>
    </row>
    <row r="382" spans="1:5" ht="11.4" outlineLevel="1" x14ac:dyDescent="0.25">
      <c r="A382" s="85" t="s">
        <v>3303</v>
      </c>
      <c r="B382" s="204" t="s">
        <v>3886</v>
      </c>
      <c r="C382" s="658">
        <f>C380-C381</f>
        <v>0</v>
      </c>
      <c r="D382" s="658">
        <f>D380-D381</f>
        <v>0</v>
      </c>
      <c r="E382" s="658">
        <f>E380-E381</f>
        <v>0</v>
      </c>
    </row>
    <row r="383" spans="1:5" ht="12" outlineLevel="1" x14ac:dyDescent="0.25">
      <c r="A383" s="85" t="s">
        <v>2723</v>
      </c>
      <c r="B383" s="209" t="s">
        <v>3887</v>
      </c>
      <c r="C383" s="210">
        <f>INDEX('IN_RC-T'!$A$3:$AAA$865,MATCH($A383,'IN_RC-T'!$A$3:$A$865,0),MATCH(C$3,'IN_RC-T'!$A$3:$AAA$3,0))</f>
        <v>0</v>
      </c>
      <c r="D383" s="210">
        <f>INDEX('IN_RC-T'!$A$3:$AAA$865,MATCH($A383,'IN_RC-T'!$A$3:$A$865,0),MATCH(D$3,'IN_RC-T'!$A$3:$AAA$3,0))</f>
        <v>0</v>
      </c>
      <c r="E383" s="210">
        <f>INDEX('IN_RC-T'!$A$3:$AAA$865,MATCH($A383,'IN_RC-T'!$A$3:$A$865,0),MATCH(E$3,'IN_RC-T'!$A$3:$AAA$3,0))</f>
        <v>0</v>
      </c>
    </row>
    <row r="384" spans="1:5" ht="12" outlineLevel="1" x14ac:dyDescent="0.25">
      <c r="A384" s="85" t="s">
        <v>3304</v>
      </c>
      <c r="B384" s="657" t="s">
        <v>3888</v>
      </c>
      <c r="C384" s="659">
        <v>0</v>
      </c>
      <c r="D384" s="659">
        <v>0</v>
      </c>
      <c r="E384" s="659">
        <v>0</v>
      </c>
    </row>
    <row r="385" spans="1:5" ht="12" outlineLevel="1" x14ac:dyDescent="0.25">
      <c r="A385" s="85" t="s">
        <v>3305</v>
      </c>
      <c r="B385" s="204" t="s">
        <v>3889</v>
      </c>
      <c r="C385" s="658">
        <f>C383-C384</f>
        <v>0</v>
      </c>
      <c r="D385" s="658">
        <f>D383-D384</f>
        <v>0</v>
      </c>
      <c r="E385" s="658">
        <f>E383-E384</f>
        <v>0</v>
      </c>
    </row>
    <row r="386" spans="1:5" ht="11.4" outlineLevel="1" x14ac:dyDescent="0.25">
      <c r="A386" s="85" t="s">
        <v>2796</v>
      </c>
      <c r="B386" s="209" t="s">
        <v>3890</v>
      </c>
      <c r="C386" s="210">
        <f>INDEX('IN_RC-T'!$A$3:$AAA$865,MATCH($A386,'IN_RC-T'!$A$3:$A$865,0),MATCH(C$3,'IN_RC-T'!$A$3:$AAA$3,0))</f>
        <v>0</v>
      </c>
      <c r="D386" s="210">
        <f>INDEX('IN_RC-T'!$A$3:$AAA$865,MATCH($A386,'IN_RC-T'!$A$3:$A$865,0),MATCH(D$3,'IN_RC-T'!$A$3:$AAA$3,0))</f>
        <v>0</v>
      </c>
      <c r="E386" s="210">
        <f>INDEX('IN_RC-T'!$A$3:$AAA$865,MATCH($A386,'IN_RC-T'!$A$3:$A$865,0),MATCH(E$3,'IN_RC-T'!$A$3:$AAA$3,0))</f>
        <v>0</v>
      </c>
    </row>
    <row r="387" spans="1:5" ht="12" outlineLevel="1" x14ac:dyDescent="0.25">
      <c r="A387" s="85" t="s">
        <v>3764</v>
      </c>
      <c r="B387" s="657" t="s">
        <v>3891</v>
      </c>
      <c r="C387" s="659">
        <v>0</v>
      </c>
      <c r="D387" s="659">
        <v>0</v>
      </c>
      <c r="E387" s="659">
        <v>0</v>
      </c>
    </row>
    <row r="388" spans="1:5" ht="12" outlineLevel="1" x14ac:dyDescent="0.25">
      <c r="A388" s="85" t="s">
        <v>3765</v>
      </c>
      <c r="B388" s="204" t="s">
        <v>3892</v>
      </c>
      <c r="C388" s="658">
        <f>C386-C387</f>
        <v>0</v>
      </c>
      <c r="D388" s="658">
        <f>D386-D387</f>
        <v>0</v>
      </c>
      <c r="E388" s="658">
        <f>E386-E387</f>
        <v>0</v>
      </c>
    </row>
    <row r="389" spans="1:5" ht="11.4" outlineLevel="1" x14ac:dyDescent="0.25">
      <c r="A389" s="85" t="s">
        <v>2869</v>
      </c>
      <c r="B389" s="209" t="s">
        <v>3893</v>
      </c>
      <c r="C389" s="210">
        <f>INDEX('IN_RC-T'!$A$3:$AAA$865,MATCH($A389,'IN_RC-T'!$A$3:$A$865,0),MATCH(C$3,'IN_RC-T'!$A$3:$AAA$3,0))</f>
        <v>0</v>
      </c>
      <c r="D389" s="210">
        <f>INDEX('IN_RC-T'!$A$3:$AAA$865,MATCH($A389,'IN_RC-T'!$A$3:$A$865,0),MATCH(D$3,'IN_RC-T'!$A$3:$AAA$3,0))</f>
        <v>0</v>
      </c>
      <c r="E389" s="210">
        <f>INDEX('IN_RC-T'!$A$3:$AAA$865,MATCH($A389,'IN_RC-T'!$A$3:$A$865,0),MATCH(E$3,'IN_RC-T'!$A$3:$AAA$3,0))</f>
        <v>0</v>
      </c>
    </row>
    <row r="390" spans="1:5" ht="12" outlineLevel="1" x14ac:dyDescent="0.25">
      <c r="A390" s="85" t="s">
        <v>3766</v>
      </c>
      <c r="B390" s="664" t="s">
        <v>3894</v>
      </c>
      <c r="C390" s="655">
        <v>0</v>
      </c>
      <c r="D390" s="655">
        <v>0</v>
      </c>
      <c r="E390" s="655">
        <v>0</v>
      </c>
    </row>
    <row r="391" spans="1:5" ht="12" outlineLevel="1" x14ac:dyDescent="0.25">
      <c r="A391" s="85" t="s">
        <v>3767</v>
      </c>
      <c r="B391" s="204" t="s">
        <v>3895</v>
      </c>
      <c r="C391" s="658">
        <f>C389-C390</f>
        <v>0</v>
      </c>
      <c r="D391" s="658">
        <f>D389-D390</f>
        <v>0</v>
      </c>
      <c r="E391" s="658">
        <f>E389-E390</f>
        <v>0</v>
      </c>
    </row>
    <row r="392" spans="1:5" ht="11.4" outlineLevel="1" x14ac:dyDescent="0.25">
      <c r="A392" s="85" t="s">
        <v>2936</v>
      </c>
      <c r="B392" s="209" t="s">
        <v>3896</v>
      </c>
      <c r="C392" s="210">
        <f>INDEX('IN_RC-T'!$A$3:$AAA$865,MATCH($A392,'IN_RC-T'!$A$3:$A$865,0),MATCH(C$3,'IN_RC-T'!$A$3:$AAA$3,0))</f>
        <v>0</v>
      </c>
      <c r="D392" s="210">
        <f>INDEX('IN_RC-T'!$A$3:$AAA$865,MATCH($A392,'IN_RC-T'!$A$3:$A$865,0),MATCH(D$3,'IN_RC-T'!$A$3:$AAA$3,0))</f>
        <v>0</v>
      </c>
      <c r="E392" s="210">
        <f>INDEX('IN_RC-T'!$A$3:$AAA$865,MATCH($A392,'IN_RC-T'!$A$3:$A$865,0),MATCH(E$3,'IN_RC-T'!$A$3:$AAA$3,0))</f>
        <v>0</v>
      </c>
    </row>
    <row r="393" spans="1:5" ht="11.4" outlineLevel="1" x14ac:dyDescent="0.25">
      <c r="A393" s="85" t="s">
        <v>3768</v>
      </c>
      <c r="B393" s="664" t="s">
        <v>3897</v>
      </c>
      <c r="C393" s="655">
        <v>0</v>
      </c>
      <c r="D393" s="655">
        <v>0</v>
      </c>
      <c r="E393" s="655">
        <v>0</v>
      </c>
    </row>
    <row r="394" spans="1:5" ht="11.4" outlineLevel="1" x14ac:dyDescent="0.25">
      <c r="A394" s="85" t="s">
        <v>3769</v>
      </c>
      <c r="B394" s="204" t="s">
        <v>3898</v>
      </c>
      <c r="C394" s="658">
        <f>C392-C393</f>
        <v>0</v>
      </c>
      <c r="D394" s="658">
        <f>D392-D393</f>
        <v>0</v>
      </c>
      <c r="E394" s="658">
        <f>E392-E393</f>
        <v>0</v>
      </c>
    </row>
    <row r="395" spans="1:5" ht="11.4" outlineLevel="1" x14ac:dyDescent="0.25">
      <c r="A395" s="85" t="s">
        <v>6798</v>
      </c>
      <c r="B395" s="209" t="s">
        <v>3899</v>
      </c>
      <c r="C395" s="210">
        <f>INDEX('IN_RC-T'!$A$3:$AAA$865,MATCH($A395,'IN_RC-T'!$A$3:$A$865,0),MATCH(C$3,'IN_RC-T'!$A$3:$AAA$3,0))</f>
        <v>0</v>
      </c>
      <c r="D395" s="210">
        <f>INDEX('IN_RC-T'!$A$3:$AAA$865,MATCH($A395,'IN_RC-T'!$A$3:$A$865,0),MATCH(D$3,'IN_RC-T'!$A$3:$AAA$3,0))</f>
        <v>0</v>
      </c>
      <c r="E395" s="210">
        <f>INDEX('IN_RC-T'!$A$3:$AAA$865,MATCH($A395,'IN_RC-T'!$A$3:$A$865,0),MATCH(E$3,'IN_RC-T'!$A$3:$AAA$3,0))</f>
        <v>0</v>
      </c>
    </row>
    <row r="396" spans="1:5" ht="11.4" outlineLevel="1" x14ac:dyDescent="0.25">
      <c r="A396" s="85" t="s">
        <v>6959</v>
      </c>
      <c r="B396" s="657" t="s">
        <v>3900</v>
      </c>
      <c r="C396" s="659">
        <v>0</v>
      </c>
      <c r="D396" s="659">
        <v>0</v>
      </c>
      <c r="E396" s="659">
        <v>0</v>
      </c>
    </row>
    <row r="397" spans="1:5" ht="11.4" outlineLevel="1" x14ac:dyDescent="0.25">
      <c r="A397" s="85" t="s">
        <v>6947</v>
      </c>
      <c r="B397" s="204" t="s">
        <v>3901</v>
      </c>
      <c r="C397" s="658">
        <f>C395-C396</f>
        <v>0</v>
      </c>
      <c r="D397" s="658">
        <f>D395-D396</f>
        <v>0</v>
      </c>
      <c r="E397" s="658">
        <f>E395-E396</f>
        <v>0</v>
      </c>
    </row>
    <row r="398" spans="1:5" ht="11.4" outlineLevel="1" x14ac:dyDescent="0.25">
      <c r="A398" s="85" t="s">
        <v>3055</v>
      </c>
      <c r="B398" s="209" t="s">
        <v>3092</v>
      </c>
      <c r="C398" s="210">
        <f>INDEX('IN_RC-T'!$A$3:$AAA$865,MATCH($A398,'IN_RC-T'!$A$3:$A$865,0),MATCH(C$3,'IN_RC-T'!$A$3:$AAA$3,0))</f>
        <v>0</v>
      </c>
      <c r="D398" s="210">
        <f>INDEX('IN_RC-T'!$A$3:$AAA$865,MATCH($A398,'IN_RC-T'!$A$3:$A$865,0),MATCH(D$3,'IN_RC-T'!$A$3:$AAA$3,0))</f>
        <v>0</v>
      </c>
      <c r="E398" s="210">
        <f>INDEX('IN_RC-T'!$A$3:$AAA$865,MATCH($A398,'IN_RC-T'!$A$3:$A$865,0),MATCH(E$3,'IN_RC-T'!$A$3:$AAA$3,0))</f>
        <v>0</v>
      </c>
    </row>
    <row r="399" spans="1:5" ht="11.4" outlineLevel="1" x14ac:dyDescent="0.25">
      <c r="A399" s="85" t="s">
        <v>3306</v>
      </c>
      <c r="B399" s="660" t="s">
        <v>3902</v>
      </c>
      <c r="C399" s="661">
        <f>C363+C366+C369+C372+C375+C378+C381+C384+C387+C390+C393+C396</f>
        <v>0</v>
      </c>
      <c r="D399" s="661">
        <f>D363+D366+D369+D372+D375+D378+D381+D384+D387+D390+D393+D396</f>
        <v>0</v>
      </c>
      <c r="E399" s="661">
        <f>E363+E366+E369+E372+E375+E378+E381+E384+E387+E390+E393+E396</f>
        <v>0</v>
      </c>
    </row>
    <row r="400" spans="1:5" ht="11.4" outlineLevel="1" x14ac:dyDescent="0.25">
      <c r="A400" s="85" t="s">
        <v>3307</v>
      </c>
      <c r="B400" s="204" t="s">
        <v>3903</v>
      </c>
      <c r="C400" s="658">
        <f>C398-C399</f>
        <v>0</v>
      </c>
      <c r="D400" s="658">
        <f>D398-D399</f>
        <v>0</v>
      </c>
      <c r="E400" s="658">
        <f>E398-E399</f>
        <v>0</v>
      </c>
    </row>
    <row r="401" spans="1:5" outlineLevel="1" x14ac:dyDescent="0.2">
      <c r="B401" s="137"/>
      <c r="C401" s="137"/>
      <c r="D401" s="137"/>
      <c r="E401" s="137"/>
    </row>
    <row r="402" spans="1:5" ht="11.4" outlineLevel="1" x14ac:dyDescent="0.25">
      <c r="A402" s="85" t="s">
        <v>3308</v>
      </c>
      <c r="B402" s="209" t="s">
        <v>3904</v>
      </c>
      <c r="C402" s="210">
        <f>INDEX(PEF_COM_27!$A$3:$AAA$50,MATCH($A402,PEF_COM_27!$A$3:$A$50,0),MATCH(C$3,PEF_COM_27!$A$3:$AAA$3,0))</f>
        <v>0</v>
      </c>
      <c r="D402" s="210">
        <f>INDEX(PEF_COM_27!$A$3:$AAA$50,MATCH($A402,PEF_COM_27!$A$3:$A$50,0),MATCH(D$3,PEF_COM_27!$A$3:$AAA$3,0))</f>
        <v>0</v>
      </c>
      <c r="E402" s="210">
        <f>INDEX(PEF_COM_27!$A$3:$AAA$50,MATCH($A402,PEF_COM_27!$A$3:$A$50,0),MATCH(E$3,PEF_COM_27!$A$3:$AAA$3,0))</f>
        <v>0</v>
      </c>
    </row>
    <row r="403" spans="1:5" ht="11.4" outlineLevel="1" x14ac:dyDescent="0.25">
      <c r="A403" s="85" t="s">
        <v>3309</v>
      </c>
      <c r="B403" s="657" t="s">
        <v>3905</v>
      </c>
      <c r="C403" s="659">
        <v>0</v>
      </c>
      <c r="D403" s="659">
        <v>0</v>
      </c>
      <c r="E403" s="659">
        <v>0</v>
      </c>
    </row>
    <row r="404" spans="1:5" ht="11.4" outlineLevel="1" x14ac:dyDescent="0.25">
      <c r="A404" s="85" t="s">
        <v>3310</v>
      </c>
      <c r="B404" s="204" t="s">
        <v>3906</v>
      </c>
      <c r="C404" s="658">
        <f>C402-C403</f>
        <v>0</v>
      </c>
      <c r="D404" s="658">
        <f>D402-D403</f>
        <v>0</v>
      </c>
      <c r="E404" s="658">
        <f>E402-E403</f>
        <v>0</v>
      </c>
    </row>
    <row r="405" spans="1:5" outlineLevel="1" x14ac:dyDescent="0.2">
      <c r="B405" s="137"/>
      <c r="C405" s="137"/>
      <c r="D405" s="137"/>
      <c r="E405" s="137"/>
    </row>
    <row r="406" spans="1:5" ht="11.4" outlineLevel="1" x14ac:dyDescent="0.25">
      <c r="A406" s="85" t="s">
        <v>3649</v>
      </c>
      <c r="B406" s="86" t="s">
        <v>4982</v>
      </c>
      <c r="C406" s="87">
        <f t="shared" ref="C406" si="4">C295+C302+C309+C316+C359</f>
        <v>0</v>
      </c>
      <c r="D406" s="87">
        <f t="shared" ref="D406:E406" si="5">D295+D302+D309+D316+D359</f>
        <v>0</v>
      </c>
      <c r="E406" s="87">
        <f t="shared" si="5"/>
        <v>0</v>
      </c>
    </row>
    <row r="407" spans="1:5" ht="11.4" outlineLevel="1" x14ac:dyDescent="0.25">
      <c r="A407" s="85" t="s">
        <v>3650</v>
      </c>
      <c r="B407" s="86" t="s">
        <v>4983</v>
      </c>
      <c r="C407" s="87">
        <f>C298+C305+C312+C319+C399+C403</f>
        <v>0</v>
      </c>
      <c r="D407" s="87">
        <f>D298+D305+D312+D319+D399+D403</f>
        <v>0</v>
      </c>
      <c r="E407" s="87">
        <f>E298+E305+E312+E319+E399+E403</f>
        <v>0</v>
      </c>
    </row>
    <row r="408" spans="1:5" ht="11.4" outlineLevel="1" x14ac:dyDescent="0.25">
      <c r="A408" s="85" t="s">
        <v>3651</v>
      </c>
      <c r="B408" s="56" t="s">
        <v>4984</v>
      </c>
      <c r="C408" s="81">
        <f>C406+C407</f>
        <v>0</v>
      </c>
      <c r="D408" s="81">
        <f>D406+D407</f>
        <v>0</v>
      </c>
      <c r="E408" s="81">
        <f>E406+E407</f>
        <v>0</v>
      </c>
    </row>
    <row r="409" spans="1:5" outlineLevel="1" x14ac:dyDescent="0.2">
      <c r="B409" s="137"/>
      <c r="C409" s="137"/>
      <c r="D409" s="137"/>
      <c r="E409" s="137"/>
    </row>
    <row r="410" spans="1:5" ht="11.4" outlineLevel="1" x14ac:dyDescent="0.25">
      <c r="A410" s="85" t="s">
        <v>3311</v>
      </c>
      <c r="B410" s="209" t="s">
        <v>3907</v>
      </c>
      <c r="C410" s="210">
        <f>INDEX(PEF_GEST_27!$A$3:$AAA$50,MATCH($A410,PEF_GEST_27!$A$3:$A$50,0),MATCH(C$3,PEF_GEST_27!$A$3:$AAA$3,0))</f>
        <v>2380990.7114399998</v>
      </c>
      <c r="D410" s="210">
        <f>INDEX(PEF_GEST_27!$A$3:$AAA$50,MATCH($A410,PEF_GEST_27!$A$3:$A$50,0),MATCH(D$3,PEF_GEST_27!$A$3:$AAA$3,0))</f>
        <v>0</v>
      </c>
      <c r="E410" s="210">
        <f>INDEX(PEF_GEST_27!$A$3:$AAA$50,MATCH($A410,PEF_GEST_27!$A$3:$A$50,0),MATCH(E$3,PEF_GEST_27!$A$3:$AAA$3,0))</f>
        <v>52792.447399999997</v>
      </c>
    </row>
    <row r="411" spans="1:5" ht="11.4" outlineLevel="1" x14ac:dyDescent="0.25">
      <c r="A411" s="85" t="s">
        <v>3312</v>
      </c>
      <c r="B411" s="657" t="s">
        <v>3908</v>
      </c>
      <c r="C411" s="659">
        <v>0</v>
      </c>
      <c r="D411" s="659">
        <v>0</v>
      </c>
      <c r="E411" s="659">
        <v>0</v>
      </c>
    </row>
    <row r="412" spans="1:5" ht="11.4" outlineLevel="1" x14ac:dyDescent="0.25">
      <c r="A412" s="85" t="s">
        <v>3313</v>
      </c>
      <c r="B412" s="204" t="s">
        <v>3909</v>
      </c>
      <c r="C412" s="658">
        <f>C410-C411</f>
        <v>2380990.7114399998</v>
      </c>
      <c r="D412" s="658">
        <f>D410-D411</f>
        <v>0</v>
      </c>
      <c r="E412" s="658">
        <f>E410-E411</f>
        <v>52792.447399999997</v>
      </c>
    </row>
    <row r="413" spans="1:5" ht="11.4" outlineLevel="1" x14ac:dyDescent="0.25">
      <c r="A413" s="85" t="s">
        <v>3314</v>
      </c>
      <c r="B413" s="209" t="s">
        <v>3910</v>
      </c>
      <c r="C413" s="210">
        <f>INDEX(PEF_COM_27!$A$3:$AAA$50,MATCH($A413,PEF_COM_27!$A$3:$A$50,0),MATCH(C$3,PEF_COM_27!$A$3:$AAA$3,0))</f>
        <v>0</v>
      </c>
      <c r="D413" s="210">
        <f>INDEX(PEF_COM_27!$A$3:$AAA$50,MATCH($A413,PEF_COM_27!$A$3:$A$50,0),MATCH(D$3,PEF_COM_27!$A$3:$AAA$3,0))</f>
        <v>0</v>
      </c>
      <c r="E413" s="210">
        <f>INDEX(PEF_COM_27!$A$3:$AAA$50,MATCH($A413,PEF_COM_27!$A$3:$A$50,0),MATCH(E$3,PEF_COM_27!$A$3:$AAA$3,0))</f>
        <v>0</v>
      </c>
    </row>
    <row r="414" spans="1:5" ht="11.4" outlineLevel="1" x14ac:dyDescent="0.25">
      <c r="A414" s="85" t="s">
        <v>3315</v>
      </c>
      <c r="B414" s="657" t="s">
        <v>3911</v>
      </c>
      <c r="C414" s="659">
        <v>0</v>
      </c>
      <c r="D414" s="659">
        <v>0</v>
      </c>
      <c r="E414" s="659">
        <v>0</v>
      </c>
    </row>
    <row r="415" spans="1:5" ht="11.4" outlineLevel="1" x14ac:dyDescent="0.25">
      <c r="A415" s="85" t="s">
        <v>3316</v>
      </c>
      <c r="B415" s="204" t="s">
        <v>3912</v>
      </c>
      <c r="C415" s="658">
        <f>C413-C414</f>
        <v>0</v>
      </c>
      <c r="D415" s="658">
        <f>D413-D414</f>
        <v>0</v>
      </c>
      <c r="E415" s="658">
        <f>E413-E414</f>
        <v>0</v>
      </c>
    </row>
    <row r="416" spans="1:5" outlineLevel="1" x14ac:dyDescent="0.2">
      <c r="B416" s="137"/>
      <c r="C416" s="662"/>
      <c r="D416" s="662"/>
      <c r="E416" s="662"/>
    </row>
    <row r="417" spans="1:5" ht="11.4" outlineLevel="1" x14ac:dyDescent="0.25">
      <c r="A417" s="85" t="s">
        <v>3317</v>
      </c>
      <c r="B417" s="209" t="s">
        <v>3913</v>
      </c>
      <c r="C417" s="210">
        <f>INDEX(PEF_GEST_27!$A$3:$AAA$50,MATCH($A417,PEF_GEST_27!$A$3:$A$50,0),MATCH(C$3,PEF_GEST_27!$A$3:$AAA$3,0))</f>
        <v>654540.42896000005</v>
      </c>
      <c r="D417" s="210">
        <f>INDEX(PEF_GEST_27!$A$3:$AAA$50,MATCH($A417,PEF_GEST_27!$A$3:$A$50,0),MATCH(D$3,PEF_GEST_27!$A$3:$AAA$3,0))</f>
        <v>0</v>
      </c>
      <c r="E417" s="210">
        <f>INDEX(PEF_GEST_27!$A$3:$AAA$50,MATCH($A417,PEF_GEST_27!$A$3:$A$50,0),MATCH(E$3,PEF_GEST_27!$A$3:$AAA$3,0))</f>
        <v>0</v>
      </c>
    </row>
    <row r="418" spans="1:5" ht="11.4" outlineLevel="1" x14ac:dyDescent="0.25">
      <c r="A418" s="85" t="s">
        <v>3318</v>
      </c>
      <c r="B418" s="657" t="s">
        <v>3914</v>
      </c>
      <c r="C418" s="659">
        <v>0</v>
      </c>
      <c r="D418" s="659">
        <v>0</v>
      </c>
      <c r="E418" s="659">
        <v>0</v>
      </c>
    </row>
    <row r="419" spans="1:5" ht="11.4" outlineLevel="1" x14ac:dyDescent="0.25">
      <c r="A419" s="85" t="s">
        <v>3319</v>
      </c>
      <c r="B419" s="204" t="s">
        <v>3915</v>
      </c>
      <c r="C419" s="658">
        <f>C417-C418</f>
        <v>654540.42896000005</v>
      </c>
      <c r="D419" s="658">
        <f>D417-D418</f>
        <v>0</v>
      </c>
      <c r="E419" s="658">
        <f>E417-E418</f>
        <v>0</v>
      </c>
    </row>
    <row r="420" spans="1:5" ht="11.4" outlineLevel="1" x14ac:dyDescent="0.25">
      <c r="A420" s="85" t="s">
        <v>3320</v>
      </c>
      <c r="B420" s="209" t="s">
        <v>3916</v>
      </c>
      <c r="C420" s="210">
        <f>INDEX(PEF_COM_27!$A$3:$AAA$50,MATCH($A420,PEF_COM_27!$A$3:$A$50,0),MATCH(C$3,PEF_COM_27!$A$3:$AAA$3,0))</f>
        <v>0</v>
      </c>
      <c r="D420" s="210">
        <f>INDEX(PEF_COM_27!$A$3:$AAA$50,MATCH($A420,PEF_COM_27!$A$3:$A$50,0),MATCH(D$3,PEF_COM_27!$A$3:$AAA$3,0))</f>
        <v>0</v>
      </c>
      <c r="E420" s="210">
        <f>INDEX(PEF_COM_27!$A$3:$AAA$50,MATCH($A420,PEF_COM_27!$A$3:$A$50,0),MATCH(E$3,PEF_COM_27!$A$3:$AAA$3,0))</f>
        <v>0</v>
      </c>
    </row>
    <row r="421" spans="1:5" ht="11.4" outlineLevel="1" x14ac:dyDescent="0.25">
      <c r="A421" s="85" t="s">
        <v>3321</v>
      </c>
      <c r="B421" s="657" t="s">
        <v>3917</v>
      </c>
      <c r="C421" s="659">
        <v>0</v>
      </c>
      <c r="D421" s="659">
        <v>0</v>
      </c>
      <c r="E421" s="659">
        <v>0</v>
      </c>
    </row>
    <row r="422" spans="1:5" ht="11.4" outlineLevel="1" x14ac:dyDescent="0.25">
      <c r="A422" s="85" t="s">
        <v>3322</v>
      </c>
      <c r="B422" s="204" t="s">
        <v>3918</v>
      </c>
      <c r="C422" s="658">
        <f>C420-C421</f>
        <v>0</v>
      </c>
      <c r="D422" s="658">
        <f>D420-D421</f>
        <v>0</v>
      </c>
      <c r="E422" s="658">
        <f>E420-E421</f>
        <v>0</v>
      </c>
    </row>
    <row r="423" spans="1:5" outlineLevel="1" x14ac:dyDescent="0.2">
      <c r="B423" s="137"/>
      <c r="C423" s="662"/>
      <c r="D423" s="662"/>
      <c r="E423" s="662"/>
    </row>
    <row r="424" spans="1:5" ht="11.4" outlineLevel="1" x14ac:dyDescent="0.25">
      <c r="A424" s="85" t="s">
        <v>3323</v>
      </c>
      <c r="B424" s="209" t="s">
        <v>3919</v>
      </c>
      <c r="C424" s="210">
        <f>INDEX(PEF_GEST_27!$A$3:$AAA$50,MATCH($A424,PEF_GEST_27!$A$3:$A$50,0),MATCH(C$3,PEF_GEST_27!$A$3:$AAA$3,0))</f>
        <v>1750717.3543199999</v>
      </c>
      <c r="D424" s="210">
        <f>INDEX(PEF_GEST_27!$A$3:$AAA$50,MATCH($A424,PEF_GEST_27!$A$3:$A$50,0),MATCH(D$3,PEF_GEST_27!$A$3:$AAA$3,0))</f>
        <v>52656.265596000005</v>
      </c>
      <c r="E424" s="210">
        <f>INDEX(PEF_GEST_27!$A$3:$AAA$50,MATCH($A424,PEF_GEST_27!$A$3:$A$50,0),MATCH(E$3,PEF_GEST_27!$A$3:$AAA$3,0))</f>
        <v>48576</v>
      </c>
    </row>
    <row r="425" spans="1:5" ht="11.4" outlineLevel="1" x14ac:dyDescent="0.25">
      <c r="A425" s="85" t="s">
        <v>3324</v>
      </c>
      <c r="B425" s="657" t="s">
        <v>3920</v>
      </c>
      <c r="C425" s="659">
        <v>0</v>
      </c>
      <c r="D425" s="659">
        <v>0</v>
      </c>
      <c r="E425" s="659">
        <v>0</v>
      </c>
    </row>
    <row r="426" spans="1:5" ht="11.4" outlineLevel="1" x14ac:dyDescent="0.25">
      <c r="A426" s="85" t="s">
        <v>3325</v>
      </c>
      <c r="B426" s="204" t="s">
        <v>3921</v>
      </c>
      <c r="C426" s="658">
        <f>C424-C425</f>
        <v>1750717.3543199999</v>
      </c>
      <c r="D426" s="658">
        <f>D424-D425</f>
        <v>52656.265596000005</v>
      </c>
      <c r="E426" s="658">
        <f>E424-E425</f>
        <v>48576</v>
      </c>
    </row>
    <row r="427" spans="1:5" ht="11.4" outlineLevel="1" x14ac:dyDescent="0.25">
      <c r="A427" s="85" t="s">
        <v>3326</v>
      </c>
      <c r="B427" s="209" t="s">
        <v>3922</v>
      </c>
      <c r="C427" s="210">
        <f>INDEX(PEF_COM_27!$A$3:$AAA$50,MATCH($A427,PEF_COM_27!$A$3:$A$50,0),MATCH(C$3,PEF_COM_27!$A$3:$AAA$3,0))</f>
        <v>0</v>
      </c>
      <c r="D427" s="210">
        <f>INDEX(PEF_COM_27!$A$3:$AAA$50,MATCH($A427,PEF_COM_27!$A$3:$A$50,0),MATCH(D$3,PEF_COM_27!$A$3:$AAA$3,0))</f>
        <v>0</v>
      </c>
      <c r="E427" s="210">
        <f>INDEX(PEF_COM_27!$A$3:$AAA$50,MATCH($A427,PEF_COM_27!$A$3:$A$50,0),MATCH(E$3,PEF_COM_27!$A$3:$AAA$3,0))</f>
        <v>0</v>
      </c>
    </row>
    <row r="428" spans="1:5" ht="11.4" outlineLevel="1" x14ac:dyDescent="0.25">
      <c r="A428" s="85" t="s">
        <v>3327</v>
      </c>
      <c r="B428" s="657" t="s">
        <v>3923</v>
      </c>
      <c r="C428" s="659">
        <v>0</v>
      </c>
      <c r="D428" s="659">
        <v>0</v>
      </c>
      <c r="E428" s="659">
        <v>0</v>
      </c>
    </row>
    <row r="429" spans="1:5" ht="11.4" outlineLevel="1" x14ac:dyDescent="0.25">
      <c r="A429" s="85" t="s">
        <v>3328</v>
      </c>
      <c r="B429" s="204" t="s">
        <v>3924</v>
      </c>
      <c r="C429" s="658">
        <f>C427-C428</f>
        <v>0</v>
      </c>
      <c r="D429" s="658">
        <f>D427-D428</f>
        <v>0</v>
      </c>
      <c r="E429" s="658">
        <f>E427-E428</f>
        <v>0</v>
      </c>
    </row>
    <row r="430" spans="1:5" outlineLevel="1" x14ac:dyDescent="0.2">
      <c r="B430" s="137"/>
      <c r="C430" s="662"/>
      <c r="D430" s="662"/>
      <c r="E430" s="662"/>
    </row>
    <row r="431" spans="1:5" ht="11.4" outlineLevel="1" x14ac:dyDescent="0.25">
      <c r="A431" s="85" t="s">
        <v>3329</v>
      </c>
      <c r="B431" s="209" t="s">
        <v>3925</v>
      </c>
      <c r="C431" s="210">
        <f>INDEX(PEF_GEST_27!$A$3:$AAA$50,MATCH($A431,PEF_GEST_27!$A$3:$A$50,0),MATCH(C$3,PEF_GEST_27!$A$3:$AAA$3,0))</f>
        <v>0</v>
      </c>
      <c r="D431" s="210">
        <f>INDEX(PEF_GEST_27!$A$3:$AAA$50,MATCH($A431,PEF_GEST_27!$A$3:$A$50,0),MATCH(D$3,PEF_GEST_27!$A$3:$AAA$3,0))</f>
        <v>0</v>
      </c>
      <c r="E431" s="210">
        <f>INDEX(PEF_GEST_27!$A$3:$AAA$50,MATCH($A431,PEF_GEST_27!$A$3:$A$50,0),MATCH(E$3,PEF_GEST_27!$A$3:$AAA$3,0))</f>
        <v>0</v>
      </c>
    </row>
    <row r="432" spans="1:5" ht="11.4" outlineLevel="1" x14ac:dyDescent="0.25">
      <c r="A432" s="85" t="s">
        <v>3330</v>
      </c>
      <c r="B432" s="657" t="s">
        <v>3926</v>
      </c>
      <c r="C432" s="659">
        <v>0</v>
      </c>
      <c r="D432" s="659">
        <v>0</v>
      </c>
      <c r="E432" s="659">
        <v>0</v>
      </c>
    </row>
    <row r="433" spans="1:5" ht="11.4" outlineLevel="1" x14ac:dyDescent="0.25">
      <c r="A433" s="85" t="s">
        <v>3331</v>
      </c>
      <c r="B433" s="204" t="s">
        <v>3927</v>
      </c>
      <c r="C433" s="658">
        <f>C431-C432</f>
        <v>0</v>
      </c>
      <c r="D433" s="658">
        <f>D431-D432</f>
        <v>0</v>
      </c>
      <c r="E433" s="658">
        <f>E431-E432</f>
        <v>0</v>
      </c>
    </row>
    <row r="434" spans="1:5" ht="11.4" outlineLevel="1" x14ac:dyDescent="0.25">
      <c r="A434" s="85" t="s">
        <v>3332</v>
      </c>
      <c r="B434" s="209" t="s">
        <v>3928</v>
      </c>
      <c r="C434" s="210">
        <f>INDEX(PEF_COM_27!$A$3:$AAA$50,MATCH($A434,PEF_COM_27!$A$3:$A$50,0),MATCH(C$3,PEF_COM_27!$A$3:$AAA$3,0))</f>
        <v>0</v>
      </c>
      <c r="D434" s="210">
        <f>INDEX(PEF_COM_27!$A$3:$AAA$50,MATCH($A434,PEF_COM_27!$A$3:$A$50,0),MATCH(D$3,PEF_COM_27!$A$3:$AAA$3,0))</f>
        <v>0</v>
      </c>
      <c r="E434" s="210">
        <f>INDEX(PEF_COM_27!$A$3:$AAA$50,MATCH($A434,PEF_COM_27!$A$3:$A$50,0),MATCH(E$3,PEF_COM_27!$A$3:$AAA$3,0))</f>
        <v>0</v>
      </c>
    </row>
    <row r="435" spans="1:5" ht="11.4" outlineLevel="1" x14ac:dyDescent="0.25">
      <c r="A435" s="85" t="s">
        <v>3333</v>
      </c>
      <c r="B435" s="657" t="s">
        <v>3929</v>
      </c>
      <c r="C435" s="659">
        <v>0</v>
      </c>
      <c r="D435" s="659">
        <v>0</v>
      </c>
      <c r="E435" s="659">
        <v>0</v>
      </c>
    </row>
    <row r="436" spans="1:5" ht="11.4" outlineLevel="1" x14ac:dyDescent="0.25">
      <c r="A436" s="85" t="s">
        <v>3334</v>
      </c>
      <c r="B436" s="204" t="s">
        <v>3930</v>
      </c>
      <c r="C436" s="658">
        <f>C434-C435</f>
        <v>0</v>
      </c>
      <c r="D436" s="658">
        <f>D434-D435</f>
        <v>0</v>
      </c>
      <c r="E436" s="658">
        <f>E434-E435</f>
        <v>0</v>
      </c>
    </row>
    <row r="437" spans="1:5" outlineLevel="1" x14ac:dyDescent="0.2">
      <c r="B437" s="137"/>
      <c r="C437" s="137"/>
      <c r="D437" s="137"/>
      <c r="E437" s="137"/>
    </row>
    <row r="438" spans="1:5" ht="11.4" outlineLevel="1" x14ac:dyDescent="0.25">
      <c r="A438" s="85" t="s">
        <v>3335</v>
      </c>
      <c r="B438" s="209" t="s">
        <v>3931</v>
      </c>
      <c r="C438" s="210">
        <f>INDEX(PEF_GEST_27!$A$3:$AAA$50,MATCH($A438,PEF_GEST_27!$A$3:$A$50,0),MATCH(C$3,PEF_GEST_27!$A$3:$AAA$3,0))</f>
        <v>0</v>
      </c>
      <c r="D438" s="210">
        <f>INDEX(PEF_GEST_27!$A$3:$AAA$50,MATCH($A438,PEF_GEST_27!$A$3:$A$50,0),MATCH(D$3,PEF_GEST_27!$A$3:$AAA$3,0))</f>
        <v>0</v>
      </c>
      <c r="E438" s="210">
        <f>INDEX(PEF_GEST_27!$A$3:$AAA$50,MATCH($A438,PEF_GEST_27!$A$3:$A$50,0),MATCH(E$3,PEF_GEST_27!$A$3:$AAA$3,0))</f>
        <v>0</v>
      </c>
    </row>
    <row r="439" spans="1:5" ht="11.4" outlineLevel="1" x14ac:dyDescent="0.25">
      <c r="A439" s="85" t="s">
        <v>3336</v>
      </c>
      <c r="B439" s="657" t="s">
        <v>3932</v>
      </c>
      <c r="C439" s="659">
        <v>0</v>
      </c>
      <c r="D439" s="659">
        <v>0</v>
      </c>
      <c r="E439" s="659">
        <v>0</v>
      </c>
    </row>
    <row r="440" spans="1:5" ht="11.4" outlineLevel="1" x14ac:dyDescent="0.25">
      <c r="A440" s="85" t="s">
        <v>3337</v>
      </c>
      <c r="B440" s="204" t="s">
        <v>3933</v>
      </c>
      <c r="C440" s="658">
        <f>C438-C439</f>
        <v>0</v>
      </c>
      <c r="D440" s="658">
        <f>D438-D439</f>
        <v>0</v>
      </c>
      <c r="E440" s="658">
        <f>E438-E439</f>
        <v>0</v>
      </c>
    </row>
    <row r="441" spans="1:5" ht="11.4" outlineLevel="1" x14ac:dyDescent="0.25">
      <c r="A441" s="85" t="s">
        <v>3338</v>
      </c>
      <c r="B441" s="209" t="s">
        <v>3934</v>
      </c>
      <c r="C441" s="210">
        <f>INDEX(PEF_COM_27!$A$3:$AAA$50,MATCH($A441,PEF_COM_27!$A$3:$A$50,0),MATCH(C$3,PEF_COM_27!$A$3:$AAA$3,0))</f>
        <v>0</v>
      </c>
      <c r="D441" s="210">
        <f>INDEX(PEF_COM_27!$A$3:$AAA$50,MATCH($A441,PEF_COM_27!$A$3:$A$50,0),MATCH(D$3,PEF_COM_27!$A$3:$AAA$3,0))</f>
        <v>0</v>
      </c>
      <c r="E441" s="210">
        <f>INDEX(PEF_COM_27!$A$3:$AAA$50,MATCH($A441,PEF_COM_27!$A$3:$A$50,0),MATCH(E$3,PEF_COM_27!$A$3:$AAA$3,0))</f>
        <v>0</v>
      </c>
    </row>
    <row r="442" spans="1:5" ht="11.4" outlineLevel="1" x14ac:dyDescent="0.25">
      <c r="A442" s="85" t="s">
        <v>3339</v>
      </c>
      <c r="B442" s="657" t="s">
        <v>3935</v>
      </c>
      <c r="C442" s="659">
        <v>0</v>
      </c>
      <c r="D442" s="659">
        <v>0</v>
      </c>
      <c r="E442" s="659">
        <v>0</v>
      </c>
    </row>
    <row r="443" spans="1:5" ht="11.4" outlineLevel="1" x14ac:dyDescent="0.25">
      <c r="A443" s="85" t="s">
        <v>3340</v>
      </c>
      <c r="B443" s="204" t="s">
        <v>3936</v>
      </c>
      <c r="C443" s="658">
        <f>C441-C442</f>
        <v>0</v>
      </c>
      <c r="D443" s="658">
        <f>D441-D442</f>
        <v>0</v>
      </c>
      <c r="E443" s="658">
        <f>E441-E442</f>
        <v>0</v>
      </c>
    </row>
    <row r="444" spans="1:5" outlineLevel="1" x14ac:dyDescent="0.2">
      <c r="B444" s="137"/>
      <c r="C444" s="137"/>
      <c r="D444" s="137"/>
      <c r="E444" s="137"/>
    </row>
    <row r="445" spans="1:5" ht="11.4" outlineLevel="1" x14ac:dyDescent="0.25">
      <c r="A445" s="85" t="s">
        <v>3341</v>
      </c>
      <c r="B445" s="209" t="s">
        <v>3937</v>
      </c>
      <c r="C445" s="210">
        <f>INDEX(PEF_GEST_27!$A$3:$AAA$50,MATCH($A445,PEF_GEST_27!$A$3:$A$50,0),MATCH(C$3,PEF_GEST_27!$A$3:$AAA$3,0))</f>
        <v>769215.86820567632</v>
      </c>
      <c r="D445" s="210">
        <f>INDEX(PEF_GEST_27!$A$3:$AAA$50,MATCH($A445,PEF_GEST_27!$A$3:$A$50,0),MATCH(D$3,PEF_GEST_27!$A$3:$AAA$3,0))</f>
        <v>44786.703105863213</v>
      </c>
      <c r="E445" s="210">
        <f>INDEX(PEF_GEST_27!$A$3:$AAA$50,MATCH($A445,PEF_GEST_27!$A$3:$A$50,0),MATCH(E$3,PEF_GEST_27!$A$3:$AAA$3,0))</f>
        <v>0</v>
      </c>
    </row>
    <row r="446" spans="1:5" ht="11.4" outlineLevel="1" x14ac:dyDescent="0.25">
      <c r="A446" s="85" t="s">
        <v>3342</v>
      </c>
      <c r="B446" s="657" t="s">
        <v>3938</v>
      </c>
      <c r="C446" s="659">
        <v>0</v>
      </c>
      <c r="D446" s="659">
        <v>0</v>
      </c>
      <c r="E446" s="659">
        <v>0</v>
      </c>
    </row>
    <row r="447" spans="1:5" ht="11.4" outlineLevel="1" x14ac:dyDescent="0.25">
      <c r="A447" s="85" t="s">
        <v>3343</v>
      </c>
      <c r="B447" s="204" t="s">
        <v>3939</v>
      </c>
      <c r="C447" s="658">
        <f>C445-C446</f>
        <v>769215.86820567632</v>
      </c>
      <c r="D447" s="658">
        <f>D445-D446</f>
        <v>44786.703105863213</v>
      </c>
      <c r="E447" s="658">
        <f>E445-E446</f>
        <v>0</v>
      </c>
    </row>
    <row r="448" spans="1:5" ht="11.4" outlineLevel="1" x14ac:dyDescent="0.25">
      <c r="A448" s="85" t="s">
        <v>3344</v>
      </c>
      <c r="B448" s="209" t="s">
        <v>3940</v>
      </c>
      <c r="C448" s="210">
        <f>INDEX(PEF_COM_27!$A$3:$AAA$50,MATCH($A448,PEF_COM_27!$A$3:$A$50,0),MATCH(C$3,PEF_COM_27!$A$3:$AAA$3,0))</f>
        <v>0</v>
      </c>
      <c r="D448" s="210">
        <f>INDEX(PEF_COM_27!$A$3:$AAA$50,MATCH($A448,PEF_COM_27!$A$3:$A$50,0),MATCH(D$3,PEF_COM_27!$A$3:$AAA$3,0))</f>
        <v>0</v>
      </c>
      <c r="E448" s="210">
        <f>INDEX(PEF_COM_27!$A$3:$AAA$50,MATCH($A448,PEF_COM_27!$A$3:$A$50,0),MATCH(E$3,PEF_COM_27!$A$3:$AAA$3,0))</f>
        <v>24185.690890676058</v>
      </c>
    </row>
    <row r="449" spans="1:5" ht="11.4" outlineLevel="1" x14ac:dyDescent="0.25">
      <c r="A449" s="85" t="s">
        <v>3345</v>
      </c>
      <c r="B449" s="657" t="s">
        <v>3941</v>
      </c>
      <c r="C449" s="659">
        <v>0</v>
      </c>
      <c r="D449" s="659">
        <v>0</v>
      </c>
      <c r="E449" s="659">
        <v>0</v>
      </c>
    </row>
    <row r="450" spans="1:5" ht="11.4" outlineLevel="1" x14ac:dyDescent="0.25">
      <c r="A450" s="85" t="s">
        <v>3346</v>
      </c>
      <c r="B450" s="204" t="s">
        <v>3942</v>
      </c>
      <c r="C450" s="658">
        <f>C448-C449</f>
        <v>0</v>
      </c>
      <c r="D450" s="658">
        <f>D448-D449</f>
        <v>0</v>
      </c>
      <c r="E450" s="658">
        <f>E448-E449</f>
        <v>24185.690890676058</v>
      </c>
    </row>
    <row r="451" spans="1:5" outlineLevel="1" x14ac:dyDescent="0.2">
      <c r="B451" s="137"/>
      <c r="C451" s="137"/>
      <c r="D451" s="137"/>
      <c r="E451" s="137"/>
    </row>
    <row r="452" spans="1:5" ht="11.4" outlineLevel="1" x14ac:dyDescent="0.25">
      <c r="A452" s="85" t="s">
        <v>3347</v>
      </c>
      <c r="B452" s="209" t="s">
        <v>3943</v>
      </c>
      <c r="C452" s="210">
        <f>INDEX(PEF_GEST_27!$A$3:$AAA$50,MATCH($A452,PEF_GEST_27!$A$3:$A$50,0),MATCH(C$3,PEF_GEST_27!$A$3:$AAA$3,0))</f>
        <v>0</v>
      </c>
      <c r="D452" s="210">
        <f>INDEX(PEF_GEST_27!$A$3:$AAA$50,MATCH($A452,PEF_GEST_27!$A$3:$A$50,0),MATCH(D$3,PEF_GEST_27!$A$3:$AAA$3,0))</f>
        <v>0</v>
      </c>
      <c r="E452" s="210">
        <f>INDEX(PEF_GEST_27!$A$3:$AAA$50,MATCH($A452,PEF_GEST_27!$A$3:$A$50,0),MATCH(E$3,PEF_GEST_27!$A$3:$AAA$3,0))</f>
        <v>0</v>
      </c>
    </row>
    <row r="453" spans="1:5" ht="11.4" outlineLevel="1" x14ac:dyDescent="0.25">
      <c r="A453" s="85" t="s">
        <v>3348</v>
      </c>
      <c r="B453" s="657" t="s">
        <v>3944</v>
      </c>
      <c r="C453" s="659">
        <v>0</v>
      </c>
      <c r="D453" s="659">
        <v>0</v>
      </c>
      <c r="E453" s="659">
        <v>0</v>
      </c>
    </row>
    <row r="454" spans="1:5" ht="11.4" outlineLevel="1" x14ac:dyDescent="0.25">
      <c r="A454" s="85" t="s">
        <v>3349</v>
      </c>
      <c r="B454" s="204" t="s">
        <v>3945</v>
      </c>
      <c r="C454" s="658">
        <f>C452-C453</f>
        <v>0</v>
      </c>
      <c r="D454" s="658">
        <f>D452-D453</f>
        <v>0</v>
      </c>
      <c r="E454" s="658">
        <f>E452-E453</f>
        <v>0</v>
      </c>
    </row>
    <row r="455" spans="1:5" ht="11.4" outlineLevel="1" x14ac:dyDescent="0.25">
      <c r="A455" s="85" t="s">
        <v>3350</v>
      </c>
      <c r="B455" s="209" t="s">
        <v>3946</v>
      </c>
      <c r="C455" s="210">
        <f>INDEX(PEF_GEST_27!$A$3:$AAA$50,MATCH($A455,PEF_GEST_27!$A$3:$A$50,0),MATCH(C$3,PEF_GEST_27!$A$3:$AAA$3,0))</f>
        <v>910110.82799999998</v>
      </c>
      <c r="D455" s="210">
        <f>INDEX(PEF_GEST_27!$A$3:$AAA$50,MATCH($A455,PEF_GEST_27!$A$3:$A$50,0),MATCH(D$3,PEF_GEST_27!$A$3:$AAA$3,0))</f>
        <v>0</v>
      </c>
      <c r="E455" s="210">
        <f>INDEX(PEF_GEST_27!$A$3:$AAA$50,MATCH($A455,PEF_GEST_27!$A$3:$A$50,0),MATCH(E$3,PEF_GEST_27!$A$3:$AAA$3,0))</f>
        <v>0</v>
      </c>
    </row>
    <row r="456" spans="1:5" ht="11.4" outlineLevel="1" x14ac:dyDescent="0.25">
      <c r="A456" s="85" t="s">
        <v>3351</v>
      </c>
      <c r="B456" s="657" t="s">
        <v>3947</v>
      </c>
      <c r="C456" s="659">
        <v>0</v>
      </c>
      <c r="D456" s="659">
        <v>0</v>
      </c>
      <c r="E456" s="659">
        <v>0</v>
      </c>
    </row>
    <row r="457" spans="1:5" ht="11.4" outlineLevel="1" x14ac:dyDescent="0.25">
      <c r="A457" s="85" t="s">
        <v>3352</v>
      </c>
      <c r="B457" s="204" t="s">
        <v>3948</v>
      </c>
      <c r="C457" s="658">
        <f>C455-C456</f>
        <v>910110.82799999998</v>
      </c>
      <c r="D457" s="658">
        <f>D455-D456</f>
        <v>0</v>
      </c>
      <c r="E457" s="658">
        <f>E455-E456</f>
        <v>0</v>
      </c>
    </row>
    <row r="458" spans="1:5" ht="11.4" outlineLevel="1" x14ac:dyDescent="0.25">
      <c r="A458" s="85" t="s">
        <v>3353</v>
      </c>
      <c r="B458" s="209" t="s">
        <v>3949</v>
      </c>
      <c r="C458" s="210">
        <f>INDEX(PEF_GEST_27!$A$3:$AAA$50,MATCH($A458,PEF_GEST_27!$A$3:$A$50,0),MATCH(C$3,PEF_GEST_27!$A$3:$AAA$3,0))</f>
        <v>0</v>
      </c>
      <c r="D458" s="210">
        <f>INDEX(PEF_GEST_27!$A$3:$AAA$50,MATCH($A458,PEF_GEST_27!$A$3:$A$50,0),MATCH(D$3,PEF_GEST_27!$A$3:$AAA$3,0))</f>
        <v>0</v>
      </c>
      <c r="E458" s="210">
        <f>INDEX(PEF_GEST_27!$A$3:$AAA$50,MATCH($A458,PEF_GEST_27!$A$3:$A$50,0),MATCH(E$3,PEF_GEST_27!$A$3:$AAA$3,0))</f>
        <v>0</v>
      </c>
    </row>
    <row r="459" spans="1:5" ht="11.4" outlineLevel="1" x14ac:dyDescent="0.25">
      <c r="A459" s="85" t="s">
        <v>3354</v>
      </c>
      <c r="B459" s="657" t="s">
        <v>3950</v>
      </c>
      <c r="C459" s="659">
        <v>0</v>
      </c>
      <c r="D459" s="659">
        <v>0</v>
      </c>
      <c r="E459" s="659">
        <v>0</v>
      </c>
    </row>
    <row r="460" spans="1:5" ht="11.4" outlineLevel="1" x14ac:dyDescent="0.25">
      <c r="A460" s="85" t="s">
        <v>3355</v>
      </c>
      <c r="B460" s="204" t="s">
        <v>3951</v>
      </c>
      <c r="C460" s="658">
        <f>C458-C459</f>
        <v>0</v>
      </c>
      <c r="D460" s="658">
        <f>D458-D459</f>
        <v>0</v>
      </c>
      <c r="E460" s="658">
        <f>E458-E459</f>
        <v>0</v>
      </c>
    </row>
    <row r="461" spans="1:5" ht="11.4" outlineLevel="1" x14ac:dyDescent="0.25">
      <c r="A461" s="85" t="s">
        <v>3356</v>
      </c>
      <c r="B461" s="209" t="s">
        <v>3952</v>
      </c>
      <c r="C461" s="210">
        <f>INDEX(PEF_GEST_27!$A$3:$AAA$50,MATCH($A461,PEF_GEST_27!$A$3:$A$50,0),MATCH(C$3,PEF_GEST_27!$A$3:$AAA$3,0))</f>
        <v>0</v>
      </c>
      <c r="D461" s="210">
        <f>INDEX(PEF_GEST_27!$A$3:$AAA$50,MATCH($A461,PEF_GEST_27!$A$3:$A$50,0),MATCH(D$3,PEF_GEST_27!$A$3:$AAA$3,0))</f>
        <v>0</v>
      </c>
      <c r="E461" s="210">
        <f>INDEX(PEF_GEST_27!$A$3:$AAA$50,MATCH($A461,PEF_GEST_27!$A$3:$A$50,0),MATCH(E$3,PEF_GEST_27!$A$3:$AAA$3,0))</f>
        <v>0</v>
      </c>
    </row>
    <row r="462" spans="1:5" ht="11.4" outlineLevel="1" x14ac:dyDescent="0.25">
      <c r="A462" s="85" t="s">
        <v>3357</v>
      </c>
      <c r="B462" s="657" t="s">
        <v>3953</v>
      </c>
      <c r="C462" s="659">
        <v>0</v>
      </c>
      <c r="D462" s="659">
        <v>0</v>
      </c>
      <c r="E462" s="659">
        <v>0</v>
      </c>
    </row>
    <row r="463" spans="1:5" ht="11.4" outlineLevel="1" x14ac:dyDescent="0.25">
      <c r="A463" s="85" t="s">
        <v>3358</v>
      </c>
      <c r="B463" s="204" t="s">
        <v>3954</v>
      </c>
      <c r="C463" s="658">
        <f>C461-C462</f>
        <v>0</v>
      </c>
      <c r="D463" s="658">
        <f>D461-D462</f>
        <v>0</v>
      </c>
      <c r="E463" s="658">
        <f>E461-E462</f>
        <v>0</v>
      </c>
    </row>
    <row r="464" spans="1:5" ht="11.4" outlineLevel="1" x14ac:dyDescent="0.25">
      <c r="A464" s="85" t="s">
        <v>3359</v>
      </c>
      <c r="B464" s="209" t="s">
        <v>3955</v>
      </c>
      <c r="C464" s="210">
        <f t="shared" ref="C464:E465" si="6">C452+C455+C458+C461</f>
        <v>910110.82799999998</v>
      </c>
      <c r="D464" s="210">
        <f t="shared" si="6"/>
        <v>0</v>
      </c>
      <c r="E464" s="210">
        <f t="shared" si="6"/>
        <v>0</v>
      </c>
    </row>
    <row r="465" spans="1:5" ht="11.4" outlineLevel="1" x14ac:dyDescent="0.25">
      <c r="A465" s="85" t="s">
        <v>3360</v>
      </c>
      <c r="B465" s="660" t="s">
        <v>3956</v>
      </c>
      <c r="C465" s="661">
        <f t="shared" si="6"/>
        <v>0</v>
      </c>
      <c r="D465" s="661">
        <f t="shared" si="6"/>
        <v>0</v>
      </c>
      <c r="E465" s="661">
        <f t="shared" si="6"/>
        <v>0</v>
      </c>
    </row>
    <row r="466" spans="1:5" ht="11.4" outlineLevel="1" x14ac:dyDescent="0.25">
      <c r="A466" s="85" t="s">
        <v>3361</v>
      </c>
      <c r="B466" s="204" t="s">
        <v>3957</v>
      </c>
      <c r="C466" s="658">
        <f>C464-C465</f>
        <v>910110.82799999998</v>
      </c>
      <c r="D466" s="658">
        <f>D464-D465</f>
        <v>0</v>
      </c>
      <c r="E466" s="658">
        <f>E464-E465</f>
        <v>0</v>
      </c>
    </row>
    <row r="467" spans="1:5" outlineLevel="1" x14ac:dyDescent="0.2">
      <c r="B467" s="137"/>
      <c r="C467" s="137"/>
      <c r="D467" s="137"/>
      <c r="E467" s="137"/>
    </row>
    <row r="468" spans="1:5" ht="11.4" outlineLevel="1" x14ac:dyDescent="0.25">
      <c r="A468" s="85" t="s">
        <v>3362</v>
      </c>
      <c r="B468" s="209" t="s">
        <v>3958</v>
      </c>
      <c r="C468" s="210">
        <f>INDEX(PEF_COM_27!$A$3:$AAA$50,MATCH($A468,PEF_COM_27!$A$3:$A$50,0),MATCH(C$3,PEF_COM_27!$A$3:$AAA$3,0))</f>
        <v>0</v>
      </c>
      <c r="D468" s="210">
        <f>INDEX(PEF_COM_27!$A$3:$AAA$50,MATCH($A468,PEF_COM_27!$A$3:$A$50,0),MATCH(D$3,PEF_COM_27!$A$3:$AAA$3,0))</f>
        <v>0</v>
      </c>
      <c r="E468" s="210">
        <f>INDEX(PEF_COM_27!$A$3:$AAA$50,MATCH($A468,PEF_COM_27!$A$3:$A$50,0),MATCH(E$3,PEF_COM_27!$A$3:$AAA$3,0))</f>
        <v>0</v>
      </c>
    </row>
    <row r="469" spans="1:5" ht="11.4" outlineLevel="1" x14ac:dyDescent="0.25">
      <c r="A469" s="85" t="s">
        <v>3363</v>
      </c>
      <c r="B469" s="657" t="s">
        <v>3959</v>
      </c>
      <c r="C469" s="659">
        <v>0</v>
      </c>
      <c r="D469" s="659">
        <v>0</v>
      </c>
      <c r="E469" s="659">
        <v>0</v>
      </c>
    </row>
    <row r="470" spans="1:5" ht="11.4" outlineLevel="1" x14ac:dyDescent="0.25">
      <c r="A470" s="85" t="s">
        <v>3364</v>
      </c>
      <c r="B470" s="204" t="s">
        <v>3960</v>
      </c>
      <c r="C470" s="658">
        <f>C468-C469</f>
        <v>0</v>
      </c>
      <c r="D470" s="658">
        <f>D468-D469</f>
        <v>0</v>
      </c>
      <c r="E470" s="658">
        <f>E468-E469</f>
        <v>0</v>
      </c>
    </row>
    <row r="471" spans="1:5" ht="11.4" outlineLevel="1" x14ac:dyDescent="0.25">
      <c r="A471" s="85" t="s">
        <v>3365</v>
      </c>
      <c r="B471" s="209" t="s">
        <v>3961</v>
      </c>
      <c r="C471" s="210">
        <f>INDEX(PEF_COM_27!$A$3:$AAA$50,MATCH($A471,PEF_COM_27!$A$3:$A$50,0),MATCH(C$3,PEF_COM_27!$A$3:$AAA$3,0))</f>
        <v>0</v>
      </c>
      <c r="D471" s="210">
        <f>INDEX(PEF_COM_27!$A$3:$AAA$50,MATCH($A471,PEF_COM_27!$A$3:$A$50,0),MATCH(D$3,PEF_COM_27!$A$3:$AAA$3,0))</f>
        <v>0</v>
      </c>
      <c r="E471" s="210">
        <f>INDEX(PEF_COM_27!$A$3:$AAA$50,MATCH($A471,PEF_COM_27!$A$3:$A$50,0),MATCH(E$3,PEF_COM_27!$A$3:$AAA$3,0))</f>
        <v>0</v>
      </c>
    </row>
    <row r="472" spans="1:5" ht="11.4" outlineLevel="1" x14ac:dyDescent="0.25">
      <c r="A472" s="85" t="s">
        <v>3366</v>
      </c>
      <c r="B472" s="657" t="s">
        <v>3962</v>
      </c>
      <c r="C472" s="659">
        <v>0</v>
      </c>
      <c r="D472" s="659">
        <v>0</v>
      </c>
      <c r="E472" s="659">
        <v>0</v>
      </c>
    </row>
    <row r="473" spans="1:5" ht="11.4" outlineLevel="1" x14ac:dyDescent="0.25">
      <c r="A473" s="85" t="s">
        <v>3367</v>
      </c>
      <c r="B473" s="204" t="s">
        <v>3963</v>
      </c>
      <c r="C473" s="658">
        <f>C471-C472</f>
        <v>0</v>
      </c>
      <c r="D473" s="658">
        <f>D471-D472</f>
        <v>0</v>
      </c>
      <c r="E473" s="658">
        <f>E471-E472</f>
        <v>0</v>
      </c>
    </row>
    <row r="474" spans="1:5" ht="11.4" outlineLevel="1" x14ac:dyDescent="0.25">
      <c r="A474" s="85" t="s">
        <v>3368</v>
      </c>
      <c r="B474" s="209" t="s">
        <v>3964</v>
      </c>
      <c r="C474" s="210">
        <f>INDEX(PEF_COM_27!$A$3:$AAA$50,MATCH($A474,PEF_COM_27!$A$3:$A$50,0),MATCH(C$3,PEF_COM_27!$A$3:$AAA$3,0))</f>
        <v>0</v>
      </c>
      <c r="D474" s="210">
        <f>INDEX(PEF_COM_27!$A$3:$AAA$50,MATCH($A474,PEF_COM_27!$A$3:$A$50,0),MATCH(D$3,PEF_COM_27!$A$3:$AAA$3,0))</f>
        <v>0</v>
      </c>
      <c r="E474" s="210">
        <f>INDEX(PEF_COM_27!$A$3:$AAA$50,MATCH($A474,PEF_COM_27!$A$3:$A$50,0),MATCH(E$3,PEF_COM_27!$A$3:$AAA$3,0))</f>
        <v>0</v>
      </c>
    </row>
    <row r="475" spans="1:5" ht="11.4" outlineLevel="1" x14ac:dyDescent="0.25">
      <c r="A475" s="85" t="s">
        <v>3369</v>
      </c>
      <c r="B475" s="657" t="s">
        <v>3965</v>
      </c>
      <c r="C475" s="659">
        <v>0</v>
      </c>
      <c r="D475" s="659">
        <v>0</v>
      </c>
      <c r="E475" s="659">
        <v>0</v>
      </c>
    </row>
    <row r="476" spans="1:5" ht="11.4" outlineLevel="1" x14ac:dyDescent="0.25">
      <c r="A476" s="85" t="s">
        <v>3370</v>
      </c>
      <c r="B476" s="204" t="s">
        <v>3966</v>
      </c>
      <c r="C476" s="658">
        <f>C474-C475</f>
        <v>0</v>
      </c>
      <c r="D476" s="658">
        <f>D474-D475</f>
        <v>0</v>
      </c>
      <c r="E476" s="658">
        <f>E474-E475</f>
        <v>0</v>
      </c>
    </row>
    <row r="477" spans="1:5" ht="11.4" outlineLevel="1" x14ac:dyDescent="0.25">
      <c r="A477" s="85" t="s">
        <v>3371</v>
      </c>
      <c r="B477" s="209" t="s">
        <v>3967</v>
      </c>
      <c r="C477" s="210">
        <f>INDEX(PEF_COM_27!$A$3:$AAA$50,MATCH($A477,PEF_COM_27!$A$3:$A$50,0),MATCH(C$3,PEF_COM_27!$A$3:$AAA$3,0))</f>
        <v>0</v>
      </c>
      <c r="D477" s="210">
        <f>INDEX(PEF_COM_27!$A$3:$AAA$50,MATCH($A477,PEF_COM_27!$A$3:$A$50,0),MATCH(D$3,PEF_COM_27!$A$3:$AAA$3,0))</f>
        <v>0</v>
      </c>
      <c r="E477" s="210">
        <f>INDEX(PEF_COM_27!$A$3:$AAA$50,MATCH($A477,PEF_COM_27!$A$3:$A$50,0),MATCH(E$3,PEF_COM_27!$A$3:$AAA$3,0))</f>
        <v>0</v>
      </c>
    </row>
    <row r="478" spans="1:5" ht="11.4" outlineLevel="1" x14ac:dyDescent="0.25">
      <c r="A478" s="85" t="s">
        <v>3372</v>
      </c>
      <c r="B478" s="657" t="s">
        <v>3968</v>
      </c>
      <c r="C478" s="659">
        <v>0</v>
      </c>
      <c r="D478" s="659">
        <v>0</v>
      </c>
      <c r="E478" s="659">
        <v>0</v>
      </c>
    </row>
    <row r="479" spans="1:5" ht="11.4" outlineLevel="1" x14ac:dyDescent="0.25">
      <c r="A479" s="85" t="s">
        <v>3373</v>
      </c>
      <c r="B479" s="204" t="s">
        <v>3969</v>
      </c>
      <c r="C479" s="658">
        <f>C477-C478</f>
        <v>0</v>
      </c>
      <c r="D479" s="658">
        <f>D477-D478</f>
        <v>0</v>
      </c>
      <c r="E479" s="658">
        <f>E477-E478</f>
        <v>0</v>
      </c>
    </row>
    <row r="480" spans="1:5" ht="11.4" outlineLevel="1" x14ac:dyDescent="0.25">
      <c r="A480" s="85" t="s">
        <v>3374</v>
      </c>
      <c r="B480" s="209" t="s">
        <v>3970</v>
      </c>
      <c r="C480" s="210">
        <f t="shared" ref="C480:E481" si="7">C468+C471+C474+C477</f>
        <v>0</v>
      </c>
      <c r="D480" s="210">
        <f t="shared" si="7"/>
        <v>0</v>
      </c>
      <c r="E480" s="210">
        <f t="shared" si="7"/>
        <v>0</v>
      </c>
    </row>
    <row r="481" spans="1:5" ht="11.4" outlineLevel="1" x14ac:dyDescent="0.25">
      <c r="A481" s="85" t="s">
        <v>3375</v>
      </c>
      <c r="B481" s="660" t="s">
        <v>3971</v>
      </c>
      <c r="C481" s="661">
        <f t="shared" si="7"/>
        <v>0</v>
      </c>
      <c r="D481" s="661">
        <f t="shared" si="7"/>
        <v>0</v>
      </c>
      <c r="E481" s="661">
        <f t="shared" si="7"/>
        <v>0</v>
      </c>
    </row>
    <row r="482" spans="1:5" ht="11.4" outlineLevel="1" x14ac:dyDescent="0.25">
      <c r="A482" s="85" t="s">
        <v>3376</v>
      </c>
      <c r="B482" s="204" t="s">
        <v>3972</v>
      </c>
      <c r="C482" s="658">
        <f>C480-C481</f>
        <v>0</v>
      </c>
      <c r="D482" s="658">
        <f>D480-D481</f>
        <v>0</v>
      </c>
      <c r="E482" s="658">
        <f>E480-E481</f>
        <v>0</v>
      </c>
    </row>
    <row r="483" spans="1:5" outlineLevel="1" x14ac:dyDescent="0.2">
      <c r="B483" s="137"/>
      <c r="C483" s="137"/>
      <c r="D483" s="137"/>
      <c r="E483" s="137"/>
    </row>
    <row r="484" spans="1:5" ht="11.4" outlineLevel="1" x14ac:dyDescent="0.25">
      <c r="A484" s="85" t="s">
        <v>3377</v>
      </c>
      <c r="B484" s="209" t="s">
        <v>3973</v>
      </c>
      <c r="C484" s="210">
        <f>INDEX(PEF_GEST_27!$A$3:$AAA$50,MATCH($A484,PEF_GEST_27!$A$3:$A$50,0),MATCH(C$3,PEF_GEST_27!$A$3:$AAA$3,0))</f>
        <v>585677.75297643547</v>
      </c>
      <c r="D484" s="210">
        <f>INDEX(PEF_GEST_27!$A$3:$AAA$50,MATCH($A484,PEF_GEST_27!$A$3:$A$50,0),MATCH(D$3,PEF_GEST_27!$A$3:$AAA$3,0))</f>
        <v>32263.733564466515</v>
      </c>
      <c r="E484" s="210">
        <f>INDEX(PEF_GEST_27!$A$3:$AAA$50,MATCH($A484,PEF_GEST_27!$A$3:$A$50,0),MATCH(E$3,PEF_GEST_27!$A$3:$AAA$3,0))</f>
        <v>18560.576332630921</v>
      </c>
    </row>
    <row r="485" spans="1:5" ht="11.4" outlineLevel="1" x14ac:dyDescent="0.25">
      <c r="A485" s="85" t="s">
        <v>3378</v>
      </c>
      <c r="B485" s="657" t="s">
        <v>3974</v>
      </c>
      <c r="C485" s="659">
        <v>0</v>
      </c>
      <c r="D485" s="659">
        <v>0</v>
      </c>
      <c r="E485" s="659">
        <v>0</v>
      </c>
    </row>
    <row r="486" spans="1:5" ht="11.4" outlineLevel="1" x14ac:dyDescent="0.25">
      <c r="A486" s="85" t="s">
        <v>3379</v>
      </c>
      <c r="B486" s="204" t="s">
        <v>3975</v>
      </c>
      <c r="C486" s="658">
        <f>C484-C485</f>
        <v>585677.75297643547</v>
      </c>
      <c r="D486" s="658">
        <f>D484-D485</f>
        <v>32263.733564466515</v>
      </c>
      <c r="E486" s="658">
        <f>E484-E485</f>
        <v>18560.576332630921</v>
      </c>
    </row>
    <row r="487" spans="1:5" ht="11.4" outlineLevel="1" x14ac:dyDescent="0.25">
      <c r="A487" s="85" t="s">
        <v>3380</v>
      </c>
      <c r="B487" s="209" t="s">
        <v>3976</v>
      </c>
      <c r="C487" s="210">
        <f>INDEX(PEF_COM_27!$A$3:$AAA$50,MATCH($A487,PEF_COM_27!$A$3:$A$50,0),MATCH(C$3,PEF_COM_27!$A$3:$AAA$3,0))</f>
        <v>0</v>
      </c>
      <c r="D487" s="210">
        <f>INDEX(PEF_COM_27!$A$3:$AAA$50,MATCH($A487,PEF_COM_27!$A$3:$A$50,0),MATCH(D$3,PEF_COM_27!$A$3:$AAA$3,0))</f>
        <v>0</v>
      </c>
      <c r="E487" s="210">
        <f>INDEX(PEF_COM_27!$A$3:$AAA$50,MATCH($A487,PEF_COM_27!$A$3:$A$50,0),MATCH(E$3,PEF_COM_27!$A$3:$AAA$3,0))</f>
        <v>28716.367581554587</v>
      </c>
    </row>
    <row r="488" spans="1:5" ht="11.4" outlineLevel="1" x14ac:dyDescent="0.25">
      <c r="A488" s="85" t="s">
        <v>3381</v>
      </c>
      <c r="B488" s="657" t="s">
        <v>3977</v>
      </c>
      <c r="C488" s="659">
        <v>0</v>
      </c>
      <c r="D488" s="659">
        <v>0</v>
      </c>
      <c r="E488" s="659">
        <v>0</v>
      </c>
    </row>
    <row r="489" spans="1:5" ht="11.4" outlineLevel="1" x14ac:dyDescent="0.25">
      <c r="A489" s="85" t="s">
        <v>3382</v>
      </c>
      <c r="B489" s="204" t="s">
        <v>3978</v>
      </c>
      <c r="C489" s="658">
        <f>C487-C488</f>
        <v>0</v>
      </c>
      <c r="D489" s="658">
        <f>D487-D488</f>
        <v>0</v>
      </c>
      <c r="E489" s="658">
        <f>E487-E488</f>
        <v>28716.367581554587</v>
      </c>
    </row>
    <row r="490" spans="1:5" outlineLevel="1" x14ac:dyDescent="0.2">
      <c r="B490" s="137"/>
      <c r="C490" s="662"/>
      <c r="D490" s="662"/>
      <c r="E490" s="662"/>
    </row>
    <row r="491" spans="1:5" ht="11.4" outlineLevel="1" x14ac:dyDescent="0.25">
      <c r="A491" s="85" t="s">
        <v>3383</v>
      </c>
      <c r="B491" s="209" t="s">
        <v>3979</v>
      </c>
      <c r="C491" s="210">
        <f>INDEX(PEF_GEST_27!$A$3:$AAA$50,MATCH($A491,PEF_GEST_27!$A$3:$A$50,0),MATCH(C$3,PEF_GEST_27!$A$3:$AAA$3,0))</f>
        <v>0</v>
      </c>
      <c r="D491" s="210">
        <f>INDEX(PEF_GEST_27!$A$3:$AAA$50,MATCH($A491,PEF_GEST_27!$A$3:$A$50,0),MATCH(D$3,PEF_GEST_27!$A$3:$AAA$3,0))</f>
        <v>0</v>
      </c>
      <c r="E491" s="210">
        <f>INDEX(PEF_GEST_27!$A$3:$AAA$50,MATCH($A491,PEF_GEST_27!$A$3:$A$50,0),MATCH(E$3,PEF_GEST_27!$A$3:$AAA$3,0))</f>
        <v>0</v>
      </c>
    </row>
    <row r="492" spans="1:5" ht="11.4" outlineLevel="1" x14ac:dyDescent="0.25">
      <c r="A492" s="85" t="s">
        <v>3384</v>
      </c>
      <c r="B492" s="657" t="s">
        <v>3980</v>
      </c>
      <c r="C492" s="659">
        <v>0</v>
      </c>
      <c r="D492" s="659">
        <v>0</v>
      </c>
      <c r="E492" s="659">
        <v>0</v>
      </c>
    </row>
    <row r="493" spans="1:5" ht="11.4" outlineLevel="1" x14ac:dyDescent="0.25">
      <c r="A493" s="85" t="s">
        <v>3385</v>
      </c>
      <c r="B493" s="204" t="s">
        <v>3981</v>
      </c>
      <c r="C493" s="658">
        <f>C491-C492</f>
        <v>0</v>
      </c>
      <c r="D493" s="658">
        <f>D491-D492</f>
        <v>0</v>
      </c>
      <c r="E493" s="658">
        <f>E491-E492</f>
        <v>0</v>
      </c>
    </row>
    <row r="494" spans="1:5" ht="11.4" outlineLevel="1" x14ac:dyDescent="0.25">
      <c r="A494" s="85" t="s">
        <v>3386</v>
      </c>
      <c r="B494" s="209" t="s">
        <v>3982</v>
      </c>
      <c r="C494" s="210">
        <f>INDEX(PEF_COM_27!$A$3:$AAA$50,MATCH($A494,PEF_COM_27!$A$3:$A$50,0),MATCH(C$3,PEF_COM_27!$A$3:$AAA$3,0))</f>
        <v>0</v>
      </c>
      <c r="D494" s="210">
        <f>INDEX(PEF_COM_27!$A$3:$AAA$50,MATCH($A494,PEF_COM_27!$A$3:$A$50,0),MATCH(D$3,PEF_COM_27!$A$3:$AAA$3,0))</f>
        <v>0</v>
      </c>
      <c r="E494" s="210">
        <f>INDEX(PEF_COM_27!$A$3:$AAA$50,MATCH($A494,PEF_COM_27!$A$3:$A$50,0),MATCH(E$3,PEF_COM_27!$A$3:$AAA$3,0))</f>
        <v>0</v>
      </c>
    </row>
    <row r="495" spans="1:5" ht="11.4" outlineLevel="1" x14ac:dyDescent="0.25">
      <c r="A495" s="85" t="s">
        <v>3387</v>
      </c>
      <c r="B495" s="657" t="s">
        <v>3983</v>
      </c>
      <c r="C495" s="659">
        <v>0</v>
      </c>
      <c r="D495" s="659">
        <v>0</v>
      </c>
      <c r="E495" s="659">
        <v>0</v>
      </c>
    </row>
    <row r="496" spans="1:5" ht="11.4" outlineLevel="1" x14ac:dyDescent="0.25">
      <c r="A496" s="85" t="s">
        <v>3388</v>
      </c>
      <c r="B496" s="204" t="s">
        <v>3984</v>
      </c>
      <c r="C496" s="658">
        <f>C494-C495</f>
        <v>0</v>
      </c>
      <c r="D496" s="658">
        <f>D494-D495</f>
        <v>0</v>
      </c>
      <c r="E496" s="658">
        <f>E494-E495</f>
        <v>0</v>
      </c>
    </row>
    <row r="497" spans="1:5" outlineLevel="1" x14ac:dyDescent="0.2">
      <c r="B497" s="137"/>
      <c r="C497" s="137"/>
      <c r="D497" s="137"/>
      <c r="E497" s="137"/>
    </row>
    <row r="498" spans="1:5" ht="11.4" outlineLevel="1" x14ac:dyDescent="0.25">
      <c r="A498" s="85" t="s">
        <v>3389</v>
      </c>
      <c r="B498" s="209" t="s">
        <v>3985</v>
      </c>
      <c r="C498" s="210">
        <f>INDEX(PEF_GEST_27!$A$3:$AAA$50,MATCH($A498,PEF_GEST_27!$A$3:$A$50,0),MATCH(C$3,PEF_GEST_27!$A$3:$AAA$3,0))</f>
        <v>0</v>
      </c>
      <c r="D498" s="210">
        <f>INDEX(PEF_GEST_27!$A$3:$AAA$50,MATCH($A498,PEF_GEST_27!$A$3:$A$50,0),MATCH(D$3,PEF_GEST_27!$A$3:$AAA$3,0))</f>
        <v>0</v>
      </c>
      <c r="E498" s="210">
        <f>INDEX(PEF_GEST_27!$A$3:$AAA$50,MATCH($A498,PEF_GEST_27!$A$3:$A$50,0),MATCH(E$3,PEF_GEST_27!$A$3:$AAA$3,0))</f>
        <v>0</v>
      </c>
    </row>
    <row r="499" spans="1:5" ht="11.4" outlineLevel="1" x14ac:dyDescent="0.25">
      <c r="A499" s="85" t="s">
        <v>3390</v>
      </c>
      <c r="B499" s="657" t="s">
        <v>3986</v>
      </c>
      <c r="C499" s="659">
        <v>0</v>
      </c>
      <c r="D499" s="659">
        <v>0</v>
      </c>
      <c r="E499" s="659">
        <v>0</v>
      </c>
    </row>
    <row r="500" spans="1:5" ht="11.4" outlineLevel="1" x14ac:dyDescent="0.25">
      <c r="A500" s="85" t="s">
        <v>3391</v>
      </c>
      <c r="B500" s="204" t="s">
        <v>3987</v>
      </c>
      <c r="C500" s="658">
        <f>C498-C499</f>
        <v>0</v>
      </c>
      <c r="D500" s="658">
        <f>D498-D499</f>
        <v>0</v>
      </c>
      <c r="E500" s="658">
        <f>E498-E499</f>
        <v>0</v>
      </c>
    </row>
    <row r="501" spans="1:5" ht="11.4" outlineLevel="1" x14ac:dyDescent="0.25">
      <c r="A501" s="85" t="s">
        <v>3392</v>
      </c>
      <c r="B501" s="209" t="s">
        <v>3988</v>
      </c>
      <c r="C501" s="210">
        <f>INDEX(PEF_COM_27!$A$3:$AAA$50,MATCH($A501,PEF_COM_27!$A$3:$A$50,0),MATCH(C$3,PEF_COM_27!$A$3:$AAA$3,0))</f>
        <v>0</v>
      </c>
      <c r="D501" s="210">
        <f>INDEX(PEF_COM_27!$A$3:$AAA$50,MATCH($A501,PEF_COM_27!$A$3:$A$50,0),MATCH(D$3,PEF_COM_27!$A$3:$AAA$3,0))</f>
        <v>0</v>
      </c>
      <c r="E501" s="210">
        <f>INDEX(PEF_COM_27!$A$3:$AAA$50,MATCH($A501,PEF_COM_27!$A$3:$A$50,0),MATCH(E$3,PEF_COM_27!$A$3:$AAA$3,0))</f>
        <v>0</v>
      </c>
    </row>
    <row r="502" spans="1:5" ht="11.4" outlineLevel="1" x14ac:dyDescent="0.25">
      <c r="A502" s="85" t="s">
        <v>3393</v>
      </c>
      <c r="B502" s="657" t="s">
        <v>3989</v>
      </c>
      <c r="C502" s="659">
        <v>0</v>
      </c>
      <c r="D502" s="659">
        <v>0</v>
      </c>
      <c r="E502" s="659">
        <v>0</v>
      </c>
    </row>
    <row r="503" spans="1:5" ht="11.4" outlineLevel="1" x14ac:dyDescent="0.25">
      <c r="A503" s="85" t="s">
        <v>3394</v>
      </c>
      <c r="B503" s="204" t="s">
        <v>3990</v>
      </c>
      <c r="C503" s="658">
        <f>C501-C502</f>
        <v>0</v>
      </c>
      <c r="D503" s="658">
        <f>D501-D502</f>
        <v>0</v>
      </c>
      <c r="E503" s="658">
        <f>E501-E502</f>
        <v>0</v>
      </c>
    </row>
    <row r="504" spans="1:5" outlineLevel="1" x14ac:dyDescent="0.2">
      <c r="B504" s="137"/>
      <c r="C504" s="137"/>
      <c r="D504" s="137"/>
      <c r="E504" s="137"/>
    </row>
    <row r="505" spans="1:5" ht="11.4" outlineLevel="1" x14ac:dyDescent="0.25">
      <c r="A505" s="85" t="s">
        <v>2404</v>
      </c>
      <c r="B505" s="209" t="s">
        <v>3991</v>
      </c>
      <c r="C505" s="210">
        <f>INDEX('IN_RC-T'!$A$3:$AAA$865,MATCH($A505,'IN_RC-T'!$A$3:$A$865,0),MATCH(C$3,'IN_RC-T'!$A$3:$AAA$3,0))</f>
        <v>0</v>
      </c>
      <c r="D505" s="210">
        <f>INDEX('IN_RC-T'!$A$3:$AAA$865,MATCH($A505,'IN_RC-T'!$A$3:$A$865,0),MATCH(D$3,'IN_RC-T'!$A$3:$AAA$3,0))</f>
        <v>0</v>
      </c>
      <c r="E505" s="210">
        <f>INDEX('IN_RC-T'!$A$3:$AAA$865,MATCH($A505,'IN_RC-T'!$A$3:$A$865,0),MATCH(E$3,'IN_RC-T'!$A$3:$AAA$3,0))</f>
        <v>0</v>
      </c>
    </row>
    <row r="506" spans="1:5" ht="11.4" outlineLevel="1" x14ac:dyDescent="0.25">
      <c r="A506" s="85" t="s">
        <v>3770</v>
      </c>
      <c r="B506" s="657" t="s">
        <v>3992</v>
      </c>
      <c r="C506" s="659">
        <v>0</v>
      </c>
      <c r="D506" s="659">
        <v>0</v>
      </c>
      <c r="E506" s="659">
        <v>0</v>
      </c>
    </row>
    <row r="507" spans="1:5" ht="11.4" outlineLevel="1" x14ac:dyDescent="0.25">
      <c r="A507" s="85" t="s">
        <v>3771</v>
      </c>
      <c r="B507" s="204" t="s">
        <v>3993</v>
      </c>
      <c r="C507" s="658">
        <f>C505-C506</f>
        <v>0</v>
      </c>
      <c r="D507" s="658">
        <f>D505-D506</f>
        <v>0</v>
      </c>
      <c r="E507" s="658">
        <f>E505-E506</f>
        <v>0</v>
      </c>
    </row>
    <row r="508" spans="1:5" ht="12" outlineLevel="1" x14ac:dyDescent="0.25">
      <c r="A508" s="85" t="s">
        <v>1853</v>
      </c>
      <c r="B508" s="209" t="s">
        <v>3994</v>
      </c>
      <c r="C508" s="210">
        <f>INDEX('IN_RC-T'!$A$3:$AAA$865,MATCH($A508,'IN_RC-T'!$A$3:$A$865,0),MATCH(C$3,'IN_RC-T'!$A$3:$AAA$3,0))</f>
        <v>0</v>
      </c>
      <c r="D508" s="210">
        <f>INDEX('IN_RC-T'!$A$3:$AAA$865,MATCH($A508,'IN_RC-T'!$A$3:$A$865,0),MATCH(D$3,'IN_RC-T'!$A$3:$AAA$3,0))</f>
        <v>0</v>
      </c>
      <c r="E508" s="210">
        <f>INDEX('IN_RC-T'!$A$3:$AAA$865,MATCH($A508,'IN_RC-T'!$A$3:$A$865,0),MATCH(E$3,'IN_RC-T'!$A$3:$AAA$3,0))</f>
        <v>0</v>
      </c>
    </row>
    <row r="509" spans="1:5" ht="12" outlineLevel="1" x14ac:dyDescent="0.25">
      <c r="A509" s="85" t="s">
        <v>3395</v>
      </c>
      <c r="B509" s="657" t="s">
        <v>3995</v>
      </c>
      <c r="C509" s="659">
        <v>0</v>
      </c>
      <c r="D509" s="659">
        <v>0</v>
      </c>
      <c r="E509" s="659">
        <v>0</v>
      </c>
    </row>
    <row r="510" spans="1:5" ht="12" outlineLevel="1" x14ac:dyDescent="0.25">
      <c r="A510" s="85" t="s">
        <v>3396</v>
      </c>
      <c r="B510" s="204" t="s">
        <v>3996</v>
      </c>
      <c r="C510" s="658">
        <f>C508-C509</f>
        <v>0</v>
      </c>
      <c r="D510" s="658">
        <f>D508-D509</f>
        <v>0</v>
      </c>
      <c r="E510" s="658">
        <f>E508-E509</f>
        <v>0</v>
      </c>
    </row>
    <row r="511" spans="1:5" ht="12" outlineLevel="1" x14ac:dyDescent="0.25">
      <c r="A511" s="85" t="s">
        <v>1779</v>
      </c>
      <c r="B511" s="209" t="s">
        <v>3997</v>
      </c>
      <c r="C511" s="210">
        <f>INDEX('IN_RC-T'!$A$3:$AAA$865,MATCH($A511,'IN_RC-T'!$A$3:$A$865,0),MATCH(C$3,'IN_RC-T'!$A$3:$AAA$3,0))</f>
        <v>-50000</v>
      </c>
      <c r="D511" s="210">
        <f>INDEX('IN_RC-T'!$A$3:$AAA$865,MATCH($A511,'IN_RC-T'!$A$3:$A$865,0),MATCH(D$3,'IN_RC-T'!$A$3:$AAA$3,0))</f>
        <v>0</v>
      </c>
      <c r="E511" s="210">
        <f>INDEX('IN_RC-T'!$A$3:$AAA$865,MATCH($A511,'IN_RC-T'!$A$3:$A$865,0),MATCH(E$3,'IN_RC-T'!$A$3:$AAA$3,0))</f>
        <v>0</v>
      </c>
    </row>
    <row r="512" spans="1:5" ht="12" outlineLevel="1" x14ac:dyDescent="0.25">
      <c r="A512" s="85" t="s">
        <v>3772</v>
      </c>
      <c r="B512" s="664" t="s">
        <v>3998</v>
      </c>
      <c r="C512" s="655">
        <v>0</v>
      </c>
      <c r="D512" s="655">
        <v>0</v>
      </c>
      <c r="E512" s="655">
        <v>0</v>
      </c>
    </row>
    <row r="513" spans="1:5" ht="12" outlineLevel="1" x14ac:dyDescent="0.25">
      <c r="A513" s="85" t="s">
        <v>3773</v>
      </c>
      <c r="B513" s="204" t="s">
        <v>3999</v>
      </c>
      <c r="C513" s="658">
        <f>C511-C512</f>
        <v>-50000</v>
      </c>
      <c r="D513" s="658">
        <f>D511-D512</f>
        <v>0</v>
      </c>
      <c r="E513" s="658">
        <f>E511-E512</f>
        <v>0</v>
      </c>
    </row>
    <row r="514" spans="1:5" ht="12" outlineLevel="1" x14ac:dyDescent="0.25">
      <c r="A514" s="85" t="s">
        <v>2600</v>
      </c>
      <c r="B514" s="209" t="s">
        <v>4000</v>
      </c>
      <c r="C514" s="210">
        <f>INDEX('IN_RC-T'!$A$3:$AAA$865,MATCH($A514,'IN_RC-T'!$A$3:$A$865,0),MATCH(C$3,'IN_RC-T'!$A$3:$AAA$3,0))</f>
        <v>0</v>
      </c>
      <c r="D514" s="210">
        <f>INDEX('IN_RC-T'!$A$3:$AAA$865,MATCH($A514,'IN_RC-T'!$A$3:$A$865,0),MATCH(D$3,'IN_RC-T'!$A$3:$AAA$3,0))</f>
        <v>0</v>
      </c>
      <c r="E514" s="210">
        <f>INDEX('IN_RC-T'!$A$3:$AAA$865,MATCH($A514,'IN_RC-T'!$A$3:$A$865,0),MATCH(E$3,'IN_RC-T'!$A$3:$AAA$3,0))</f>
        <v>0</v>
      </c>
    </row>
    <row r="515" spans="1:5" ht="12" outlineLevel="1" x14ac:dyDescent="0.25">
      <c r="A515" s="85" t="s">
        <v>3774</v>
      </c>
      <c r="B515" s="664" t="s">
        <v>4001</v>
      </c>
      <c r="C515" s="655">
        <v>0</v>
      </c>
      <c r="D515" s="655">
        <v>0</v>
      </c>
      <c r="E515" s="655">
        <v>0</v>
      </c>
    </row>
    <row r="516" spans="1:5" ht="12" outlineLevel="1" x14ac:dyDescent="0.25">
      <c r="A516" s="85" t="s">
        <v>3775</v>
      </c>
      <c r="B516" s="204" t="s">
        <v>4002</v>
      </c>
      <c r="C516" s="658">
        <f>C514-C515</f>
        <v>0</v>
      </c>
      <c r="D516" s="658">
        <f>D514-D515</f>
        <v>0</v>
      </c>
      <c r="E516" s="658">
        <f>E514-E515</f>
        <v>0</v>
      </c>
    </row>
    <row r="517" spans="1:5" ht="12" outlineLevel="1" x14ac:dyDescent="0.25">
      <c r="A517" s="85" t="s">
        <v>2008</v>
      </c>
      <c r="B517" s="209" t="s">
        <v>3727</v>
      </c>
      <c r="C517" s="210">
        <f>INDEX('IN_RC-T'!$A$3:$AAA$865,MATCH($A517,'IN_RC-T'!$A$3:$A$865,0),MATCH(C$3,'IN_RC-T'!$A$3:$AAA$3,0))</f>
        <v>0</v>
      </c>
      <c r="D517" s="210">
        <f>INDEX('IN_RC-T'!$A$3:$AAA$865,MATCH($A517,'IN_RC-T'!$A$3:$A$865,0),MATCH(D$3,'IN_RC-T'!$A$3:$AAA$3,0))</f>
        <v>0</v>
      </c>
      <c r="E517" s="210">
        <f>INDEX('IN_RC-T'!$A$3:$AAA$865,MATCH($A517,'IN_RC-T'!$A$3:$A$865,0),MATCH(E$3,'IN_RC-T'!$A$3:$AAA$3,0))</f>
        <v>0</v>
      </c>
    </row>
    <row r="518" spans="1:5" ht="12" outlineLevel="1" x14ac:dyDescent="0.25">
      <c r="A518" s="85" t="s">
        <v>3776</v>
      </c>
      <c r="B518" s="664" t="s">
        <v>3665</v>
      </c>
      <c r="C518" s="655">
        <v>0</v>
      </c>
      <c r="D518" s="655">
        <v>0</v>
      </c>
      <c r="E518" s="655">
        <v>0</v>
      </c>
    </row>
    <row r="519" spans="1:5" ht="12" outlineLevel="1" x14ac:dyDescent="0.25">
      <c r="A519" s="85" t="s">
        <v>3777</v>
      </c>
      <c r="B519" s="204" t="s">
        <v>3697</v>
      </c>
      <c r="C519" s="658">
        <f>C517-C518</f>
        <v>0</v>
      </c>
      <c r="D519" s="658">
        <f>D517-D518</f>
        <v>0</v>
      </c>
      <c r="E519" s="658">
        <f>E517-E518</f>
        <v>0</v>
      </c>
    </row>
    <row r="520" spans="1:5" ht="12" outlineLevel="1" x14ac:dyDescent="0.25">
      <c r="A520" s="85" t="s">
        <v>2725</v>
      </c>
      <c r="B520" s="209" t="s">
        <v>4003</v>
      </c>
      <c r="C520" s="210">
        <f>INDEX('IN_RC-T'!$A$3:$AAA$865,MATCH($A520,'IN_RC-T'!$A$3:$A$865,0),MATCH(C$3,'IN_RC-T'!$A$3:$AAA$3,0))</f>
        <v>323630.57835021621</v>
      </c>
      <c r="D520" s="210">
        <f>INDEX('IN_RC-T'!$A$3:$AAA$865,MATCH($A520,'IN_RC-T'!$A$3:$A$865,0),MATCH(D$3,'IN_RC-T'!$A$3:$AAA$3,0))</f>
        <v>0</v>
      </c>
      <c r="E520" s="210">
        <f>INDEX('IN_RC-T'!$A$3:$AAA$865,MATCH($A520,'IN_RC-T'!$A$3:$A$865,0),MATCH(E$3,'IN_RC-T'!$A$3:$AAA$3,0))</f>
        <v>0</v>
      </c>
    </row>
    <row r="521" spans="1:5" ht="12" outlineLevel="1" x14ac:dyDescent="0.25">
      <c r="A521" s="85" t="s">
        <v>3397</v>
      </c>
      <c r="B521" s="657" t="s">
        <v>4004</v>
      </c>
      <c r="C521" s="659">
        <v>0</v>
      </c>
      <c r="D521" s="659">
        <v>0</v>
      </c>
      <c r="E521" s="659">
        <v>0</v>
      </c>
    </row>
    <row r="522" spans="1:5" ht="12" outlineLevel="1" x14ac:dyDescent="0.25">
      <c r="A522" s="85" t="s">
        <v>3398</v>
      </c>
      <c r="B522" s="204" t="s">
        <v>4005</v>
      </c>
      <c r="C522" s="658">
        <f>C520-C521</f>
        <v>323630.57835021621</v>
      </c>
      <c r="D522" s="658">
        <f>D520-D521</f>
        <v>0</v>
      </c>
      <c r="E522" s="658">
        <f>E520-E521</f>
        <v>0</v>
      </c>
    </row>
    <row r="523" spans="1:5" ht="11.4" outlineLevel="1" x14ac:dyDescent="0.25">
      <c r="A523" s="85" t="s">
        <v>2798</v>
      </c>
      <c r="B523" s="209" t="s">
        <v>4006</v>
      </c>
      <c r="C523" s="210">
        <f>INDEX('IN_RC-T'!$A$3:$AAA$865,MATCH($A523,'IN_RC-T'!$A$3:$A$865,0),MATCH(C$3,'IN_RC-T'!$A$3:$AAA$3,0))</f>
        <v>104195.64689292852</v>
      </c>
      <c r="D523" s="210">
        <f>INDEX('IN_RC-T'!$A$3:$AAA$865,MATCH($A523,'IN_RC-T'!$A$3:$A$865,0),MATCH(D$3,'IN_RC-T'!$A$3:$AAA$3,0))</f>
        <v>0</v>
      </c>
      <c r="E523" s="210">
        <f>INDEX('IN_RC-T'!$A$3:$AAA$865,MATCH($A523,'IN_RC-T'!$A$3:$A$865,0),MATCH(E$3,'IN_RC-T'!$A$3:$AAA$3,0))</f>
        <v>0</v>
      </c>
    </row>
    <row r="524" spans="1:5" ht="12" outlineLevel="1" x14ac:dyDescent="0.25">
      <c r="A524" s="85" t="s">
        <v>3778</v>
      </c>
      <c r="B524" s="657" t="s">
        <v>4007</v>
      </c>
      <c r="C524" s="659">
        <v>0</v>
      </c>
      <c r="D524" s="659">
        <v>0</v>
      </c>
      <c r="E524" s="659">
        <v>0</v>
      </c>
    </row>
    <row r="525" spans="1:5" ht="12" outlineLevel="1" x14ac:dyDescent="0.25">
      <c r="A525" s="85" t="s">
        <v>3779</v>
      </c>
      <c r="B525" s="204" t="s">
        <v>4008</v>
      </c>
      <c r="C525" s="658">
        <f>C523-C524</f>
        <v>104195.64689292852</v>
      </c>
      <c r="D525" s="658">
        <f>D523-D524</f>
        <v>0</v>
      </c>
      <c r="E525" s="658">
        <f>E523-E524</f>
        <v>0</v>
      </c>
    </row>
    <row r="526" spans="1:5" ht="11.4" outlineLevel="1" x14ac:dyDescent="0.25">
      <c r="A526" s="85" t="s">
        <v>2871</v>
      </c>
      <c r="B526" s="209" t="s">
        <v>4009</v>
      </c>
      <c r="C526" s="210">
        <f>INDEX('IN_RC-T'!$A$3:$AAA$865,MATCH($A526,'IN_RC-T'!$A$3:$A$865,0),MATCH(C$3,'IN_RC-T'!$A$3:$AAA$3,0))</f>
        <v>0</v>
      </c>
      <c r="D526" s="210">
        <f>INDEX('IN_RC-T'!$A$3:$AAA$865,MATCH($A526,'IN_RC-T'!$A$3:$A$865,0),MATCH(D$3,'IN_RC-T'!$A$3:$AAA$3,0))</f>
        <v>0</v>
      </c>
      <c r="E526" s="210">
        <f>INDEX('IN_RC-T'!$A$3:$AAA$865,MATCH($A526,'IN_RC-T'!$A$3:$A$865,0),MATCH(E$3,'IN_RC-T'!$A$3:$AAA$3,0))</f>
        <v>0</v>
      </c>
    </row>
    <row r="527" spans="1:5" ht="12" outlineLevel="1" x14ac:dyDescent="0.25">
      <c r="A527" s="85" t="s">
        <v>3780</v>
      </c>
      <c r="B527" s="664" t="s">
        <v>4010</v>
      </c>
      <c r="C527" s="655">
        <v>0</v>
      </c>
      <c r="D527" s="655">
        <v>0</v>
      </c>
      <c r="E527" s="655">
        <v>0</v>
      </c>
    </row>
    <row r="528" spans="1:5" ht="12" outlineLevel="1" x14ac:dyDescent="0.25">
      <c r="A528" s="85" t="s">
        <v>3781</v>
      </c>
      <c r="B528" s="204" t="s">
        <v>4011</v>
      </c>
      <c r="C528" s="658">
        <f>C526-C527</f>
        <v>0</v>
      </c>
      <c r="D528" s="658">
        <f>D526-D527</f>
        <v>0</v>
      </c>
      <c r="E528" s="658">
        <f>E526-E527</f>
        <v>0</v>
      </c>
    </row>
    <row r="529" spans="1:5" ht="12" outlineLevel="1" x14ac:dyDescent="0.25">
      <c r="A529" s="85" t="s">
        <v>2072</v>
      </c>
      <c r="B529" s="209" t="s">
        <v>4012</v>
      </c>
      <c r="C529" s="210">
        <f>INDEX('IN_RC-T'!$A$3:$AAA$865,MATCH($A529,'IN_RC-T'!$A$3:$A$865,0),MATCH(C$3,'IN_RC-T'!$A$3:$AAA$3,0))</f>
        <v>-566.87132350233696</v>
      </c>
      <c r="D529" s="210">
        <f>INDEX('IN_RC-T'!$A$3:$AAA$865,MATCH($A529,'IN_RC-T'!$A$3:$A$865,0),MATCH(D$3,'IN_RC-T'!$A$3:$AAA$3,0))</f>
        <v>0</v>
      </c>
      <c r="E529" s="210">
        <f>INDEX('IN_RC-T'!$A$3:$AAA$865,MATCH($A529,'IN_RC-T'!$A$3:$A$865,0),MATCH(E$3,'IN_RC-T'!$A$3:$AAA$3,0))</f>
        <v>0</v>
      </c>
    </row>
    <row r="530" spans="1:5" ht="12" outlineLevel="1" x14ac:dyDescent="0.25">
      <c r="A530" s="85" t="s">
        <v>3782</v>
      </c>
      <c r="B530" s="657" t="s">
        <v>4013</v>
      </c>
      <c r="C530" s="659">
        <v>0</v>
      </c>
      <c r="D530" s="659">
        <v>0</v>
      </c>
      <c r="E530" s="659">
        <v>0</v>
      </c>
    </row>
    <row r="531" spans="1:5" ht="12" outlineLevel="1" x14ac:dyDescent="0.25">
      <c r="A531" s="85" t="s">
        <v>3783</v>
      </c>
      <c r="B531" s="204" t="s">
        <v>4014</v>
      </c>
      <c r="C531" s="658">
        <f>C529-C530</f>
        <v>-566.87132350233696</v>
      </c>
      <c r="D531" s="658">
        <f>D529-D530</f>
        <v>0</v>
      </c>
      <c r="E531" s="658">
        <f>E529-E530</f>
        <v>0</v>
      </c>
    </row>
    <row r="532" spans="1:5" ht="11.4" outlineLevel="1" x14ac:dyDescent="0.25">
      <c r="A532" s="85" t="s">
        <v>6799</v>
      </c>
      <c r="B532" s="209" t="s">
        <v>4015</v>
      </c>
      <c r="C532" s="210">
        <f>INDEX('IN_RC-T'!$A$3:$AAA$865,MATCH($A532,'IN_RC-T'!$A$3:$A$865,0),MATCH(C$3,'IN_RC-T'!$A$3:$AAA$3,0))</f>
        <v>224284.56583160121</v>
      </c>
      <c r="D532" s="210">
        <f>INDEX('IN_RC-T'!$A$3:$AAA$865,MATCH($A532,'IN_RC-T'!$A$3:$A$865,0),MATCH(D$3,'IN_RC-T'!$A$3:$AAA$3,0))</f>
        <v>0</v>
      </c>
      <c r="E532" s="210">
        <f>INDEX('IN_RC-T'!$A$3:$AAA$865,MATCH($A532,'IN_RC-T'!$A$3:$A$865,0),MATCH(E$3,'IN_RC-T'!$A$3:$AAA$3,0))</f>
        <v>0</v>
      </c>
    </row>
    <row r="533" spans="1:5" ht="11.4" outlineLevel="1" x14ac:dyDescent="0.25">
      <c r="A533" s="85" t="s">
        <v>6957</v>
      </c>
      <c r="B533" s="657" t="s">
        <v>4016</v>
      </c>
      <c r="C533" s="659">
        <v>0</v>
      </c>
      <c r="D533" s="659">
        <v>0</v>
      </c>
      <c r="E533" s="659">
        <v>0</v>
      </c>
    </row>
    <row r="534" spans="1:5" ht="11.4" outlineLevel="1" x14ac:dyDescent="0.25">
      <c r="A534" s="85" t="s">
        <v>6940</v>
      </c>
      <c r="B534" s="204" t="s">
        <v>4017</v>
      </c>
      <c r="C534" s="658">
        <f>C532-C533</f>
        <v>224284.56583160121</v>
      </c>
      <c r="D534" s="658">
        <f>D532-D533</f>
        <v>0</v>
      </c>
      <c r="E534" s="658">
        <f>E532-E533</f>
        <v>0</v>
      </c>
    </row>
    <row r="535" spans="1:5" ht="11.4" outlineLevel="1" x14ac:dyDescent="0.25">
      <c r="A535" s="85" t="s">
        <v>3037</v>
      </c>
      <c r="B535" s="209" t="s">
        <v>3094</v>
      </c>
      <c r="C535" s="210">
        <f>INDEX('IN_RC-T'!$A$3:$AAA$865,MATCH($A535,'IN_RC-T'!$A$3:$A$865,0),MATCH(C$3,'IN_RC-T'!$A$3:$AAA$3,0))</f>
        <v>601543.91975124355</v>
      </c>
      <c r="D535" s="210">
        <f>INDEX('IN_RC-T'!$A$3:$AAA$865,MATCH($A535,'IN_RC-T'!$A$3:$A$865,0),MATCH(D$3,'IN_RC-T'!$A$3:$AAA$3,0))</f>
        <v>0</v>
      </c>
      <c r="E535" s="210">
        <f>INDEX('IN_RC-T'!$A$3:$AAA$865,MATCH($A535,'IN_RC-T'!$A$3:$A$865,0),MATCH(E$3,'IN_RC-T'!$A$3:$AAA$3,0))</f>
        <v>0</v>
      </c>
    </row>
    <row r="536" spans="1:5" ht="11.4" outlineLevel="1" x14ac:dyDescent="0.25">
      <c r="A536" s="85" t="s">
        <v>3399</v>
      </c>
      <c r="B536" s="660" t="s">
        <v>4018</v>
      </c>
      <c r="C536" s="661">
        <f>C506+C509+C512+C515+C518+C521+C524+C527+C530+C533</f>
        <v>0</v>
      </c>
      <c r="D536" s="661">
        <f>D506+D509+D512+D515+D518+D521+D524+D527+D530+D533</f>
        <v>0</v>
      </c>
      <c r="E536" s="661">
        <f>E506+E509+E512+E515+E518+E521+E524+E527+E530+E533</f>
        <v>0</v>
      </c>
    </row>
    <row r="537" spans="1:5" ht="11.4" outlineLevel="1" x14ac:dyDescent="0.25">
      <c r="A537" s="85" t="s">
        <v>3400</v>
      </c>
      <c r="B537" s="204" t="s">
        <v>4019</v>
      </c>
      <c r="C537" s="658">
        <f>C535-C536</f>
        <v>601543.91975124355</v>
      </c>
      <c r="D537" s="658">
        <f>D535-D536</f>
        <v>0</v>
      </c>
      <c r="E537" s="658">
        <f>E535-E536</f>
        <v>0</v>
      </c>
    </row>
    <row r="538" spans="1:5" outlineLevel="1" x14ac:dyDescent="0.2">
      <c r="B538" s="137"/>
      <c r="C538" s="137"/>
      <c r="D538" s="137"/>
      <c r="E538" s="137"/>
    </row>
    <row r="539" spans="1:5" ht="11.4" outlineLevel="1" x14ac:dyDescent="0.25">
      <c r="A539" s="85" t="s">
        <v>2405</v>
      </c>
      <c r="B539" s="209" t="s">
        <v>4020</v>
      </c>
      <c r="C539" s="210">
        <f>INDEX('IN_RC-T'!$A$3:$AAA$865,MATCH($A539,'IN_RC-T'!$A$3:$A$865,0),MATCH(C$3,'IN_RC-T'!$A$3:$AAA$3,0))</f>
        <v>0</v>
      </c>
      <c r="D539" s="210">
        <f>INDEX('IN_RC-T'!$A$3:$AAA$865,MATCH($A539,'IN_RC-T'!$A$3:$A$865,0),MATCH(D$3,'IN_RC-T'!$A$3:$AAA$3,0))</f>
        <v>0</v>
      </c>
      <c r="E539" s="210">
        <f>INDEX('IN_RC-T'!$A$3:$AAA$865,MATCH($A539,'IN_RC-T'!$A$3:$A$865,0),MATCH(E$3,'IN_RC-T'!$A$3:$AAA$3,0))</f>
        <v>0</v>
      </c>
    </row>
    <row r="540" spans="1:5" ht="11.4" outlineLevel="1" x14ac:dyDescent="0.25">
      <c r="A540" s="85" t="s">
        <v>3784</v>
      </c>
      <c r="B540" s="657" t="s">
        <v>4021</v>
      </c>
      <c r="C540" s="659">
        <v>0</v>
      </c>
      <c r="D540" s="659">
        <v>0</v>
      </c>
      <c r="E540" s="659">
        <v>0</v>
      </c>
    </row>
    <row r="541" spans="1:5" ht="11.4" outlineLevel="1" x14ac:dyDescent="0.25">
      <c r="A541" s="85" t="s">
        <v>3785</v>
      </c>
      <c r="B541" s="204" t="s">
        <v>4022</v>
      </c>
      <c r="C541" s="658">
        <f>C539-C540</f>
        <v>0</v>
      </c>
      <c r="D541" s="658">
        <f>D539-D540</f>
        <v>0</v>
      </c>
      <c r="E541" s="658">
        <f>E539-E540</f>
        <v>0</v>
      </c>
    </row>
    <row r="542" spans="1:5" ht="12" outlineLevel="1" x14ac:dyDescent="0.25">
      <c r="A542" s="85" t="s">
        <v>1854</v>
      </c>
      <c r="B542" s="209" t="s">
        <v>4023</v>
      </c>
      <c r="C542" s="210">
        <f>INDEX('IN_RC-T'!$A$3:$AAA$865,MATCH($A542,'IN_RC-T'!$A$3:$A$865,0),MATCH(C$3,'IN_RC-T'!$A$3:$AAA$3,0))</f>
        <v>0</v>
      </c>
      <c r="D542" s="210">
        <f>INDEX('IN_RC-T'!$A$3:$AAA$865,MATCH($A542,'IN_RC-T'!$A$3:$A$865,0),MATCH(D$3,'IN_RC-T'!$A$3:$AAA$3,0))</f>
        <v>0</v>
      </c>
      <c r="E542" s="210">
        <f>INDEX('IN_RC-T'!$A$3:$AAA$865,MATCH($A542,'IN_RC-T'!$A$3:$A$865,0),MATCH(E$3,'IN_RC-T'!$A$3:$AAA$3,0))</f>
        <v>0</v>
      </c>
    </row>
    <row r="543" spans="1:5" ht="12" outlineLevel="1" x14ac:dyDescent="0.25">
      <c r="A543" s="85" t="s">
        <v>3401</v>
      </c>
      <c r="B543" s="657" t="s">
        <v>4024</v>
      </c>
      <c r="C543" s="659">
        <v>0</v>
      </c>
      <c r="D543" s="659">
        <v>0</v>
      </c>
      <c r="E543" s="659">
        <v>0</v>
      </c>
    </row>
    <row r="544" spans="1:5" ht="12" outlineLevel="1" x14ac:dyDescent="0.25">
      <c r="A544" s="85" t="s">
        <v>3402</v>
      </c>
      <c r="B544" s="204" t="s">
        <v>4025</v>
      </c>
      <c r="C544" s="658">
        <f>C542-C543</f>
        <v>0</v>
      </c>
      <c r="D544" s="658">
        <f>D542-D543</f>
        <v>0</v>
      </c>
      <c r="E544" s="658">
        <f>E542-E543</f>
        <v>0</v>
      </c>
    </row>
    <row r="545" spans="1:5" ht="12" outlineLevel="1" x14ac:dyDescent="0.25">
      <c r="A545" s="85" t="s">
        <v>1780</v>
      </c>
      <c r="B545" s="209" t="s">
        <v>4026</v>
      </c>
      <c r="C545" s="210">
        <f>INDEX('IN_RC-T'!$A$3:$AAA$865,MATCH($A545,'IN_RC-T'!$A$3:$A$865,0),MATCH(C$3,'IN_RC-T'!$A$3:$AAA$3,0))</f>
        <v>0</v>
      </c>
      <c r="D545" s="210">
        <f>INDEX('IN_RC-T'!$A$3:$AAA$865,MATCH($A545,'IN_RC-T'!$A$3:$A$865,0),MATCH(D$3,'IN_RC-T'!$A$3:$AAA$3,0))</f>
        <v>0</v>
      </c>
      <c r="E545" s="210">
        <f>INDEX('IN_RC-T'!$A$3:$AAA$865,MATCH($A545,'IN_RC-T'!$A$3:$A$865,0),MATCH(E$3,'IN_RC-T'!$A$3:$AAA$3,0))</f>
        <v>0</v>
      </c>
    </row>
    <row r="546" spans="1:5" ht="12" outlineLevel="1" x14ac:dyDescent="0.25">
      <c r="A546" s="85" t="s">
        <v>3786</v>
      </c>
      <c r="B546" s="664" t="s">
        <v>4027</v>
      </c>
      <c r="C546" s="655">
        <v>0</v>
      </c>
      <c r="D546" s="655">
        <v>0</v>
      </c>
      <c r="E546" s="655">
        <v>0</v>
      </c>
    </row>
    <row r="547" spans="1:5" ht="12" outlineLevel="1" x14ac:dyDescent="0.25">
      <c r="A547" s="85" t="s">
        <v>3787</v>
      </c>
      <c r="B547" s="204" t="s">
        <v>4028</v>
      </c>
      <c r="C547" s="658">
        <f>C545-C546</f>
        <v>0</v>
      </c>
      <c r="D547" s="658">
        <f>D545-D546</f>
        <v>0</v>
      </c>
      <c r="E547" s="658">
        <f>E545-E546</f>
        <v>0</v>
      </c>
    </row>
    <row r="548" spans="1:5" ht="12" outlineLevel="1" x14ac:dyDescent="0.25">
      <c r="A548" s="85" t="s">
        <v>2601</v>
      </c>
      <c r="B548" s="209" t="s">
        <v>4029</v>
      </c>
      <c r="C548" s="210">
        <f>INDEX('IN_RC-T'!$A$3:$AAA$865,MATCH($A548,'IN_RC-T'!$A$3:$A$865,0),MATCH(C$3,'IN_RC-T'!$A$3:$AAA$3,0))</f>
        <v>0</v>
      </c>
      <c r="D548" s="210">
        <f>INDEX('IN_RC-T'!$A$3:$AAA$865,MATCH($A548,'IN_RC-T'!$A$3:$A$865,0),MATCH(D$3,'IN_RC-T'!$A$3:$AAA$3,0))</f>
        <v>0</v>
      </c>
      <c r="E548" s="210">
        <f>INDEX('IN_RC-T'!$A$3:$AAA$865,MATCH($A548,'IN_RC-T'!$A$3:$A$865,0),MATCH(E$3,'IN_RC-T'!$A$3:$AAA$3,0))</f>
        <v>0</v>
      </c>
    </row>
    <row r="549" spans="1:5" ht="12" outlineLevel="1" x14ac:dyDescent="0.25">
      <c r="A549" s="85" t="s">
        <v>3788</v>
      </c>
      <c r="B549" s="664" t="s">
        <v>4030</v>
      </c>
      <c r="C549" s="655">
        <v>0</v>
      </c>
      <c r="D549" s="655">
        <v>0</v>
      </c>
      <c r="E549" s="655">
        <v>0</v>
      </c>
    </row>
    <row r="550" spans="1:5" ht="12" outlineLevel="1" x14ac:dyDescent="0.25">
      <c r="A550" s="85" t="s">
        <v>3789</v>
      </c>
      <c r="B550" s="204" t="s">
        <v>4031</v>
      </c>
      <c r="C550" s="658">
        <f>C548-C549</f>
        <v>0</v>
      </c>
      <c r="D550" s="658">
        <f>D548-D549</f>
        <v>0</v>
      </c>
      <c r="E550" s="658">
        <f>E548-E549</f>
        <v>0</v>
      </c>
    </row>
    <row r="551" spans="1:5" ht="12" outlineLevel="1" x14ac:dyDescent="0.25">
      <c r="A551" s="85" t="s">
        <v>2009</v>
      </c>
      <c r="B551" s="209" t="s">
        <v>3734</v>
      </c>
      <c r="C551" s="210">
        <f>INDEX('IN_RC-T'!$A$3:$AAA$865,MATCH($A551,'IN_RC-T'!$A$3:$A$865,0),MATCH(C$3,'IN_RC-T'!$A$3:$AAA$3,0))</f>
        <v>0</v>
      </c>
      <c r="D551" s="210">
        <f>INDEX('IN_RC-T'!$A$3:$AAA$865,MATCH($A551,'IN_RC-T'!$A$3:$A$865,0),MATCH(D$3,'IN_RC-T'!$A$3:$AAA$3,0))</f>
        <v>0</v>
      </c>
      <c r="E551" s="210">
        <f>INDEX('IN_RC-T'!$A$3:$AAA$865,MATCH($A551,'IN_RC-T'!$A$3:$A$865,0),MATCH(E$3,'IN_RC-T'!$A$3:$AAA$3,0))</f>
        <v>0</v>
      </c>
    </row>
    <row r="552" spans="1:5" ht="12" outlineLevel="1" x14ac:dyDescent="0.25">
      <c r="A552" s="85" t="s">
        <v>3790</v>
      </c>
      <c r="B552" s="664" t="s">
        <v>3669</v>
      </c>
      <c r="C552" s="655">
        <v>0</v>
      </c>
      <c r="D552" s="655">
        <v>0</v>
      </c>
      <c r="E552" s="655">
        <v>0</v>
      </c>
    </row>
    <row r="553" spans="1:5" ht="12" outlineLevel="1" x14ac:dyDescent="0.25">
      <c r="A553" s="85" t="s">
        <v>3791</v>
      </c>
      <c r="B553" s="204" t="s">
        <v>3704</v>
      </c>
      <c r="C553" s="658">
        <f>C551-C552</f>
        <v>0</v>
      </c>
      <c r="D553" s="658">
        <f>D551-D552</f>
        <v>0</v>
      </c>
      <c r="E553" s="658">
        <f>E551-E552</f>
        <v>0</v>
      </c>
    </row>
    <row r="554" spans="1:5" ht="12" outlineLevel="1" x14ac:dyDescent="0.25">
      <c r="A554" s="85" t="s">
        <v>2726</v>
      </c>
      <c r="B554" s="209" t="s">
        <v>4032</v>
      </c>
      <c r="C554" s="210">
        <f>INDEX('IN_RC-T'!$A$3:$AAA$865,MATCH($A554,'IN_RC-T'!$A$3:$A$865,0),MATCH(C$3,'IN_RC-T'!$A$3:$AAA$3,0))</f>
        <v>0</v>
      </c>
      <c r="D554" s="210">
        <f>INDEX('IN_RC-T'!$A$3:$AAA$865,MATCH($A554,'IN_RC-T'!$A$3:$A$865,0),MATCH(D$3,'IN_RC-T'!$A$3:$AAA$3,0))</f>
        <v>0</v>
      </c>
      <c r="E554" s="210">
        <f>INDEX('IN_RC-T'!$A$3:$AAA$865,MATCH($A554,'IN_RC-T'!$A$3:$A$865,0),MATCH(E$3,'IN_RC-T'!$A$3:$AAA$3,0))</f>
        <v>0</v>
      </c>
    </row>
    <row r="555" spans="1:5" ht="12" outlineLevel="1" x14ac:dyDescent="0.25">
      <c r="A555" s="85" t="s">
        <v>3403</v>
      </c>
      <c r="B555" s="657" t="s">
        <v>4033</v>
      </c>
      <c r="C555" s="659">
        <v>0</v>
      </c>
      <c r="D555" s="659">
        <v>0</v>
      </c>
      <c r="E555" s="659">
        <v>0</v>
      </c>
    </row>
    <row r="556" spans="1:5" ht="12" outlineLevel="1" x14ac:dyDescent="0.25">
      <c r="A556" s="85" t="s">
        <v>3404</v>
      </c>
      <c r="B556" s="204" t="s">
        <v>4034</v>
      </c>
      <c r="C556" s="658">
        <f>C554-C555</f>
        <v>0</v>
      </c>
      <c r="D556" s="658">
        <f>D554-D555</f>
        <v>0</v>
      </c>
      <c r="E556" s="658">
        <f>E554-E555</f>
        <v>0</v>
      </c>
    </row>
    <row r="557" spans="1:5" ht="11.4" outlineLevel="1" x14ac:dyDescent="0.25">
      <c r="A557" s="85" t="s">
        <v>2799</v>
      </c>
      <c r="B557" s="209" t="s">
        <v>4035</v>
      </c>
      <c r="C557" s="210">
        <f>INDEX('IN_RC-T'!$A$3:$AAA$865,MATCH($A557,'IN_RC-T'!$A$3:$A$865,0),MATCH(C$3,'IN_RC-T'!$A$3:$AAA$3,0))</f>
        <v>0</v>
      </c>
      <c r="D557" s="210">
        <f>INDEX('IN_RC-T'!$A$3:$AAA$865,MATCH($A557,'IN_RC-T'!$A$3:$A$865,0),MATCH(D$3,'IN_RC-T'!$A$3:$AAA$3,0))</f>
        <v>0</v>
      </c>
      <c r="E557" s="210">
        <f>INDEX('IN_RC-T'!$A$3:$AAA$865,MATCH($A557,'IN_RC-T'!$A$3:$A$865,0),MATCH(E$3,'IN_RC-T'!$A$3:$AAA$3,0))</f>
        <v>0</v>
      </c>
    </row>
    <row r="558" spans="1:5" ht="12" outlineLevel="1" x14ac:dyDescent="0.25">
      <c r="A558" s="85" t="s">
        <v>3792</v>
      </c>
      <c r="B558" s="657" t="s">
        <v>4036</v>
      </c>
      <c r="C558" s="659">
        <v>0</v>
      </c>
      <c r="D558" s="659">
        <v>0</v>
      </c>
      <c r="E558" s="659">
        <v>0</v>
      </c>
    </row>
    <row r="559" spans="1:5" ht="12" outlineLevel="1" x14ac:dyDescent="0.25">
      <c r="A559" s="85" t="s">
        <v>3793</v>
      </c>
      <c r="B559" s="204" t="s">
        <v>4037</v>
      </c>
      <c r="C559" s="658">
        <f>C557-C558</f>
        <v>0</v>
      </c>
      <c r="D559" s="658">
        <f>D557-D558</f>
        <v>0</v>
      </c>
      <c r="E559" s="658">
        <f>E557-E558</f>
        <v>0</v>
      </c>
    </row>
    <row r="560" spans="1:5" ht="11.4" outlineLevel="1" x14ac:dyDescent="0.25">
      <c r="A560" s="85" t="s">
        <v>2872</v>
      </c>
      <c r="B560" s="209" t="s">
        <v>4038</v>
      </c>
      <c r="C560" s="210">
        <f>INDEX('IN_RC-T'!$A$3:$AAA$865,MATCH($A560,'IN_RC-T'!$A$3:$A$865,0),MATCH(C$3,'IN_RC-T'!$A$3:$AAA$3,0))</f>
        <v>0</v>
      </c>
      <c r="D560" s="210">
        <f>INDEX('IN_RC-T'!$A$3:$AAA$865,MATCH($A560,'IN_RC-T'!$A$3:$A$865,0),MATCH(D$3,'IN_RC-T'!$A$3:$AAA$3,0))</f>
        <v>0</v>
      </c>
      <c r="E560" s="210">
        <f>INDEX('IN_RC-T'!$A$3:$AAA$865,MATCH($A560,'IN_RC-T'!$A$3:$A$865,0),MATCH(E$3,'IN_RC-T'!$A$3:$AAA$3,0))</f>
        <v>0</v>
      </c>
    </row>
    <row r="561" spans="1:5" ht="12" outlineLevel="1" x14ac:dyDescent="0.25">
      <c r="A561" s="85" t="s">
        <v>3794</v>
      </c>
      <c r="B561" s="664" t="s">
        <v>4039</v>
      </c>
      <c r="C561" s="655">
        <v>0</v>
      </c>
      <c r="D561" s="655">
        <v>0</v>
      </c>
      <c r="E561" s="655">
        <v>0</v>
      </c>
    </row>
    <row r="562" spans="1:5" ht="12" outlineLevel="1" x14ac:dyDescent="0.25">
      <c r="A562" s="85" t="s">
        <v>3795</v>
      </c>
      <c r="B562" s="204" t="s">
        <v>4040</v>
      </c>
      <c r="C562" s="658">
        <f>C560-C561</f>
        <v>0</v>
      </c>
      <c r="D562" s="658">
        <f>D560-D561</f>
        <v>0</v>
      </c>
      <c r="E562" s="658">
        <f>E560-E561</f>
        <v>0</v>
      </c>
    </row>
    <row r="563" spans="1:5" ht="12" outlineLevel="1" x14ac:dyDescent="0.25">
      <c r="A563" s="85" t="s">
        <v>2082</v>
      </c>
      <c r="B563" s="209" t="s">
        <v>4041</v>
      </c>
      <c r="C563" s="210">
        <f>INDEX('IN_RC-T'!$A$3:$AAA$865,MATCH($A563,'IN_RC-T'!$A$3:$A$865,0),MATCH(C$3,'IN_RC-T'!$A$3:$AAA$3,0))</f>
        <v>0</v>
      </c>
      <c r="D563" s="210">
        <f>INDEX('IN_RC-T'!$A$3:$AAA$865,MATCH($A563,'IN_RC-T'!$A$3:$A$865,0),MATCH(D$3,'IN_RC-T'!$A$3:$AAA$3,0))</f>
        <v>0</v>
      </c>
      <c r="E563" s="210">
        <f>INDEX('IN_RC-T'!$A$3:$AAA$865,MATCH($A563,'IN_RC-T'!$A$3:$A$865,0),MATCH(E$3,'IN_RC-T'!$A$3:$AAA$3,0))</f>
        <v>0</v>
      </c>
    </row>
    <row r="564" spans="1:5" ht="12" outlineLevel="1" x14ac:dyDescent="0.25">
      <c r="A564" s="85" t="s">
        <v>3796</v>
      </c>
      <c r="B564" s="657" t="s">
        <v>4042</v>
      </c>
      <c r="C564" s="659">
        <v>0</v>
      </c>
      <c r="D564" s="659">
        <v>0</v>
      </c>
      <c r="E564" s="659">
        <v>0</v>
      </c>
    </row>
    <row r="565" spans="1:5" ht="12" outlineLevel="1" x14ac:dyDescent="0.25">
      <c r="A565" s="85" t="s">
        <v>3797</v>
      </c>
      <c r="B565" s="204" t="s">
        <v>4043</v>
      </c>
      <c r="C565" s="658">
        <f>C563-C564</f>
        <v>0</v>
      </c>
      <c r="D565" s="658">
        <f>D563-D564</f>
        <v>0</v>
      </c>
      <c r="E565" s="658">
        <f>E563-E564</f>
        <v>0</v>
      </c>
    </row>
    <row r="566" spans="1:5" ht="11.4" outlineLevel="1" x14ac:dyDescent="0.25">
      <c r="A566" s="85" t="s">
        <v>6800</v>
      </c>
      <c r="B566" s="209" t="s">
        <v>4044</v>
      </c>
      <c r="C566" s="210">
        <f>INDEX('IN_RC-T'!$A$3:$AAA$865,MATCH($A566,'IN_RC-T'!$A$3:$A$865,0),MATCH(C$3,'IN_RC-T'!$A$3:$AAA$3,0))</f>
        <v>0</v>
      </c>
      <c r="D566" s="210">
        <f>INDEX('IN_RC-T'!$A$3:$AAA$865,MATCH($A566,'IN_RC-T'!$A$3:$A$865,0),MATCH(D$3,'IN_RC-T'!$A$3:$AAA$3,0))</f>
        <v>0</v>
      </c>
      <c r="E566" s="210">
        <f>INDEX('IN_RC-T'!$A$3:$AAA$865,MATCH($A566,'IN_RC-T'!$A$3:$A$865,0),MATCH(E$3,'IN_RC-T'!$A$3:$AAA$3,0))</f>
        <v>0</v>
      </c>
    </row>
    <row r="567" spans="1:5" ht="11.4" outlineLevel="1" x14ac:dyDescent="0.25">
      <c r="A567" s="85" t="s">
        <v>6960</v>
      </c>
      <c r="B567" s="657" t="s">
        <v>4045</v>
      </c>
      <c r="C567" s="659">
        <v>0</v>
      </c>
      <c r="D567" s="659">
        <v>0</v>
      </c>
      <c r="E567" s="659">
        <v>0</v>
      </c>
    </row>
    <row r="568" spans="1:5" ht="11.4" outlineLevel="1" x14ac:dyDescent="0.25">
      <c r="A568" s="85" t="s">
        <v>6948</v>
      </c>
      <c r="B568" s="204" t="s">
        <v>4046</v>
      </c>
      <c r="C568" s="658">
        <f>C566-C567</f>
        <v>0</v>
      </c>
      <c r="D568" s="658">
        <f>D566-D567</f>
        <v>0</v>
      </c>
      <c r="E568" s="658">
        <f>E566-E567</f>
        <v>0</v>
      </c>
    </row>
    <row r="569" spans="1:5" ht="11.4" outlineLevel="1" x14ac:dyDescent="0.25">
      <c r="A569" s="85" t="s">
        <v>3056</v>
      </c>
      <c r="B569" s="209" t="s">
        <v>3095</v>
      </c>
      <c r="C569" s="210">
        <f>INDEX('IN_RC-T'!$A$3:$AAA$865,MATCH($A569,'IN_RC-T'!$A$3:$A$865,0),MATCH(C$3,'IN_RC-T'!$A$3:$AAA$3,0))</f>
        <v>0</v>
      </c>
      <c r="D569" s="210">
        <f>INDEX('IN_RC-T'!$A$3:$AAA$865,MATCH($A569,'IN_RC-T'!$A$3:$A$865,0),MATCH(D$3,'IN_RC-T'!$A$3:$AAA$3,0))</f>
        <v>0</v>
      </c>
      <c r="E569" s="210">
        <f>INDEX('IN_RC-T'!$A$3:$AAA$865,MATCH($A569,'IN_RC-T'!$A$3:$A$865,0),MATCH(E$3,'IN_RC-T'!$A$3:$AAA$3,0))</f>
        <v>0</v>
      </c>
    </row>
    <row r="570" spans="1:5" ht="11.4" outlineLevel="1" x14ac:dyDescent="0.25">
      <c r="A570" s="85" t="s">
        <v>3405</v>
      </c>
      <c r="B570" s="660" t="s">
        <v>4047</v>
      </c>
      <c r="C570" s="661">
        <f>C540+C543+C546+C549+C552+C555+C558+C561+C564+C567</f>
        <v>0</v>
      </c>
      <c r="D570" s="661">
        <f>D540+D543+D546+D549+D552+D555+D558+D561+D564+D567</f>
        <v>0</v>
      </c>
      <c r="E570" s="661">
        <f>E540+E543+E546+E549+E552+E555+E558+E561+E564+E567</f>
        <v>0</v>
      </c>
    </row>
    <row r="571" spans="1:5" ht="11.4" outlineLevel="1" x14ac:dyDescent="0.25">
      <c r="A571" s="85" t="s">
        <v>3406</v>
      </c>
      <c r="B571" s="204" t="s">
        <v>4048</v>
      </c>
      <c r="C571" s="658">
        <f>C569-C570</f>
        <v>0</v>
      </c>
      <c r="D571" s="658">
        <f>D569-D570</f>
        <v>0</v>
      </c>
      <c r="E571" s="658">
        <f>E569-E570</f>
        <v>0</v>
      </c>
    </row>
    <row r="572" spans="1:5" outlineLevel="1" x14ac:dyDescent="0.2">
      <c r="B572" s="137"/>
      <c r="C572" s="137"/>
      <c r="D572" s="137"/>
      <c r="E572" s="137"/>
    </row>
    <row r="573" spans="1:5" ht="11.4" outlineLevel="1" x14ac:dyDescent="0.25">
      <c r="A573" s="85" t="s">
        <v>3407</v>
      </c>
      <c r="B573" s="209" t="s">
        <v>4049</v>
      </c>
      <c r="C573" s="210">
        <f>INDEX(PEF_COM_27!$A$3:$AAA$50,MATCH($A573,PEF_COM_27!$A$3:$A$50,0),MATCH(C$3,PEF_COM_27!$A$3:$AAA$3,0))</f>
        <v>0</v>
      </c>
      <c r="D573" s="210">
        <f>INDEX(PEF_COM_27!$A$3:$AAA$50,MATCH($A573,PEF_COM_27!$A$3:$A$50,0),MATCH(D$3,PEF_COM_27!$A$3:$AAA$3,0))</f>
        <v>0</v>
      </c>
      <c r="E573" s="210">
        <f>INDEX(PEF_COM_27!$A$3:$AAA$50,MATCH($A573,PEF_COM_27!$A$3:$A$50,0),MATCH(E$3,PEF_COM_27!$A$3:$AAA$3,0))</f>
        <v>0</v>
      </c>
    </row>
    <row r="574" spans="1:5" ht="11.4" outlineLevel="1" x14ac:dyDescent="0.25">
      <c r="A574" s="85" t="s">
        <v>3408</v>
      </c>
      <c r="B574" s="657" t="s">
        <v>4050</v>
      </c>
      <c r="C574" s="659">
        <v>0</v>
      </c>
      <c r="D574" s="659">
        <v>0</v>
      </c>
      <c r="E574" s="659">
        <v>0</v>
      </c>
    </row>
    <row r="575" spans="1:5" ht="11.4" outlineLevel="1" x14ac:dyDescent="0.25">
      <c r="A575" s="85" t="s">
        <v>3409</v>
      </c>
      <c r="B575" s="204" t="s">
        <v>4051</v>
      </c>
      <c r="C575" s="658">
        <f>C573-C574</f>
        <v>0</v>
      </c>
      <c r="D575" s="658">
        <f>D573-D574</f>
        <v>0</v>
      </c>
      <c r="E575" s="658">
        <f>E573-E574</f>
        <v>0</v>
      </c>
    </row>
    <row r="576" spans="1:5" outlineLevel="1" x14ac:dyDescent="0.2">
      <c r="B576" s="137"/>
      <c r="C576" s="137"/>
      <c r="D576" s="137"/>
      <c r="E576" s="137"/>
    </row>
    <row r="577" spans="1:5" ht="11.4" outlineLevel="1" x14ac:dyDescent="0.25">
      <c r="A577" s="85" t="s">
        <v>3652</v>
      </c>
      <c r="B577" s="209" t="s">
        <v>4985</v>
      </c>
      <c r="C577" s="210">
        <f>C411+C418+C425+C432+C439+C446+C465+C485+C492+C499+C536</f>
        <v>0</v>
      </c>
      <c r="D577" s="210">
        <f>D411+D418+D425+D432+D439+D446+D465+D485+D492+D499+D536</f>
        <v>0</v>
      </c>
      <c r="E577" s="210">
        <f>E411+E418+E425+E432+E439+E446+E465+E485+E492+E499+E536</f>
        <v>0</v>
      </c>
    </row>
    <row r="578" spans="1:5" ht="11.4" outlineLevel="1" x14ac:dyDescent="0.25">
      <c r="A578" s="85" t="s">
        <v>3653</v>
      </c>
      <c r="B578" s="527" t="s">
        <v>4986</v>
      </c>
      <c r="C578" s="663">
        <f>C414+C421+C428+C435+C442+C449+C481+C488+C495+C502+C570+C574</f>
        <v>0</v>
      </c>
      <c r="D578" s="663">
        <f>D414+D421+D428+D435+D442+D449+D481+D488+D495+D502+D570+D574</f>
        <v>0</v>
      </c>
      <c r="E578" s="663">
        <f>E414+E421+E428+E435+E442+E449+E481+E488+E495+E502+E570+E574</f>
        <v>0</v>
      </c>
    </row>
    <row r="579" spans="1:5" ht="11.4" outlineLevel="1" x14ac:dyDescent="0.25">
      <c r="A579" s="85" t="s">
        <v>3654</v>
      </c>
      <c r="B579" s="204" t="s">
        <v>4987</v>
      </c>
      <c r="C579" s="658">
        <f>C577+C578</f>
        <v>0</v>
      </c>
      <c r="D579" s="658">
        <f>D577+D578</f>
        <v>0</v>
      </c>
      <c r="E579" s="658">
        <f>E577+E578</f>
        <v>0</v>
      </c>
    </row>
    <row r="580" spans="1:5" x14ac:dyDescent="0.2">
      <c r="B580" s="137"/>
      <c r="C580" s="137"/>
      <c r="D580" s="137"/>
      <c r="E580" s="137"/>
    </row>
    <row r="581" spans="1:5" x14ac:dyDescent="0.2">
      <c r="B581" s="79">
        <v>2028</v>
      </c>
    </row>
    <row r="582" spans="1:5" ht="11.4" outlineLevel="1" x14ac:dyDescent="0.25">
      <c r="A582" s="85" t="s">
        <v>4052</v>
      </c>
      <c r="B582" s="209" t="s">
        <v>4462</v>
      </c>
      <c r="C582" s="210">
        <f>INDEX(PEF_GEST_28!$A$3:$AAA$50,MATCH($A582,PEF_GEST_28!$A$3:$A$50,0),MATCH(C$3,PEF_GEST_28!$A$3:$AAA$3,0))</f>
        <v>1157506.4023600002</v>
      </c>
      <c r="D582" s="210">
        <f>INDEX(PEF_GEST_28!$A$3:$AAA$50,MATCH($A582,PEF_GEST_28!$A$3:$A$50,0),MATCH(D$3,PEF_GEST_28!$A$3:$AAA$3,0))</f>
        <v>121561.60940880001</v>
      </c>
      <c r="E582" s="210">
        <f>INDEX(PEF_GEST_28!$A$3:$AAA$50,MATCH($A582,PEF_GEST_28!$A$3:$A$50,0),MATCH(E$3,PEF_GEST_28!$A$3:$AAA$3,0))</f>
        <v>105869.11500000001</v>
      </c>
    </row>
    <row r="583" spans="1:5" ht="11.4" outlineLevel="1" x14ac:dyDescent="0.25">
      <c r="A583" s="85" t="s">
        <v>4053</v>
      </c>
      <c r="B583" s="657" t="s">
        <v>4463</v>
      </c>
      <c r="C583" s="659">
        <v>0</v>
      </c>
      <c r="D583" s="659">
        <v>0</v>
      </c>
      <c r="E583" s="659">
        <v>0</v>
      </c>
    </row>
    <row r="584" spans="1:5" ht="11.4" outlineLevel="1" x14ac:dyDescent="0.25">
      <c r="A584" s="85" t="s">
        <v>4054</v>
      </c>
      <c r="B584" s="204" t="s">
        <v>4464</v>
      </c>
      <c r="C584" s="658">
        <f>C582-C583</f>
        <v>1157506.4023600002</v>
      </c>
      <c r="D584" s="658">
        <f>D582-D583</f>
        <v>121561.60940880001</v>
      </c>
      <c r="E584" s="658">
        <f>E582-E583</f>
        <v>105869.11500000001</v>
      </c>
    </row>
    <row r="585" spans="1:5" ht="11.4" outlineLevel="1" x14ac:dyDescent="0.25">
      <c r="A585" s="85" t="s">
        <v>4055</v>
      </c>
      <c r="B585" s="209" t="s">
        <v>4465</v>
      </c>
      <c r="C585" s="210">
        <f>INDEX(PEF_COM_28!$A$3:$AAA$50,MATCH($A585,PEF_COM_28!$A$3:$A$50,0),MATCH(C$3,PEF_COM_28!$A$3:$AAA$3,0))</f>
        <v>0</v>
      </c>
      <c r="D585" s="210">
        <f>INDEX(PEF_COM_28!$A$3:$AAA$50,MATCH($A585,PEF_COM_28!$A$3:$A$50,0),MATCH(D$3,PEF_COM_28!$A$3:$AAA$3,0))</f>
        <v>0</v>
      </c>
      <c r="E585" s="210">
        <f>INDEX(PEF_COM_28!$A$3:$AAA$50,MATCH($A585,PEF_COM_28!$A$3:$A$50,0),MATCH(E$3,PEF_COM_28!$A$3:$AAA$3,0))</f>
        <v>0</v>
      </c>
    </row>
    <row r="586" spans="1:5" ht="11.4" outlineLevel="1" x14ac:dyDescent="0.25">
      <c r="A586" s="85" t="s">
        <v>4056</v>
      </c>
      <c r="B586" s="657" t="s">
        <v>4466</v>
      </c>
      <c r="C586" s="659">
        <v>0</v>
      </c>
      <c r="D586" s="659">
        <v>0</v>
      </c>
      <c r="E586" s="659">
        <v>0</v>
      </c>
    </row>
    <row r="587" spans="1:5" ht="11.4" outlineLevel="1" x14ac:dyDescent="0.25">
      <c r="A587" s="85" t="s">
        <v>4057</v>
      </c>
      <c r="B587" s="204" t="s">
        <v>4467</v>
      </c>
      <c r="C587" s="658">
        <f>C585-C586</f>
        <v>0</v>
      </c>
      <c r="D587" s="658">
        <f>D585-D586</f>
        <v>0</v>
      </c>
      <c r="E587" s="658">
        <f>E585-E586</f>
        <v>0</v>
      </c>
    </row>
    <row r="588" spans="1:5" outlineLevel="1" x14ac:dyDescent="0.2">
      <c r="B588" s="137"/>
      <c r="C588" s="662"/>
      <c r="D588" s="662"/>
      <c r="E588" s="662"/>
    </row>
    <row r="589" spans="1:5" ht="11.4" outlineLevel="1" x14ac:dyDescent="0.25">
      <c r="A589" s="85" t="s">
        <v>4058</v>
      </c>
      <c r="B589" s="209" t="s">
        <v>4468</v>
      </c>
      <c r="C589" s="210">
        <f>INDEX(PEF_GEST_28!$A$3:$AAA$50,MATCH($A589,PEF_GEST_28!$A$3:$A$50,0),MATCH(C$3,PEF_GEST_28!$A$3:$AAA$3,0))</f>
        <v>0</v>
      </c>
      <c r="D589" s="210">
        <f>INDEX(PEF_GEST_28!$A$3:$AAA$50,MATCH($A589,PEF_GEST_28!$A$3:$A$50,0),MATCH(D$3,PEF_GEST_28!$A$3:$AAA$3,0))</f>
        <v>189.21991440000002</v>
      </c>
      <c r="E589" s="210">
        <f>INDEX(PEF_GEST_28!$A$3:$AAA$50,MATCH($A589,PEF_GEST_28!$A$3:$A$50,0),MATCH(E$3,PEF_GEST_28!$A$3:$AAA$3,0))</f>
        <v>190794.41436</v>
      </c>
    </row>
    <row r="590" spans="1:5" ht="11.4" outlineLevel="1" x14ac:dyDescent="0.25">
      <c r="A590" s="85" t="s">
        <v>4059</v>
      </c>
      <c r="B590" s="657" t="s">
        <v>4469</v>
      </c>
      <c r="C590" s="659">
        <v>0</v>
      </c>
      <c r="D590" s="659">
        <v>0</v>
      </c>
      <c r="E590" s="659">
        <v>0</v>
      </c>
    </row>
    <row r="591" spans="1:5" ht="11.4" outlineLevel="1" x14ac:dyDescent="0.25">
      <c r="A591" s="85" t="s">
        <v>4060</v>
      </c>
      <c r="B591" s="204" t="s">
        <v>4470</v>
      </c>
      <c r="C591" s="658">
        <f>C589-C590</f>
        <v>0</v>
      </c>
      <c r="D591" s="658">
        <f>D589-D590</f>
        <v>189.21991440000002</v>
      </c>
      <c r="E591" s="658">
        <f>E589-E590</f>
        <v>190794.41436</v>
      </c>
    </row>
    <row r="592" spans="1:5" ht="11.4" outlineLevel="1" x14ac:dyDescent="0.25">
      <c r="A592" s="85" t="s">
        <v>4061</v>
      </c>
      <c r="B592" s="209" t="s">
        <v>4471</v>
      </c>
      <c r="C592" s="210">
        <f>INDEX(PEF_COM_28!$A$3:$AAA$50,MATCH($A592,PEF_COM_28!$A$3:$A$50,0),MATCH(C$3,PEF_COM_28!$A$3:$AAA$3,0))</f>
        <v>0</v>
      </c>
      <c r="D592" s="210">
        <f>INDEX(PEF_COM_28!$A$3:$AAA$50,MATCH($A592,PEF_COM_28!$A$3:$A$50,0),MATCH(D$3,PEF_COM_28!$A$3:$AAA$3,0))</f>
        <v>0</v>
      </c>
      <c r="E592" s="210">
        <f>INDEX(PEF_COM_28!$A$3:$AAA$50,MATCH($A592,PEF_COM_28!$A$3:$A$50,0),MATCH(E$3,PEF_COM_28!$A$3:$AAA$3,0))</f>
        <v>0</v>
      </c>
    </row>
    <row r="593" spans="1:5" ht="11.4" outlineLevel="1" x14ac:dyDescent="0.25">
      <c r="A593" s="85" t="s">
        <v>4062</v>
      </c>
      <c r="B593" s="657" t="s">
        <v>4472</v>
      </c>
      <c r="C593" s="659">
        <v>0</v>
      </c>
      <c r="D593" s="659">
        <v>0</v>
      </c>
      <c r="E593" s="659">
        <v>0</v>
      </c>
    </row>
    <row r="594" spans="1:5" ht="11.4" outlineLevel="1" x14ac:dyDescent="0.25">
      <c r="A594" s="85" t="s">
        <v>4063</v>
      </c>
      <c r="B594" s="204" t="s">
        <v>4473</v>
      </c>
      <c r="C594" s="658">
        <f>C592-C593</f>
        <v>0</v>
      </c>
      <c r="D594" s="658">
        <f>D592-D593</f>
        <v>0</v>
      </c>
      <c r="E594" s="658">
        <f>E592-E593</f>
        <v>0</v>
      </c>
    </row>
    <row r="595" spans="1:5" outlineLevel="1" x14ac:dyDescent="0.2">
      <c r="B595" s="137"/>
      <c r="C595" s="662"/>
      <c r="D595" s="662"/>
      <c r="E595" s="662"/>
    </row>
    <row r="596" spans="1:5" ht="11.4" outlineLevel="1" x14ac:dyDescent="0.25">
      <c r="A596" s="85" t="s">
        <v>4064</v>
      </c>
      <c r="B596" s="209" t="s">
        <v>4474</v>
      </c>
      <c r="C596" s="210">
        <f>INDEX(PEF_GEST_28!$A$3:$AAA$50,MATCH($A596,PEF_GEST_28!$A$3:$A$50,0),MATCH(C$3,PEF_GEST_28!$A$3:$AAA$3,0))</f>
        <v>2683893.7774</v>
      </c>
      <c r="D596" s="210">
        <f>INDEX(PEF_GEST_28!$A$3:$AAA$50,MATCH($A596,PEF_GEST_28!$A$3:$A$50,0),MATCH(D$3,PEF_GEST_28!$A$3:$AAA$3,0))</f>
        <v>564604.21989840001</v>
      </c>
      <c r="E596" s="210">
        <f>INDEX(PEF_GEST_28!$A$3:$AAA$50,MATCH($A596,PEF_GEST_28!$A$3:$A$50,0),MATCH(E$3,PEF_GEST_28!$A$3:$AAA$3,0))</f>
        <v>0</v>
      </c>
    </row>
    <row r="597" spans="1:5" ht="11.4" outlineLevel="1" x14ac:dyDescent="0.25">
      <c r="A597" s="85" t="s">
        <v>4065</v>
      </c>
      <c r="B597" s="657" t="s">
        <v>4475</v>
      </c>
      <c r="C597" s="659">
        <v>0</v>
      </c>
      <c r="D597" s="659">
        <v>0</v>
      </c>
      <c r="E597" s="659">
        <v>0</v>
      </c>
    </row>
    <row r="598" spans="1:5" ht="11.4" outlineLevel="1" x14ac:dyDescent="0.25">
      <c r="A598" s="85" t="s">
        <v>4066</v>
      </c>
      <c r="B598" s="204" t="s">
        <v>4476</v>
      </c>
      <c r="C598" s="658">
        <f>C596-C597</f>
        <v>2683893.7774</v>
      </c>
      <c r="D598" s="658">
        <f>D596-D597</f>
        <v>564604.21989840001</v>
      </c>
      <c r="E598" s="658">
        <f>E596-E597</f>
        <v>0</v>
      </c>
    </row>
    <row r="599" spans="1:5" ht="11.4" outlineLevel="1" x14ac:dyDescent="0.25">
      <c r="A599" s="85" t="s">
        <v>4067</v>
      </c>
      <c r="B599" s="209" t="s">
        <v>4477</v>
      </c>
      <c r="C599" s="210">
        <f>INDEX(PEF_COM_28!$A$3:$AAA$50,MATCH($A599,PEF_COM_28!$A$3:$A$50,0),MATCH(C$3,PEF_COM_28!$A$3:$AAA$3,0))</f>
        <v>0</v>
      </c>
      <c r="D599" s="210">
        <f>INDEX(PEF_COM_28!$A$3:$AAA$50,MATCH($A599,PEF_COM_28!$A$3:$A$50,0),MATCH(D$3,PEF_COM_28!$A$3:$AAA$3,0))</f>
        <v>0</v>
      </c>
      <c r="E599" s="210">
        <f>INDEX(PEF_COM_28!$A$3:$AAA$50,MATCH($A599,PEF_COM_28!$A$3:$A$50,0),MATCH(E$3,PEF_COM_28!$A$3:$AAA$3,0))</f>
        <v>0</v>
      </c>
    </row>
    <row r="600" spans="1:5" ht="11.4" outlineLevel="1" x14ac:dyDescent="0.25">
      <c r="A600" s="85" t="s">
        <v>4068</v>
      </c>
      <c r="B600" s="657" t="s">
        <v>4478</v>
      </c>
      <c r="C600" s="659">
        <v>0</v>
      </c>
      <c r="D600" s="659">
        <v>0</v>
      </c>
      <c r="E600" s="659">
        <v>0</v>
      </c>
    </row>
    <row r="601" spans="1:5" ht="11.4" outlineLevel="1" x14ac:dyDescent="0.25">
      <c r="A601" s="85" t="s">
        <v>4069</v>
      </c>
      <c r="B601" s="204" t="s">
        <v>4479</v>
      </c>
      <c r="C601" s="658">
        <f>C599-C600</f>
        <v>0</v>
      </c>
      <c r="D601" s="658">
        <f>D599-D600</f>
        <v>0</v>
      </c>
      <c r="E601" s="658">
        <f>E599-E600</f>
        <v>0</v>
      </c>
    </row>
    <row r="602" spans="1:5" outlineLevel="1" x14ac:dyDescent="0.2">
      <c r="B602" s="137"/>
      <c r="C602" s="662"/>
      <c r="D602" s="662"/>
      <c r="E602" s="662"/>
    </row>
    <row r="603" spans="1:5" ht="11.4" outlineLevel="1" x14ac:dyDescent="0.25">
      <c r="A603" s="85" t="s">
        <v>4070</v>
      </c>
      <c r="B603" s="209" t="s">
        <v>4480</v>
      </c>
      <c r="C603" s="210">
        <f>INDEX(PEF_GEST_28!$A$3:$AAA$50,MATCH($A603,PEF_GEST_28!$A$3:$A$50,0),MATCH(C$3,PEF_GEST_28!$A$3:$AAA$3,0))</f>
        <v>5088469.7256800001</v>
      </c>
      <c r="D603" s="210">
        <f>INDEX(PEF_GEST_28!$A$3:$AAA$50,MATCH($A603,PEF_GEST_28!$A$3:$A$50,0),MATCH(D$3,PEF_GEST_28!$A$3:$AAA$3,0))</f>
        <v>434936.80137600005</v>
      </c>
      <c r="E603" s="210">
        <f>INDEX(PEF_GEST_28!$A$3:$AAA$50,MATCH($A603,PEF_GEST_28!$A$3:$A$50,0),MATCH(E$3,PEF_GEST_28!$A$3:$AAA$3,0))</f>
        <v>423750.08456000005</v>
      </c>
    </row>
    <row r="604" spans="1:5" ht="11.4" outlineLevel="1" x14ac:dyDescent="0.25">
      <c r="A604" s="85" t="s">
        <v>4071</v>
      </c>
      <c r="B604" s="657" t="s">
        <v>4481</v>
      </c>
      <c r="C604" s="659">
        <v>0</v>
      </c>
      <c r="D604" s="659">
        <v>0</v>
      </c>
      <c r="E604" s="659">
        <v>0</v>
      </c>
    </row>
    <row r="605" spans="1:5" ht="11.4" outlineLevel="1" x14ac:dyDescent="0.25">
      <c r="A605" s="85" t="s">
        <v>4072</v>
      </c>
      <c r="B605" s="204" t="s">
        <v>4482</v>
      </c>
      <c r="C605" s="658">
        <f>C603-C604</f>
        <v>5088469.7256800001</v>
      </c>
      <c r="D605" s="658">
        <f>D603-D604</f>
        <v>434936.80137600005</v>
      </c>
      <c r="E605" s="658">
        <f>E603-E604</f>
        <v>423750.08456000005</v>
      </c>
    </row>
    <row r="606" spans="1:5" ht="11.4" outlineLevel="1" x14ac:dyDescent="0.25">
      <c r="A606" s="85" t="s">
        <v>4073</v>
      </c>
      <c r="B606" s="209" t="s">
        <v>4483</v>
      </c>
      <c r="C606" s="210">
        <f>INDEX(PEF_COM_28!$A$3:$AAA$50,MATCH($A606,PEF_COM_28!$A$3:$A$50,0),MATCH(C$3,PEF_COM_28!$A$3:$AAA$3,0))</f>
        <v>0</v>
      </c>
      <c r="D606" s="210">
        <f>INDEX(PEF_COM_28!$A$3:$AAA$50,MATCH($A606,PEF_COM_28!$A$3:$A$50,0),MATCH(D$3,PEF_COM_28!$A$3:$AAA$3,0))</f>
        <v>0</v>
      </c>
      <c r="E606" s="210">
        <f>INDEX(PEF_COM_28!$A$3:$AAA$50,MATCH($A606,PEF_COM_28!$A$3:$A$50,0),MATCH(E$3,PEF_COM_28!$A$3:$AAA$3,0))</f>
        <v>0</v>
      </c>
    </row>
    <row r="607" spans="1:5" ht="11.4" outlineLevel="1" x14ac:dyDescent="0.25">
      <c r="A607" s="85" t="s">
        <v>4074</v>
      </c>
      <c r="B607" s="657" t="s">
        <v>4484</v>
      </c>
      <c r="C607" s="659">
        <v>0</v>
      </c>
      <c r="D607" s="659">
        <v>0</v>
      </c>
      <c r="E607" s="659">
        <v>0</v>
      </c>
    </row>
    <row r="608" spans="1:5" ht="11.4" outlineLevel="1" x14ac:dyDescent="0.25">
      <c r="A608" s="85" t="s">
        <v>4075</v>
      </c>
      <c r="B608" s="204" t="s">
        <v>4485</v>
      </c>
      <c r="C608" s="658">
        <f>C606-C607</f>
        <v>0</v>
      </c>
      <c r="D608" s="658">
        <f>D606-D607</f>
        <v>0</v>
      </c>
      <c r="E608" s="658">
        <f>E606-E607</f>
        <v>0</v>
      </c>
    </row>
    <row r="609" spans="1:5" outlineLevel="1" x14ac:dyDescent="0.2">
      <c r="B609" s="137"/>
      <c r="C609" s="662"/>
      <c r="D609" s="662"/>
      <c r="E609" s="662"/>
    </row>
    <row r="610" spans="1:5" ht="11.4" outlineLevel="1" x14ac:dyDescent="0.25">
      <c r="A610" s="85" t="s">
        <v>2428</v>
      </c>
      <c r="B610" s="209" t="s">
        <v>4486</v>
      </c>
      <c r="C610" s="210">
        <f>INDEX('IN_RC-T'!$A$3:$AAA$865,MATCH($A610,'IN_RC-T'!$A$3:$A$865,0),MATCH(C$3,'IN_RC-T'!$A$3:$AAA$3,0))</f>
        <v>0</v>
      </c>
      <c r="D610" s="210">
        <f>INDEX('IN_RC-T'!$A$3:$AAA$865,MATCH($A610,'IN_RC-T'!$A$3:$A$865,0),MATCH(D$3,'IN_RC-T'!$A$3:$AAA$3,0))</f>
        <v>0</v>
      </c>
      <c r="E610" s="210">
        <f>INDEX('IN_RC-T'!$A$3:$AAA$865,MATCH($A610,'IN_RC-T'!$A$3:$A$865,0),MATCH(E$3,'IN_RC-T'!$A$3:$AAA$3,0))</f>
        <v>0</v>
      </c>
    </row>
    <row r="611" spans="1:5" ht="11.4" outlineLevel="1" x14ac:dyDescent="0.25">
      <c r="A611" s="85" t="s">
        <v>4076</v>
      </c>
      <c r="B611" s="657" t="s">
        <v>4487</v>
      </c>
      <c r="C611" s="659">
        <v>0</v>
      </c>
      <c r="D611" s="659">
        <v>0</v>
      </c>
      <c r="E611" s="659">
        <v>0</v>
      </c>
    </row>
    <row r="612" spans="1:5" ht="11.4" outlineLevel="1" x14ac:dyDescent="0.25">
      <c r="A612" s="85" t="s">
        <v>4077</v>
      </c>
      <c r="B612" s="204" t="s">
        <v>4488</v>
      </c>
      <c r="C612" s="658">
        <f>C610-C611</f>
        <v>0</v>
      </c>
      <c r="D612" s="658">
        <f>D610-D611</f>
        <v>0</v>
      </c>
      <c r="E612" s="658">
        <f>E610-E611</f>
        <v>0</v>
      </c>
    </row>
    <row r="613" spans="1:5" ht="11.4" outlineLevel="1" x14ac:dyDescent="0.25">
      <c r="A613" s="85" t="s">
        <v>2472</v>
      </c>
      <c r="B613" s="209" t="s">
        <v>4489</v>
      </c>
      <c r="C613" s="210">
        <f>INDEX('IN_RC-T'!$A$3:$AAA$865,MATCH($A613,'IN_RC-T'!$A$3:$A$865,0),MATCH(C$3,'IN_RC-T'!$A$3:$AAA$3,0))</f>
        <v>0</v>
      </c>
      <c r="D613" s="210">
        <f>INDEX('IN_RC-T'!$A$3:$AAA$865,MATCH($A613,'IN_RC-T'!$A$3:$A$865,0),MATCH(D$3,'IN_RC-T'!$A$3:$AAA$3,0))</f>
        <v>0</v>
      </c>
      <c r="E613" s="210">
        <f>INDEX('IN_RC-T'!$A$3:$AAA$865,MATCH($A613,'IN_RC-T'!$A$3:$A$865,0),MATCH(E$3,'IN_RC-T'!$A$3:$AAA$3,0))</f>
        <v>0</v>
      </c>
    </row>
    <row r="614" spans="1:5" ht="11.4" outlineLevel="1" x14ac:dyDescent="0.25">
      <c r="A614" s="85" t="s">
        <v>4078</v>
      </c>
      <c r="B614" s="657" t="s">
        <v>4490</v>
      </c>
      <c r="C614" s="659">
        <v>0</v>
      </c>
      <c r="D614" s="659">
        <v>0</v>
      </c>
      <c r="E614" s="659">
        <v>0</v>
      </c>
    </row>
    <row r="615" spans="1:5" ht="11.4" outlineLevel="1" x14ac:dyDescent="0.25">
      <c r="A615" s="85" t="s">
        <v>4079</v>
      </c>
      <c r="B615" s="204" t="s">
        <v>4491</v>
      </c>
      <c r="C615" s="658">
        <f>C613-C614</f>
        <v>0</v>
      </c>
      <c r="D615" s="658">
        <f>D613-D614</f>
        <v>0</v>
      </c>
      <c r="E615" s="658">
        <f>E613-E614</f>
        <v>0</v>
      </c>
    </row>
    <row r="616" spans="1:5" ht="12" outlineLevel="1" x14ac:dyDescent="0.25">
      <c r="A616" s="85" t="s">
        <v>2515</v>
      </c>
      <c r="B616" s="209" t="s">
        <v>4492</v>
      </c>
      <c r="C616" s="210">
        <f>INDEX('IN_RC-T'!$A$3:$AAA$865,MATCH($A616,'IN_RC-T'!$A$3:$A$865,0),MATCH(C$3,'IN_RC-T'!$A$3:$AAA$3,0))</f>
        <v>0</v>
      </c>
      <c r="D616" s="210">
        <f>INDEX('IN_RC-T'!$A$3:$AAA$865,MATCH($A616,'IN_RC-T'!$A$3:$A$865,0),MATCH(D$3,'IN_RC-T'!$A$3:$AAA$3,0))</f>
        <v>0</v>
      </c>
      <c r="E616" s="210">
        <f>INDEX('IN_RC-T'!$A$3:$AAA$865,MATCH($A616,'IN_RC-T'!$A$3:$A$865,0),MATCH(E$3,'IN_RC-T'!$A$3:$AAA$3,0))</f>
        <v>0</v>
      </c>
    </row>
    <row r="617" spans="1:5" ht="12" outlineLevel="1" x14ac:dyDescent="0.25">
      <c r="A617" s="85" t="s">
        <v>4080</v>
      </c>
      <c r="B617" s="657" t="s">
        <v>4493</v>
      </c>
      <c r="C617" s="659">
        <v>0</v>
      </c>
      <c r="D617" s="659">
        <v>0</v>
      </c>
      <c r="E617" s="659">
        <v>0</v>
      </c>
    </row>
    <row r="618" spans="1:5" ht="12" outlineLevel="1" x14ac:dyDescent="0.25">
      <c r="A618" s="85" t="s">
        <v>4081</v>
      </c>
      <c r="B618" s="204" t="s">
        <v>4494</v>
      </c>
      <c r="C618" s="658">
        <f>C616-C617</f>
        <v>0</v>
      </c>
      <c r="D618" s="658">
        <f>D616-D617</f>
        <v>0</v>
      </c>
      <c r="E618" s="658">
        <f>E616-E617</f>
        <v>0</v>
      </c>
    </row>
    <row r="619" spans="1:5" ht="12" outlineLevel="1" x14ac:dyDescent="0.25">
      <c r="A619" s="85" t="s">
        <v>2551</v>
      </c>
      <c r="B619" s="209" t="s">
        <v>4495</v>
      </c>
      <c r="C619" s="210">
        <f>INDEX('IN_RC-T'!$A$3:$AAA$865,MATCH($A619,'IN_RC-T'!$A$3:$A$865,0),MATCH(C$3,'IN_RC-T'!$A$3:$AAA$3,0))</f>
        <v>0</v>
      </c>
      <c r="D619" s="210">
        <f>INDEX('IN_RC-T'!$A$3:$AAA$865,MATCH($A619,'IN_RC-T'!$A$3:$A$865,0),MATCH(D$3,'IN_RC-T'!$A$3:$AAA$3,0))</f>
        <v>0</v>
      </c>
      <c r="E619" s="210">
        <f>INDEX('IN_RC-T'!$A$3:$AAA$865,MATCH($A619,'IN_RC-T'!$A$3:$A$865,0),MATCH(E$3,'IN_RC-T'!$A$3:$AAA$3,0))</f>
        <v>0</v>
      </c>
    </row>
    <row r="620" spans="1:5" ht="12" outlineLevel="1" x14ac:dyDescent="0.25">
      <c r="A620" s="85" t="s">
        <v>4082</v>
      </c>
      <c r="B620" s="664" t="s">
        <v>4496</v>
      </c>
      <c r="C620" s="655">
        <v>0</v>
      </c>
      <c r="D620" s="655">
        <v>0</v>
      </c>
      <c r="E620" s="655">
        <v>0</v>
      </c>
    </row>
    <row r="621" spans="1:5" ht="12" outlineLevel="1" x14ac:dyDescent="0.25">
      <c r="A621" s="85" t="s">
        <v>4083</v>
      </c>
      <c r="B621" s="204" t="s">
        <v>4497</v>
      </c>
      <c r="C621" s="658">
        <f>C619-C620</f>
        <v>0</v>
      </c>
      <c r="D621" s="658">
        <f>D619-D620</f>
        <v>0</v>
      </c>
      <c r="E621" s="658">
        <f>E619-E620</f>
        <v>0</v>
      </c>
    </row>
    <row r="622" spans="1:5" ht="12" outlineLevel="1" x14ac:dyDescent="0.25">
      <c r="A622" s="85" t="s">
        <v>2606</v>
      </c>
      <c r="B622" s="209" t="s">
        <v>4498</v>
      </c>
      <c r="C622" s="210">
        <f>INDEX('IN_RC-T'!$A$3:$AAA$865,MATCH($A622,'IN_RC-T'!$A$3:$A$865,0),MATCH(C$3,'IN_RC-T'!$A$3:$AAA$3,0))</f>
        <v>0</v>
      </c>
      <c r="D622" s="210">
        <f>INDEX('IN_RC-T'!$A$3:$AAA$865,MATCH($A622,'IN_RC-T'!$A$3:$A$865,0),MATCH(D$3,'IN_RC-T'!$A$3:$AAA$3,0))</f>
        <v>0</v>
      </c>
      <c r="E622" s="210">
        <f>INDEX('IN_RC-T'!$A$3:$AAA$865,MATCH($A622,'IN_RC-T'!$A$3:$A$865,0),MATCH(E$3,'IN_RC-T'!$A$3:$AAA$3,0))</f>
        <v>0</v>
      </c>
    </row>
    <row r="623" spans="1:5" ht="12" outlineLevel="1" x14ac:dyDescent="0.25">
      <c r="A623" s="85" t="s">
        <v>4084</v>
      </c>
      <c r="B623" s="664" t="s">
        <v>4499</v>
      </c>
      <c r="C623" s="655">
        <v>0</v>
      </c>
      <c r="D623" s="655">
        <v>0</v>
      </c>
      <c r="E623" s="655">
        <v>0</v>
      </c>
    </row>
    <row r="624" spans="1:5" ht="12" outlineLevel="1" x14ac:dyDescent="0.25">
      <c r="A624" s="85" t="s">
        <v>4085</v>
      </c>
      <c r="B624" s="204" t="s">
        <v>4500</v>
      </c>
      <c r="C624" s="658">
        <f>C622-C623</f>
        <v>0</v>
      </c>
      <c r="D624" s="658">
        <f>D622-D623</f>
        <v>0</v>
      </c>
      <c r="E624" s="658">
        <f>E622-E623</f>
        <v>0</v>
      </c>
    </row>
    <row r="625" spans="1:5" ht="12" outlineLevel="1" x14ac:dyDescent="0.25">
      <c r="A625" s="85" t="s">
        <v>2660</v>
      </c>
      <c r="B625" s="209" t="s">
        <v>4501</v>
      </c>
      <c r="C625" s="210">
        <f>INDEX('IN_RC-T'!$A$3:$AAA$865,MATCH($A625,'IN_RC-T'!$A$3:$A$865,0),MATCH(C$3,'IN_RC-T'!$A$3:$AAA$3,0))</f>
        <v>0</v>
      </c>
      <c r="D625" s="210">
        <f>INDEX('IN_RC-T'!$A$3:$AAA$865,MATCH($A625,'IN_RC-T'!$A$3:$A$865,0),MATCH(D$3,'IN_RC-T'!$A$3:$AAA$3,0))</f>
        <v>0</v>
      </c>
      <c r="E625" s="210">
        <f>INDEX('IN_RC-T'!$A$3:$AAA$865,MATCH($A625,'IN_RC-T'!$A$3:$A$865,0),MATCH(E$3,'IN_RC-T'!$A$3:$AAA$3,0))</f>
        <v>0</v>
      </c>
    </row>
    <row r="626" spans="1:5" ht="12" outlineLevel="1" x14ac:dyDescent="0.25">
      <c r="A626" s="85" t="s">
        <v>4086</v>
      </c>
      <c r="B626" s="664" t="s">
        <v>4502</v>
      </c>
      <c r="C626" s="655">
        <v>0</v>
      </c>
      <c r="D626" s="655">
        <v>0</v>
      </c>
      <c r="E626" s="655">
        <v>0</v>
      </c>
    </row>
    <row r="627" spans="1:5" ht="12" outlineLevel="1" x14ac:dyDescent="0.25">
      <c r="A627" s="85" t="s">
        <v>4087</v>
      </c>
      <c r="B627" s="204" t="s">
        <v>4503</v>
      </c>
      <c r="C627" s="658">
        <f>C625-C626</f>
        <v>0</v>
      </c>
      <c r="D627" s="658">
        <f>D625-D626</f>
        <v>0</v>
      </c>
      <c r="E627" s="658">
        <f>E625-E626</f>
        <v>0</v>
      </c>
    </row>
    <row r="628" spans="1:5" ht="11.4" outlineLevel="1" x14ac:dyDescent="0.25">
      <c r="A628" s="85" t="s">
        <v>2701</v>
      </c>
      <c r="B628" s="209" t="s">
        <v>4504</v>
      </c>
      <c r="C628" s="210">
        <f>INDEX('IN_RC-T'!$A$3:$AAA$865,MATCH($A628,'IN_RC-T'!$A$3:$A$865,0),MATCH(C$3,'IN_RC-T'!$A$3:$AAA$3,0))</f>
        <v>0</v>
      </c>
      <c r="D628" s="210">
        <f>INDEX('IN_RC-T'!$A$3:$AAA$865,MATCH($A628,'IN_RC-T'!$A$3:$A$865,0),MATCH(D$3,'IN_RC-T'!$A$3:$AAA$3,0))</f>
        <v>0</v>
      </c>
      <c r="E628" s="210">
        <f>INDEX('IN_RC-T'!$A$3:$AAA$865,MATCH($A628,'IN_RC-T'!$A$3:$A$865,0),MATCH(E$3,'IN_RC-T'!$A$3:$AAA$3,0))</f>
        <v>0</v>
      </c>
    </row>
    <row r="629" spans="1:5" ht="11.4" outlineLevel="1" x14ac:dyDescent="0.25">
      <c r="A629" s="85" t="s">
        <v>4088</v>
      </c>
      <c r="B629" s="657" t="s">
        <v>4505</v>
      </c>
      <c r="C629" s="659">
        <v>0</v>
      </c>
      <c r="D629" s="659">
        <v>0</v>
      </c>
      <c r="E629" s="659">
        <v>0</v>
      </c>
    </row>
    <row r="630" spans="1:5" ht="11.4" outlineLevel="1" x14ac:dyDescent="0.25">
      <c r="A630" s="85" t="s">
        <v>4089</v>
      </c>
      <c r="B630" s="204" t="s">
        <v>4506</v>
      </c>
      <c r="C630" s="658">
        <f>C628-C629</f>
        <v>0</v>
      </c>
      <c r="D630" s="658">
        <f>D628-D629</f>
        <v>0</v>
      </c>
      <c r="E630" s="658">
        <f>E628-E629</f>
        <v>0</v>
      </c>
    </row>
    <row r="631" spans="1:5" ht="12" outlineLevel="1" x14ac:dyDescent="0.25">
      <c r="A631" s="85" t="s">
        <v>2749</v>
      </c>
      <c r="B631" s="209" t="s">
        <v>4507</v>
      </c>
      <c r="C631" s="210">
        <f>INDEX('IN_RC-T'!$A$3:$AAA$865,MATCH($A631,'IN_RC-T'!$A$3:$A$865,0),MATCH(C$3,'IN_RC-T'!$A$3:$AAA$3,0))</f>
        <v>0</v>
      </c>
      <c r="D631" s="210">
        <f>INDEX('IN_RC-T'!$A$3:$AAA$865,MATCH($A631,'IN_RC-T'!$A$3:$A$865,0),MATCH(D$3,'IN_RC-T'!$A$3:$AAA$3,0))</f>
        <v>0</v>
      </c>
      <c r="E631" s="210">
        <f>INDEX('IN_RC-T'!$A$3:$AAA$865,MATCH($A631,'IN_RC-T'!$A$3:$A$865,0),MATCH(E$3,'IN_RC-T'!$A$3:$AAA$3,0))</f>
        <v>0</v>
      </c>
    </row>
    <row r="632" spans="1:5" ht="12" outlineLevel="1" x14ac:dyDescent="0.25">
      <c r="A632" s="85" t="s">
        <v>4090</v>
      </c>
      <c r="B632" s="657" t="s">
        <v>4508</v>
      </c>
      <c r="C632" s="659">
        <v>0</v>
      </c>
      <c r="D632" s="659">
        <v>0</v>
      </c>
      <c r="E632" s="659">
        <v>0</v>
      </c>
    </row>
    <row r="633" spans="1:5" ht="12" outlineLevel="1" x14ac:dyDescent="0.25">
      <c r="A633" s="85" t="s">
        <v>4091</v>
      </c>
      <c r="B633" s="204" t="s">
        <v>4509</v>
      </c>
      <c r="C633" s="658">
        <f>C631-C632</f>
        <v>0</v>
      </c>
      <c r="D633" s="658">
        <f>D631-D632</f>
        <v>0</v>
      </c>
      <c r="E633" s="658">
        <f>E631-E632</f>
        <v>0</v>
      </c>
    </row>
    <row r="634" spans="1:5" ht="11.4" outlineLevel="1" x14ac:dyDescent="0.25">
      <c r="A634" s="85" t="s">
        <v>2822</v>
      </c>
      <c r="B634" s="209" t="s">
        <v>4510</v>
      </c>
      <c r="C634" s="210">
        <f>INDEX('IN_RC-T'!$A$3:$AAA$865,MATCH($A634,'IN_RC-T'!$A$3:$A$865,0),MATCH(C$3,'IN_RC-T'!$A$3:$AAA$3,0))</f>
        <v>0</v>
      </c>
      <c r="D634" s="210">
        <f>INDEX('IN_RC-T'!$A$3:$AAA$865,MATCH($A634,'IN_RC-T'!$A$3:$A$865,0),MATCH(D$3,'IN_RC-T'!$A$3:$AAA$3,0))</f>
        <v>0</v>
      </c>
      <c r="E634" s="210">
        <f>INDEX('IN_RC-T'!$A$3:$AAA$865,MATCH($A634,'IN_RC-T'!$A$3:$A$865,0),MATCH(E$3,'IN_RC-T'!$A$3:$AAA$3,0))</f>
        <v>0</v>
      </c>
    </row>
    <row r="635" spans="1:5" ht="12" outlineLevel="1" x14ac:dyDescent="0.25">
      <c r="A635" s="85" t="s">
        <v>4092</v>
      </c>
      <c r="B635" s="664" t="s">
        <v>4511</v>
      </c>
      <c r="C635" s="655">
        <v>0</v>
      </c>
      <c r="D635" s="655">
        <v>0</v>
      </c>
      <c r="E635" s="655">
        <v>0</v>
      </c>
    </row>
    <row r="636" spans="1:5" ht="12" outlineLevel="1" x14ac:dyDescent="0.25">
      <c r="A636" s="85" t="s">
        <v>4093</v>
      </c>
      <c r="B636" s="204" t="s">
        <v>4512</v>
      </c>
      <c r="C636" s="658">
        <f>C634-C635</f>
        <v>0</v>
      </c>
      <c r="D636" s="658">
        <f>D634-D635</f>
        <v>0</v>
      </c>
      <c r="E636" s="658">
        <f>E634-E635</f>
        <v>0</v>
      </c>
    </row>
    <row r="637" spans="1:5" ht="11.4" outlineLevel="1" x14ac:dyDescent="0.25">
      <c r="A637" s="85" t="s">
        <v>2877</v>
      </c>
      <c r="B637" s="209" t="s">
        <v>4513</v>
      </c>
      <c r="C637" s="210">
        <f>INDEX('IN_RC-T'!$A$3:$AAA$865,MATCH($A637,'IN_RC-T'!$A$3:$A$865,0),MATCH(C$3,'IN_RC-T'!$A$3:$AAA$3,0))</f>
        <v>0</v>
      </c>
      <c r="D637" s="210">
        <f>INDEX('IN_RC-T'!$A$3:$AAA$865,MATCH($A637,'IN_RC-T'!$A$3:$A$865,0),MATCH(D$3,'IN_RC-T'!$A$3:$AAA$3,0))</f>
        <v>0</v>
      </c>
      <c r="E637" s="210">
        <f>INDEX('IN_RC-T'!$A$3:$AAA$865,MATCH($A637,'IN_RC-T'!$A$3:$A$865,0),MATCH(E$3,'IN_RC-T'!$A$3:$AAA$3,0))</f>
        <v>0</v>
      </c>
    </row>
    <row r="638" spans="1:5" ht="12" outlineLevel="1" x14ac:dyDescent="0.25">
      <c r="A638" s="85" t="s">
        <v>4094</v>
      </c>
      <c r="B638" s="664" t="s">
        <v>4514</v>
      </c>
      <c r="C638" s="655">
        <v>0</v>
      </c>
      <c r="D638" s="655">
        <v>0</v>
      </c>
      <c r="E638" s="655">
        <v>0</v>
      </c>
    </row>
    <row r="639" spans="1:5" ht="12" outlineLevel="1" x14ac:dyDescent="0.25">
      <c r="A639" s="85" t="s">
        <v>4095</v>
      </c>
      <c r="B639" s="204" t="s">
        <v>4515</v>
      </c>
      <c r="C639" s="658">
        <f>C637-C638</f>
        <v>0</v>
      </c>
      <c r="D639" s="658">
        <f>D637-D638</f>
        <v>0</v>
      </c>
      <c r="E639" s="658">
        <f>E637-E638</f>
        <v>0</v>
      </c>
    </row>
    <row r="640" spans="1:5" ht="11.4" outlineLevel="1" x14ac:dyDescent="0.25">
      <c r="A640" s="85" t="s">
        <v>2938</v>
      </c>
      <c r="B640" s="209" t="s">
        <v>4516</v>
      </c>
      <c r="C640" s="210">
        <f>INDEX('IN_RC-T'!$A$3:$AAA$865,MATCH($A640,'IN_RC-T'!$A$3:$A$865,0),MATCH(C$3,'IN_RC-T'!$A$3:$AAA$3,0))</f>
        <v>0</v>
      </c>
      <c r="D640" s="210">
        <f>INDEX('IN_RC-T'!$A$3:$AAA$865,MATCH($A640,'IN_RC-T'!$A$3:$A$865,0),MATCH(D$3,'IN_RC-T'!$A$3:$AAA$3,0))</f>
        <v>0</v>
      </c>
      <c r="E640" s="210">
        <f>INDEX('IN_RC-T'!$A$3:$AAA$865,MATCH($A640,'IN_RC-T'!$A$3:$A$865,0),MATCH(E$3,'IN_RC-T'!$A$3:$AAA$3,0))</f>
        <v>0</v>
      </c>
    </row>
    <row r="641" spans="1:5" ht="11.4" outlineLevel="1" x14ac:dyDescent="0.25">
      <c r="A641" s="85" t="s">
        <v>4096</v>
      </c>
      <c r="B641" s="664" t="s">
        <v>4517</v>
      </c>
      <c r="C641" s="655">
        <v>0</v>
      </c>
      <c r="D641" s="655">
        <v>0</v>
      </c>
      <c r="E641" s="655">
        <v>0</v>
      </c>
    </row>
    <row r="642" spans="1:5" ht="11.4" outlineLevel="1" x14ac:dyDescent="0.25">
      <c r="A642" s="85" t="s">
        <v>4097</v>
      </c>
      <c r="B642" s="204" t="s">
        <v>4518</v>
      </c>
      <c r="C642" s="658">
        <f>C640-C641</f>
        <v>0</v>
      </c>
      <c r="D642" s="658">
        <f>D640-D641</f>
        <v>0</v>
      </c>
      <c r="E642" s="658">
        <f>E640-E641</f>
        <v>0</v>
      </c>
    </row>
    <row r="643" spans="1:5" ht="11.4" outlineLevel="1" x14ac:dyDescent="0.25">
      <c r="A643" s="85" t="s">
        <v>6801</v>
      </c>
      <c r="B643" s="209" t="s">
        <v>4519</v>
      </c>
      <c r="C643" s="210">
        <f>INDEX('IN_RC-T'!$A$3:$AAA$865,MATCH($A643,'IN_RC-T'!$A$3:$A$865,0),MATCH(C$3,'IN_RC-T'!$A$3:$AAA$3,0))</f>
        <v>338035.39975581953</v>
      </c>
      <c r="D643" s="210">
        <f>INDEX('IN_RC-T'!$A$3:$AAA$865,MATCH($A643,'IN_RC-T'!$A$3:$A$865,0),MATCH(D$3,'IN_RC-T'!$A$3:$AAA$3,0))</f>
        <v>0</v>
      </c>
      <c r="E643" s="210">
        <f>INDEX('IN_RC-T'!$A$3:$AAA$865,MATCH($A643,'IN_RC-T'!$A$3:$A$865,0),MATCH(E$3,'IN_RC-T'!$A$3:$AAA$3,0))</f>
        <v>0</v>
      </c>
    </row>
    <row r="644" spans="1:5" ht="11.4" outlineLevel="1" x14ac:dyDescent="0.25">
      <c r="A644" s="85" t="s">
        <v>6964</v>
      </c>
      <c r="B644" s="657" t="s">
        <v>4520</v>
      </c>
      <c r="C644" s="659">
        <v>0</v>
      </c>
      <c r="D644" s="659">
        <v>0</v>
      </c>
      <c r="E644" s="659">
        <v>0</v>
      </c>
    </row>
    <row r="645" spans="1:5" ht="11.4" outlineLevel="1" x14ac:dyDescent="0.25">
      <c r="A645" s="85" t="s">
        <v>6941</v>
      </c>
      <c r="B645" s="204" t="s">
        <v>4521</v>
      </c>
      <c r="C645" s="658">
        <f>C643-C644</f>
        <v>338035.39975581953</v>
      </c>
      <c r="D645" s="658">
        <f>D643-D644</f>
        <v>0</v>
      </c>
      <c r="E645" s="658">
        <f>E643-E644</f>
        <v>0</v>
      </c>
    </row>
    <row r="646" spans="1:5" ht="11.4" outlineLevel="1" x14ac:dyDescent="0.25">
      <c r="A646" s="85" t="s">
        <v>3041</v>
      </c>
      <c r="B646" s="209" t="s">
        <v>3097</v>
      </c>
      <c r="C646" s="210">
        <f>INDEX('IN_RC-T'!$A$3:$AAA$865,MATCH($A646,'IN_RC-T'!$A$3:$A$865,0),MATCH(C$3,'IN_RC-T'!$A$3:$AAA$3,0))</f>
        <v>338035.39975581953</v>
      </c>
      <c r="D646" s="210">
        <f>INDEX('IN_RC-T'!$A$3:$AAA$865,MATCH($A646,'IN_RC-T'!$A$3:$A$865,0),MATCH(D$3,'IN_RC-T'!$A$3:$AAA$3,0))</f>
        <v>0</v>
      </c>
      <c r="E646" s="210">
        <f>INDEX('IN_RC-T'!$A$3:$AAA$865,MATCH($A646,'IN_RC-T'!$A$3:$A$865,0),MATCH(E$3,'IN_RC-T'!$A$3:$AAA$3,0))</f>
        <v>0</v>
      </c>
    </row>
    <row r="647" spans="1:5" ht="11.4" outlineLevel="1" x14ac:dyDescent="0.25">
      <c r="A647" s="85" t="s">
        <v>4098</v>
      </c>
      <c r="B647" s="660" t="s">
        <v>4522</v>
      </c>
      <c r="C647" s="661">
        <f>C611+C614+C617+C620+C623+C626+C629+C632+C635+C638+C641+C644</f>
        <v>0</v>
      </c>
      <c r="D647" s="661">
        <f>D611+D614+D617+D620+D623+D626+D629+D632+D635+D638+D641+D644</f>
        <v>0</v>
      </c>
      <c r="E647" s="661">
        <f>E611+E614+E617+E620+E623+E626+E629+E632+E635+E638+E641+E644</f>
        <v>0</v>
      </c>
    </row>
    <row r="648" spans="1:5" ht="11.4" outlineLevel="1" x14ac:dyDescent="0.25">
      <c r="A648" s="85" t="s">
        <v>4099</v>
      </c>
      <c r="B648" s="204" t="s">
        <v>4523</v>
      </c>
      <c r="C648" s="658">
        <f>C646-C647</f>
        <v>338035.39975581953</v>
      </c>
      <c r="D648" s="658">
        <f>D646-D647</f>
        <v>0</v>
      </c>
      <c r="E648" s="658">
        <f>E646-E647</f>
        <v>0</v>
      </c>
    </row>
    <row r="649" spans="1:5" outlineLevel="1" x14ac:dyDescent="0.2">
      <c r="B649" s="137"/>
      <c r="C649" s="137"/>
      <c r="D649" s="137"/>
      <c r="E649" s="137"/>
    </row>
    <row r="650" spans="1:5" ht="11.4" outlineLevel="1" x14ac:dyDescent="0.25">
      <c r="A650" s="85" t="s">
        <v>2429</v>
      </c>
      <c r="B650" s="209" t="s">
        <v>4524</v>
      </c>
      <c r="C650" s="210">
        <f>INDEX('IN_RC-T'!$A$3:$AAA$865,MATCH($A650,'IN_RC-T'!$A$3:$A$865,0),MATCH(C$3,'IN_RC-T'!$A$3:$AAA$3,0))</f>
        <v>0</v>
      </c>
      <c r="D650" s="210">
        <f>INDEX('IN_RC-T'!$A$3:$AAA$865,MATCH($A650,'IN_RC-T'!$A$3:$A$865,0),MATCH(D$3,'IN_RC-T'!$A$3:$AAA$3,0))</f>
        <v>0</v>
      </c>
      <c r="E650" s="210">
        <f>INDEX('IN_RC-T'!$A$3:$AAA$865,MATCH($A650,'IN_RC-T'!$A$3:$A$865,0),MATCH(E$3,'IN_RC-T'!$A$3:$AAA$3,0))</f>
        <v>0</v>
      </c>
    </row>
    <row r="651" spans="1:5" ht="11.4" outlineLevel="1" x14ac:dyDescent="0.25">
      <c r="A651" s="85" t="s">
        <v>4100</v>
      </c>
      <c r="B651" s="657" t="s">
        <v>4525</v>
      </c>
      <c r="C651" s="659">
        <v>0</v>
      </c>
      <c r="D651" s="659">
        <v>0</v>
      </c>
      <c r="E651" s="659">
        <v>0</v>
      </c>
    </row>
    <row r="652" spans="1:5" ht="11.4" outlineLevel="1" x14ac:dyDescent="0.25">
      <c r="A652" s="85" t="s">
        <v>4101</v>
      </c>
      <c r="B652" s="204" t="s">
        <v>4526</v>
      </c>
      <c r="C652" s="658">
        <f>C650-C651</f>
        <v>0</v>
      </c>
      <c r="D652" s="658">
        <f>D650-D651</f>
        <v>0</v>
      </c>
      <c r="E652" s="658">
        <f>E650-E651</f>
        <v>0</v>
      </c>
    </row>
    <row r="653" spans="1:5" ht="11.4" outlineLevel="1" x14ac:dyDescent="0.25">
      <c r="A653" s="85" t="s">
        <v>2473</v>
      </c>
      <c r="B653" s="209" t="s">
        <v>4527</v>
      </c>
      <c r="C653" s="210">
        <f>INDEX('IN_RC-T'!$A$3:$AAA$865,MATCH($A653,'IN_RC-T'!$A$3:$A$865,0),MATCH(C$3,'IN_RC-T'!$A$3:$AAA$3,0))</f>
        <v>0</v>
      </c>
      <c r="D653" s="210">
        <f>INDEX('IN_RC-T'!$A$3:$AAA$865,MATCH($A653,'IN_RC-T'!$A$3:$A$865,0),MATCH(D$3,'IN_RC-T'!$A$3:$AAA$3,0))</f>
        <v>0</v>
      </c>
      <c r="E653" s="210">
        <f>INDEX('IN_RC-T'!$A$3:$AAA$865,MATCH($A653,'IN_RC-T'!$A$3:$A$865,0),MATCH(E$3,'IN_RC-T'!$A$3:$AAA$3,0))</f>
        <v>0</v>
      </c>
    </row>
    <row r="654" spans="1:5" ht="11.4" outlineLevel="1" x14ac:dyDescent="0.25">
      <c r="A654" s="85" t="s">
        <v>4102</v>
      </c>
      <c r="B654" s="657" t="s">
        <v>4528</v>
      </c>
      <c r="C654" s="659">
        <v>0</v>
      </c>
      <c r="D654" s="659">
        <v>0</v>
      </c>
      <c r="E654" s="659">
        <v>0</v>
      </c>
    </row>
    <row r="655" spans="1:5" ht="11.4" outlineLevel="1" x14ac:dyDescent="0.25">
      <c r="A655" s="85" t="s">
        <v>4103</v>
      </c>
      <c r="B655" s="204" t="s">
        <v>4529</v>
      </c>
      <c r="C655" s="658">
        <f>C653-C654</f>
        <v>0</v>
      </c>
      <c r="D655" s="658">
        <f>D653-D654</f>
        <v>0</v>
      </c>
      <c r="E655" s="658">
        <f>E653-E654</f>
        <v>0</v>
      </c>
    </row>
    <row r="656" spans="1:5" ht="12" outlineLevel="1" x14ac:dyDescent="0.25">
      <c r="A656" s="85" t="s">
        <v>2516</v>
      </c>
      <c r="B656" s="209" t="s">
        <v>4530</v>
      </c>
      <c r="C656" s="210">
        <f>INDEX('IN_RC-T'!$A$3:$AAA$865,MATCH($A656,'IN_RC-T'!$A$3:$A$865,0),MATCH(C$3,'IN_RC-T'!$A$3:$AAA$3,0))</f>
        <v>0</v>
      </c>
      <c r="D656" s="210">
        <f>INDEX('IN_RC-T'!$A$3:$AAA$865,MATCH($A656,'IN_RC-T'!$A$3:$A$865,0),MATCH(D$3,'IN_RC-T'!$A$3:$AAA$3,0))</f>
        <v>0</v>
      </c>
      <c r="E656" s="210">
        <f>INDEX('IN_RC-T'!$A$3:$AAA$865,MATCH($A656,'IN_RC-T'!$A$3:$A$865,0),MATCH(E$3,'IN_RC-T'!$A$3:$AAA$3,0))</f>
        <v>0</v>
      </c>
    </row>
    <row r="657" spans="1:5" ht="12" outlineLevel="1" x14ac:dyDescent="0.25">
      <c r="A657" s="85" t="s">
        <v>4104</v>
      </c>
      <c r="B657" s="657" t="s">
        <v>4531</v>
      </c>
      <c r="C657" s="659">
        <v>0</v>
      </c>
      <c r="D657" s="659">
        <v>0</v>
      </c>
      <c r="E657" s="659">
        <v>0</v>
      </c>
    </row>
    <row r="658" spans="1:5" ht="12" outlineLevel="1" x14ac:dyDescent="0.25">
      <c r="A658" s="85" t="s">
        <v>4105</v>
      </c>
      <c r="B658" s="204" t="s">
        <v>4532</v>
      </c>
      <c r="C658" s="658">
        <f>C656-C657</f>
        <v>0</v>
      </c>
      <c r="D658" s="658">
        <f>D656-D657</f>
        <v>0</v>
      </c>
      <c r="E658" s="658">
        <f>E656-E657</f>
        <v>0</v>
      </c>
    </row>
    <row r="659" spans="1:5" ht="12" outlineLevel="1" x14ac:dyDescent="0.25">
      <c r="A659" s="85" t="s">
        <v>2552</v>
      </c>
      <c r="B659" s="209" t="s">
        <v>4533</v>
      </c>
      <c r="C659" s="210">
        <f>INDEX('IN_RC-T'!$A$3:$AAA$865,MATCH($A659,'IN_RC-T'!$A$3:$A$865,0),MATCH(C$3,'IN_RC-T'!$A$3:$AAA$3,0))</f>
        <v>0</v>
      </c>
      <c r="D659" s="210">
        <f>INDEX('IN_RC-T'!$A$3:$AAA$865,MATCH($A659,'IN_RC-T'!$A$3:$A$865,0),MATCH(D$3,'IN_RC-T'!$A$3:$AAA$3,0))</f>
        <v>0</v>
      </c>
      <c r="E659" s="210">
        <f>INDEX('IN_RC-T'!$A$3:$AAA$865,MATCH($A659,'IN_RC-T'!$A$3:$A$865,0),MATCH(E$3,'IN_RC-T'!$A$3:$AAA$3,0))</f>
        <v>0</v>
      </c>
    </row>
    <row r="660" spans="1:5" ht="12" outlineLevel="1" x14ac:dyDescent="0.25">
      <c r="A660" s="85" t="s">
        <v>4106</v>
      </c>
      <c r="B660" s="664" t="s">
        <v>4534</v>
      </c>
      <c r="C660" s="655">
        <v>0</v>
      </c>
      <c r="D660" s="655">
        <v>0</v>
      </c>
      <c r="E660" s="655">
        <v>0</v>
      </c>
    </row>
    <row r="661" spans="1:5" ht="12" outlineLevel="1" x14ac:dyDescent="0.25">
      <c r="A661" s="85" t="s">
        <v>4107</v>
      </c>
      <c r="B661" s="204" t="s">
        <v>4535</v>
      </c>
      <c r="C661" s="658">
        <f>C659-C660</f>
        <v>0</v>
      </c>
      <c r="D661" s="658">
        <f>D659-D660</f>
        <v>0</v>
      </c>
      <c r="E661" s="658">
        <f>E659-E660</f>
        <v>0</v>
      </c>
    </row>
    <row r="662" spans="1:5" ht="12" outlineLevel="1" x14ac:dyDescent="0.25">
      <c r="A662" s="85" t="s">
        <v>2607</v>
      </c>
      <c r="B662" s="209" t="s">
        <v>4536</v>
      </c>
      <c r="C662" s="210">
        <f>INDEX('IN_RC-T'!$A$3:$AAA$865,MATCH($A662,'IN_RC-T'!$A$3:$A$865,0),MATCH(C$3,'IN_RC-T'!$A$3:$AAA$3,0))</f>
        <v>0</v>
      </c>
      <c r="D662" s="210">
        <f>INDEX('IN_RC-T'!$A$3:$AAA$865,MATCH($A662,'IN_RC-T'!$A$3:$A$865,0),MATCH(D$3,'IN_RC-T'!$A$3:$AAA$3,0))</f>
        <v>0</v>
      </c>
      <c r="E662" s="210">
        <f>INDEX('IN_RC-T'!$A$3:$AAA$865,MATCH($A662,'IN_RC-T'!$A$3:$A$865,0),MATCH(E$3,'IN_RC-T'!$A$3:$AAA$3,0))</f>
        <v>0</v>
      </c>
    </row>
    <row r="663" spans="1:5" ht="12" outlineLevel="1" x14ac:dyDescent="0.25">
      <c r="A663" s="85" t="s">
        <v>4108</v>
      </c>
      <c r="B663" s="664" t="s">
        <v>4537</v>
      </c>
      <c r="C663" s="655">
        <v>0</v>
      </c>
      <c r="D663" s="655">
        <v>0</v>
      </c>
      <c r="E663" s="655">
        <v>0</v>
      </c>
    </row>
    <row r="664" spans="1:5" ht="12" outlineLevel="1" x14ac:dyDescent="0.25">
      <c r="A664" s="85" t="s">
        <v>4109</v>
      </c>
      <c r="B664" s="204" t="s">
        <v>4538</v>
      </c>
      <c r="C664" s="658">
        <f>C662-C663</f>
        <v>0</v>
      </c>
      <c r="D664" s="658">
        <f>D662-D663</f>
        <v>0</v>
      </c>
      <c r="E664" s="658">
        <f>E662-E663</f>
        <v>0</v>
      </c>
    </row>
    <row r="665" spans="1:5" ht="12" outlineLevel="1" x14ac:dyDescent="0.25">
      <c r="A665" s="85" t="s">
        <v>2661</v>
      </c>
      <c r="B665" s="209" t="s">
        <v>4539</v>
      </c>
      <c r="C665" s="210">
        <f>INDEX('IN_RC-T'!$A$3:$AAA$865,MATCH($A665,'IN_RC-T'!$A$3:$A$865,0),MATCH(C$3,'IN_RC-T'!$A$3:$AAA$3,0))</f>
        <v>0</v>
      </c>
      <c r="D665" s="210">
        <f>INDEX('IN_RC-T'!$A$3:$AAA$865,MATCH($A665,'IN_RC-T'!$A$3:$A$865,0),MATCH(D$3,'IN_RC-T'!$A$3:$AAA$3,0))</f>
        <v>0</v>
      </c>
      <c r="E665" s="210">
        <f>INDEX('IN_RC-T'!$A$3:$AAA$865,MATCH($A665,'IN_RC-T'!$A$3:$A$865,0),MATCH(E$3,'IN_RC-T'!$A$3:$AAA$3,0))</f>
        <v>0</v>
      </c>
    </row>
    <row r="666" spans="1:5" ht="12" outlineLevel="1" x14ac:dyDescent="0.25">
      <c r="A666" s="85" t="s">
        <v>4110</v>
      </c>
      <c r="B666" s="664" t="s">
        <v>4540</v>
      </c>
      <c r="C666" s="655">
        <v>0</v>
      </c>
      <c r="D666" s="655">
        <v>0</v>
      </c>
      <c r="E666" s="655">
        <v>0</v>
      </c>
    </row>
    <row r="667" spans="1:5" ht="12" outlineLevel="1" x14ac:dyDescent="0.25">
      <c r="A667" s="85" t="s">
        <v>4111</v>
      </c>
      <c r="B667" s="204" t="s">
        <v>4541</v>
      </c>
      <c r="C667" s="658">
        <f>C665-C666</f>
        <v>0</v>
      </c>
      <c r="D667" s="658">
        <f>D665-D666</f>
        <v>0</v>
      </c>
      <c r="E667" s="658">
        <f>E665-E666</f>
        <v>0</v>
      </c>
    </row>
    <row r="668" spans="1:5" ht="11.4" outlineLevel="1" x14ac:dyDescent="0.25">
      <c r="A668" s="85" t="s">
        <v>2702</v>
      </c>
      <c r="B668" s="209" t="s">
        <v>4542</v>
      </c>
      <c r="C668" s="210">
        <f>INDEX('IN_RC-T'!$A$3:$AAA$865,MATCH($A668,'IN_RC-T'!$A$3:$A$865,0),MATCH(C$3,'IN_RC-T'!$A$3:$AAA$3,0))</f>
        <v>0</v>
      </c>
      <c r="D668" s="210">
        <f>INDEX('IN_RC-T'!$A$3:$AAA$865,MATCH($A668,'IN_RC-T'!$A$3:$A$865,0),MATCH(D$3,'IN_RC-T'!$A$3:$AAA$3,0))</f>
        <v>0</v>
      </c>
      <c r="E668" s="210">
        <f>INDEX('IN_RC-T'!$A$3:$AAA$865,MATCH($A668,'IN_RC-T'!$A$3:$A$865,0),MATCH(E$3,'IN_RC-T'!$A$3:$AAA$3,0))</f>
        <v>0</v>
      </c>
    </row>
    <row r="669" spans="1:5" ht="11.4" outlineLevel="1" x14ac:dyDescent="0.25">
      <c r="A669" s="85" t="s">
        <v>4112</v>
      </c>
      <c r="B669" s="657" t="s">
        <v>4543</v>
      </c>
      <c r="C669" s="659">
        <v>0</v>
      </c>
      <c r="D669" s="659">
        <v>0</v>
      </c>
      <c r="E669" s="659">
        <v>0</v>
      </c>
    </row>
    <row r="670" spans="1:5" ht="11.4" outlineLevel="1" x14ac:dyDescent="0.25">
      <c r="A670" s="85" t="s">
        <v>4113</v>
      </c>
      <c r="B670" s="204" t="s">
        <v>4544</v>
      </c>
      <c r="C670" s="658">
        <f>C668-C669</f>
        <v>0</v>
      </c>
      <c r="D670" s="658">
        <f>D668-D669</f>
        <v>0</v>
      </c>
      <c r="E670" s="658">
        <f>E668-E669</f>
        <v>0</v>
      </c>
    </row>
    <row r="671" spans="1:5" ht="12" outlineLevel="1" x14ac:dyDescent="0.25">
      <c r="A671" s="85" t="s">
        <v>2750</v>
      </c>
      <c r="B671" s="209" t="s">
        <v>4545</v>
      </c>
      <c r="C671" s="210">
        <f>INDEX('IN_RC-T'!$A$3:$AAA$865,MATCH($A671,'IN_RC-T'!$A$3:$A$865,0),MATCH(C$3,'IN_RC-T'!$A$3:$AAA$3,0))</f>
        <v>0</v>
      </c>
      <c r="D671" s="210">
        <f>INDEX('IN_RC-T'!$A$3:$AAA$865,MATCH($A671,'IN_RC-T'!$A$3:$A$865,0),MATCH(D$3,'IN_RC-T'!$A$3:$AAA$3,0))</f>
        <v>0</v>
      </c>
      <c r="E671" s="210">
        <f>INDEX('IN_RC-T'!$A$3:$AAA$865,MATCH($A671,'IN_RC-T'!$A$3:$A$865,0),MATCH(E$3,'IN_RC-T'!$A$3:$AAA$3,0))</f>
        <v>0</v>
      </c>
    </row>
    <row r="672" spans="1:5" ht="12" outlineLevel="1" x14ac:dyDescent="0.25">
      <c r="A672" s="85" t="s">
        <v>4114</v>
      </c>
      <c r="B672" s="657" t="s">
        <v>4546</v>
      </c>
      <c r="C672" s="659">
        <v>0</v>
      </c>
      <c r="D672" s="659">
        <v>0</v>
      </c>
      <c r="E672" s="659">
        <v>0</v>
      </c>
    </row>
    <row r="673" spans="1:5" ht="12" outlineLevel="1" x14ac:dyDescent="0.25">
      <c r="A673" s="85" t="s">
        <v>4115</v>
      </c>
      <c r="B673" s="204" t="s">
        <v>4547</v>
      </c>
      <c r="C673" s="658">
        <f>C671-C672</f>
        <v>0</v>
      </c>
      <c r="D673" s="658">
        <f>D671-D672</f>
        <v>0</v>
      </c>
      <c r="E673" s="658">
        <f>E671-E672</f>
        <v>0</v>
      </c>
    </row>
    <row r="674" spans="1:5" ht="11.4" outlineLevel="1" x14ac:dyDescent="0.25">
      <c r="A674" s="85" t="s">
        <v>2823</v>
      </c>
      <c r="B674" s="209" t="s">
        <v>4548</v>
      </c>
      <c r="C674" s="210">
        <f>INDEX('IN_RC-T'!$A$3:$AAA$865,MATCH($A674,'IN_RC-T'!$A$3:$A$865,0),MATCH(C$3,'IN_RC-T'!$A$3:$AAA$3,0))</f>
        <v>0</v>
      </c>
      <c r="D674" s="210">
        <f>INDEX('IN_RC-T'!$A$3:$AAA$865,MATCH($A674,'IN_RC-T'!$A$3:$A$865,0),MATCH(D$3,'IN_RC-T'!$A$3:$AAA$3,0))</f>
        <v>0</v>
      </c>
      <c r="E674" s="210">
        <f>INDEX('IN_RC-T'!$A$3:$AAA$865,MATCH($A674,'IN_RC-T'!$A$3:$A$865,0),MATCH(E$3,'IN_RC-T'!$A$3:$AAA$3,0))</f>
        <v>0</v>
      </c>
    </row>
    <row r="675" spans="1:5" ht="12" outlineLevel="1" x14ac:dyDescent="0.25">
      <c r="A675" s="85" t="s">
        <v>4116</v>
      </c>
      <c r="B675" s="664" t="s">
        <v>4549</v>
      </c>
      <c r="C675" s="655">
        <v>0</v>
      </c>
      <c r="D675" s="655">
        <v>0</v>
      </c>
      <c r="E675" s="655">
        <v>0</v>
      </c>
    </row>
    <row r="676" spans="1:5" ht="12" outlineLevel="1" x14ac:dyDescent="0.25">
      <c r="A676" s="85" t="s">
        <v>4117</v>
      </c>
      <c r="B676" s="204" t="s">
        <v>4550</v>
      </c>
      <c r="C676" s="658">
        <f>C674-C675</f>
        <v>0</v>
      </c>
      <c r="D676" s="658">
        <f>D674-D675</f>
        <v>0</v>
      </c>
      <c r="E676" s="658">
        <f>E674-E675</f>
        <v>0</v>
      </c>
    </row>
    <row r="677" spans="1:5" ht="11.4" outlineLevel="1" x14ac:dyDescent="0.25">
      <c r="A677" s="85" t="s">
        <v>2878</v>
      </c>
      <c r="B677" s="209" t="s">
        <v>4551</v>
      </c>
      <c r="C677" s="210">
        <f>INDEX('IN_RC-T'!$A$3:$AAA$865,MATCH($A677,'IN_RC-T'!$A$3:$A$865,0),MATCH(C$3,'IN_RC-T'!$A$3:$AAA$3,0))</f>
        <v>0</v>
      </c>
      <c r="D677" s="210">
        <f>INDEX('IN_RC-T'!$A$3:$AAA$865,MATCH($A677,'IN_RC-T'!$A$3:$A$865,0),MATCH(D$3,'IN_RC-T'!$A$3:$AAA$3,0))</f>
        <v>0</v>
      </c>
      <c r="E677" s="210">
        <f>INDEX('IN_RC-T'!$A$3:$AAA$865,MATCH($A677,'IN_RC-T'!$A$3:$A$865,0),MATCH(E$3,'IN_RC-T'!$A$3:$AAA$3,0))</f>
        <v>0</v>
      </c>
    </row>
    <row r="678" spans="1:5" ht="12" outlineLevel="1" x14ac:dyDescent="0.25">
      <c r="A678" s="85" t="s">
        <v>4118</v>
      </c>
      <c r="B678" s="664" t="s">
        <v>4552</v>
      </c>
      <c r="C678" s="655">
        <v>0</v>
      </c>
      <c r="D678" s="655">
        <v>0</v>
      </c>
      <c r="E678" s="655">
        <v>0</v>
      </c>
    </row>
    <row r="679" spans="1:5" ht="12" outlineLevel="1" x14ac:dyDescent="0.25">
      <c r="A679" s="85" t="s">
        <v>4119</v>
      </c>
      <c r="B679" s="204" t="s">
        <v>4553</v>
      </c>
      <c r="C679" s="658">
        <f>C677-C678</f>
        <v>0</v>
      </c>
      <c r="D679" s="658">
        <f>D677-D678</f>
        <v>0</v>
      </c>
      <c r="E679" s="658">
        <f>E677-E678</f>
        <v>0</v>
      </c>
    </row>
    <row r="680" spans="1:5" ht="11.4" outlineLevel="1" x14ac:dyDescent="0.25">
      <c r="A680" s="85" t="s">
        <v>2939</v>
      </c>
      <c r="B680" s="209" t="s">
        <v>4554</v>
      </c>
      <c r="C680" s="210">
        <f>INDEX('IN_RC-T'!$A$3:$AAA$865,MATCH($A680,'IN_RC-T'!$A$3:$A$865,0),MATCH(C$3,'IN_RC-T'!$A$3:$AAA$3,0))</f>
        <v>0</v>
      </c>
      <c r="D680" s="210">
        <f>INDEX('IN_RC-T'!$A$3:$AAA$865,MATCH($A680,'IN_RC-T'!$A$3:$A$865,0),MATCH(D$3,'IN_RC-T'!$A$3:$AAA$3,0))</f>
        <v>0</v>
      </c>
      <c r="E680" s="210">
        <f>INDEX('IN_RC-T'!$A$3:$AAA$865,MATCH($A680,'IN_RC-T'!$A$3:$A$865,0),MATCH(E$3,'IN_RC-T'!$A$3:$AAA$3,0))</f>
        <v>0</v>
      </c>
    </row>
    <row r="681" spans="1:5" ht="11.4" outlineLevel="1" x14ac:dyDescent="0.25">
      <c r="A681" s="85" t="s">
        <v>4120</v>
      </c>
      <c r="B681" s="664" t="s">
        <v>4555</v>
      </c>
      <c r="C681" s="655">
        <v>0</v>
      </c>
      <c r="D681" s="655">
        <v>0</v>
      </c>
      <c r="E681" s="655">
        <v>0</v>
      </c>
    </row>
    <row r="682" spans="1:5" ht="11.4" outlineLevel="1" x14ac:dyDescent="0.25">
      <c r="A682" s="85" t="s">
        <v>4121</v>
      </c>
      <c r="B682" s="204" t="s">
        <v>4556</v>
      </c>
      <c r="C682" s="658">
        <f>C680-C681</f>
        <v>0</v>
      </c>
      <c r="D682" s="658">
        <f>D680-D681</f>
        <v>0</v>
      </c>
      <c r="E682" s="658">
        <f>E680-E681</f>
        <v>0</v>
      </c>
    </row>
    <row r="683" spans="1:5" ht="11.4" outlineLevel="1" x14ac:dyDescent="0.25">
      <c r="A683" s="85" t="s">
        <v>6802</v>
      </c>
      <c r="B683" s="209" t="s">
        <v>4557</v>
      </c>
      <c r="C683" s="210">
        <f>INDEX('IN_RC-T'!$A$3:$AAA$865,MATCH($A683,'IN_RC-T'!$A$3:$A$865,0),MATCH(C$3,'IN_RC-T'!$A$3:$AAA$3,0))</f>
        <v>0</v>
      </c>
      <c r="D683" s="210">
        <f>INDEX('IN_RC-T'!$A$3:$AAA$865,MATCH($A683,'IN_RC-T'!$A$3:$A$865,0),MATCH(D$3,'IN_RC-T'!$A$3:$AAA$3,0))</f>
        <v>0</v>
      </c>
      <c r="E683" s="210">
        <f>INDEX('IN_RC-T'!$A$3:$AAA$865,MATCH($A683,'IN_RC-T'!$A$3:$A$865,0),MATCH(E$3,'IN_RC-T'!$A$3:$AAA$3,0))</f>
        <v>0</v>
      </c>
    </row>
    <row r="684" spans="1:5" ht="11.4" outlineLevel="1" x14ac:dyDescent="0.25">
      <c r="A684" s="85" t="s">
        <v>6963</v>
      </c>
      <c r="B684" s="657" t="s">
        <v>4558</v>
      </c>
      <c r="C684" s="659">
        <v>0</v>
      </c>
      <c r="D684" s="659">
        <v>0</v>
      </c>
      <c r="E684" s="659">
        <v>0</v>
      </c>
    </row>
    <row r="685" spans="1:5" ht="11.4" outlineLevel="1" x14ac:dyDescent="0.25">
      <c r="A685" s="85" t="s">
        <v>6949</v>
      </c>
      <c r="B685" s="204" t="s">
        <v>4559</v>
      </c>
      <c r="C685" s="658">
        <f>C683-C684</f>
        <v>0</v>
      </c>
      <c r="D685" s="658">
        <f>D683-D684</f>
        <v>0</v>
      </c>
      <c r="E685" s="658">
        <f>E683-E684</f>
        <v>0</v>
      </c>
    </row>
    <row r="686" spans="1:5" ht="11.4" outlineLevel="1" x14ac:dyDescent="0.25">
      <c r="A686" s="85" t="s">
        <v>3058</v>
      </c>
      <c r="B686" s="209" t="s">
        <v>3098</v>
      </c>
      <c r="C686" s="210">
        <f>INDEX('IN_RC-T'!$A$3:$AAA$865,MATCH($A686,'IN_RC-T'!$A$3:$A$865,0),MATCH(C$3,'IN_RC-T'!$A$3:$AAA$3,0))</f>
        <v>0</v>
      </c>
      <c r="D686" s="210">
        <f>INDEX('IN_RC-T'!$A$3:$AAA$865,MATCH($A686,'IN_RC-T'!$A$3:$A$865,0),MATCH(D$3,'IN_RC-T'!$A$3:$AAA$3,0))</f>
        <v>0</v>
      </c>
      <c r="E686" s="210">
        <f>INDEX('IN_RC-T'!$A$3:$AAA$865,MATCH($A686,'IN_RC-T'!$A$3:$A$865,0),MATCH(E$3,'IN_RC-T'!$A$3:$AAA$3,0))</f>
        <v>0</v>
      </c>
    </row>
    <row r="687" spans="1:5" ht="11.4" outlineLevel="1" x14ac:dyDescent="0.25">
      <c r="A687" s="85" t="s">
        <v>4122</v>
      </c>
      <c r="B687" s="660" t="s">
        <v>4560</v>
      </c>
      <c r="C687" s="661">
        <f>C651+C654+C657+C660+C663+C666+C669+C672+C675+C678+C681+C684</f>
        <v>0</v>
      </c>
      <c r="D687" s="661">
        <f>D651+D654+D657+D660+D663+D666+D669+D672+D675+D678+D681+D684</f>
        <v>0</v>
      </c>
      <c r="E687" s="661">
        <f>E651+E654+E657+E660+E663+E666+E669+E672+E675+E678+E681+E684</f>
        <v>0</v>
      </c>
    </row>
    <row r="688" spans="1:5" ht="11.4" outlineLevel="1" x14ac:dyDescent="0.25">
      <c r="A688" s="85" t="s">
        <v>4123</v>
      </c>
      <c r="B688" s="204" t="s">
        <v>4561</v>
      </c>
      <c r="C688" s="658">
        <f>C686-C687</f>
        <v>0</v>
      </c>
      <c r="D688" s="658">
        <f>D686-D687</f>
        <v>0</v>
      </c>
      <c r="E688" s="658">
        <f>E686-E687</f>
        <v>0</v>
      </c>
    </row>
    <row r="689" spans="1:5" outlineLevel="1" x14ac:dyDescent="0.2">
      <c r="B689" s="137"/>
      <c r="C689" s="137"/>
      <c r="D689" s="137"/>
      <c r="E689" s="137"/>
    </row>
    <row r="690" spans="1:5" ht="11.4" outlineLevel="1" x14ac:dyDescent="0.25">
      <c r="A690" s="85" t="s">
        <v>4124</v>
      </c>
      <c r="B690" s="209" t="s">
        <v>4562</v>
      </c>
      <c r="C690" s="210">
        <f>INDEX(PEF_COM_28!$A$3:$AAA$50,MATCH($A690,PEF_COM_28!$A$3:$A$50,0),MATCH(C$3,PEF_COM_28!$A$3:$AAA$3,0))</f>
        <v>0</v>
      </c>
      <c r="D690" s="210">
        <f>INDEX(PEF_COM_28!$A$3:$AAA$50,MATCH($A690,PEF_COM_28!$A$3:$A$50,0),MATCH(D$3,PEF_COM_28!$A$3:$AAA$3,0))</f>
        <v>0</v>
      </c>
      <c r="E690" s="210">
        <f>INDEX(PEF_COM_28!$A$3:$AAA$50,MATCH($A690,PEF_COM_28!$A$3:$A$50,0),MATCH(E$3,PEF_COM_28!$A$3:$AAA$3,0))</f>
        <v>0</v>
      </c>
    </row>
    <row r="691" spans="1:5" ht="11.4" outlineLevel="1" x14ac:dyDescent="0.25">
      <c r="A691" s="85" t="s">
        <v>4125</v>
      </c>
      <c r="B691" s="657" t="s">
        <v>4563</v>
      </c>
      <c r="C691" s="659">
        <v>0</v>
      </c>
      <c r="D691" s="659">
        <v>0</v>
      </c>
      <c r="E691" s="659">
        <v>0</v>
      </c>
    </row>
    <row r="692" spans="1:5" ht="11.4" outlineLevel="1" x14ac:dyDescent="0.25">
      <c r="A692" s="85" t="s">
        <v>4126</v>
      </c>
      <c r="B692" s="204" t="s">
        <v>4564</v>
      </c>
      <c r="C692" s="658">
        <f>C690-C691</f>
        <v>0</v>
      </c>
      <c r="D692" s="658">
        <f>D690-D691</f>
        <v>0</v>
      </c>
      <c r="E692" s="658">
        <f>E690-E691</f>
        <v>0</v>
      </c>
    </row>
    <row r="693" spans="1:5" outlineLevel="1" x14ac:dyDescent="0.2">
      <c r="B693" s="137"/>
      <c r="C693" s="137"/>
      <c r="D693" s="137"/>
      <c r="E693" s="137"/>
    </row>
    <row r="694" spans="1:5" ht="11.4" outlineLevel="1" x14ac:dyDescent="0.25">
      <c r="A694" s="85" t="s">
        <v>4970</v>
      </c>
      <c r="B694" s="86" t="s">
        <v>4988</v>
      </c>
      <c r="C694" s="87">
        <f t="shared" ref="C694" si="8">C583+C590+C597+C604+C647</f>
        <v>0</v>
      </c>
      <c r="D694" s="87">
        <f t="shared" ref="D694:E694" si="9">D583+D590+D597+D604+D647</f>
        <v>0</v>
      </c>
      <c r="E694" s="87">
        <f t="shared" si="9"/>
        <v>0</v>
      </c>
    </row>
    <row r="695" spans="1:5" ht="11.4" outlineLevel="1" x14ac:dyDescent="0.25">
      <c r="A695" s="85" t="s">
        <v>4971</v>
      </c>
      <c r="B695" s="86" t="s">
        <v>4989</v>
      </c>
      <c r="C695" s="87">
        <f>C586+C593+C600+C607+C687+C691</f>
        <v>0</v>
      </c>
      <c r="D695" s="87">
        <f>D586+D593+D600+D607+D687+D691</f>
        <v>0</v>
      </c>
      <c r="E695" s="87">
        <f>E586+E593+E600+E607+E687+E691</f>
        <v>0</v>
      </c>
    </row>
    <row r="696" spans="1:5" ht="11.4" outlineLevel="1" x14ac:dyDescent="0.25">
      <c r="A696" s="85" t="s">
        <v>4972</v>
      </c>
      <c r="B696" s="56" t="s">
        <v>4990</v>
      </c>
      <c r="C696" s="81">
        <f>C694+C695</f>
        <v>0</v>
      </c>
      <c r="D696" s="81">
        <f>D694+D695</f>
        <v>0</v>
      </c>
      <c r="E696" s="81">
        <f>E694+E695</f>
        <v>0</v>
      </c>
    </row>
    <row r="697" spans="1:5" outlineLevel="1" x14ac:dyDescent="0.2">
      <c r="B697" s="137"/>
      <c r="C697" s="137"/>
      <c r="D697" s="137"/>
      <c r="E697" s="137"/>
    </row>
    <row r="698" spans="1:5" ht="11.4" outlineLevel="1" x14ac:dyDescent="0.25">
      <c r="A698" s="85" t="s">
        <v>4127</v>
      </c>
      <c r="B698" s="209" t="s">
        <v>4565</v>
      </c>
      <c r="C698" s="210">
        <f>INDEX(PEF_GEST_28!$A$3:$AAA$50,MATCH($A698,PEF_GEST_28!$A$3:$A$50,0),MATCH(C$3,PEF_GEST_28!$A$3:$AAA$3,0))</f>
        <v>2380990.7114399998</v>
      </c>
      <c r="D698" s="210">
        <f>INDEX(PEF_GEST_28!$A$3:$AAA$50,MATCH($A698,PEF_GEST_28!$A$3:$A$50,0),MATCH(D$3,PEF_GEST_28!$A$3:$AAA$3,0))</f>
        <v>0</v>
      </c>
      <c r="E698" s="210">
        <f>INDEX(PEF_GEST_28!$A$3:$AAA$50,MATCH($A698,PEF_GEST_28!$A$3:$A$50,0),MATCH(E$3,PEF_GEST_28!$A$3:$AAA$3,0))</f>
        <v>52792.447399999997</v>
      </c>
    </row>
    <row r="699" spans="1:5" ht="11.4" outlineLevel="1" x14ac:dyDescent="0.25">
      <c r="A699" s="85" t="s">
        <v>4128</v>
      </c>
      <c r="B699" s="657" t="s">
        <v>4566</v>
      </c>
      <c r="C699" s="659">
        <v>0</v>
      </c>
      <c r="D699" s="659">
        <v>0</v>
      </c>
      <c r="E699" s="659">
        <v>0</v>
      </c>
    </row>
    <row r="700" spans="1:5" ht="11.4" outlineLevel="1" x14ac:dyDescent="0.25">
      <c r="A700" s="85" t="s">
        <v>4129</v>
      </c>
      <c r="B700" s="204" t="s">
        <v>4567</v>
      </c>
      <c r="C700" s="658">
        <f>C698-C699</f>
        <v>2380990.7114399998</v>
      </c>
      <c r="D700" s="658">
        <f>D698-D699</f>
        <v>0</v>
      </c>
      <c r="E700" s="658">
        <f>E698-E699</f>
        <v>52792.447399999997</v>
      </c>
    </row>
    <row r="701" spans="1:5" ht="11.4" outlineLevel="1" x14ac:dyDescent="0.25">
      <c r="A701" s="85" t="s">
        <v>4130</v>
      </c>
      <c r="B701" s="209" t="s">
        <v>4568</v>
      </c>
      <c r="C701" s="210">
        <f>INDEX(PEF_COM_28!$A$3:$AAA$50,MATCH($A701,PEF_COM_28!$A$3:$A$50,0),MATCH(C$3,PEF_COM_28!$A$3:$AAA$3,0))</f>
        <v>0</v>
      </c>
      <c r="D701" s="210">
        <f>INDEX(PEF_COM_28!$A$3:$AAA$50,MATCH($A701,PEF_COM_28!$A$3:$A$50,0),MATCH(D$3,PEF_COM_28!$A$3:$AAA$3,0))</f>
        <v>0</v>
      </c>
      <c r="E701" s="210">
        <f>INDEX(PEF_COM_28!$A$3:$AAA$50,MATCH($A701,PEF_COM_28!$A$3:$A$50,0),MATCH(E$3,PEF_COM_28!$A$3:$AAA$3,0))</f>
        <v>0</v>
      </c>
    </row>
    <row r="702" spans="1:5" ht="11.4" outlineLevel="1" x14ac:dyDescent="0.25">
      <c r="A702" s="85" t="s">
        <v>4131</v>
      </c>
      <c r="B702" s="657" t="s">
        <v>4569</v>
      </c>
      <c r="C702" s="659">
        <v>0</v>
      </c>
      <c r="D702" s="659">
        <v>0</v>
      </c>
      <c r="E702" s="659">
        <v>0</v>
      </c>
    </row>
    <row r="703" spans="1:5" ht="11.4" outlineLevel="1" x14ac:dyDescent="0.25">
      <c r="A703" s="85" t="s">
        <v>4132</v>
      </c>
      <c r="B703" s="204" t="s">
        <v>4570</v>
      </c>
      <c r="C703" s="658">
        <f>C701-C702</f>
        <v>0</v>
      </c>
      <c r="D703" s="658">
        <f>D701-D702</f>
        <v>0</v>
      </c>
      <c r="E703" s="658">
        <f>E701-E702</f>
        <v>0</v>
      </c>
    </row>
    <row r="704" spans="1:5" outlineLevel="1" x14ac:dyDescent="0.2">
      <c r="B704" s="137"/>
      <c r="C704" s="662"/>
      <c r="D704" s="662"/>
      <c r="E704" s="662"/>
    </row>
    <row r="705" spans="1:5" ht="11.4" outlineLevel="1" x14ac:dyDescent="0.25">
      <c r="A705" s="85" t="s">
        <v>4133</v>
      </c>
      <c r="B705" s="209" t="s">
        <v>4571</v>
      </c>
      <c r="C705" s="210">
        <f>INDEX(PEF_GEST_28!$A$3:$AAA$50,MATCH($A705,PEF_GEST_28!$A$3:$A$50,0),MATCH(C$3,PEF_GEST_28!$A$3:$AAA$3,0))</f>
        <v>654540.42896000005</v>
      </c>
      <c r="D705" s="210">
        <f>INDEX(PEF_GEST_28!$A$3:$AAA$50,MATCH($A705,PEF_GEST_28!$A$3:$A$50,0),MATCH(D$3,PEF_GEST_28!$A$3:$AAA$3,0))</f>
        <v>0</v>
      </c>
      <c r="E705" s="210">
        <f>INDEX(PEF_GEST_28!$A$3:$AAA$50,MATCH($A705,PEF_GEST_28!$A$3:$A$50,0),MATCH(E$3,PEF_GEST_28!$A$3:$AAA$3,0))</f>
        <v>0</v>
      </c>
    </row>
    <row r="706" spans="1:5" ht="11.4" outlineLevel="1" x14ac:dyDescent="0.25">
      <c r="A706" s="85" t="s">
        <v>4134</v>
      </c>
      <c r="B706" s="657" t="s">
        <v>4572</v>
      </c>
      <c r="C706" s="659">
        <v>0</v>
      </c>
      <c r="D706" s="659">
        <v>0</v>
      </c>
      <c r="E706" s="659">
        <v>0</v>
      </c>
    </row>
    <row r="707" spans="1:5" ht="11.4" outlineLevel="1" x14ac:dyDescent="0.25">
      <c r="A707" s="85" t="s">
        <v>4135</v>
      </c>
      <c r="B707" s="204" t="s">
        <v>4573</v>
      </c>
      <c r="C707" s="658">
        <f>C705-C706</f>
        <v>654540.42896000005</v>
      </c>
      <c r="D707" s="658">
        <f>D705-D706</f>
        <v>0</v>
      </c>
      <c r="E707" s="658">
        <f>E705-E706</f>
        <v>0</v>
      </c>
    </row>
    <row r="708" spans="1:5" ht="11.4" outlineLevel="1" x14ac:dyDescent="0.25">
      <c r="A708" s="85" t="s">
        <v>4136</v>
      </c>
      <c r="B708" s="209" t="s">
        <v>4574</v>
      </c>
      <c r="C708" s="210">
        <f>INDEX(PEF_COM_28!$A$3:$AAA$50,MATCH($A708,PEF_COM_28!$A$3:$A$50,0),MATCH(C$3,PEF_COM_28!$A$3:$AAA$3,0))</f>
        <v>0</v>
      </c>
      <c r="D708" s="210">
        <f>INDEX(PEF_COM_28!$A$3:$AAA$50,MATCH($A708,PEF_COM_28!$A$3:$A$50,0),MATCH(D$3,PEF_COM_28!$A$3:$AAA$3,0))</f>
        <v>0</v>
      </c>
      <c r="E708" s="210">
        <f>INDEX(PEF_COM_28!$A$3:$AAA$50,MATCH($A708,PEF_COM_28!$A$3:$A$50,0),MATCH(E$3,PEF_COM_28!$A$3:$AAA$3,0))</f>
        <v>0</v>
      </c>
    </row>
    <row r="709" spans="1:5" ht="11.4" outlineLevel="1" x14ac:dyDescent="0.25">
      <c r="A709" s="85" t="s">
        <v>4137</v>
      </c>
      <c r="B709" s="657" t="s">
        <v>4575</v>
      </c>
      <c r="C709" s="659">
        <v>0</v>
      </c>
      <c r="D709" s="659">
        <v>0</v>
      </c>
      <c r="E709" s="659">
        <v>0</v>
      </c>
    </row>
    <row r="710" spans="1:5" ht="11.4" outlineLevel="1" x14ac:dyDescent="0.25">
      <c r="A710" s="85" t="s">
        <v>4138</v>
      </c>
      <c r="B710" s="204" t="s">
        <v>4576</v>
      </c>
      <c r="C710" s="658">
        <f>C708-C709</f>
        <v>0</v>
      </c>
      <c r="D710" s="658">
        <f>D708-D709</f>
        <v>0</v>
      </c>
      <c r="E710" s="658">
        <f>E708-E709</f>
        <v>0</v>
      </c>
    </row>
    <row r="711" spans="1:5" outlineLevel="1" x14ac:dyDescent="0.2">
      <c r="B711" s="137"/>
      <c r="C711" s="662"/>
      <c r="D711" s="662"/>
      <c r="E711" s="662"/>
    </row>
    <row r="712" spans="1:5" ht="11.4" outlineLevel="1" x14ac:dyDescent="0.25">
      <c r="A712" s="85" t="s">
        <v>4139</v>
      </c>
      <c r="B712" s="209" t="s">
        <v>4577</v>
      </c>
      <c r="C712" s="210">
        <f>INDEX(PEF_GEST_28!$A$3:$AAA$50,MATCH($A712,PEF_GEST_28!$A$3:$A$50,0),MATCH(C$3,PEF_GEST_28!$A$3:$AAA$3,0))</f>
        <v>1750717.3543199999</v>
      </c>
      <c r="D712" s="210">
        <f>INDEX(PEF_GEST_28!$A$3:$AAA$50,MATCH($A712,PEF_GEST_28!$A$3:$A$50,0),MATCH(D$3,PEF_GEST_28!$A$3:$AAA$3,0))</f>
        <v>52656.265596000005</v>
      </c>
      <c r="E712" s="210">
        <f>INDEX(PEF_GEST_28!$A$3:$AAA$50,MATCH($A712,PEF_GEST_28!$A$3:$A$50,0),MATCH(E$3,PEF_GEST_28!$A$3:$AAA$3,0))</f>
        <v>48576</v>
      </c>
    </row>
    <row r="713" spans="1:5" ht="11.4" outlineLevel="1" x14ac:dyDescent="0.25">
      <c r="A713" s="85" t="s">
        <v>4140</v>
      </c>
      <c r="B713" s="657" t="s">
        <v>4578</v>
      </c>
      <c r="C713" s="659">
        <v>0</v>
      </c>
      <c r="D713" s="659">
        <v>0</v>
      </c>
      <c r="E713" s="659">
        <v>0</v>
      </c>
    </row>
    <row r="714" spans="1:5" ht="11.4" outlineLevel="1" x14ac:dyDescent="0.25">
      <c r="A714" s="85" t="s">
        <v>4141</v>
      </c>
      <c r="B714" s="204" t="s">
        <v>4579</v>
      </c>
      <c r="C714" s="658">
        <f>C712-C713</f>
        <v>1750717.3543199999</v>
      </c>
      <c r="D714" s="658">
        <f>D712-D713</f>
        <v>52656.265596000005</v>
      </c>
      <c r="E714" s="658">
        <f>E712-E713</f>
        <v>48576</v>
      </c>
    </row>
    <row r="715" spans="1:5" ht="11.4" outlineLevel="1" x14ac:dyDescent="0.25">
      <c r="A715" s="85" t="s">
        <v>4142</v>
      </c>
      <c r="B715" s="209" t="s">
        <v>4580</v>
      </c>
      <c r="C715" s="210">
        <f>INDEX(PEF_COM_28!$A$3:$AAA$50,MATCH($A715,PEF_COM_28!$A$3:$A$50,0),MATCH(C$3,PEF_COM_28!$A$3:$AAA$3,0))</f>
        <v>0</v>
      </c>
      <c r="D715" s="210">
        <f>INDEX(PEF_COM_28!$A$3:$AAA$50,MATCH($A715,PEF_COM_28!$A$3:$A$50,0),MATCH(D$3,PEF_COM_28!$A$3:$AAA$3,0))</f>
        <v>0</v>
      </c>
      <c r="E715" s="210">
        <f>INDEX(PEF_COM_28!$A$3:$AAA$50,MATCH($A715,PEF_COM_28!$A$3:$A$50,0),MATCH(E$3,PEF_COM_28!$A$3:$AAA$3,0))</f>
        <v>0</v>
      </c>
    </row>
    <row r="716" spans="1:5" ht="11.4" outlineLevel="1" x14ac:dyDescent="0.25">
      <c r="A716" s="85" t="s">
        <v>4143</v>
      </c>
      <c r="B716" s="657" t="s">
        <v>4581</v>
      </c>
      <c r="C716" s="659">
        <v>0</v>
      </c>
      <c r="D716" s="659">
        <v>0</v>
      </c>
      <c r="E716" s="659">
        <v>0</v>
      </c>
    </row>
    <row r="717" spans="1:5" ht="11.4" outlineLevel="1" x14ac:dyDescent="0.25">
      <c r="A717" s="85" t="s">
        <v>4144</v>
      </c>
      <c r="B717" s="204" t="s">
        <v>4582</v>
      </c>
      <c r="C717" s="658">
        <f>C715-C716</f>
        <v>0</v>
      </c>
      <c r="D717" s="658">
        <f>D715-D716</f>
        <v>0</v>
      </c>
      <c r="E717" s="658">
        <f>E715-E716</f>
        <v>0</v>
      </c>
    </row>
    <row r="718" spans="1:5" outlineLevel="1" x14ac:dyDescent="0.2">
      <c r="B718" s="137"/>
      <c r="C718" s="662"/>
      <c r="D718" s="662"/>
      <c r="E718" s="662"/>
    </row>
    <row r="719" spans="1:5" ht="11.4" outlineLevel="1" x14ac:dyDescent="0.25">
      <c r="A719" s="85" t="s">
        <v>4145</v>
      </c>
      <c r="B719" s="209" t="s">
        <v>4583</v>
      </c>
      <c r="C719" s="210">
        <f>INDEX(PEF_GEST_28!$A$3:$AAA$50,MATCH($A719,PEF_GEST_28!$A$3:$A$50,0),MATCH(C$3,PEF_GEST_28!$A$3:$AAA$3,0))</f>
        <v>0</v>
      </c>
      <c r="D719" s="210">
        <f>INDEX(PEF_GEST_28!$A$3:$AAA$50,MATCH($A719,PEF_GEST_28!$A$3:$A$50,0),MATCH(D$3,PEF_GEST_28!$A$3:$AAA$3,0))</f>
        <v>0</v>
      </c>
      <c r="E719" s="210">
        <f>INDEX(PEF_GEST_28!$A$3:$AAA$50,MATCH($A719,PEF_GEST_28!$A$3:$A$50,0),MATCH(E$3,PEF_GEST_28!$A$3:$AAA$3,0))</f>
        <v>0</v>
      </c>
    </row>
    <row r="720" spans="1:5" ht="11.4" outlineLevel="1" x14ac:dyDescent="0.25">
      <c r="A720" s="85" t="s">
        <v>4146</v>
      </c>
      <c r="B720" s="657" t="s">
        <v>4584</v>
      </c>
      <c r="C720" s="659">
        <v>0</v>
      </c>
      <c r="D720" s="659">
        <v>0</v>
      </c>
      <c r="E720" s="659">
        <v>0</v>
      </c>
    </row>
    <row r="721" spans="1:5" ht="11.4" outlineLevel="1" x14ac:dyDescent="0.25">
      <c r="A721" s="85" t="s">
        <v>4147</v>
      </c>
      <c r="B721" s="204" t="s">
        <v>4585</v>
      </c>
      <c r="C721" s="658">
        <f>C719-C720</f>
        <v>0</v>
      </c>
      <c r="D721" s="658">
        <f>D719-D720</f>
        <v>0</v>
      </c>
      <c r="E721" s="658">
        <f>E719-E720</f>
        <v>0</v>
      </c>
    </row>
    <row r="722" spans="1:5" ht="11.4" outlineLevel="1" x14ac:dyDescent="0.25">
      <c r="A722" s="85" t="s">
        <v>4148</v>
      </c>
      <c r="B722" s="209" t="s">
        <v>4586</v>
      </c>
      <c r="C722" s="210">
        <f>INDEX(PEF_COM_28!$A$3:$AAA$50,MATCH($A722,PEF_COM_28!$A$3:$A$50,0),MATCH(C$3,PEF_COM_28!$A$3:$AAA$3,0))</f>
        <v>0</v>
      </c>
      <c r="D722" s="210">
        <f>INDEX(PEF_COM_28!$A$3:$AAA$50,MATCH($A722,PEF_COM_28!$A$3:$A$50,0),MATCH(D$3,PEF_COM_28!$A$3:$AAA$3,0))</f>
        <v>0</v>
      </c>
      <c r="E722" s="210">
        <f>INDEX(PEF_COM_28!$A$3:$AAA$50,MATCH($A722,PEF_COM_28!$A$3:$A$50,0),MATCH(E$3,PEF_COM_28!$A$3:$AAA$3,0))</f>
        <v>0</v>
      </c>
    </row>
    <row r="723" spans="1:5" ht="11.4" outlineLevel="1" x14ac:dyDescent="0.25">
      <c r="A723" s="85" t="s">
        <v>4149</v>
      </c>
      <c r="B723" s="657" t="s">
        <v>4587</v>
      </c>
      <c r="C723" s="659">
        <v>0</v>
      </c>
      <c r="D723" s="659">
        <v>0</v>
      </c>
      <c r="E723" s="659">
        <v>0</v>
      </c>
    </row>
    <row r="724" spans="1:5" ht="11.4" outlineLevel="1" x14ac:dyDescent="0.25">
      <c r="A724" s="85" t="s">
        <v>4150</v>
      </c>
      <c r="B724" s="204" t="s">
        <v>4588</v>
      </c>
      <c r="C724" s="658">
        <f>C722-C723</f>
        <v>0</v>
      </c>
      <c r="D724" s="658">
        <f>D722-D723</f>
        <v>0</v>
      </c>
      <c r="E724" s="658">
        <f>E722-E723</f>
        <v>0</v>
      </c>
    </row>
    <row r="725" spans="1:5" outlineLevel="1" x14ac:dyDescent="0.2">
      <c r="B725" s="137"/>
      <c r="C725" s="137"/>
      <c r="D725" s="137"/>
      <c r="E725" s="137"/>
    </row>
    <row r="726" spans="1:5" ht="11.4" outlineLevel="1" x14ac:dyDescent="0.25">
      <c r="A726" s="85" t="s">
        <v>4151</v>
      </c>
      <c r="B726" s="209" t="s">
        <v>4589</v>
      </c>
      <c r="C726" s="210">
        <f>INDEX(PEF_GEST_28!$A$3:$AAA$50,MATCH($A726,PEF_GEST_28!$A$3:$A$50,0),MATCH(C$3,PEF_GEST_28!$A$3:$AAA$3,0))</f>
        <v>0</v>
      </c>
      <c r="D726" s="210">
        <f>INDEX(PEF_GEST_28!$A$3:$AAA$50,MATCH($A726,PEF_GEST_28!$A$3:$A$50,0),MATCH(D$3,PEF_GEST_28!$A$3:$AAA$3,0))</f>
        <v>0</v>
      </c>
      <c r="E726" s="210">
        <f>INDEX(PEF_GEST_28!$A$3:$AAA$50,MATCH($A726,PEF_GEST_28!$A$3:$A$50,0),MATCH(E$3,PEF_GEST_28!$A$3:$AAA$3,0))</f>
        <v>0</v>
      </c>
    </row>
    <row r="727" spans="1:5" ht="11.4" outlineLevel="1" x14ac:dyDescent="0.25">
      <c r="A727" s="85" t="s">
        <v>4152</v>
      </c>
      <c r="B727" s="657" t="s">
        <v>4590</v>
      </c>
      <c r="C727" s="659">
        <v>0</v>
      </c>
      <c r="D727" s="659">
        <v>0</v>
      </c>
      <c r="E727" s="659">
        <v>0</v>
      </c>
    </row>
    <row r="728" spans="1:5" ht="11.4" outlineLevel="1" x14ac:dyDescent="0.25">
      <c r="A728" s="85" t="s">
        <v>4153</v>
      </c>
      <c r="B728" s="204" t="s">
        <v>4591</v>
      </c>
      <c r="C728" s="658">
        <f>C726-C727</f>
        <v>0</v>
      </c>
      <c r="D728" s="658">
        <f>D726-D727</f>
        <v>0</v>
      </c>
      <c r="E728" s="658">
        <f>E726-E727</f>
        <v>0</v>
      </c>
    </row>
    <row r="729" spans="1:5" ht="11.4" outlineLevel="1" x14ac:dyDescent="0.25">
      <c r="A729" s="85" t="s">
        <v>4154</v>
      </c>
      <c r="B729" s="209" t="s">
        <v>4592</v>
      </c>
      <c r="C729" s="210">
        <f>INDEX(PEF_COM_28!$A$3:$AAA$50,MATCH($A729,PEF_COM_28!$A$3:$A$50,0),MATCH(C$3,PEF_COM_28!$A$3:$AAA$3,0))</f>
        <v>0</v>
      </c>
      <c r="D729" s="210">
        <f>INDEX(PEF_COM_28!$A$3:$AAA$50,MATCH($A729,PEF_COM_28!$A$3:$A$50,0),MATCH(D$3,PEF_COM_28!$A$3:$AAA$3,0))</f>
        <v>0</v>
      </c>
      <c r="E729" s="210">
        <f>INDEX(PEF_COM_28!$A$3:$AAA$50,MATCH($A729,PEF_COM_28!$A$3:$A$50,0),MATCH(E$3,PEF_COM_28!$A$3:$AAA$3,0))</f>
        <v>0</v>
      </c>
    </row>
    <row r="730" spans="1:5" ht="11.4" outlineLevel="1" x14ac:dyDescent="0.25">
      <c r="A730" s="85" t="s">
        <v>4155</v>
      </c>
      <c r="B730" s="657" t="s">
        <v>4593</v>
      </c>
      <c r="C730" s="659">
        <v>0</v>
      </c>
      <c r="D730" s="659">
        <v>0</v>
      </c>
      <c r="E730" s="659">
        <v>0</v>
      </c>
    </row>
    <row r="731" spans="1:5" ht="11.4" outlineLevel="1" x14ac:dyDescent="0.25">
      <c r="A731" s="85" t="s">
        <v>4156</v>
      </c>
      <c r="B731" s="204" t="s">
        <v>4594</v>
      </c>
      <c r="C731" s="658">
        <f>C729-C730</f>
        <v>0</v>
      </c>
      <c r="D731" s="658">
        <f>D729-D730</f>
        <v>0</v>
      </c>
      <c r="E731" s="658">
        <f>E729-E730</f>
        <v>0</v>
      </c>
    </row>
    <row r="732" spans="1:5" outlineLevel="1" x14ac:dyDescent="0.2">
      <c r="B732" s="137"/>
      <c r="C732" s="137"/>
      <c r="D732" s="137"/>
      <c r="E732" s="137"/>
    </row>
    <row r="733" spans="1:5" ht="11.4" outlineLevel="1" x14ac:dyDescent="0.25">
      <c r="A733" s="85" t="s">
        <v>4157</v>
      </c>
      <c r="B733" s="209" t="s">
        <v>4595</v>
      </c>
      <c r="C733" s="210">
        <f>INDEX(PEF_GEST_28!$A$3:$AAA$50,MATCH($A733,PEF_GEST_28!$A$3:$A$50,0),MATCH(C$3,PEF_GEST_28!$A$3:$AAA$3,0))</f>
        <v>639718.63503260689</v>
      </c>
      <c r="D733" s="210">
        <f>INDEX(PEF_GEST_28!$A$3:$AAA$50,MATCH($A733,PEF_GEST_28!$A$3:$A$50,0),MATCH(D$3,PEF_GEST_28!$A$3:$AAA$3,0))</f>
        <v>41130.894705014922</v>
      </c>
      <c r="E733" s="210">
        <f>INDEX(PEF_GEST_28!$A$3:$AAA$50,MATCH($A733,PEF_GEST_28!$A$3:$A$50,0),MATCH(E$3,PEF_GEST_28!$A$3:$AAA$3,0))</f>
        <v>0</v>
      </c>
    </row>
    <row r="734" spans="1:5" ht="11.4" outlineLevel="1" x14ac:dyDescent="0.25">
      <c r="A734" s="85" t="s">
        <v>4158</v>
      </c>
      <c r="B734" s="657" t="s">
        <v>4596</v>
      </c>
      <c r="C734" s="659">
        <v>0</v>
      </c>
      <c r="D734" s="659">
        <v>0</v>
      </c>
      <c r="E734" s="659">
        <v>0</v>
      </c>
    </row>
    <row r="735" spans="1:5" ht="11.4" outlineLevel="1" x14ac:dyDescent="0.25">
      <c r="A735" s="85" t="s">
        <v>4159</v>
      </c>
      <c r="B735" s="204" t="s">
        <v>4597</v>
      </c>
      <c r="C735" s="658">
        <f>C733-C734</f>
        <v>639718.63503260689</v>
      </c>
      <c r="D735" s="658">
        <f>D733-D734</f>
        <v>41130.894705014922</v>
      </c>
      <c r="E735" s="658">
        <f>E733-E734</f>
        <v>0</v>
      </c>
    </row>
    <row r="736" spans="1:5" ht="11.4" outlineLevel="1" x14ac:dyDescent="0.25">
      <c r="A736" s="85" t="s">
        <v>4160</v>
      </c>
      <c r="B736" s="209" t="s">
        <v>4598</v>
      </c>
      <c r="C736" s="210">
        <f>INDEX(PEF_COM_28!$A$3:$AAA$50,MATCH($A736,PEF_COM_28!$A$3:$A$50,0),MATCH(C$3,PEF_COM_28!$A$3:$AAA$3,0))</f>
        <v>0</v>
      </c>
      <c r="D736" s="210">
        <f>INDEX(PEF_COM_28!$A$3:$AAA$50,MATCH($A736,PEF_COM_28!$A$3:$A$50,0),MATCH(D$3,PEF_COM_28!$A$3:$AAA$3,0))</f>
        <v>0</v>
      </c>
      <c r="E736" s="210">
        <f>INDEX(PEF_COM_28!$A$3:$AAA$50,MATCH($A736,PEF_COM_28!$A$3:$A$50,0),MATCH(E$3,PEF_COM_28!$A$3:$AAA$3,0))</f>
        <v>21576.013896481796</v>
      </c>
    </row>
    <row r="737" spans="1:5" ht="11.4" outlineLevel="1" x14ac:dyDescent="0.25">
      <c r="A737" s="85" t="s">
        <v>4161</v>
      </c>
      <c r="B737" s="657" t="s">
        <v>4599</v>
      </c>
      <c r="C737" s="659">
        <v>0</v>
      </c>
      <c r="D737" s="659">
        <v>0</v>
      </c>
      <c r="E737" s="659">
        <v>0</v>
      </c>
    </row>
    <row r="738" spans="1:5" ht="11.4" outlineLevel="1" x14ac:dyDescent="0.25">
      <c r="A738" s="85" t="s">
        <v>4162</v>
      </c>
      <c r="B738" s="204" t="s">
        <v>4600</v>
      </c>
      <c r="C738" s="658">
        <f>C736-C737</f>
        <v>0</v>
      </c>
      <c r="D738" s="658">
        <f>D736-D737</f>
        <v>0</v>
      </c>
      <c r="E738" s="658">
        <f>E736-E737</f>
        <v>21576.013896481796</v>
      </c>
    </row>
    <row r="739" spans="1:5" outlineLevel="1" x14ac:dyDescent="0.2">
      <c r="B739" s="137"/>
      <c r="C739" s="137"/>
      <c r="D739" s="137"/>
      <c r="E739" s="137"/>
    </row>
    <row r="740" spans="1:5" ht="11.4" outlineLevel="1" x14ac:dyDescent="0.25">
      <c r="A740" s="85" t="s">
        <v>4163</v>
      </c>
      <c r="B740" s="209" t="s">
        <v>4601</v>
      </c>
      <c r="C740" s="210">
        <f>INDEX(PEF_GEST_28!$A$3:$AAA$50,MATCH($A740,PEF_GEST_28!$A$3:$A$50,0),MATCH(C$3,PEF_GEST_28!$A$3:$AAA$3,0))</f>
        <v>0</v>
      </c>
      <c r="D740" s="210">
        <f>INDEX(PEF_GEST_28!$A$3:$AAA$50,MATCH($A740,PEF_GEST_28!$A$3:$A$50,0),MATCH(D$3,PEF_GEST_28!$A$3:$AAA$3,0))</f>
        <v>0</v>
      </c>
      <c r="E740" s="210">
        <f>INDEX(PEF_GEST_28!$A$3:$AAA$50,MATCH($A740,PEF_GEST_28!$A$3:$A$50,0),MATCH(E$3,PEF_GEST_28!$A$3:$AAA$3,0))</f>
        <v>0</v>
      </c>
    </row>
    <row r="741" spans="1:5" ht="11.4" outlineLevel="1" x14ac:dyDescent="0.25">
      <c r="A741" s="85" t="s">
        <v>4164</v>
      </c>
      <c r="B741" s="657" t="s">
        <v>4602</v>
      </c>
      <c r="C741" s="659">
        <v>0</v>
      </c>
      <c r="D741" s="659">
        <v>0</v>
      </c>
      <c r="E741" s="659">
        <v>0</v>
      </c>
    </row>
    <row r="742" spans="1:5" ht="11.4" outlineLevel="1" x14ac:dyDescent="0.25">
      <c r="A742" s="85" t="s">
        <v>4165</v>
      </c>
      <c r="B742" s="204" t="s">
        <v>4603</v>
      </c>
      <c r="C742" s="658">
        <f>C740-C741</f>
        <v>0</v>
      </c>
      <c r="D742" s="658">
        <f>D740-D741</f>
        <v>0</v>
      </c>
      <c r="E742" s="658">
        <f>E740-E741</f>
        <v>0</v>
      </c>
    </row>
    <row r="743" spans="1:5" ht="11.4" outlineLevel="1" x14ac:dyDescent="0.25">
      <c r="A743" s="85" t="s">
        <v>4166</v>
      </c>
      <c r="B743" s="209" t="s">
        <v>4604</v>
      </c>
      <c r="C743" s="210">
        <f>INDEX(PEF_GEST_28!$A$3:$AAA$50,MATCH($A743,PEF_GEST_28!$A$3:$A$50,0),MATCH(C$3,PEF_GEST_28!$A$3:$AAA$3,0))</f>
        <v>682583</v>
      </c>
      <c r="D743" s="210">
        <f>INDEX(PEF_GEST_28!$A$3:$AAA$50,MATCH($A743,PEF_GEST_28!$A$3:$A$50,0),MATCH(D$3,PEF_GEST_28!$A$3:$AAA$3,0))</f>
        <v>0</v>
      </c>
      <c r="E743" s="210">
        <f>INDEX(PEF_GEST_28!$A$3:$AAA$50,MATCH($A743,PEF_GEST_28!$A$3:$A$50,0),MATCH(E$3,PEF_GEST_28!$A$3:$AAA$3,0))</f>
        <v>0</v>
      </c>
    </row>
    <row r="744" spans="1:5" ht="11.4" outlineLevel="1" x14ac:dyDescent="0.25">
      <c r="A744" s="85" t="s">
        <v>4167</v>
      </c>
      <c r="B744" s="657" t="s">
        <v>4605</v>
      </c>
      <c r="C744" s="659">
        <v>0</v>
      </c>
      <c r="D744" s="659">
        <v>0</v>
      </c>
      <c r="E744" s="659">
        <v>0</v>
      </c>
    </row>
    <row r="745" spans="1:5" ht="11.4" outlineLevel="1" x14ac:dyDescent="0.25">
      <c r="A745" s="85" t="s">
        <v>4168</v>
      </c>
      <c r="B745" s="204" t="s">
        <v>4606</v>
      </c>
      <c r="C745" s="658">
        <f>C743-C744</f>
        <v>682583</v>
      </c>
      <c r="D745" s="658">
        <f>D743-D744</f>
        <v>0</v>
      </c>
      <c r="E745" s="658">
        <f>E743-E744</f>
        <v>0</v>
      </c>
    </row>
    <row r="746" spans="1:5" ht="11.4" outlineLevel="1" x14ac:dyDescent="0.25">
      <c r="A746" s="85" t="s">
        <v>4169</v>
      </c>
      <c r="B746" s="209" t="s">
        <v>4607</v>
      </c>
      <c r="C746" s="210">
        <f>INDEX(PEF_GEST_28!$A$3:$AAA$50,MATCH($A746,PEF_GEST_28!$A$3:$A$50,0),MATCH(C$3,PEF_GEST_28!$A$3:$AAA$3,0))</f>
        <v>0</v>
      </c>
      <c r="D746" s="210">
        <f>INDEX(PEF_GEST_28!$A$3:$AAA$50,MATCH($A746,PEF_GEST_28!$A$3:$A$50,0),MATCH(D$3,PEF_GEST_28!$A$3:$AAA$3,0))</f>
        <v>0</v>
      </c>
      <c r="E746" s="210">
        <f>INDEX(PEF_GEST_28!$A$3:$AAA$50,MATCH($A746,PEF_GEST_28!$A$3:$A$50,0),MATCH(E$3,PEF_GEST_28!$A$3:$AAA$3,0))</f>
        <v>0</v>
      </c>
    </row>
    <row r="747" spans="1:5" ht="11.4" outlineLevel="1" x14ac:dyDescent="0.25">
      <c r="A747" s="85" t="s">
        <v>4170</v>
      </c>
      <c r="B747" s="657" t="s">
        <v>4608</v>
      </c>
      <c r="C747" s="659">
        <v>0</v>
      </c>
      <c r="D747" s="659">
        <v>0</v>
      </c>
      <c r="E747" s="659">
        <v>0</v>
      </c>
    </row>
    <row r="748" spans="1:5" ht="11.4" outlineLevel="1" x14ac:dyDescent="0.25">
      <c r="A748" s="85" t="s">
        <v>4171</v>
      </c>
      <c r="B748" s="204" t="s">
        <v>4609</v>
      </c>
      <c r="C748" s="658">
        <f>C746-C747</f>
        <v>0</v>
      </c>
      <c r="D748" s="658">
        <f>D746-D747</f>
        <v>0</v>
      </c>
      <c r="E748" s="658">
        <f>E746-E747</f>
        <v>0</v>
      </c>
    </row>
    <row r="749" spans="1:5" ht="11.4" outlineLevel="1" x14ac:dyDescent="0.25">
      <c r="A749" s="85" t="s">
        <v>4172</v>
      </c>
      <c r="B749" s="209" t="s">
        <v>4610</v>
      </c>
      <c r="C749" s="210">
        <f>INDEX(PEF_GEST_28!$A$3:$AAA$50,MATCH($A749,PEF_GEST_28!$A$3:$A$50,0),MATCH(C$3,PEF_GEST_28!$A$3:$AAA$3,0))</f>
        <v>0</v>
      </c>
      <c r="D749" s="210">
        <f>INDEX(PEF_GEST_28!$A$3:$AAA$50,MATCH($A749,PEF_GEST_28!$A$3:$A$50,0),MATCH(D$3,PEF_GEST_28!$A$3:$AAA$3,0))</f>
        <v>0</v>
      </c>
      <c r="E749" s="210">
        <f>INDEX(PEF_GEST_28!$A$3:$AAA$50,MATCH($A749,PEF_GEST_28!$A$3:$A$50,0),MATCH(E$3,PEF_GEST_28!$A$3:$AAA$3,0))</f>
        <v>0</v>
      </c>
    </row>
    <row r="750" spans="1:5" ht="11.4" outlineLevel="1" x14ac:dyDescent="0.25">
      <c r="A750" s="85" t="s">
        <v>4173</v>
      </c>
      <c r="B750" s="657" t="s">
        <v>4611</v>
      </c>
      <c r="C750" s="659">
        <v>0</v>
      </c>
      <c r="D750" s="659">
        <v>0</v>
      </c>
      <c r="E750" s="659">
        <v>0</v>
      </c>
    </row>
    <row r="751" spans="1:5" ht="11.4" outlineLevel="1" x14ac:dyDescent="0.25">
      <c r="A751" s="85" t="s">
        <v>4174</v>
      </c>
      <c r="B751" s="204" t="s">
        <v>4612</v>
      </c>
      <c r="C751" s="658">
        <f>C749-C750</f>
        <v>0</v>
      </c>
      <c r="D751" s="658">
        <f>D749-D750</f>
        <v>0</v>
      </c>
      <c r="E751" s="658">
        <f>E749-E750</f>
        <v>0</v>
      </c>
    </row>
    <row r="752" spans="1:5" ht="11.4" outlineLevel="1" x14ac:dyDescent="0.25">
      <c r="A752" s="85" t="s">
        <v>4175</v>
      </c>
      <c r="B752" s="209" t="s">
        <v>4613</v>
      </c>
      <c r="C752" s="210">
        <f t="shared" ref="C752:E753" si="10">C740+C743+C746+C749</f>
        <v>682583</v>
      </c>
      <c r="D752" s="210">
        <f t="shared" si="10"/>
        <v>0</v>
      </c>
      <c r="E752" s="210">
        <f t="shared" si="10"/>
        <v>0</v>
      </c>
    </row>
    <row r="753" spans="1:5" ht="11.4" outlineLevel="1" x14ac:dyDescent="0.25">
      <c r="A753" s="85" t="s">
        <v>4176</v>
      </c>
      <c r="B753" s="660" t="s">
        <v>4614</v>
      </c>
      <c r="C753" s="661">
        <f t="shared" si="10"/>
        <v>0</v>
      </c>
      <c r="D753" s="661">
        <f t="shared" si="10"/>
        <v>0</v>
      </c>
      <c r="E753" s="661">
        <f t="shared" si="10"/>
        <v>0</v>
      </c>
    </row>
    <row r="754" spans="1:5" ht="11.4" outlineLevel="1" x14ac:dyDescent="0.25">
      <c r="A754" s="85" t="s">
        <v>4177</v>
      </c>
      <c r="B754" s="204" t="s">
        <v>4615</v>
      </c>
      <c r="C754" s="658">
        <f>C752-C753</f>
        <v>682583</v>
      </c>
      <c r="D754" s="658">
        <f>D752-D753</f>
        <v>0</v>
      </c>
      <c r="E754" s="658">
        <f>E752-E753</f>
        <v>0</v>
      </c>
    </row>
    <row r="755" spans="1:5" outlineLevel="1" x14ac:dyDescent="0.2">
      <c r="B755" s="137"/>
      <c r="C755" s="137"/>
      <c r="D755" s="137"/>
      <c r="E755" s="137"/>
    </row>
    <row r="756" spans="1:5" ht="11.4" outlineLevel="1" x14ac:dyDescent="0.25">
      <c r="A756" s="85" t="s">
        <v>4178</v>
      </c>
      <c r="B756" s="209" t="s">
        <v>4616</v>
      </c>
      <c r="C756" s="210">
        <f>INDEX(PEF_COM_28!$A$3:$AAA$50,MATCH($A756,PEF_COM_28!$A$3:$A$50,0),MATCH(C$3,PEF_COM_28!$A$3:$AAA$3,0))</f>
        <v>0</v>
      </c>
      <c r="D756" s="210">
        <f>INDEX(PEF_COM_28!$A$3:$AAA$50,MATCH($A756,PEF_COM_28!$A$3:$A$50,0),MATCH(D$3,PEF_COM_28!$A$3:$AAA$3,0))</f>
        <v>0</v>
      </c>
      <c r="E756" s="210">
        <f>INDEX(PEF_COM_28!$A$3:$AAA$50,MATCH($A756,PEF_COM_28!$A$3:$A$50,0),MATCH(E$3,PEF_COM_28!$A$3:$AAA$3,0))</f>
        <v>0</v>
      </c>
    </row>
    <row r="757" spans="1:5" ht="11.4" outlineLevel="1" x14ac:dyDescent="0.25">
      <c r="A757" s="85" t="s">
        <v>4179</v>
      </c>
      <c r="B757" s="657" t="s">
        <v>4617</v>
      </c>
      <c r="C757" s="659">
        <v>0</v>
      </c>
      <c r="D757" s="659">
        <v>0</v>
      </c>
      <c r="E757" s="659">
        <v>0</v>
      </c>
    </row>
    <row r="758" spans="1:5" ht="11.4" outlineLevel="1" x14ac:dyDescent="0.25">
      <c r="A758" s="85" t="s">
        <v>4180</v>
      </c>
      <c r="B758" s="204" t="s">
        <v>4618</v>
      </c>
      <c r="C758" s="658">
        <f>C756-C757</f>
        <v>0</v>
      </c>
      <c r="D758" s="658">
        <f>D756-D757</f>
        <v>0</v>
      </c>
      <c r="E758" s="658">
        <f>E756-E757</f>
        <v>0</v>
      </c>
    </row>
    <row r="759" spans="1:5" ht="11.4" outlineLevel="1" x14ac:dyDescent="0.25">
      <c r="A759" s="85" t="s">
        <v>4181</v>
      </c>
      <c r="B759" s="209" t="s">
        <v>4619</v>
      </c>
      <c r="C759" s="210">
        <f>INDEX(PEF_COM_28!$A$3:$AAA$50,MATCH($A759,PEF_COM_28!$A$3:$A$50,0),MATCH(C$3,PEF_COM_28!$A$3:$AAA$3,0))</f>
        <v>0</v>
      </c>
      <c r="D759" s="210">
        <f>INDEX(PEF_COM_28!$A$3:$AAA$50,MATCH($A759,PEF_COM_28!$A$3:$A$50,0),MATCH(D$3,PEF_COM_28!$A$3:$AAA$3,0))</f>
        <v>0</v>
      </c>
      <c r="E759" s="210">
        <f>INDEX(PEF_COM_28!$A$3:$AAA$50,MATCH($A759,PEF_COM_28!$A$3:$A$50,0),MATCH(E$3,PEF_COM_28!$A$3:$AAA$3,0))</f>
        <v>0</v>
      </c>
    </row>
    <row r="760" spans="1:5" ht="11.4" outlineLevel="1" x14ac:dyDescent="0.25">
      <c r="A760" s="85" t="s">
        <v>4182</v>
      </c>
      <c r="B760" s="657" t="s">
        <v>4620</v>
      </c>
      <c r="C760" s="659">
        <v>0</v>
      </c>
      <c r="D760" s="659">
        <v>0</v>
      </c>
      <c r="E760" s="659">
        <v>0</v>
      </c>
    </row>
    <row r="761" spans="1:5" ht="11.4" outlineLevel="1" x14ac:dyDescent="0.25">
      <c r="A761" s="85" t="s">
        <v>4183</v>
      </c>
      <c r="B761" s="204" t="s">
        <v>4621</v>
      </c>
      <c r="C761" s="658">
        <f>C759-C760</f>
        <v>0</v>
      </c>
      <c r="D761" s="658">
        <f>D759-D760</f>
        <v>0</v>
      </c>
      <c r="E761" s="658">
        <f>E759-E760</f>
        <v>0</v>
      </c>
    </row>
    <row r="762" spans="1:5" ht="11.4" outlineLevel="1" x14ac:dyDescent="0.25">
      <c r="A762" s="85" t="s">
        <v>4184</v>
      </c>
      <c r="B762" s="209" t="s">
        <v>4622</v>
      </c>
      <c r="C762" s="210">
        <f>INDEX(PEF_COM_28!$A$3:$AAA$50,MATCH($A762,PEF_COM_28!$A$3:$A$50,0),MATCH(C$3,PEF_COM_28!$A$3:$AAA$3,0))</f>
        <v>0</v>
      </c>
      <c r="D762" s="210">
        <f>INDEX(PEF_COM_28!$A$3:$AAA$50,MATCH($A762,PEF_COM_28!$A$3:$A$50,0),MATCH(D$3,PEF_COM_28!$A$3:$AAA$3,0))</f>
        <v>0</v>
      </c>
      <c r="E762" s="210">
        <f>INDEX(PEF_COM_28!$A$3:$AAA$50,MATCH($A762,PEF_COM_28!$A$3:$A$50,0),MATCH(E$3,PEF_COM_28!$A$3:$AAA$3,0))</f>
        <v>0</v>
      </c>
    </row>
    <row r="763" spans="1:5" ht="11.4" outlineLevel="1" x14ac:dyDescent="0.25">
      <c r="A763" s="85" t="s">
        <v>4185</v>
      </c>
      <c r="B763" s="657" t="s">
        <v>4623</v>
      </c>
      <c r="C763" s="659">
        <v>0</v>
      </c>
      <c r="D763" s="659">
        <v>0</v>
      </c>
      <c r="E763" s="659">
        <v>0</v>
      </c>
    </row>
    <row r="764" spans="1:5" ht="11.4" outlineLevel="1" x14ac:dyDescent="0.25">
      <c r="A764" s="85" t="s">
        <v>4186</v>
      </c>
      <c r="B764" s="204" t="s">
        <v>4624</v>
      </c>
      <c r="C764" s="658">
        <f>C762-C763</f>
        <v>0</v>
      </c>
      <c r="D764" s="658">
        <f>D762-D763</f>
        <v>0</v>
      </c>
      <c r="E764" s="658">
        <f>E762-E763</f>
        <v>0</v>
      </c>
    </row>
    <row r="765" spans="1:5" ht="11.4" outlineLevel="1" x14ac:dyDescent="0.25">
      <c r="A765" s="85" t="s">
        <v>4187</v>
      </c>
      <c r="B765" s="209" t="s">
        <v>4625</v>
      </c>
      <c r="C765" s="210">
        <f>INDEX(PEF_COM_28!$A$3:$AAA$50,MATCH($A765,PEF_COM_28!$A$3:$A$50,0),MATCH(C$3,PEF_COM_28!$A$3:$AAA$3,0))</f>
        <v>0</v>
      </c>
      <c r="D765" s="210">
        <f>INDEX(PEF_COM_28!$A$3:$AAA$50,MATCH($A765,PEF_COM_28!$A$3:$A$50,0),MATCH(D$3,PEF_COM_28!$A$3:$AAA$3,0))</f>
        <v>0</v>
      </c>
      <c r="E765" s="210">
        <f>INDEX(PEF_COM_28!$A$3:$AAA$50,MATCH($A765,PEF_COM_28!$A$3:$A$50,0),MATCH(E$3,PEF_COM_28!$A$3:$AAA$3,0))</f>
        <v>0</v>
      </c>
    </row>
    <row r="766" spans="1:5" ht="11.4" outlineLevel="1" x14ac:dyDescent="0.25">
      <c r="A766" s="85" t="s">
        <v>4188</v>
      </c>
      <c r="B766" s="657" t="s">
        <v>4626</v>
      </c>
      <c r="C766" s="659">
        <v>0</v>
      </c>
      <c r="D766" s="659">
        <v>0</v>
      </c>
      <c r="E766" s="659">
        <v>0</v>
      </c>
    </row>
    <row r="767" spans="1:5" ht="11.4" outlineLevel="1" x14ac:dyDescent="0.25">
      <c r="A767" s="85" t="s">
        <v>4189</v>
      </c>
      <c r="B767" s="204" t="s">
        <v>4627</v>
      </c>
      <c r="C767" s="658">
        <f>C765-C766</f>
        <v>0</v>
      </c>
      <c r="D767" s="658">
        <f>D765-D766</f>
        <v>0</v>
      </c>
      <c r="E767" s="658">
        <f>E765-E766</f>
        <v>0</v>
      </c>
    </row>
    <row r="768" spans="1:5" ht="11.4" outlineLevel="1" x14ac:dyDescent="0.25">
      <c r="A768" s="85" t="s">
        <v>4190</v>
      </c>
      <c r="B768" s="209" t="s">
        <v>4628</v>
      </c>
      <c r="C768" s="210">
        <f t="shared" ref="C768:E769" si="11">C756+C759+C762+C765</f>
        <v>0</v>
      </c>
      <c r="D768" s="210">
        <f t="shared" si="11"/>
        <v>0</v>
      </c>
      <c r="E768" s="210">
        <f t="shared" si="11"/>
        <v>0</v>
      </c>
    </row>
    <row r="769" spans="1:5" ht="11.4" outlineLevel="1" x14ac:dyDescent="0.25">
      <c r="A769" s="85" t="s">
        <v>4191</v>
      </c>
      <c r="B769" s="660" t="s">
        <v>4629</v>
      </c>
      <c r="C769" s="661">
        <f t="shared" si="11"/>
        <v>0</v>
      </c>
      <c r="D769" s="661">
        <f t="shared" si="11"/>
        <v>0</v>
      </c>
      <c r="E769" s="661">
        <f t="shared" si="11"/>
        <v>0</v>
      </c>
    </row>
    <row r="770" spans="1:5" ht="11.4" outlineLevel="1" x14ac:dyDescent="0.25">
      <c r="A770" s="85" t="s">
        <v>4192</v>
      </c>
      <c r="B770" s="204" t="s">
        <v>4630</v>
      </c>
      <c r="C770" s="658">
        <f>C768-C769</f>
        <v>0</v>
      </c>
      <c r="D770" s="658">
        <f>D768-D769</f>
        <v>0</v>
      </c>
      <c r="E770" s="658">
        <f>E768-E769</f>
        <v>0</v>
      </c>
    </row>
    <row r="771" spans="1:5" outlineLevel="1" x14ac:dyDescent="0.2">
      <c r="B771" s="137"/>
      <c r="C771" s="137"/>
      <c r="D771" s="137"/>
      <c r="E771" s="137"/>
    </row>
    <row r="772" spans="1:5" ht="11.4" outlineLevel="1" x14ac:dyDescent="0.25">
      <c r="A772" s="85" t="s">
        <v>4193</v>
      </c>
      <c r="B772" s="209" t="s">
        <v>4631</v>
      </c>
      <c r="C772" s="210">
        <f>INDEX(PEF_GEST_28!$A$3:$AAA$50,MATCH($A772,PEF_GEST_28!$A$3:$A$50,0),MATCH(C$3,PEF_GEST_28!$A$3:$AAA$3,0))</f>
        <v>534409.91485605214</v>
      </c>
      <c r="D772" s="210">
        <f>INDEX(PEF_GEST_28!$A$3:$AAA$50,MATCH($A772,PEF_GEST_28!$A$3:$A$50,0),MATCH(D$3,PEF_GEST_28!$A$3:$AAA$3,0))</f>
        <v>29365.972711002989</v>
      </c>
      <c r="E772" s="210">
        <f>INDEX(PEF_GEST_28!$A$3:$AAA$50,MATCH($A772,PEF_GEST_28!$A$3:$A$50,0),MATCH(E$3,PEF_GEST_28!$A$3:$AAA$3,0))</f>
        <v>18560.576332630921</v>
      </c>
    </row>
    <row r="773" spans="1:5" ht="11.4" outlineLevel="1" x14ac:dyDescent="0.25">
      <c r="A773" s="85" t="s">
        <v>4194</v>
      </c>
      <c r="B773" s="657" t="s">
        <v>4632</v>
      </c>
      <c r="C773" s="659">
        <v>0</v>
      </c>
      <c r="D773" s="659">
        <v>0</v>
      </c>
      <c r="E773" s="659">
        <v>0</v>
      </c>
    </row>
    <row r="774" spans="1:5" ht="11.4" outlineLevel="1" x14ac:dyDescent="0.25">
      <c r="A774" s="85" t="s">
        <v>4195</v>
      </c>
      <c r="B774" s="204" t="s">
        <v>4633</v>
      </c>
      <c r="C774" s="658">
        <f>C772-C773</f>
        <v>534409.91485605214</v>
      </c>
      <c r="D774" s="658">
        <f>D772-D773</f>
        <v>29365.972711002989</v>
      </c>
      <c r="E774" s="658">
        <f>E772-E773</f>
        <v>18560.576332630921</v>
      </c>
    </row>
    <row r="775" spans="1:5" ht="11.4" outlineLevel="1" x14ac:dyDescent="0.25">
      <c r="A775" s="85" t="s">
        <v>4196</v>
      </c>
      <c r="B775" s="209" t="s">
        <v>4634</v>
      </c>
      <c r="C775" s="210">
        <f>INDEX(PEF_COM_28!$A$3:$AAA$50,MATCH($A775,PEF_COM_28!$A$3:$A$50,0),MATCH(C$3,PEF_COM_28!$A$3:$AAA$3,0))</f>
        <v>0</v>
      </c>
      <c r="D775" s="210">
        <f>INDEX(PEF_COM_28!$A$3:$AAA$50,MATCH($A775,PEF_COM_28!$A$3:$A$50,0),MATCH(D$3,PEF_COM_28!$A$3:$AAA$3,0))</f>
        <v>0</v>
      </c>
      <c r="E775" s="210">
        <f>INDEX(PEF_COM_28!$A$3:$AAA$50,MATCH($A775,PEF_COM_28!$A$3:$A$50,0),MATCH(E$3,PEF_COM_28!$A$3:$AAA$3,0))</f>
        <v>27047.554910097933</v>
      </c>
    </row>
    <row r="776" spans="1:5" ht="11.4" outlineLevel="1" x14ac:dyDescent="0.25">
      <c r="A776" s="85" t="s">
        <v>4197</v>
      </c>
      <c r="B776" s="657" t="s">
        <v>4635</v>
      </c>
      <c r="C776" s="659">
        <v>0</v>
      </c>
      <c r="D776" s="659">
        <v>0</v>
      </c>
      <c r="E776" s="659">
        <v>0</v>
      </c>
    </row>
    <row r="777" spans="1:5" ht="11.4" outlineLevel="1" x14ac:dyDescent="0.25">
      <c r="A777" s="85" t="s">
        <v>4198</v>
      </c>
      <c r="B777" s="204" t="s">
        <v>4636</v>
      </c>
      <c r="C777" s="658">
        <f>C775-C776</f>
        <v>0</v>
      </c>
      <c r="D777" s="658">
        <f>D775-D776</f>
        <v>0</v>
      </c>
      <c r="E777" s="658">
        <f>E775-E776</f>
        <v>27047.554910097933</v>
      </c>
    </row>
    <row r="778" spans="1:5" outlineLevel="1" x14ac:dyDescent="0.2">
      <c r="B778" s="137"/>
      <c r="C778" s="662"/>
      <c r="D778" s="662"/>
      <c r="E778" s="662"/>
    </row>
    <row r="779" spans="1:5" ht="11.4" outlineLevel="1" x14ac:dyDescent="0.25">
      <c r="A779" s="85" t="s">
        <v>4199</v>
      </c>
      <c r="B779" s="209" t="s">
        <v>4637</v>
      </c>
      <c r="C779" s="210">
        <f>INDEX(PEF_GEST_28!$A$3:$AAA$50,MATCH($A779,PEF_GEST_28!$A$3:$A$50,0),MATCH(C$3,PEF_GEST_28!$A$3:$AAA$3,0))</f>
        <v>0</v>
      </c>
      <c r="D779" s="210">
        <f>INDEX(PEF_GEST_28!$A$3:$AAA$50,MATCH($A779,PEF_GEST_28!$A$3:$A$50,0),MATCH(D$3,PEF_GEST_28!$A$3:$AAA$3,0))</f>
        <v>0</v>
      </c>
      <c r="E779" s="210">
        <f>INDEX(PEF_GEST_28!$A$3:$AAA$50,MATCH($A779,PEF_GEST_28!$A$3:$A$50,0),MATCH(E$3,PEF_GEST_28!$A$3:$AAA$3,0))</f>
        <v>0</v>
      </c>
    </row>
    <row r="780" spans="1:5" ht="11.4" outlineLevel="1" x14ac:dyDescent="0.25">
      <c r="A780" s="85" t="s">
        <v>4200</v>
      </c>
      <c r="B780" s="657" t="s">
        <v>4638</v>
      </c>
      <c r="C780" s="659">
        <v>0</v>
      </c>
      <c r="D780" s="659">
        <v>0</v>
      </c>
      <c r="E780" s="659">
        <v>0</v>
      </c>
    </row>
    <row r="781" spans="1:5" ht="11.4" outlineLevel="1" x14ac:dyDescent="0.25">
      <c r="A781" s="85" t="s">
        <v>4201</v>
      </c>
      <c r="B781" s="204" t="s">
        <v>4639</v>
      </c>
      <c r="C781" s="658">
        <f>C779-C780</f>
        <v>0</v>
      </c>
      <c r="D781" s="658">
        <f>D779-D780</f>
        <v>0</v>
      </c>
      <c r="E781" s="658">
        <f>E779-E780</f>
        <v>0</v>
      </c>
    </row>
    <row r="782" spans="1:5" ht="11.4" outlineLevel="1" x14ac:dyDescent="0.25">
      <c r="A782" s="85" t="s">
        <v>4202</v>
      </c>
      <c r="B782" s="209" t="s">
        <v>4640</v>
      </c>
      <c r="C782" s="210">
        <f>INDEX(PEF_COM_28!$A$3:$AAA$50,MATCH($A782,PEF_COM_28!$A$3:$A$50,0),MATCH(C$3,PEF_COM_28!$A$3:$AAA$3,0))</f>
        <v>0</v>
      </c>
      <c r="D782" s="210">
        <f>INDEX(PEF_COM_28!$A$3:$AAA$50,MATCH($A782,PEF_COM_28!$A$3:$A$50,0),MATCH(D$3,PEF_COM_28!$A$3:$AAA$3,0))</f>
        <v>0</v>
      </c>
      <c r="E782" s="210">
        <f>INDEX(PEF_COM_28!$A$3:$AAA$50,MATCH($A782,PEF_COM_28!$A$3:$A$50,0),MATCH(E$3,PEF_COM_28!$A$3:$AAA$3,0))</f>
        <v>0</v>
      </c>
    </row>
    <row r="783" spans="1:5" ht="11.4" outlineLevel="1" x14ac:dyDescent="0.25">
      <c r="A783" s="85" t="s">
        <v>4203</v>
      </c>
      <c r="B783" s="657" t="s">
        <v>4641</v>
      </c>
      <c r="C783" s="659">
        <v>0</v>
      </c>
      <c r="D783" s="659">
        <v>0</v>
      </c>
      <c r="E783" s="659">
        <v>0</v>
      </c>
    </row>
    <row r="784" spans="1:5" ht="11.4" outlineLevel="1" x14ac:dyDescent="0.25">
      <c r="A784" s="85" t="s">
        <v>4204</v>
      </c>
      <c r="B784" s="204" t="s">
        <v>4642</v>
      </c>
      <c r="C784" s="658">
        <f>C782-C783</f>
        <v>0</v>
      </c>
      <c r="D784" s="658">
        <f>D782-D783</f>
        <v>0</v>
      </c>
      <c r="E784" s="658">
        <f>E782-E783</f>
        <v>0</v>
      </c>
    </row>
    <row r="785" spans="1:5" outlineLevel="1" x14ac:dyDescent="0.2">
      <c r="B785" s="137"/>
      <c r="C785" s="137"/>
      <c r="D785" s="137"/>
      <c r="E785" s="137"/>
    </row>
    <row r="786" spans="1:5" ht="11.4" outlineLevel="1" x14ac:dyDescent="0.25">
      <c r="A786" s="85" t="s">
        <v>4205</v>
      </c>
      <c r="B786" s="209" t="s">
        <v>4643</v>
      </c>
      <c r="C786" s="210">
        <f>INDEX(PEF_GEST_28!$A$3:$AAA$50,MATCH($A786,PEF_GEST_28!$A$3:$A$50,0),MATCH(C$3,PEF_GEST_28!$A$3:$AAA$3,0))</f>
        <v>0</v>
      </c>
      <c r="D786" s="210">
        <f>INDEX(PEF_GEST_28!$A$3:$AAA$50,MATCH($A786,PEF_GEST_28!$A$3:$A$50,0),MATCH(D$3,PEF_GEST_28!$A$3:$AAA$3,0))</f>
        <v>0</v>
      </c>
      <c r="E786" s="210">
        <f>INDEX(PEF_GEST_28!$A$3:$AAA$50,MATCH($A786,PEF_GEST_28!$A$3:$A$50,0),MATCH(E$3,PEF_GEST_28!$A$3:$AAA$3,0))</f>
        <v>0</v>
      </c>
    </row>
    <row r="787" spans="1:5" ht="11.4" outlineLevel="1" x14ac:dyDescent="0.25">
      <c r="A787" s="85" t="s">
        <v>4206</v>
      </c>
      <c r="B787" s="657" t="s">
        <v>4644</v>
      </c>
      <c r="C787" s="659">
        <v>0</v>
      </c>
      <c r="D787" s="659">
        <v>0</v>
      </c>
      <c r="E787" s="659">
        <v>0</v>
      </c>
    </row>
    <row r="788" spans="1:5" ht="11.4" outlineLevel="1" x14ac:dyDescent="0.25">
      <c r="A788" s="85" t="s">
        <v>4207</v>
      </c>
      <c r="B788" s="204" t="s">
        <v>4645</v>
      </c>
      <c r="C788" s="658">
        <f>C786-C787</f>
        <v>0</v>
      </c>
      <c r="D788" s="658">
        <f>D786-D787</f>
        <v>0</v>
      </c>
      <c r="E788" s="658">
        <f>E786-E787</f>
        <v>0</v>
      </c>
    </row>
    <row r="789" spans="1:5" ht="11.4" outlineLevel="1" x14ac:dyDescent="0.25">
      <c r="A789" s="85" t="s">
        <v>4208</v>
      </c>
      <c r="B789" s="209" t="s">
        <v>4646</v>
      </c>
      <c r="C789" s="210">
        <f>INDEX(PEF_COM_28!$A$3:$AAA$50,MATCH($A789,PEF_COM_28!$A$3:$A$50,0),MATCH(C$3,PEF_COM_28!$A$3:$AAA$3,0))</f>
        <v>0</v>
      </c>
      <c r="D789" s="210">
        <f>INDEX(PEF_COM_28!$A$3:$AAA$50,MATCH($A789,PEF_COM_28!$A$3:$A$50,0),MATCH(D$3,PEF_COM_28!$A$3:$AAA$3,0))</f>
        <v>0</v>
      </c>
      <c r="E789" s="210">
        <f>INDEX(PEF_COM_28!$A$3:$AAA$50,MATCH($A789,PEF_COM_28!$A$3:$A$50,0),MATCH(E$3,PEF_COM_28!$A$3:$AAA$3,0))</f>
        <v>0</v>
      </c>
    </row>
    <row r="790" spans="1:5" ht="11.4" outlineLevel="1" x14ac:dyDescent="0.25">
      <c r="A790" s="85" t="s">
        <v>4209</v>
      </c>
      <c r="B790" s="657" t="s">
        <v>4647</v>
      </c>
      <c r="C790" s="659">
        <v>0</v>
      </c>
      <c r="D790" s="659">
        <v>0</v>
      </c>
      <c r="E790" s="659">
        <v>0</v>
      </c>
    </row>
    <row r="791" spans="1:5" ht="11.4" outlineLevel="1" x14ac:dyDescent="0.25">
      <c r="A791" s="85" t="s">
        <v>4210</v>
      </c>
      <c r="B791" s="204" t="s">
        <v>4648</v>
      </c>
      <c r="C791" s="658">
        <f>C789-C790</f>
        <v>0</v>
      </c>
      <c r="D791" s="658">
        <f>D789-D790</f>
        <v>0</v>
      </c>
      <c r="E791" s="658">
        <f>E789-E790</f>
        <v>0</v>
      </c>
    </row>
    <row r="792" spans="1:5" outlineLevel="1" x14ac:dyDescent="0.2">
      <c r="B792" s="137"/>
      <c r="C792" s="137"/>
      <c r="D792" s="137"/>
      <c r="E792" s="137"/>
    </row>
    <row r="793" spans="1:5" ht="11.4" outlineLevel="1" x14ac:dyDescent="0.25">
      <c r="A793" s="85" t="s">
        <v>2431</v>
      </c>
      <c r="B793" s="209" t="s">
        <v>4649</v>
      </c>
      <c r="C793" s="210">
        <f>INDEX('IN_RC-T'!$A$3:$AAA$865,MATCH($A793,'IN_RC-T'!$A$3:$A$865,0),MATCH(C$3,'IN_RC-T'!$A$3:$AAA$3,0))</f>
        <v>0</v>
      </c>
      <c r="D793" s="210">
        <f>INDEX('IN_RC-T'!$A$3:$AAA$865,MATCH($A793,'IN_RC-T'!$A$3:$A$865,0),MATCH(D$3,'IN_RC-T'!$A$3:$AAA$3,0))</f>
        <v>0</v>
      </c>
      <c r="E793" s="210">
        <f>INDEX('IN_RC-T'!$A$3:$AAA$865,MATCH($A793,'IN_RC-T'!$A$3:$A$865,0),MATCH(E$3,'IN_RC-T'!$A$3:$AAA$3,0))</f>
        <v>0</v>
      </c>
    </row>
    <row r="794" spans="1:5" ht="11.4" outlineLevel="1" x14ac:dyDescent="0.25">
      <c r="A794" s="85" t="s">
        <v>4211</v>
      </c>
      <c r="B794" s="657" t="s">
        <v>4650</v>
      </c>
      <c r="C794" s="659">
        <v>0</v>
      </c>
      <c r="D794" s="659">
        <v>0</v>
      </c>
      <c r="E794" s="659">
        <v>0</v>
      </c>
    </row>
    <row r="795" spans="1:5" ht="11.4" outlineLevel="1" x14ac:dyDescent="0.25">
      <c r="A795" s="85" t="s">
        <v>4212</v>
      </c>
      <c r="B795" s="204" t="s">
        <v>4651</v>
      </c>
      <c r="C795" s="658">
        <f>C793-C794</f>
        <v>0</v>
      </c>
      <c r="D795" s="658">
        <f>D793-D794</f>
        <v>0</v>
      </c>
      <c r="E795" s="658">
        <f>E793-E794</f>
        <v>0</v>
      </c>
    </row>
    <row r="796" spans="1:5" ht="12" outlineLevel="1" x14ac:dyDescent="0.25">
      <c r="A796" s="85" t="s">
        <v>2518</v>
      </c>
      <c r="B796" s="209" t="s">
        <v>4652</v>
      </c>
      <c r="C796" s="210">
        <f>INDEX('IN_RC-T'!$A$3:$AAA$865,MATCH($A796,'IN_RC-T'!$A$3:$A$865,0),MATCH(C$3,'IN_RC-T'!$A$3:$AAA$3,0))</f>
        <v>0</v>
      </c>
      <c r="D796" s="210">
        <f>INDEX('IN_RC-T'!$A$3:$AAA$865,MATCH($A796,'IN_RC-T'!$A$3:$A$865,0),MATCH(D$3,'IN_RC-T'!$A$3:$AAA$3,0))</f>
        <v>0</v>
      </c>
      <c r="E796" s="210">
        <f>INDEX('IN_RC-T'!$A$3:$AAA$865,MATCH($A796,'IN_RC-T'!$A$3:$A$865,0),MATCH(E$3,'IN_RC-T'!$A$3:$AAA$3,0))</f>
        <v>0</v>
      </c>
    </row>
    <row r="797" spans="1:5" ht="12" outlineLevel="1" x14ac:dyDescent="0.25">
      <c r="A797" s="85" t="s">
        <v>4213</v>
      </c>
      <c r="B797" s="657" t="s">
        <v>4653</v>
      </c>
      <c r="C797" s="659">
        <v>0</v>
      </c>
      <c r="D797" s="659">
        <v>0</v>
      </c>
      <c r="E797" s="659">
        <v>0</v>
      </c>
    </row>
    <row r="798" spans="1:5" ht="12" outlineLevel="1" x14ac:dyDescent="0.25">
      <c r="A798" s="85" t="s">
        <v>4214</v>
      </c>
      <c r="B798" s="204" t="s">
        <v>4654</v>
      </c>
      <c r="C798" s="658">
        <f>C796-C797</f>
        <v>0</v>
      </c>
      <c r="D798" s="658">
        <f>D796-D797</f>
        <v>0</v>
      </c>
      <c r="E798" s="658">
        <f>E796-E797</f>
        <v>0</v>
      </c>
    </row>
    <row r="799" spans="1:5" ht="12" outlineLevel="1" x14ac:dyDescent="0.25">
      <c r="A799" s="85" t="s">
        <v>2554</v>
      </c>
      <c r="B799" s="209" t="s">
        <v>4655</v>
      </c>
      <c r="C799" s="210">
        <f>INDEX('IN_RC-T'!$A$3:$AAA$865,MATCH($A799,'IN_RC-T'!$A$3:$A$865,0),MATCH(C$3,'IN_RC-T'!$A$3:$AAA$3,0))</f>
        <v>0</v>
      </c>
      <c r="D799" s="210">
        <f>INDEX('IN_RC-T'!$A$3:$AAA$865,MATCH($A799,'IN_RC-T'!$A$3:$A$865,0),MATCH(D$3,'IN_RC-T'!$A$3:$AAA$3,0))</f>
        <v>0</v>
      </c>
      <c r="E799" s="210">
        <f>INDEX('IN_RC-T'!$A$3:$AAA$865,MATCH($A799,'IN_RC-T'!$A$3:$A$865,0),MATCH(E$3,'IN_RC-T'!$A$3:$AAA$3,0))</f>
        <v>0</v>
      </c>
    </row>
    <row r="800" spans="1:5" ht="12" outlineLevel="1" x14ac:dyDescent="0.25">
      <c r="A800" s="85" t="s">
        <v>4215</v>
      </c>
      <c r="B800" s="664" t="s">
        <v>4656</v>
      </c>
      <c r="C800" s="655">
        <v>0</v>
      </c>
      <c r="D800" s="655">
        <v>0</v>
      </c>
      <c r="E800" s="655">
        <v>0</v>
      </c>
    </row>
    <row r="801" spans="1:5" ht="12" outlineLevel="1" x14ac:dyDescent="0.25">
      <c r="A801" s="85" t="s">
        <v>4216</v>
      </c>
      <c r="B801" s="204" t="s">
        <v>4657</v>
      </c>
      <c r="C801" s="658">
        <f>C799-C800</f>
        <v>0</v>
      </c>
      <c r="D801" s="658">
        <f>D799-D800</f>
        <v>0</v>
      </c>
      <c r="E801" s="658">
        <f>E799-E800</f>
        <v>0</v>
      </c>
    </row>
    <row r="802" spans="1:5" ht="12" outlineLevel="1" x14ac:dyDescent="0.25">
      <c r="A802" s="85" t="s">
        <v>2609</v>
      </c>
      <c r="B802" s="209" t="s">
        <v>4658</v>
      </c>
      <c r="C802" s="210">
        <f>INDEX('IN_RC-T'!$A$3:$AAA$865,MATCH($A802,'IN_RC-T'!$A$3:$A$865,0),MATCH(C$3,'IN_RC-T'!$A$3:$AAA$3,0))</f>
        <v>0</v>
      </c>
      <c r="D802" s="210">
        <f>INDEX('IN_RC-T'!$A$3:$AAA$865,MATCH($A802,'IN_RC-T'!$A$3:$A$865,0),MATCH(D$3,'IN_RC-T'!$A$3:$AAA$3,0))</f>
        <v>0</v>
      </c>
      <c r="E802" s="210">
        <f>INDEX('IN_RC-T'!$A$3:$AAA$865,MATCH($A802,'IN_RC-T'!$A$3:$A$865,0),MATCH(E$3,'IN_RC-T'!$A$3:$AAA$3,0))</f>
        <v>0</v>
      </c>
    </row>
    <row r="803" spans="1:5" ht="12" outlineLevel="1" x14ac:dyDescent="0.25">
      <c r="A803" s="85" t="s">
        <v>4217</v>
      </c>
      <c r="B803" s="664" t="s">
        <v>4659</v>
      </c>
      <c r="C803" s="655">
        <v>0</v>
      </c>
      <c r="D803" s="655">
        <v>0</v>
      </c>
      <c r="E803" s="655">
        <v>0</v>
      </c>
    </row>
    <row r="804" spans="1:5" ht="12" outlineLevel="1" x14ac:dyDescent="0.25">
      <c r="A804" s="85" t="s">
        <v>4218</v>
      </c>
      <c r="B804" s="204" t="s">
        <v>4660</v>
      </c>
      <c r="C804" s="658">
        <f>C802-C803</f>
        <v>0</v>
      </c>
      <c r="D804" s="658">
        <f>D802-D803</f>
        <v>0</v>
      </c>
      <c r="E804" s="658">
        <f>E802-E803</f>
        <v>0</v>
      </c>
    </row>
    <row r="805" spans="1:5" ht="12" outlineLevel="1" x14ac:dyDescent="0.25">
      <c r="A805" s="85" t="s">
        <v>2663</v>
      </c>
      <c r="B805" s="209" t="s">
        <v>4661</v>
      </c>
      <c r="C805" s="210">
        <f>INDEX('IN_RC-T'!$A$3:$AAA$865,MATCH($A805,'IN_RC-T'!$A$3:$A$865,0),MATCH(C$3,'IN_RC-T'!$A$3:$AAA$3,0))</f>
        <v>0</v>
      </c>
      <c r="D805" s="210">
        <f>INDEX('IN_RC-T'!$A$3:$AAA$865,MATCH($A805,'IN_RC-T'!$A$3:$A$865,0),MATCH(D$3,'IN_RC-T'!$A$3:$AAA$3,0))</f>
        <v>0</v>
      </c>
      <c r="E805" s="210">
        <f>INDEX('IN_RC-T'!$A$3:$AAA$865,MATCH($A805,'IN_RC-T'!$A$3:$A$865,0),MATCH(E$3,'IN_RC-T'!$A$3:$AAA$3,0))</f>
        <v>0</v>
      </c>
    </row>
    <row r="806" spans="1:5" ht="12" outlineLevel="1" x14ac:dyDescent="0.25">
      <c r="A806" s="85" t="s">
        <v>4219</v>
      </c>
      <c r="B806" s="664" t="s">
        <v>4662</v>
      </c>
      <c r="C806" s="655">
        <v>0</v>
      </c>
      <c r="D806" s="655">
        <v>0</v>
      </c>
      <c r="E806" s="655">
        <v>0</v>
      </c>
    </row>
    <row r="807" spans="1:5" ht="12" outlineLevel="1" x14ac:dyDescent="0.25">
      <c r="A807" s="85" t="s">
        <v>4220</v>
      </c>
      <c r="B807" s="204" t="s">
        <v>4663</v>
      </c>
      <c r="C807" s="658">
        <f>C805-C806</f>
        <v>0</v>
      </c>
      <c r="D807" s="658">
        <f>D805-D806</f>
        <v>0</v>
      </c>
      <c r="E807" s="658">
        <f>E805-E806</f>
        <v>0</v>
      </c>
    </row>
    <row r="808" spans="1:5" ht="12" outlineLevel="1" x14ac:dyDescent="0.25">
      <c r="A808" s="85" t="s">
        <v>2752</v>
      </c>
      <c r="B808" s="209" t="s">
        <v>4664</v>
      </c>
      <c r="C808" s="210">
        <f>INDEX('IN_RC-T'!$A$3:$AAA$865,MATCH($A808,'IN_RC-T'!$A$3:$A$865,0),MATCH(C$3,'IN_RC-T'!$A$3:$AAA$3,0))</f>
        <v>0</v>
      </c>
      <c r="D808" s="210">
        <f>INDEX('IN_RC-T'!$A$3:$AAA$865,MATCH($A808,'IN_RC-T'!$A$3:$A$865,0),MATCH(D$3,'IN_RC-T'!$A$3:$AAA$3,0))</f>
        <v>0</v>
      </c>
      <c r="E808" s="210">
        <f>INDEX('IN_RC-T'!$A$3:$AAA$865,MATCH($A808,'IN_RC-T'!$A$3:$A$865,0),MATCH(E$3,'IN_RC-T'!$A$3:$AAA$3,0))</f>
        <v>0</v>
      </c>
    </row>
    <row r="809" spans="1:5" ht="12" outlineLevel="1" x14ac:dyDescent="0.25">
      <c r="A809" s="85" t="s">
        <v>4221</v>
      </c>
      <c r="B809" s="657" t="s">
        <v>4665</v>
      </c>
      <c r="C809" s="659">
        <v>0</v>
      </c>
      <c r="D809" s="659">
        <v>0</v>
      </c>
      <c r="E809" s="659">
        <v>0</v>
      </c>
    </row>
    <row r="810" spans="1:5" ht="12" outlineLevel="1" x14ac:dyDescent="0.25">
      <c r="A810" s="85" t="s">
        <v>4222</v>
      </c>
      <c r="B810" s="204" t="s">
        <v>4666</v>
      </c>
      <c r="C810" s="658">
        <f>C808-C809</f>
        <v>0</v>
      </c>
      <c r="D810" s="658">
        <f>D808-D809</f>
        <v>0</v>
      </c>
      <c r="E810" s="658">
        <f>E808-E809</f>
        <v>0</v>
      </c>
    </row>
    <row r="811" spans="1:5" ht="11.4" outlineLevel="1" x14ac:dyDescent="0.25">
      <c r="A811" s="85" t="s">
        <v>2825</v>
      </c>
      <c r="B811" s="209" t="s">
        <v>4667</v>
      </c>
      <c r="C811" s="210">
        <f>INDEX('IN_RC-T'!$A$3:$AAA$865,MATCH($A811,'IN_RC-T'!$A$3:$A$865,0),MATCH(C$3,'IN_RC-T'!$A$3:$AAA$3,0))</f>
        <v>0</v>
      </c>
      <c r="D811" s="210">
        <f>INDEX('IN_RC-T'!$A$3:$AAA$865,MATCH($A811,'IN_RC-T'!$A$3:$A$865,0),MATCH(D$3,'IN_RC-T'!$A$3:$AAA$3,0))</f>
        <v>0</v>
      </c>
      <c r="E811" s="210">
        <f>INDEX('IN_RC-T'!$A$3:$AAA$865,MATCH($A811,'IN_RC-T'!$A$3:$A$865,0),MATCH(E$3,'IN_RC-T'!$A$3:$AAA$3,0))</f>
        <v>0</v>
      </c>
    </row>
    <row r="812" spans="1:5" ht="12" outlineLevel="1" x14ac:dyDescent="0.25">
      <c r="A812" s="85" t="s">
        <v>4223</v>
      </c>
      <c r="B812" s="664" t="s">
        <v>4668</v>
      </c>
      <c r="C812" s="655">
        <v>0</v>
      </c>
      <c r="D812" s="655">
        <v>0</v>
      </c>
      <c r="E812" s="655">
        <v>0</v>
      </c>
    </row>
    <row r="813" spans="1:5" ht="12" outlineLevel="1" x14ac:dyDescent="0.25">
      <c r="A813" s="85" t="s">
        <v>4224</v>
      </c>
      <c r="B813" s="204" t="s">
        <v>4669</v>
      </c>
      <c r="C813" s="658">
        <f>C811-C812</f>
        <v>0</v>
      </c>
      <c r="D813" s="658">
        <f>D811-D812</f>
        <v>0</v>
      </c>
      <c r="E813" s="658">
        <f>E811-E812</f>
        <v>0</v>
      </c>
    </row>
    <row r="814" spans="1:5" ht="11.4" outlineLevel="1" x14ac:dyDescent="0.25">
      <c r="A814" s="85" t="s">
        <v>2880</v>
      </c>
      <c r="B814" s="209" t="s">
        <v>4670</v>
      </c>
      <c r="C814" s="210">
        <f>INDEX('IN_RC-T'!$A$3:$AAA$865,MATCH($A814,'IN_RC-T'!$A$3:$A$865,0),MATCH(C$3,'IN_RC-T'!$A$3:$AAA$3,0))</f>
        <v>0</v>
      </c>
      <c r="D814" s="210">
        <f>INDEX('IN_RC-T'!$A$3:$AAA$865,MATCH($A814,'IN_RC-T'!$A$3:$A$865,0),MATCH(D$3,'IN_RC-T'!$A$3:$AAA$3,0))</f>
        <v>0</v>
      </c>
      <c r="E814" s="210">
        <f>INDEX('IN_RC-T'!$A$3:$AAA$865,MATCH($A814,'IN_RC-T'!$A$3:$A$865,0),MATCH(E$3,'IN_RC-T'!$A$3:$AAA$3,0))</f>
        <v>0</v>
      </c>
    </row>
    <row r="815" spans="1:5" ht="12" outlineLevel="1" x14ac:dyDescent="0.25">
      <c r="A815" s="85" t="s">
        <v>4225</v>
      </c>
      <c r="B815" s="664" t="s">
        <v>4671</v>
      </c>
      <c r="C815" s="655">
        <v>0</v>
      </c>
      <c r="D815" s="655">
        <v>0</v>
      </c>
      <c r="E815" s="655">
        <v>0</v>
      </c>
    </row>
    <row r="816" spans="1:5" ht="12" outlineLevel="1" x14ac:dyDescent="0.25">
      <c r="A816" s="85" t="s">
        <v>4226</v>
      </c>
      <c r="B816" s="204" t="s">
        <v>4672</v>
      </c>
      <c r="C816" s="658">
        <f>C814-C815</f>
        <v>0</v>
      </c>
      <c r="D816" s="658">
        <f>D814-D815</f>
        <v>0</v>
      </c>
      <c r="E816" s="658">
        <f>E814-E815</f>
        <v>0</v>
      </c>
    </row>
    <row r="817" spans="1:5" ht="12" outlineLevel="1" x14ac:dyDescent="0.25">
      <c r="A817" s="85" t="s">
        <v>3016</v>
      </c>
      <c r="B817" s="209" t="s">
        <v>4673</v>
      </c>
      <c r="C817" s="210">
        <f>INDEX('IN_RC-T'!$A$3:$AAA$865,MATCH($A817,'IN_RC-T'!$A$3:$A$865,0),MATCH(C$3,'IN_RC-T'!$A$3:$AAA$3,0))</f>
        <v>0</v>
      </c>
      <c r="D817" s="210">
        <f>INDEX('IN_RC-T'!$A$3:$AAA$865,MATCH($A817,'IN_RC-T'!$A$3:$A$865,0),MATCH(D$3,'IN_RC-T'!$A$3:$AAA$3,0))</f>
        <v>0</v>
      </c>
      <c r="E817" s="210">
        <f>INDEX('IN_RC-T'!$A$3:$AAA$865,MATCH($A817,'IN_RC-T'!$A$3:$A$865,0),MATCH(E$3,'IN_RC-T'!$A$3:$AAA$3,0))</f>
        <v>0</v>
      </c>
    </row>
    <row r="818" spans="1:5" ht="12" outlineLevel="1" x14ac:dyDescent="0.25">
      <c r="A818" s="85" t="s">
        <v>4227</v>
      </c>
      <c r="B818" s="657" t="s">
        <v>4674</v>
      </c>
      <c r="C818" s="659">
        <v>0</v>
      </c>
      <c r="D818" s="659">
        <v>0</v>
      </c>
      <c r="E818" s="659">
        <v>0</v>
      </c>
    </row>
    <row r="819" spans="1:5" ht="12" outlineLevel="1" x14ac:dyDescent="0.25">
      <c r="A819" s="85" t="s">
        <v>4228</v>
      </c>
      <c r="B819" s="204" t="s">
        <v>4675</v>
      </c>
      <c r="C819" s="658">
        <f>C817-C818</f>
        <v>0</v>
      </c>
      <c r="D819" s="658">
        <f>D817-D818</f>
        <v>0</v>
      </c>
      <c r="E819" s="658">
        <f>E817-E818</f>
        <v>0</v>
      </c>
    </row>
    <row r="820" spans="1:5" ht="11.4" outlineLevel="1" x14ac:dyDescent="0.25">
      <c r="A820" s="85" t="s">
        <v>6803</v>
      </c>
      <c r="B820" s="209" t="s">
        <v>4676</v>
      </c>
      <c r="C820" s="210">
        <f>INDEX('IN_RC-T'!$A$3:$AAA$865,MATCH($A820,'IN_RC-T'!$A$3:$A$865,0),MATCH(C$3,'IN_RC-T'!$A$3:$AAA$3,0))</f>
        <v>321686.84789391904</v>
      </c>
      <c r="D820" s="210">
        <f>INDEX('IN_RC-T'!$A$3:$AAA$865,MATCH($A820,'IN_RC-T'!$A$3:$A$865,0),MATCH(D$3,'IN_RC-T'!$A$3:$AAA$3,0))</f>
        <v>0</v>
      </c>
      <c r="E820" s="210">
        <f>INDEX('IN_RC-T'!$A$3:$AAA$865,MATCH($A820,'IN_RC-T'!$A$3:$A$865,0),MATCH(E$3,'IN_RC-T'!$A$3:$AAA$3,0))</f>
        <v>0</v>
      </c>
    </row>
    <row r="821" spans="1:5" ht="11.4" outlineLevel="1" x14ac:dyDescent="0.25">
      <c r="A821" s="85" t="s">
        <v>6961</v>
      </c>
      <c r="B821" s="657" t="s">
        <v>4677</v>
      </c>
      <c r="C821" s="659">
        <v>0</v>
      </c>
      <c r="D821" s="659">
        <v>0</v>
      </c>
      <c r="E821" s="659">
        <v>0</v>
      </c>
    </row>
    <row r="822" spans="1:5" ht="11.4" outlineLevel="1" x14ac:dyDescent="0.25">
      <c r="A822" s="85" t="s">
        <v>6942</v>
      </c>
      <c r="B822" s="204" t="s">
        <v>4678</v>
      </c>
      <c r="C822" s="658">
        <f>C820-C821</f>
        <v>321686.84789391904</v>
      </c>
      <c r="D822" s="658">
        <f>D820-D821</f>
        <v>0</v>
      </c>
      <c r="E822" s="658">
        <f>E820-E821</f>
        <v>0</v>
      </c>
    </row>
    <row r="823" spans="1:5" ht="11.4" outlineLevel="1" x14ac:dyDescent="0.25">
      <c r="A823" s="85" t="s">
        <v>3043</v>
      </c>
      <c r="B823" s="209" t="s">
        <v>3100</v>
      </c>
      <c r="C823" s="210">
        <f>INDEX('IN_RC-T'!$A$3:$AAA$865,MATCH($A823,'IN_RC-T'!$A$3:$A$865,0),MATCH(C$3,'IN_RC-T'!$A$3:$AAA$3,0))</f>
        <v>321686.84789391904</v>
      </c>
      <c r="D823" s="210">
        <f>INDEX('IN_RC-T'!$A$3:$AAA$865,MATCH($A823,'IN_RC-T'!$A$3:$A$865,0),MATCH(D$3,'IN_RC-T'!$A$3:$AAA$3,0))</f>
        <v>0</v>
      </c>
      <c r="E823" s="210">
        <f>INDEX('IN_RC-T'!$A$3:$AAA$865,MATCH($A823,'IN_RC-T'!$A$3:$A$865,0),MATCH(E$3,'IN_RC-T'!$A$3:$AAA$3,0))</f>
        <v>0</v>
      </c>
    </row>
    <row r="824" spans="1:5" ht="11.4" outlineLevel="1" x14ac:dyDescent="0.25">
      <c r="A824" s="85" t="s">
        <v>4229</v>
      </c>
      <c r="B824" s="660" t="s">
        <v>4679</v>
      </c>
      <c r="C824" s="661">
        <f>C794+C797+C800+C803+C806+C809+C812+C815+C818+C821</f>
        <v>0</v>
      </c>
      <c r="D824" s="661">
        <f>D794+D797+D800+D803+D806+D809+D812+D815+D818+D821</f>
        <v>0</v>
      </c>
      <c r="E824" s="661">
        <f>E794+E797+E800+E803+E806+E809+E812+E815+E818+E821</f>
        <v>0</v>
      </c>
    </row>
    <row r="825" spans="1:5" ht="11.4" outlineLevel="1" x14ac:dyDescent="0.25">
      <c r="A825" s="85" t="s">
        <v>4230</v>
      </c>
      <c r="B825" s="204" t="s">
        <v>4680</v>
      </c>
      <c r="C825" s="658">
        <f>C823-C824</f>
        <v>321686.84789391904</v>
      </c>
      <c r="D825" s="658">
        <f>D823-D824</f>
        <v>0</v>
      </c>
      <c r="E825" s="658">
        <f>E823-E824</f>
        <v>0</v>
      </c>
    </row>
    <row r="826" spans="1:5" outlineLevel="1" x14ac:dyDescent="0.2">
      <c r="B826" s="137"/>
      <c r="C826" s="137"/>
      <c r="D826" s="137"/>
      <c r="E826" s="137"/>
    </row>
    <row r="827" spans="1:5" ht="11.4" outlineLevel="1" x14ac:dyDescent="0.25">
      <c r="A827" s="85" t="s">
        <v>2432</v>
      </c>
      <c r="B827" s="209" t="s">
        <v>4681</v>
      </c>
      <c r="C827" s="210">
        <f>INDEX('IN_RC-T'!$A$3:$AAA$865,MATCH($A827,'IN_RC-T'!$A$3:$A$865,0),MATCH(C$3,'IN_RC-T'!$A$3:$AAA$3,0))</f>
        <v>0</v>
      </c>
      <c r="D827" s="210">
        <f>INDEX('IN_RC-T'!$A$3:$AAA$865,MATCH($A827,'IN_RC-T'!$A$3:$A$865,0),MATCH(D$3,'IN_RC-T'!$A$3:$AAA$3,0))</f>
        <v>0</v>
      </c>
      <c r="E827" s="210">
        <f>INDEX('IN_RC-T'!$A$3:$AAA$865,MATCH($A827,'IN_RC-T'!$A$3:$A$865,0),MATCH(E$3,'IN_RC-T'!$A$3:$AAA$3,0))</f>
        <v>0</v>
      </c>
    </row>
    <row r="828" spans="1:5" ht="11.4" outlineLevel="1" x14ac:dyDescent="0.25">
      <c r="A828" s="85" t="s">
        <v>4231</v>
      </c>
      <c r="B828" s="657" t="s">
        <v>4682</v>
      </c>
      <c r="C828" s="659">
        <v>0</v>
      </c>
      <c r="D828" s="659">
        <v>0</v>
      </c>
      <c r="E828" s="659">
        <v>0</v>
      </c>
    </row>
    <row r="829" spans="1:5" ht="11.4" outlineLevel="1" x14ac:dyDescent="0.25">
      <c r="A829" s="85" t="s">
        <v>4232</v>
      </c>
      <c r="B829" s="204" t="s">
        <v>4683</v>
      </c>
      <c r="C829" s="658">
        <f>C827-C828</f>
        <v>0</v>
      </c>
      <c r="D829" s="658">
        <f>D827-D828</f>
        <v>0</v>
      </c>
      <c r="E829" s="658">
        <f>E827-E828</f>
        <v>0</v>
      </c>
    </row>
    <row r="830" spans="1:5" ht="12" outlineLevel="1" x14ac:dyDescent="0.25">
      <c r="A830" s="85" t="s">
        <v>2519</v>
      </c>
      <c r="B830" s="209" t="s">
        <v>4684</v>
      </c>
      <c r="C830" s="210">
        <f>INDEX('IN_RC-T'!$A$3:$AAA$865,MATCH($A830,'IN_RC-T'!$A$3:$A$865,0),MATCH(C$3,'IN_RC-T'!$A$3:$AAA$3,0))</f>
        <v>0</v>
      </c>
      <c r="D830" s="210">
        <f>INDEX('IN_RC-T'!$A$3:$AAA$865,MATCH($A830,'IN_RC-T'!$A$3:$A$865,0),MATCH(D$3,'IN_RC-T'!$A$3:$AAA$3,0))</f>
        <v>0</v>
      </c>
      <c r="E830" s="210">
        <f>INDEX('IN_RC-T'!$A$3:$AAA$865,MATCH($A830,'IN_RC-T'!$A$3:$A$865,0),MATCH(E$3,'IN_RC-T'!$A$3:$AAA$3,0))</f>
        <v>0</v>
      </c>
    </row>
    <row r="831" spans="1:5" ht="12" outlineLevel="1" x14ac:dyDescent="0.25">
      <c r="A831" s="85" t="s">
        <v>4233</v>
      </c>
      <c r="B831" s="657" t="s">
        <v>4685</v>
      </c>
      <c r="C831" s="659">
        <v>0</v>
      </c>
      <c r="D831" s="659">
        <v>0</v>
      </c>
      <c r="E831" s="659">
        <v>0</v>
      </c>
    </row>
    <row r="832" spans="1:5" ht="12" outlineLevel="1" x14ac:dyDescent="0.25">
      <c r="A832" s="85" t="s">
        <v>4234</v>
      </c>
      <c r="B832" s="204" t="s">
        <v>4686</v>
      </c>
      <c r="C832" s="658">
        <f>C830-C831</f>
        <v>0</v>
      </c>
      <c r="D832" s="658">
        <f>D830-D831</f>
        <v>0</v>
      </c>
      <c r="E832" s="658">
        <f>E830-E831</f>
        <v>0</v>
      </c>
    </row>
    <row r="833" spans="1:5" ht="12" outlineLevel="1" x14ac:dyDescent="0.25">
      <c r="A833" s="85" t="s">
        <v>2555</v>
      </c>
      <c r="B833" s="209" t="s">
        <v>4687</v>
      </c>
      <c r="C833" s="210">
        <f>INDEX('IN_RC-T'!$A$3:$AAA$865,MATCH($A833,'IN_RC-T'!$A$3:$A$865,0),MATCH(C$3,'IN_RC-T'!$A$3:$AAA$3,0))</f>
        <v>0</v>
      </c>
      <c r="D833" s="210">
        <f>INDEX('IN_RC-T'!$A$3:$AAA$865,MATCH($A833,'IN_RC-T'!$A$3:$A$865,0),MATCH(D$3,'IN_RC-T'!$A$3:$AAA$3,0))</f>
        <v>0</v>
      </c>
      <c r="E833" s="210">
        <f>INDEX('IN_RC-T'!$A$3:$AAA$865,MATCH($A833,'IN_RC-T'!$A$3:$A$865,0),MATCH(E$3,'IN_RC-T'!$A$3:$AAA$3,0))</f>
        <v>0</v>
      </c>
    </row>
    <row r="834" spans="1:5" ht="12" outlineLevel="1" x14ac:dyDescent="0.25">
      <c r="A834" s="85" t="s">
        <v>4235</v>
      </c>
      <c r="B834" s="664" t="s">
        <v>4688</v>
      </c>
      <c r="C834" s="655">
        <v>0</v>
      </c>
      <c r="D834" s="655">
        <v>0</v>
      </c>
      <c r="E834" s="655">
        <v>0</v>
      </c>
    </row>
    <row r="835" spans="1:5" ht="12" outlineLevel="1" x14ac:dyDescent="0.25">
      <c r="A835" s="85" t="s">
        <v>4236</v>
      </c>
      <c r="B835" s="204" t="s">
        <v>4689</v>
      </c>
      <c r="C835" s="658">
        <f>C833-C834</f>
        <v>0</v>
      </c>
      <c r="D835" s="658">
        <f>D833-D834</f>
        <v>0</v>
      </c>
      <c r="E835" s="658">
        <f>E833-E834</f>
        <v>0</v>
      </c>
    </row>
    <row r="836" spans="1:5" ht="12" outlineLevel="1" x14ac:dyDescent="0.25">
      <c r="A836" s="85" t="s">
        <v>2610</v>
      </c>
      <c r="B836" s="209" t="s">
        <v>4690</v>
      </c>
      <c r="C836" s="210">
        <f>INDEX('IN_RC-T'!$A$3:$AAA$865,MATCH($A836,'IN_RC-T'!$A$3:$A$865,0),MATCH(C$3,'IN_RC-T'!$A$3:$AAA$3,0))</f>
        <v>0</v>
      </c>
      <c r="D836" s="210">
        <f>INDEX('IN_RC-T'!$A$3:$AAA$865,MATCH($A836,'IN_RC-T'!$A$3:$A$865,0),MATCH(D$3,'IN_RC-T'!$A$3:$AAA$3,0))</f>
        <v>0</v>
      </c>
      <c r="E836" s="210">
        <f>INDEX('IN_RC-T'!$A$3:$AAA$865,MATCH($A836,'IN_RC-T'!$A$3:$A$865,0),MATCH(E$3,'IN_RC-T'!$A$3:$AAA$3,0))</f>
        <v>0</v>
      </c>
    </row>
    <row r="837" spans="1:5" ht="12" outlineLevel="1" x14ac:dyDescent="0.25">
      <c r="A837" s="85" t="s">
        <v>4237</v>
      </c>
      <c r="B837" s="664" t="s">
        <v>4691</v>
      </c>
      <c r="C837" s="655">
        <v>0</v>
      </c>
      <c r="D837" s="655">
        <v>0</v>
      </c>
      <c r="E837" s="655">
        <v>0</v>
      </c>
    </row>
    <row r="838" spans="1:5" ht="12" outlineLevel="1" x14ac:dyDescent="0.25">
      <c r="A838" s="85" t="s">
        <v>4238</v>
      </c>
      <c r="B838" s="204" t="s">
        <v>4692</v>
      </c>
      <c r="C838" s="658">
        <f>C836-C837</f>
        <v>0</v>
      </c>
      <c r="D838" s="658">
        <f>D836-D837</f>
        <v>0</v>
      </c>
      <c r="E838" s="658">
        <f>E836-E837</f>
        <v>0</v>
      </c>
    </row>
    <row r="839" spans="1:5" ht="12" outlineLevel="1" x14ac:dyDescent="0.25">
      <c r="A839" s="85" t="s">
        <v>2664</v>
      </c>
      <c r="B839" s="209" t="s">
        <v>4693</v>
      </c>
      <c r="C839" s="210">
        <f>INDEX('IN_RC-T'!$A$3:$AAA$865,MATCH($A839,'IN_RC-T'!$A$3:$A$865,0),MATCH(C$3,'IN_RC-T'!$A$3:$AAA$3,0))</f>
        <v>0</v>
      </c>
      <c r="D839" s="210">
        <f>INDEX('IN_RC-T'!$A$3:$AAA$865,MATCH($A839,'IN_RC-T'!$A$3:$A$865,0),MATCH(D$3,'IN_RC-T'!$A$3:$AAA$3,0))</f>
        <v>0</v>
      </c>
      <c r="E839" s="210">
        <f>INDEX('IN_RC-T'!$A$3:$AAA$865,MATCH($A839,'IN_RC-T'!$A$3:$A$865,0),MATCH(E$3,'IN_RC-T'!$A$3:$AAA$3,0))</f>
        <v>0</v>
      </c>
    </row>
    <row r="840" spans="1:5" ht="12" outlineLevel="1" x14ac:dyDescent="0.25">
      <c r="A840" s="85" t="s">
        <v>4239</v>
      </c>
      <c r="B840" s="664" t="s">
        <v>4694</v>
      </c>
      <c r="C840" s="655">
        <v>0</v>
      </c>
      <c r="D840" s="655">
        <v>0</v>
      </c>
      <c r="E840" s="655">
        <v>0</v>
      </c>
    </row>
    <row r="841" spans="1:5" ht="12" outlineLevel="1" x14ac:dyDescent="0.25">
      <c r="A841" s="85" t="s">
        <v>4240</v>
      </c>
      <c r="B841" s="204" t="s">
        <v>4695</v>
      </c>
      <c r="C841" s="658">
        <f>C839-C840</f>
        <v>0</v>
      </c>
      <c r="D841" s="658">
        <f>D839-D840</f>
        <v>0</v>
      </c>
      <c r="E841" s="658">
        <f>E839-E840</f>
        <v>0</v>
      </c>
    </row>
    <row r="842" spans="1:5" ht="12" outlineLevel="1" x14ac:dyDescent="0.25">
      <c r="A842" s="85" t="s">
        <v>2753</v>
      </c>
      <c r="B842" s="209" t="s">
        <v>4696</v>
      </c>
      <c r="C842" s="210">
        <f>INDEX('IN_RC-T'!$A$3:$AAA$865,MATCH($A842,'IN_RC-T'!$A$3:$A$865,0),MATCH(C$3,'IN_RC-T'!$A$3:$AAA$3,0))</f>
        <v>0</v>
      </c>
      <c r="D842" s="210">
        <f>INDEX('IN_RC-T'!$A$3:$AAA$865,MATCH($A842,'IN_RC-T'!$A$3:$A$865,0),MATCH(D$3,'IN_RC-T'!$A$3:$AAA$3,0))</f>
        <v>0</v>
      </c>
      <c r="E842" s="210">
        <f>INDEX('IN_RC-T'!$A$3:$AAA$865,MATCH($A842,'IN_RC-T'!$A$3:$A$865,0),MATCH(E$3,'IN_RC-T'!$A$3:$AAA$3,0))</f>
        <v>0</v>
      </c>
    </row>
    <row r="843" spans="1:5" ht="12" outlineLevel="1" x14ac:dyDescent="0.25">
      <c r="A843" s="85" t="s">
        <v>4241</v>
      </c>
      <c r="B843" s="657" t="s">
        <v>4697</v>
      </c>
      <c r="C843" s="659">
        <v>0</v>
      </c>
      <c r="D843" s="659">
        <v>0</v>
      </c>
      <c r="E843" s="659">
        <v>0</v>
      </c>
    </row>
    <row r="844" spans="1:5" ht="12" outlineLevel="1" x14ac:dyDescent="0.25">
      <c r="A844" s="85" t="s">
        <v>4242</v>
      </c>
      <c r="B844" s="204" t="s">
        <v>4698</v>
      </c>
      <c r="C844" s="658">
        <f>C842-C843</f>
        <v>0</v>
      </c>
      <c r="D844" s="658">
        <f>D842-D843</f>
        <v>0</v>
      </c>
      <c r="E844" s="658">
        <f>E842-E843</f>
        <v>0</v>
      </c>
    </row>
    <row r="845" spans="1:5" ht="11.4" outlineLevel="1" x14ac:dyDescent="0.25">
      <c r="A845" s="85" t="s">
        <v>2826</v>
      </c>
      <c r="B845" s="209" t="s">
        <v>4699</v>
      </c>
      <c r="C845" s="210">
        <f>INDEX('IN_RC-T'!$A$3:$AAA$865,MATCH($A845,'IN_RC-T'!$A$3:$A$865,0),MATCH(C$3,'IN_RC-T'!$A$3:$AAA$3,0))</f>
        <v>0</v>
      </c>
      <c r="D845" s="210">
        <f>INDEX('IN_RC-T'!$A$3:$AAA$865,MATCH($A845,'IN_RC-T'!$A$3:$A$865,0),MATCH(D$3,'IN_RC-T'!$A$3:$AAA$3,0))</f>
        <v>0</v>
      </c>
      <c r="E845" s="210">
        <f>INDEX('IN_RC-T'!$A$3:$AAA$865,MATCH($A845,'IN_RC-T'!$A$3:$A$865,0),MATCH(E$3,'IN_RC-T'!$A$3:$AAA$3,0))</f>
        <v>0</v>
      </c>
    </row>
    <row r="846" spans="1:5" ht="12" outlineLevel="1" x14ac:dyDescent="0.25">
      <c r="A846" s="85" t="s">
        <v>4243</v>
      </c>
      <c r="B846" s="664" t="s">
        <v>4700</v>
      </c>
      <c r="C846" s="655">
        <v>0</v>
      </c>
      <c r="D846" s="655">
        <v>0</v>
      </c>
      <c r="E846" s="655">
        <v>0</v>
      </c>
    </row>
    <row r="847" spans="1:5" ht="12" outlineLevel="1" x14ac:dyDescent="0.25">
      <c r="A847" s="85" t="s">
        <v>4244</v>
      </c>
      <c r="B847" s="204" t="s">
        <v>4701</v>
      </c>
      <c r="C847" s="658">
        <f>C845-C846</f>
        <v>0</v>
      </c>
      <c r="D847" s="658">
        <f>D845-D846</f>
        <v>0</v>
      </c>
      <c r="E847" s="658">
        <f>E845-E846</f>
        <v>0</v>
      </c>
    </row>
    <row r="848" spans="1:5" ht="11.4" outlineLevel="1" x14ac:dyDescent="0.25">
      <c r="A848" s="85" t="s">
        <v>2881</v>
      </c>
      <c r="B848" s="209" t="s">
        <v>4702</v>
      </c>
      <c r="C848" s="210">
        <f>INDEX('IN_RC-T'!$A$3:$AAA$865,MATCH($A848,'IN_RC-T'!$A$3:$A$865,0),MATCH(C$3,'IN_RC-T'!$A$3:$AAA$3,0))</f>
        <v>0</v>
      </c>
      <c r="D848" s="210">
        <f>INDEX('IN_RC-T'!$A$3:$AAA$865,MATCH($A848,'IN_RC-T'!$A$3:$A$865,0),MATCH(D$3,'IN_RC-T'!$A$3:$AAA$3,0))</f>
        <v>0</v>
      </c>
      <c r="E848" s="210">
        <f>INDEX('IN_RC-T'!$A$3:$AAA$865,MATCH($A848,'IN_RC-T'!$A$3:$A$865,0),MATCH(E$3,'IN_RC-T'!$A$3:$AAA$3,0))</f>
        <v>0</v>
      </c>
    </row>
    <row r="849" spans="1:5" ht="12" outlineLevel="1" x14ac:dyDescent="0.25">
      <c r="A849" s="85" t="s">
        <v>4245</v>
      </c>
      <c r="B849" s="664" t="s">
        <v>4703</v>
      </c>
      <c r="C849" s="655">
        <v>0</v>
      </c>
      <c r="D849" s="655">
        <v>0</v>
      </c>
      <c r="E849" s="655">
        <v>0</v>
      </c>
    </row>
    <row r="850" spans="1:5" ht="12" outlineLevel="1" x14ac:dyDescent="0.25">
      <c r="A850" s="85" t="s">
        <v>4246</v>
      </c>
      <c r="B850" s="204" t="s">
        <v>4704</v>
      </c>
      <c r="C850" s="658">
        <f>C848-C849</f>
        <v>0</v>
      </c>
      <c r="D850" s="658">
        <f>D848-D849</f>
        <v>0</v>
      </c>
      <c r="E850" s="658">
        <f>E848-E849</f>
        <v>0</v>
      </c>
    </row>
    <row r="851" spans="1:5" ht="12" outlineLevel="1" x14ac:dyDescent="0.25">
      <c r="A851" s="85" t="s">
        <v>3017</v>
      </c>
      <c r="B851" s="209" t="s">
        <v>4705</v>
      </c>
      <c r="C851" s="210">
        <f>INDEX('IN_RC-T'!$A$3:$AAA$865,MATCH($A851,'IN_RC-T'!$A$3:$A$865,0),MATCH(C$3,'IN_RC-T'!$A$3:$AAA$3,0))</f>
        <v>0</v>
      </c>
      <c r="D851" s="210">
        <f>INDEX('IN_RC-T'!$A$3:$AAA$865,MATCH($A851,'IN_RC-T'!$A$3:$A$865,0),MATCH(D$3,'IN_RC-T'!$A$3:$AAA$3,0))</f>
        <v>0</v>
      </c>
      <c r="E851" s="210">
        <f>INDEX('IN_RC-T'!$A$3:$AAA$865,MATCH($A851,'IN_RC-T'!$A$3:$A$865,0),MATCH(E$3,'IN_RC-T'!$A$3:$AAA$3,0))</f>
        <v>0</v>
      </c>
    </row>
    <row r="852" spans="1:5" ht="12" outlineLevel="1" x14ac:dyDescent="0.25">
      <c r="A852" s="85" t="s">
        <v>4247</v>
      </c>
      <c r="B852" s="657" t="s">
        <v>4706</v>
      </c>
      <c r="C852" s="659">
        <v>0</v>
      </c>
      <c r="D852" s="659">
        <v>0</v>
      </c>
      <c r="E852" s="659">
        <v>0</v>
      </c>
    </row>
    <row r="853" spans="1:5" ht="12" outlineLevel="1" x14ac:dyDescent="0.25">
      <c r="A853" s="85" t="s">
        <v>4248</v>
      </c>
      <c r="B853" s="204" t="s">
        <v>4707</v>
      </c>
      <c r="C853" s="658">
        <f>C851-C852</f>
        <v>0</v>
      </c>
      <c r="D853" s="658">
        <f>D851-D852</f>
        <v>0</v>
      </c>
      <c r="E853" s="658">
        <f>E851-E852</f>
        <v>0</v>
      </c>
    </row>
    <row r="854" spans="1:5" ht="11.4" outlineLevel="1" x14ac:dyDescent="0.25">
      <c r="A854" s="85" t="s">
        <v>6804</v>
      </c>
      <c r="B854" s="209" t="s">
        <v>4708</v>
      </c>
      <c r="C854" s="210">
        <f>INDEX('IN_RC-T'!$A$3:$AAA$865,MATCH($A854,'IN_RC-T'!$A$3:$A$865,0),MATCH(C$3,'IN_RC-T'!$A$3:$AAA$3,0))</f>
        <v>0</v>
      </c>
      <c r="D854" s="210">
        <f>INDEX('IN_RC-T'!$A$3:$AAA$865,MATCH($A854,'IN_RC-T'!$A$3:$A$865,0),MATCH(D$3,'IN_RC-T'!$A$3:$AAA$3,0))</f>
        <v>0</v>
      </c>
      <c r="E854" s="210">
        <f>INDEX('IN_RC-T'!$A$3:$AAA$865,MATCH($A854,'IN_RC-T'!$A$3:$A$865,0),MATCH(E$3,'IN_RC-T'!$A$3:$AAA$3,0))</f>
        <v>0</v>
      </c>
    </row>
    <row r="855" spans="1:5" ht="11.4" outlineLevel="1" x14ac:dyDescent="0.25">
      <c r="A855" s="85" t="s">
        <v>6962</v>
      </c>
      <c r="B855" s="657" t="s">
        <v>4709</v>
      </c>
      <c r="C855" s="659">
        <v>0</v>
      </c>
      <c r="D855" s="659">
        <v>0</v>
      </c>
      <c r="E855" s="659">
        <v>0</v>
      </c>
    </row>
    <row r="856" spans="1:5" ht="11.4" outlineLevel="1" x14ac:dyDescent="0.25">
      <c r="A856" s="85" t="s">
        <v>6950</v>
      </c>
      <c r="B856" s="204" t="s">
        <v>4710</v>
      </c>
      <c r="C856" s="658">
        <f>C854-C855</f>
        <v>0</v>
      </c>
      <c r="D856" s="658">
        <f>D854-D855</f>
        <v>0</v>
      </c>
      <c r="E856" s="658">
        <f>E854-E855</f>
        <v>0</v>
      </c>
    </row>
    <row r="857" spans="1:5" ht="11.4" outlineLevel="1" x14ac:dyDescent="0.25">
      <c r="A857" s="85" t="s">
        <v>3059</v>
      </c>
      <c r="B857" s="209" t="s">
        <v>3101</v>
      </c>
      <c r="C857" s="210">
        <f>INDEX('IN_RC-T'!$A$3:$AAA$865,MATCH($A857,'IN_RC-T'!$A$3:$A$865,0),MATCH(C$3,'IN_RC-T'!$A$3:$AAA$3,0))</f>
        <v>0</v>
      </c>
      <c r="D857" s="210">
        <f>INDEX('IN_RC-T'!$A$3:$AAA$865,MATCH($A857,'IN_RC-T'!$A$3:$A$865,0),MATCH(D$3,'IN_RC-T'!$A$3:$AAA$3,0))</f>
        <v>0</v>
      </c>
      <c r="E857" s="210">
        <f>INDEX('IN_RC-T'!$A$3:$AAA$865,MATCH($A857,'IN_RC-T'!$A$3:$A$865,0),MATCH(E$3,'IN_RC-T'!$A$3:$AAA$3,0))</f>
        <v>0</v>
      </c>
    </row>
    <row r="858" spans="1:5" ht="11.4" outlineLevel="1" x14ac:dyDescent="0.25">
      <c r="A858" s="85" t="s">
        <v>4249</v>
      </c>
      <c r="B858" s="660" t="s">
        <v>4711</v>
      </c>
      <c r="C858" s="661">
        <f>C828+C831+C834+C837+C840+C843+C846+C849+C852+C855</f>
        <v>0</v>
      </c>
      <c r="D858" s="661">
        <f>D828+D831+D834+D837+D840+D843+D846+D849+D852+D855</f>
        <v>0</v>
      </c>
      <c r="E858" s="661">
        <f>E828+E831+E834+E837+E840+E843+E846+E849+E852+E855</f>
        <v>0</v>
      </c>
    </row>
    <row r="859" spans="1:5" ht="11.4" outlineLevel="1" x14ac:dyDescent="0.25">
      <c r="A859" s="85" t="s">
        <v>4250</v>
      </c>
      <c r="B859" s="204" t="s">
        <v>4712</v>
      </c>
      <c r="C859" s="658">
        <f>C857-C858</f>
        <v>0</v>
      </c>
      <c r="D859" s="658">
        <f>D857-D858</f>
        <v>0</v>
      </c>
      <c r="E859" s="658">
        <f>E857-E858</f>
        <v>0</v>
      </c>
    </row>
    <row r="860" spans="1:5" outlineLevel="1" x14ac:dyDescent="0.2">
      <c r="B860" s="137"/>
      <c r="C860" s="137"/>
      <c r="D860" s="137"/>
      <c r="E860" s="137"/>
    </row>
    <row r="861" spans="1:5" ht="11.4" outlineLevel="1" x14ac:dyDescent="0.25">
      <c r="A861" s="85" t="s">
        <v>4251</v>
      </c>
      <c r="B861" s="209" t="s">
        <v>4713</v>
      </c>
      <c r="C861" s="210">
        <f>INDEX(PEF_COM_28!$A$3:$AAA$50,MATCH($A861,PEF_COM_28!$A$3:$A$50,0),MATCH(C$3,PEF_COM_28!$A$3:$AAA$3,0))</f>
        <v>0</v>
      </c>
      <c r="D861" s="210">
        <f>INDEX(PEF_COM_28!$A$3:$AAA$50,MATCH($A861,PEF_COM_28!$A$3:$A$50,0),MATCH(D$3,PEF_COM_28!$A$3:$AAA$3,0))</f>
        <v>0</v>
      </c>
      <c r="E861" s="210">
        <f>INDEX(PEF_COM_28!$A$3:$AAA$50,MATCH($A861,PEF_COM_28!$A$3:$A$50,0),MATCH(E$3,PEF_COM_28!$A$3:$AAA$3,0))</f>
        <v>0</v>
      </c>
    </row>
    <row r="862" spans="1:5" ht="11.4" outlineLevel="1" x14ac:dyDescent="0.25">
      <c r="A862" s="85" t="s">
        <v>4252</v>
      </c>
      <c r="B862" s="657" t="s">
        <v>4714</v>
      </c>
      <c r="C862" s="659">
        <v>0</v>
      </c>
      <c r="D862" s="659">
        <v>0</v>
      </c>
      <c r="E862" s="659">
        <v>0</v>
      </c>
    </row>
    <row r="863" spans="1:5" ht="11.4" outlineLevel="1" x14ac:dyDescent="0.25">
      <c r="A863" s="85" t="s">
        <v>4253</v>
      </c>
      <c r="B863" s="204" t="s">
        <v>4715</v>
      </c>
      <c r="C863" s="658">
        <f>C861-C862</f>
        <v>0</v>
      </c>
      <c r="D863" s="658">
        <f>D861-D862</f>
        <v>0</v>
      </c>
      <c r="E863" s="658">
        <f>E861-E862</f>
        <v>0</v>
      </c>
    </row>
    <row r="864" spans="1:5" outlineLevel="1" x14ac:dyDescent="0.2">
      <c r="B864" s="137"/>
      <c r="C864" s="137"/>
      <c r="D864" s="137"/>
      <c r="E864" s="137"/>
    </row>
    <row r="865" spans="1:5" ht="11.4" outlineLevel="1" x14ac:dyDescent="0.25">
      <c r="A865" s="85" t="s">
        <v>4254</v>
      </c>
      <c r="B865" s="209" t="s">
        <v>4991</v>
      </c>
      <c r="C865" s="210">
        <f>C699+C706+C713+C720+C727+C734+C753+C773+C780+C787+C824</f>
        <v>0</v>
      </c>
      <c r="D865" s="210">
        <f>D699+D706+D713+D720+D727+D734+D753+D773+D780+D787+D824</f>
        <v>0</v>
      </c>
      <c r="E865" s="210">
        <f>E699+E706+E713+E720+E727+E734+E753+E773+E780+E787+E824</f>
        <v>0</v>
      </c>
    </row>
    <row r="866" spans="1:5" ht="11.4" outlineLevel="1" x14ac:dyDescent="0.25">
      <c r="A866" s="85" t="s">
        <v>4255</v>
      </c>
      <c r="B866" s="527" t="s">
        <v>4992</v>
      </c>
      <c r="C866" s="663">
        <f>C702+C709+C716+C723+C730+C737+C769+C776+C783+C790+C858+C862</f>
        <v>0</v>
      </c>
      <c r="D866" s="663">
        <f>D702+D709+D716+D723+D730+D737+D769+D776+D783+D790+D858+D862</f>
        <v>0</v>
      </c>
      <c r="E866" s="663">
        <f>E702+E709+E716+E723+E730+E737+E769+E776+E783+E790+E858+E862</f>
        <v>0</v>
      </c>
    </row>
    <row r="867" spans="1:5" ht="11.4" outlineLevel="1" x14ac:dyDescent="0.25">
      <c r="A867" s="85" t="s">
        <v>4256</v>
      </c>
      <c r="B867" s="204" t="s">
        <v>4993</v>
      </c>
      <c r="C867" s="658">
        <f>C865+C866</f>
        <v>0</v>
      </c>
      <c r="D867" s="658">
        <f>D865+D866</f>
        <v>0</v>
      </c>
      <c r="E867" s="658">
        <f>E865+E866</f>
        <v>0</v>
      </c>
    </row>
    <row r="868" spans="1:5" x14ac:dyDescent="0.2">
      <c r="B868" s="137"/>
      <c r="C868" s="137"/>
      <c r="D868" s="137"/>
      <c r="E868" s="137"/>
    </row>
    <row r="869" spans="1:5" x14ac:dyDescent="0.2">
      <c r="B869" s="79">
        <v>2029</v>
      </c>
    </row>
    <row r="870" spans="1:5" ht="11.4" outlineLevel="1" x14ac:dyDescent="0.25">
      <c r="A870" s="85" t="s">
        <v>4257</v>
      </c>
      <c r="B870" s="209" t="s">
        <v>4716</v>
      </c>
      <c r="C870" s="210">
        <f>INDEX(PEF_GEST_29!$A$3:$AAA$50,MATCH($A870,PEF_GEST_29!$A$3:$A$50,0),MATCH(C$3,PEF_GEST_29!$A$3:$AAA$3,0))</f>
        <v>1157506.4023600002</v>
      </c>
      <c r="D870" s="210">
        <f>INDEX(PEF_GEST_29!$A$3:$AAA$50,MATCH($A870,PEF_GEST_29!$A$3:$A$50,0),MATCH(D$3,PEF_GEST_29!$A$3:$AAA$3,0))</f>
        <v>121561.60940880001</v>
      </c>
      <c r="E870" s="210">
        <f>INDEX(PEF_GEST_29!$A$3:$AAA$50,MATCH($A870,PEF_GEST_29!$A$3:$A$50,0),MATCH(E$3,PEF_GEST_29!$A$3:$AAA$3,0))</f>
        <v>105869.11500000001</v>
      </c>
    </row>
    <row r="871" spans="1:5" ht="11.4" outlineLevel="1" x14ac:dyDescent="0.25">
      <c r="A871" s="85" t="s">
        <v>4258</v>
      </c>
      <c r="B871" s="657" t="s">
        <v>4717</v>
      </c>
      <c r="C871" s="659">
        <v>0</v>
      </c>
      <c r="D871" s="659">
        <v>0</v>
      </c>
      <c r="E871" s="659">
        <v>0</v>
      </c>
    </row>
    <row r="872" spans="1:5" ht="11.4" outlineLevel="1" x14ac:dyDescent="0.25">
      <c r="A872" s="85" t="s">
        <v>4259</v>
      </c>
      <c r="B872" s="204" t="s">
        <v>4718</v>
      </c>
      <c r="C872" s="658">
        <f>C870-C871</f>
        <v>1157506.4023600002</v>
      </c>
      <c r="D872" s="658">
        <f>D870-D871</f>
        <v>121561.60940880001</v>
      </c>
      <c r="E872" s="658">
        <f>E870-E871</f>
        <v>105869.11500000001</v>
      </c>
    </row>
    <row r="873" spans="1:5" ht="11.4" outlineLevel="1" x14ac:dyDescent="0.25">
      <c r="A873" s="85" t="s">
        <v>4260</v>
      </c>
      <c r="B873" s="209" t="s">
        <v>4719</v>
      </c>
      <c r="C873" s="210">
        <f>INDEX(PEF_COM_29!$A$3:$AAA$50,MATCH($A873,PEF_COM_29!$A$3:$A$50,0),MATCH(C$3,PEF_COM_29!$A$3:$AAA$3,0))</f>
        <v>0</v>
      </c>
      <c r="D873" s="210">
        <f>INDEX(PEF_COM_29!$A$3:$AAA$50,MATCH($A873,PEF_COM_29!$A$3:$A$50,0),MATCH(D$3,PEF_COM_29!$A$3:$AAA$3,0))</f>
        <v>0</v>
      </c>
      <c r="E873" s="210">
        <f>INDEX(PEF_COM_29!$A$3:$AAA$50,MATCH($A873,PEF_COM_29!$A$3:$A$50,0),MATCH(E$3,PEF_COM_29!$A$3:$AAA$3,0))</f>
        <v>0</v>
      </c>
    </row>
    <row r="874" spans="1:5" ht="11.4" outlineLevel="1" x14ac:dyDescent="0.25">
      <c r="A874" s="85" t="s">
        <v>4261</v>
      </c>
      <c r="B874" s="657" t="s">
        <v>4720</v>
      </c>
      <c r="C874" s="659">
        <v>0</v>
      </c>
      <c r="D874" s="659">
        <v>0</v>
      </c>
      <c r="E874" s="659">
        <v>0</v>
      </c>
    </row>
    <row r="875" spans="1:5" ht="11.4" outlineLevel="1" x14ac:dyDescent="0.25">
      <c r="A875" s="85" t="s">
        <v>4262</v>
      </c>
      <c r="B875" s="204" t="s">
        <v>4721</v>
      </c>
      <c r="C875" s="658">
        <f>C873-C874</f>
        <v>0</v>
      </c>
      <c r="D875" s="658">
        <f>D873-D874</f>
        <v>0</v>
      </c>
      <c r="E875" s="658">
        <f>E873-E874</f>
        <v>0</v>
      </c>
    </row>
    <row r="876" spans="1:5" outlineLevel="1" x14ac:dyDescent="0.2">
      <c r="B876" s="137"/>
      <c r="C876" s="662"/>
      <c r="D876" s="662"/>
      <c r="E876" s="662"/>
    </row>
    <row r="877" spans="1:5" ht="11.4" outlineLevel="1" x14ac:dyDescent="0.25">
      <c r="A877" s="85" t="s">
        <v>4263</v>
      </c>
      <c r="B877" s="209" t="s">
        <v>4722</v>
      </c>
      <c r="C877" s="210">
        <f>INDEX(PEF_GEST_29!$A$3:$AAA$50,MATCH($A877,PEF_GEST_29!$A$3:$A$50,0),MATCH(C$3,PEF_GEST_29!$A$3:$AAA$3,0))</f>
        <v>0</v>
      </c>
      <c r="D877" s="210">
        <f>INDEX(PEF_GEST_29!$A$3:$AAA$50,MATCH($A877,PEF_GEST_29!$A$3:$A$50,0),MATCH(D$3,PEF_GEST_29!$A$3:$AAA$3,0))</f>
        <v>189.21991440000002</v>
      </c>
      <c r="E877" s="210">
        <f>INDEX(PEF_GEST_29!$A$3:$AAA$50,MATCH($A877,PEF_GEST_29!$A$3:$A$50,0),MATCH(E$3,PEF_GEST_29!$A$3:$AAA$3,0))</f>
        <v>190794.41436</v>
      </c>
    </row>
    <row r="878" spans="1:5" ht="11.4" outlineLevel="1" x14ac:dyDescent="0.25">
      <c r="A878" s="85" t="s">
        <v>4264</v>
      </c>
      <c r="B878" s="657" t="s">
        <v>4723</v>
      </c>
      <c r="C878" s="659">
        <v>0</v>
      </c>
      <c r="D878" s="659">
        <v>0</v>
      </c>
      <c r="E878" s="659">
        <v>0</v>
      </c>
    </row>
    <row r="879" spans="1:5" ht="11.4" outlineLevel="1" x14ac:dyDescent="0.25">
      <c r="A879" s="85" t="s">
        <v>4265</v>
      </c>
      <c r="B879" s="204" t="s">
        <v>4724</v>
      </c>
      <c r="C879" s="658">
        <f>C877-C878</f>
        <v>0</v>
      </c>
      <c r="D879" s="658">
        <f>D877-D878</f>
        <v>189.21991440000002</v>
      </c>
      <c r="E879" s="658">
        <f>E877-E878</f>
        <v>190794.41436</v>
      </c>
    </row>
    <row r="880" spans="1:5" ht="11.4" outlineLevel="1" x14ac:dyDescent="0.25">
      <c r="A880" s="85" t="s">
        <v>4266</v>
      </c>
      <c r="B880" s="209" t="s">
        <v>4725</v>
      </c>
      <c r="C880" s="210">
        <f>INDEX(PEF_COM_29!$A$3:$AAA$50,MATCH($A880,PEF_COM_29!$A$3:$A$50,0),MATCH(C$3,PEF_COM_29!$A$3:$AAA$3,0))</f>
        <v>0</v>
      </c>
      <c r="D880" s="210">
        <f>INDEX(PEF_COM_29!$A$3:$AAA$50,MATCH($A880,PEF_COM_29!$A$3:$A$50,0),MATCH(D$3,PEF_COM_29!$A$3:$AAA$3,0))</f>
        <v>0</v>
      </c>
      <c r="E880" s="210">
        <f>INDEX(PEF_COM_29!$A$3:$AAA$50,MATCH($A880,PEF_COM_29!$A$3:$A$50,0),MATCH(E$3,PEF_COM_29!$A$3:$AAA$3,0))</f>
        <v>0</v>
      </c>
    </row>
    <row r="881" spans="1:5" ht="11.4" outlineLevel="1" x14ac:dyDescent="0.25">
      <c r="A881" s="85" t="s">
        <v>4267</v>
      </c>
      <c r="B881" s="657" t="s">
        <v>4726</v>
      </c>
      <c r="C881" s="659">
        <v>0</v>
      </c>
      <c r="D881" s="659">
        <v>0</v>
      </c>
      <c r="E881" s="659">
        <v>0</v>
      </c>
    </row>
    <row r="882" spans="1:5" ht="11.4" outlineLevel="1" x14ac:dyDescent="0.25">
      <c r="A882" s="85" t="s">
        <v>4268</v>
      </c>
      <c r="B882" s="204" t="s">
        <v>4727</v>
      </c>
      <c r="C882" s="658">
        <f>C880-C881</f>
        <v>0</v>
      </c>
      <c r="D882" s="658">
        <f>D880-D881</f>
        <v>0</v>
      </c>
      <c r="E882" s="658">
        <f>E880-E881</f>
        <v>0</v>
      </c>
    </row>
    <row r="883" spans="1:5" outlineLevel="1" x14ac:dyDescent="0.2">
      <c r="B883" s="137"/>
      <c r="C883" s="662"/>
      <c r="D883" s="662"/>
      <c r="E883" s="662"/>
    </row>
    <row r="884" spans="1:5" ht="11.4" outlineLevel="1" x14ac:dyDescent="0.25">
      <c r="A884" s="85" t="s">
        <v>4269</v>
      </c>
      <c r="B884" s="209" t="s">
        <v>4728</v>
      </c>
      <c r="C884" s="210">
        <f>INDEX(PEF_GEST_29!$A$3:$AAA$50,MATCH($A884,PEF_GEST_29!$A$3:$A$50,0),MATCH(C$3,PEF_GEST_29!$A$3:$AAA$3,0))</f>
        <v>2683893.7774</v>
      </c>
      <c r="D884" s="210">
        <f>INDEX(PEF_GEST_29!$A$3:$AAA$50,MATCH($A884,PEF_GEST_29!$A$3:$A$50,0),MATCH(D$3,PEF_GEST_29!$A$3:$AAA$3,0))</f>
        <v>564604.21989840001</v>
      </c>
      <c r="E884" s="210">
        <f>INDEX(PEF_GEST_29!$A$3:$AAA$50,MATCH($A884,PEF_GEST_29!$A$3:$A$50,0),MATCH(E$3,PEF_GEST_29!$A$3:$AAA$3,0))</f>
        <v>0</v>
      </c>
    </row>
    <row r="885" spans="1:5" ht="11.4" outlineLevel="1" x14ac:dyDescent="0.25">
      <c r="A885" s="85" t="s">
        <v>4270</v>
      </c>
      <c r="B885" s="657" t="s">
        <v>4729</v>
      </c>
      <c r="C885" s="659">
        <v>0</v>
      </c>
      <c r="D885" s="659">
        <v>0</v>
      </c>
      <c r="E885" s="659">
        <v>0</v>
      </c>
    </row>
    <row r="886" spans="1:5" ht="11.4" outlineLevel="1" x14ac:dyDescent="0.25">
      <c r="A886" s="85" t="s">
        <v>4271</v>
      </c>
      <c r="B886" s="204" t="s">
        <v>4730</v>
      </c>
      <c r="C886" s="658">
        <f>C884-C885</f>
        <v>2683893.7774</v>
      </c>
      <c r="D886" s="658">
        <f>D884-D885</f>
        <v>564604.21989840001</v>
      </c>
      <c r="E886" s="658">
        <f>E884-E885</f>
        <v>0</v>
      </c>
    </row>
    <row r="887" spans="1:5" ht="11.4" outlineLevel="1" x14ac:dyDescent="0.25">
      <c r="A887" s="85" t="s">
        <v>4272</v>
      </c>
      <c r="B887" s="209" t="s">
        <v>4731</v>
      </c>
      <c r="C887" s="210">
        <f>INDEX(PEF_COM_29!$A$3:$AAA$50,MATCH($A887,PEF_COM_29!$A$3:$A$50,0),MATCH(C$3,PEF_COM_29!$A$3:$AAA$3,0))</f>
        <v>0</v>
      </c>
      <c r="D887" s="210">
        <f>INDEX(PEF_COM_29!$A$3:$AAA$50,MATCH($A887,PEF_COM_29!$A$3:$A$50,0),MATCH(D$3,PEF_COM_29!$A$3:$AAA$3,0))</f>
        <v>0</v>
      </c>
      <c r="E887" s="210">
        <f>INDEX(PEF_COM_29!$A$3:$AAA$50,MATCH($A887,PEF_COM_29!$A$3:$A$50,0),MATCH(E$3,PEF_COM_29!$A$3:$AAA$3,0))</f>
        <v>0</v>
      </c>
    </row>
    <row r="888" spans="1:5" ht="11.4" outlineLevel="1" x14ac:dyDescent="0.25">
      <c r="A888" s="85" t="s">
        <v>4273</v>
      </c>
      <c r="B888" s="657" t="s">
        <v>4732</v>
      </c>
      <c r="C888" s="659">
        <v>0</v>
      </c>
      <c r="D888" s="659">
        <v>0</v>
      </c>
      <c r="E888" s="659">
        <v>0</v>
      </c>
    </row>
    <row r="889" spans="1:5" ht="11.4" outlineLevel="1" x14ac:dyDescent="0.25">
      <c r="A889" s="85" t="s">
        <v>4274</v>
      </c>
      <c r="B889" s="204" t="s">
        <v>4733</v>
      </c>
      <c r="C889" s="658">
        <f>C887-C888</f>
        <v>0</v>
      </c>
      <c r="D889" s="658">
        <f>D887-D888</f>
        <v>0</v>
      </c>
      <c r="E889" s="658">
        <f>E887-E888</f>
        <v>0</v>
      </c>
    </row>
    <row r="890" spans="1:5" outlineLevel="1" x14ac:dyDescent="0.2">
      <c r="B890" s="137"/>
      <c r="C890" s="662"/>
      <c r="D890" s="662"/>
      <c r="E890" s="662"/>
    </row>
    <row r="891" spans="1:5" ht="11.4" outlineLevel="1" x14ac:dyDescent="0.25">
      <c r="A891" s="85" t="s">
        <v>4275</v>
      </c>
      <c r="B891" s="209" t="s">
        <v>4734</v>
      </c>
      <c r="C891" s="210">
        <f>INDEX(PEF_GEST_29!$A$3:$AAA$50,MATCH($A891,PEF_GEST_29!$A$3:$A$50,0),MATCH(C$3,PEF_GEST_29!$A$3:$AAA$3,0))</f>
        <v>5088469.7256800001</v>
      </c>
      <c r="D891" s="210">
        <f>INDEX(PEF_GEST_29!$A$3:$AAA$50,MATCH($A891,PEF_GEST_29!$A$3:$A$50,0),MATCH(D$3,PEF_GEST_29!$A$3:$AAA$3,0))</f>
        <v>434936.80137600005</v>
      </c>
      <c r="E891" s="210">
        <f>INDEX(PEF_GEST_29!$A$3:$AAA$50,MATCH($A891,PEF_GEST_29!$A$3:$A$50,0),MATCH(E$3,PEF_GEST_29!$A$3:$AAA$3,0))</f>
        <v>423750.08456000005</v>
      </c>
    </row>
    <row r="892" spans="1:5" ht="11.4" outlineLevel="1" x14ac:dyDescent="0.25">
      <c r="A892" s="85" t="s">
        <v>4276</v>
      </c>
      <c r="B892" s="657" t="s">
        <v>4735</v>
      </c>
      <c r="C892" s="659">
        <v>0</v>
      </c>
      <c r="D892" s="659">
        <v>0</v>
      </c>
      <c r="E892" s="659">
        <v>0</v>
      </c>
    </row>
    <row r="893" spans="1:5" ht="11.4" outlineLevel="1" x14ac:dyDescent="0.25">
      <c r="A893" s="85" t="s">
        <v>4277</v>
      </c>
      <c r="B893" s="204" t="s">
        <v>4736</v>
      </c>
      <c r="C893" s="658">
        <f>C891-C892</f>
        <v>5088469.7256800001</v>
      </c>
      <c r="D893" s="658">
        <f>D891-D892</f>
        <v>434936.80137600005</v>
      </c>
      <c r="E893" s="658">
        <f>E891-E892</f>
        <v>423750.08456000005</v>
      </c>
    </row>
    <row r="894" spans="1:5" ht="11.4" outlineLevel="1" x14ac:dyDescent="0.25">
      <c r="A894" s="85" t="s">
        <v>4278</v>
      </c>
      <c r="B894" s="209" t="s">
        <v>4737</v>
      </c>
      <c r="C894" s="210">
        <f>INDEX(PEF_COM_29!$A$3:$AAA$50,MATCH($A894,PEF_COM_29!$A$3:$A$50,0),MATCH(C$3,PEF_COM_29!$A$3:$AAA$3,0))</f>
        <v>0</v>
      </c>
      <c r="D894" s="210">
        <f>INDEX(PEF_COM_29!$A$3:$AAA$50,MATCH($A894,PEF_COM_29!$A$3:$A$50,0),MATCH(D$3,PEF_COM_29!$A$3:$AAA$3,0))</f>
        <v>0</v>
      </c>
      <c r="E894" s="210">
        <f>INDEX(PEF_COM_29!$A$3:$AAA$50,MATCH($A894,PEF_COM_29!$A$3:$A$50,0),MATCH(E$3,PEF_COM_29!$A$3:$AAA$3,0))</f>
        <v>0</v>
      </c>
    </row>
    <row r="895" spans="1:5" ht="11.4" outlineLevel="1" x14ac:dyDescent="0.25">
      <c r="A895" s="85" t="s">
        <v>4279</v>
      </c>
      <c r="B895" s="657" t="s">
        <v>4738</v>
      </c>
      <c r="C895" s="659">
        <v>0</v>
      </c>
      <c r="D895" s="659">
        <v>0</v>
      </c>
      <c r="E895" s="659">
        <v>0</v>
      </c>
    </row>
    <row r="896" spans="1:5" ht="11.4" outlineLevel="1" x14ac:dyDescent="0.25">
      <c r="A896" s="85" t="s">
        <v>4280</v>
      </c>
      <c r="B896" s="204" t="s">
        <v>4739</v>
      </c>
      <c r="C896" s="658">
        <f>C894-C895</f>
        <v>0</v>
      </c>
      <c r="D896" s="658">
        <f>D894-D895</f>
        <v>0</v>
      </c>
      <c r="E896" s="658">
        <f>E894-E895</f>
        <v>0</v>
      </c>
    </row>
    <row r="897" spans="1:5" outlineLevel="1" x14ac:dyDescent="0.2">
      <c r="B897" s="137"/>
      <c r="C897" s="662"/>
      <c r="D897" s="662"/>
      <c r="E897" s="662"/>
    </row>
    <row r="898" spans="1:5" ht="11.4" outlineLevel="1" x14ac:dyDescent="0.25">
      <c r="A898" s="85" t="s">
        <v>2437</v>
      </c>
      <c r="B898" s="209" t="s">
        <v>4740</v>
      </c>
      <c r="C898" s="210">
        <f>INDEX('IN_RC-T'!$A$3:$AAA$865,MATCH($A898,'IN_RC-T'!$A$3:$A$865,0),MATCH(C$3,'IN_RC-T'!$A$3:$AAA$3,0))</f>
        <v>0</v>
      </c>
      <c r="D898" s="210">
        <f>INDEX('IN_RC-T'!$A$3:$AAA$865,MATCH($A898,'IN_RC-T'!$A$3:$A$865,0),MATCH(D$3,'IN_RC-T'!$A$3:$AAA$3,0))</f>
        <v>0</v>
      </c>
      <c r="E898" s="210">
        <f>INDEX('IN_RC-T'!$A$3:$AAA$865,MATCH($A898,'IN_RC-T'!$A$3:$A$865,0),MATCH(E$3,'IN_RC-T'!$A$3:$AAA$3,0))</f>
        <v>0</v>
      </c>
    </row>
    <row r="899" spans="1:5" ht="11.4" outlineLevel="1" x14ac:dyDescent="0.25">
      <c r="A899" s="85" t="s">
        <v>4281</v>
      </c>
      <c r="B899" s="657" t="s">
        <v>4741</v>
      </c>
      <c r="C899" s="659">
        <v>0</v>
      </c>
      <c r="D899" s="659">
        <v>0</v>
      </c>
      <c r="E899" s="659">
        <v>0</v>
      </c>
    </row>
    <row r="900" spans="1:5" ht="11.4" outlineLevel="1" x14ac:dyDescent="0.25">
      <c r="A900" s="85" t="s">
        <v>4282</v>
      </c>
      <c r="B900" s="204" t="s">
        <v>4742</v>
      </c>
      <c r="C900" s="658">
        <f>C898-C899</f>
        <v>0</v>
      </c>
      <c r="D900" s="658">
        <f>D898-D899</f>
        <v>0</v>
      </c>
      <c r="E900" s="658">
        <f>E898-E899</f>
        <v>0</v>
      </c>
    </row>
    <row r="901" spans="1:5" ht="11.4" outlineLevel="1" x14ac:dyDescent="0.25">
      <c r="A901" s="85" t="s">
        <v>2475</v>
      </c>
      <c r="B901" s="209" t="s">
        <v>4743</v>
      </c>
      <c r="C901" s="210">
        <f>INDEX('IN_RC-T'!$A$3:$AAA$865,MATCH($A901,'IN_RC-T'!$A$3:$A$865,0),MATCH(C$3,'IN_RC-T'!$A$3:$AAA$3,0))</f>
        <v>0</v>
      </c>
      <c r="D901" s="210">
        <f>INDEX('IN_RC-T'!$A$3:$AAA$865,MATCH($A901,'IN_RC-T'!$A$3:$A$865,0),MATCH(D$3,'IN_RC-T'!$A$3:$AAA$3,0))</f>
        <v>0</v>
      </c>
      <c r="E901" s="210">
        <f>INDEX('IN_RC-T'!$A$3:$AAA$865,MATCH($A901,'IN_RC-T'!$A$3:$A$865,0),MATCH(E$3,'IN_RC-T'!$A$3:$AAA$3,0))</f>
        <v>0</v>
      </c>
    </row>
    <row r="902" spans="1:5" ht="11.4" outlineLevel="1" x14ac:dyDescent="0.25">
      <c r="A902" s="85" t="s">
        <v>4283</v>
      </c>
      <c r="B902" s="657" t="s">
        <v>4744</v>
      </c>
      <c r="C902" s="659">
        <v>0</v>
      </c>
      <c r="D902" s="659">
        <v>0</v>
      </c>
      <c r="E902" s="659">
        <v>0</v>
      </c>
    </row>
    <row r="903" spans="1:5" ht="11.4" outlineLevel="1" x14ac:dyDescent="0.25">
      <c r="A903" s="85" t="s">
        <v>4284</v>
      </c>
      <c r="B903" s="204" t="s">
        <v>4745</v>
      </c>
      <c r="C903" s="658">
        <f>C901-C902</f>
        <v>0</v>
      </c>
      <c r="D903" s="658">
        <f>D901-D902</f>
        <v>0</v>
      </c>
      <c r="E903" s="658">
        <f>E901-E902</f>
        <v>0</v>
      </c>
    </row>
    <row r="904" spans="1:5" ht="12" outlineLevel="1" x14ac:dyDescent="0.25">
      <c r="A904" s="85" t="s">
        <v>2524</v>
      </c>
      <c r="B904" s="209" t="s">
        <v>4746</v>
      </c>
      <c r="C904" s="210">
        <f>INDEX('IN_RC-T'!$A$3:$AAA$865,MATCH($A904,'IN_RC-T'!$A$3:$A$865,0),MATCH(C$3,'IN_RC-T'!$A$3:$AAA$3,0))</f>
        <v>0</v>
      </c>
      <c r="D904" s="210">
        <f>INDEX('IN_RC-T'!$A$3:$AAA$865,MATCH($A904,'IN_RC-T'!$A$3:$A$865,0),MATCH(D$3,'IN_RC-T'!$A$3:$AAA$3,0))</f>
        <v>0</v>
      </c>
      <c r="E904" s="210">
        <f>INDEX('IN_RC-T'!$A$3:$AAA$865,MATCH($A904,'IN_RC-T'!$A$3:$A$865,0),MATCH(E$3,'IN_RC-T'!$A$3:$AAA$3,0))</f>
        <v>0</v>
      </c>
    </row>
    <row r="905" spans="1:5" ht="12" outlineLevel="1" x14ac:dyDescent="0.25">
      <c r="A905" s="85" t="s">
        <v>4285</v>
      </c>
      <c r="B905" s="657" t="s">
        <v>4747</v>
      </c>
      <c r="C905" s="659">
        <v>0</v>
      </c>
      <c r="D905" s="659">
        <v>0</v>
      </c>
      <c r="E905" s="659">
        <v>0</v>
      </c>
    </row>
    <row r="906" spans="1:5" ht="12" outlineLevel="1" x14ac:dyDescent="0.25">
      <c r="A906" s="85" t="s">
        <v>4286</v>
      </c>
      <c r="B906" s="204" t="s">
        <v>4748</v>
      </c>
      <c r="C906" s="658">
        <f>C904-C905</f>
        <v>0</v>
      </c>
      <c r="D906" s="658">
        <f>D904-D905</f>
        <v>0</v>
      </c>
      <c r="E906" s="658">
        <f>E904-E905</f>
        <v>0</v>
      </c>
    </row>
    <row r="907" spans="1:5" ht="12" outlineLevel="1" x14ac:dyDescent="0.25">
      <c r="A907" s="85" t="s">
        <v>2560</v>
      </c>
      <c r="B907" s="209" t="s">
        <v>4749</v>
      </c>
      <c r="C907" s="210">
        <f>INDEX('IN_RC-T'!$A$3:$AAA$865,MATCH($A907,'IN_RC-T'!$A$3:$A$865,0),MATCH(C$3,'IN_RC-T'!$A$3:$AAA$3,0))</f>
        <v>0</v>
      </c>
      <c r="D907" s="210">
        <f>INDEX('IN_RC-T'!$A$3:$AAA$865,MATCH($A907,'IN_RC-T'!$A$3:$A$865,0),MATCH(D$3,'IN_RC-T'!$A$3:$AAA$3,0))</f>
        <v>0</v>
      </c>
      <c r="E907" s="210">
        <f>INDEX('IN_RC-T'!$A$3:$AAA$865,MATCH($A907,'IN_RC-T'!$A$3:$A$865,0),MATCH(E$3,'IN_RC-T'!$A$3:$AAA$3,0))</f>
        <v>0</v>
      </c>
    </row>
    <row r="908" spans="1:5" ht="12" outlineLevel="1" x14ac:dyDescent="0.25">
      <c r="A908" s="85" t="s">
        <v>4287</v>
      </c>
      <c r="B908" s="664" t="s">
        <v>4750</v>
      </c>
      <c r="C908" s="655">
        <v>0</v>
      </c>
      <c r="D908" s="655">
        <v>0</v>
      </c>
      <c r="E908" s="655">
        <v>0</v>
      </c>
    </row>
    <row r="909" spans="1:5" ht="12" outlineLevel="1" x14ac:dyDescent="0.25">
      <c r="A909" s="85" t="s">
        <v>4288</v>
      </c>
      <c r="B909" s="204" t="s">
        <v>4751</v>
      </c>
      <c r="C909" s="658">
        <f>C907-C908</f>
        <v>0</v>
      </c>
      <c r="D909" s="658">
        <f>D907-D908</f>
        <v>0</v>
      </c>
      <c r="E909" s="658">
        <f>E907-E908</f>
        <v>0</v>
      </c>
    </row>
    <row r="910" spans="1:5" ht="12" outlineLevel="1" x14ac:dyDescent="0.25">
      <c r="A910" s="85" t="s">
        <v>2615</v>
      </c>
      <c r="B910" s="209" t="s">
        <v>4752</v>
      </c>
      <c r="C910" s="210">
        <f>INDEX('IN_RC-T'!$A$3:$AAA$865,MATCH($A910,'IN_RC-T'!$A$3:$A$865,0),MATCH(C$3,'IN_RC-T'!$A$3:$AAA$3,0))</f>
        <v>0</v>
      </c>
      <c r="D910" s="210">
        <f>INDEX('IN_RC-T'!$A$3:$AAA$865,MATCH($A910,'IN_RC-T'!$A$3:$A$865,0),MATCH(D$3,'IN_RC-T'!$A$3:$AAA$3,0))</f>
        <v>0</v>
      </c>
      <c r="E910" s="210">
        <f>INDEX('IN_RC-T'!$A$3:$AAA$865,MATCH($A910,'IN_RC-T'!$A$3:$A$865,0),MATCH(E$3,'IN_RC-T'!$A$3:$AAA$3,0))</f>
        <v>0</v>
      </c>
    </row>
    <row r="911" spans="1:5" ht="12" outlineLevel="1" x14ac:dyDescent="0.25">
      <c r="A911" s="85" t="s">
        <v>4289</v>
      </c>
      <c r="B911" s="664" t="s">
        <v>4753</v>
      </c>
      <c r="C911" s="655">
        <v>0</v>
      </c>
      <c r="D911" s="655">
        <v>0</v>
      </c>
      <c r="E911" s="655">
        <v>0</v>
      </c>
    </row>
    <row r="912" spans="1:5" ht="12" outlineLevel="1" x14ac:dyDescent="0.25">
      <c r="A912" s="85" t="s">
        <v>4290</v>
      </c>
      <c r="B912" s="204" t="s">
        <v>4754</v>
      </c>
      <c r="C912" s="658">
        <f>C910-C911</f>
        <v>0</v>
      </c>
      <c r="D912" s="658">
        <f>D910-D911</f>
        <v>0</v>
      </c>
      <c r="E912" s="658">
        <f>E910-E911</f>
        <v>0</v>
      </c>
    </row>
    <row r="913" spans="1:5" ht="12" outlineLevel="1" x14ac:dyDescent="0.25">
      <c r="A913" s="85" t="s">
        <v>2669</v>
      </c>
      <c r="B913" s="209" t="s">
        <v>4755</v>
      </c>
      <c r="C913" s="210">
        <f>INDEX('IN_RC-T'!$A$3:$AAA$865,MATCH($A913,'IN_RC-T'!$A$3:$A$865,0),MATCH(C$3,'IN_RC-T'!$A$3:$AAA$3,0))</f>
        <v>0</v>
      </c>
      <c r="D913" s="210">
        <f>INDEX('IN_RC-T'!$A$3:$AAA$865,MATCH($A913,'IN_RC-T'!$A$3:$A$865,0),MATCH(D$3,'IN_RC-T'!$A$3:$AAA$3,0))</f>
        <v>0</v>
      </c>
      <c r="E913" s="210">
        <f>INDEX('IN_RC-T'!$A$3:$AAA$865,MATCH($A913,'IN_RC-T'!$A$3:$A$865,0),MATCH(E$3,'IN_RC-T'!$A$3:$AAA$3,0))</f>
        <v>0</v>
      </c>
    </row>
    <row r="914" spans="1:5" ht="12" outlineLevel="1" x14ac:dyDescent="0.25">
      <c r="A914" s="85" t="s">
        <v>4291</v>
      </c>
      <c r="B914" s="664" t="s">
        <v>4756</v>
      </c>
      <c r="C914" s="655">
        <v>0</v>
      </c>
      <c r="D914" s="655">
        <v>0</v>
      </c>
      <c r="E914" s="655">
        <v>0</v>
      </c>
    </row>
    <row r="915" spans="1:5" ht="12" outlineLevel="1" x14ac:dyDescent="0.25">
      <c r="A915" s="85" t="s">
        <v>4292</v>
      </c>
      <c r="B915" s="204" t="s">
        <v>4757</v>
      </c>
      <c r="C915" s="658">
        <f>C913-C914</f>
        <v>0</v>
      </c>
      <c r="D915" s="658">
        <f>D913-D914</f>
        <v>0</v>
      </c>
      <c r="E915" s="658">
        <f>E913-E914</f>
        <v>0</v>
      </c>
    </row>
    <row r="916" spans="1:5" ht="11.4" outlineLevel="1" x14ac:dyDescent="0.25">
      <c r="A916" s="85" t="s">
        <v>2704</v>
      </c>
      <c r="B916" s="209" t="s">
        <v>4758</v>
      </c>
      <c r="C916" s="210">
        <f>INDEX('IN_RC-T'!$A$3:$AAA$865,MATCH($A916,'IN_RC-T'!$A$3:$A$865,0),MATCH(C$3,'IN_RC-T'!$A$3:$AAA$3,0))</f>
        <v>0</v>
      </c>
      <c r="D916" s="210">
        <f>INDEX('IN_RC-T'!$A$3:$AAA$865,MATCH($A916,'IN_RC-T'!$A$3:$A$865,0),MATCH(D$3,'IN_RC-T'!$A$3:$AAA$3,0))</f>
        <v>0</v>
      </c>
      <c r="E916" s="210">
        <f>INDEX('IN_RC-T'!$A$3:$AAA$865,MATCH($A916,'IN_RC-T'!$A$3:$A$865,0),MATCH(E$3,'IN_RC-T'!$A$3:$AAA$3,0))</f>
        <v>0</v>
      </c>
    </row>
    <row r="917" spans="1:5" ht="11.4" outlineLevel="1" x14ac:dyDescent="0.25">
      <c r="A917" s="85" t="s">
        <v>4293</v>
      </c>
      <c r="B917" s="657" t="s">
        <v>4759</v>
      </c>
      <c r="C917" s="659">
        <v>0</v>
      </c>
      <c r="D917" s="659">
        <v>0</v>
      </c>
      <c r="E917" s="659">
        <v>0</v>
      </c>
    </row>
    <row r="918" spans="1:5" ht="11.4" outlineLevel="1" x14ac:dyDescent="0.25">
      <c r="A918" s="85" t="s">
        <v>4294</v>
      </c>
      <c r="B918" s="204" t="s">
        <v>4760</v>
      </c>
      <c r="C918" s="658">
        <f>C916-C917</f>
        <v>0</v>
      </c>
      <c r="D918" s="658">
        <f>D916-D917</f>
        <v>0</v>
      </c>
      <c r="E918" s="658">
        <f>E916-E917</f>
        <v>0</v>
      </c>
    </row>
    <row r="919" spans="1:5" ht="12" outlineLevel="1" x14ac:dyDescent="0.25">
      <c r="A919" s="85" t="s">
        <v>2758</v>
      </c>
      <c r="B919" s="209" t="s">
        <v>4761</v>
      </c>
      <c r="C919" s="210">
        <f>INDEX('IN_RC-T'!$A$3:$AAA$865,MATCH($A919,'IN_RC-T'!$A$3:$A$865,0),MATCH(C$3,'IN_RC-T'!$A$3:$AAA$3,0))</f>
        <v>0</v>
      </c>
      <c r="D919" s="210">
        <f>INDEX('IN_RC-T'!$A$3:$AAA$865,MATCH($A919,'IN_RC-T'!$A$3:$A$865,0),MATCH(D$3,'IN_RC-T'!$A$3:$AAA$3,0))</f>
        <v>0</v>
      </c>
      <c r="E919" s="210">
        <f>INDEX('IN_RC-T'!$A$3:$AAA$865,MATCH($A919,'IN_RC-T'!$A$3:$A$865,0),MATCH(E$3,'IN_RC-T'!$A$3:$AAA$3,0))</f>
        <v>0</v>
      </c>
    </row>
    <row r="920" spans="1:5" ht="12" outlineLevel="1" x14ac:dyDescent="0.25">
      <c r="A920" s="85" t="s">
        <v>4295</v>
      </c>
      <c r="B920" s="657" t="s">
        <v>4762</v>
      </c>
      <c r="C920" s="659">
        <v>0</v>
      </c>
      <c r="D920" s="659">
        <v>0</v>
      </c>
      <c r="E920" s="659">
        <v>0</v>
      </c>
    </row>
    <row r="921" spans="1:5" ht="12" outlineLevel="1" x14ac:dyDescent="0.25">
      <c r="A921" s="85" t="s">
        <v>4296</v>
      </c>
      <c r="B921" s="204" t="s">
        <v>4763</v>
      </c>
      <c r="C921" s="658">
        <f>C919-C920</f>
        <v>0</v>
      </c>
      <c r="D921" s="658">
        <f>D919-D920</f>
        <v>0</v>
      </c>
      <c r="E921" s="658">
        <f>E919-E920</f>
        <v>0</v>
      </c>
    </row>
    <row r="922" spans="1:5" ht="11.4" outlineLevel="1" x14ac:dyDescent="0.25">
      <c r="A922" s="85" t="s">
        <v>2831</v>
      </c>
      <c r="B922" s="209" t="s">
        <v>4764</v>
      </c>
      <c r="C922" s="210">
        <f>INDEX('IN_RC-T'!$A$3:$AAA$865,MATCH($A922,'IN_RC-T'!$A$3:$A$865,0),MATCH(C$3,'IN_RC-T'!$A$3:$AAA$3,0))</f>
        <v>0</v>
      </c>
      <c r="D922" s="210">
        <f>INDEX('IN_RC-T'!$A$3:$AAA$865,MATCH($A922,'IN_RC-T'!$A$3:$A$865,0),MATCH(D$3,'IN_RC-T'!$A$3:$AAA$3,0))</f>
        <v>0</v>
      </c>
      <c r="E922" s="210">
        <f>INDEX('IN_RC-T'!$A$3:$AAA$865,MATCH($A922,'IN_RC-T'!$A$3:$A$865,0),MATCH(E$3,'IN_RC-T'!$A$3:$AAA$3,0))</f>
        <v>0</v>
      </c>
    </row>
    <row r="923" spans="1:5" ht="12" outlineLevel="1" x14ac:dyDescent="0.25">
      <c r="A923" s="85" t="s">
        <v>4297</v>
      </c>
      <c r="B923" s="664" t="s">
        <v>4765</v>
      </c>
      <c r="C923" s="655">
        <v>0</v>
      </c>
      <c r="D923" s="655">
        <v>0</v>
      </c>
      <c r="E923" s="655">
        <v>0</v>
      </c>
    </row>
    <row r="924" spans="1:5" ht="12" outlineLevel="1" x14ac:dyDescent="0.25">
      <c r="A924" s="85" t="s">
        <v>4298</v>
      </c>
      <c r="B924" s="204" t="s">
        <v>4766</v>
      </c>
      <c r="C924" s="658">
        <f>C922-C923</f>
        <v>0</v>
      </c>
      <c r="D924" s="658">
        <f>D922-D923</f>
        <v>0</v>
      </c>
      <c r="E924" s="658">
        <f>E922-E923</f>
        <v>0</v>
      </c>
    </row>
    <row r="925" spans="1:5" ht="11.4" outlineLevel="1" x14ac:dyDescent="0.25">
      <c r="A925" s="85" t="s">
        <v>2886</v>
      </c>
      <c r="B925" s="209" t="s">
        <v>4767</v>
      </c>
      <c r="C925" s="210">
        <f>INDEX('IN_RC-T'!$A$3:$AAA$865,MATCH($A925,'IN_RC-T'!$A$3:$A$865,0),MATCH(C$3,'IN_RC-T'!$A$3:$AAA$3,0))</f>
        <v>0</v>
      </c>
      <c r="D925" s="210">
        <f>INDEX('IN_RC-T'!$A$3:$AAA$865,MATCH($A925,'IN_RC-T'!$A$3:$A$865,0),MATCH(D$3,'IN_RC-T'!$A$3:$AAA$3,0))</f>
        <v>0</v>
      </c>
      <c r="E925" s="210">
        <f>INDEX('IN_RC-T'!$A$3:$AAA$865,MATCH($A925,'IN_RC-T'!$A$3:$A$865,0),MATCH(E$3,'IN_RC-T'!$A$3:$AAA$3,0))</f>
        <v>0</v>
      </c>
    </row>
    <row r="926" spans="1:5" ht="12" outlineLevel="1" x14ac:dyDescent="0.25">
      <c r="A926" s="85" t="s">
        <v>4460</v>
      </c>
      <c r="B926" s="664" t="s">
        <v>4768</v>
      </c>
      <c r="C926" s="655">
        <v>0</v>
      </c>
      <c r="D926" s="655">
        <v>0</v>
      </c>
      <c r="E926" s="655">
        <v>0</v>
      </c>
    </row>
    <row r="927" spans="1:5" ht="12" outlineLevel="1" x14ac:dyDescent="0.25">
      <c r="A927" s="85" t="s">
        <v>4461</v>
      </c>
      <c r="B927" s="204" t="s">
        <v>4769</v>
      </c>
      <c r="C927" s="658">
        <f>C925-C926</f>
        <v>0</v>
      </c>
      <c r="D927" s="658">
        <f>D925-D926</f>
        <v>0</v>
      </c>
      <c r="E927" s="658">
        <f>E925-E926</f>
        <v>0</v>
      </c>
    </row>
    <row r="928" spans="1:5" ht="11.4" outlineLevel="1" x14ac:dyDescent="0.25">
      <c r="A928" s="85" t="s">
        <v>2941</v>
      </c>
      <c r="B928" s="209" t="s">
        <v>4770</v>
      </c>
      <c r="C928" s="210">
        <f>INDEX('IN_RC-T'!$A$3:$AAA$865,MATCH($A928,'IN_RC-T'!$A$3:$A$865,0),MATCH(C$3,'IN_RC-T'!$A$3:$AAA$3,0))</f>
        <v>0</v>
      </c>
      <c r="D928" s="210">
        <f>INDEX('IN_RC-T'!$A$3:$AAA$865,MATCH($A928,'IN_RC-T'!$A$3:$A$865,0),MATCH(D$3,'IN_RC-T'!$A$3:$AAA$3,0))</f>
        <v>0</v>
      </c>
      <c r="E928" s="210">
        <f>INDEX('IN_RC-T'!$A$3:$AAA$865,MATCH($A928,'IN_RC-T'!$A$3:$A$865,0),MATCH(E$3,'IN_RC-T'!$A$3:$AAA$3,0))</f>
        <v>0</v>
      </c>
    </row>
    <row r="929" spans="1:5" ht="11.4" outlineLevel="1" x14ac:dyDescent="0.25">
      <c r="A929" s="85" t="s">
        <v>4299</v>
      </c>
      <c r="B929" s="664" t="s">
        <v>4771</v>
      </c>
      <c r="C929" s="655">
        <v>0</v>
      </c>
      <c r="D929" s="655">
        <v>0</v>
      </c>
      <c r="E929" s="655">
        <v>0</v>
      </c>
    </row>
    <row r="930" spans="1:5" ht="11.4" outlineLevel="1" x14ac:dyDescent="0.25">
      <c r="A930" s="85" t="s">
        <v>4300</v>
      </c>
      <c r="B930" s="204" t="s">
        <v>4772</v>
      </c>
      <c r="C930" s="658">
        <f>C928-C929</f>
        <v>0</v>
      </c>
      <c r="D930" s="658">
        <f>D928-D929</f>
        <v>0</v>
      </c>
      <c r="E930" s="658">
        <f>E928-E929</f>
        <v>0</v>
      </c>
    </row>
    <row r="931" spans="1:5" ht="11.4" outlineLevel="1" x14ac:dyDescent="0.25">
      <c r="A931" s="85" t="s">
        <v>6805</v>
      </c>
      <c r="B931" s="209" t="s">
        <v>4773</v>
      </c>
      <c r="C931" s="210">
        <f>INDEX('IN_RC-T'!$A$3:$AAA$865,MATCH($A931,'IN_RC-T'!$A$3:$A$865,0),MATCH(C$3,'IN_RC-T'!$A$3:$AAA$3,0))</f>
        <v>0</v>
      </c>
      <c r="D931" s="210">
        <f>INDEX('IN_RC-T'!$A$3:$AAA$865,MATCH($A931,'IN_RC-T'!$A$3:$A$865,0),MATCH(D$3,'IN_RC-T'!$A$3:$AAA$3,0))</f>
        <v>0</v>
      </c>
      <c r="E931" s="210">
        <f>INDEX('IN_RC-T'!$A$3:$AAA$865,MATCH($A931,'IN_RC-T'!$A$3:$A$865,0),MATCH(E$3,'IN_RC-T'!$A$3:$AAA$3,0))</f>
        <v>0</v>
      </c>
    </row>
    <row r="932" spans="1:5" ht="11.4" outlineLevel="1" x14ac:dyDescent="0.25">
      <c r="A932" s="85" t="s">
        <v>6965</v>
      </c>
      <c r="B932" s="657" t="s">
        <v>4774</v>
      </c>
      <c r="C932" s="659">
        <v>0</v>
      </c>
      <c r="D932" s="659">
        <v>0</v>
      </c>
      <c r="E932" s="659">
        <v>0</v>
      </c>
    </row>
    <row r="933" spans="1:5" ht="11.4" outlineLevel="1" x14ac:dyDescent="0.25">
      <c r="A933" s="85" t="s">
        <v>6943</v>
      </c>
      <c r="B933" s="204" t="s">
        <v>4775</v>
      </c>
      <c r="C933" s="658">
        <f>C931-C932</f>
        <v>0</v>
      </c>
      <c r="D933" s="658">
        <f>D931-D932</f>
        <v>0</v>
      </c>
      <c r="E933" s="658">
        <f>E931-E932</f>
        <v>0</v>
      </c>
    </row>
    <row r="934" spans="1:5" ht="11.4" outlineLevel="1" x14ac:dyDescent="0.25">
      <c r="A934" s="85" t="s">
        <v>3047</v>
      </c>
      <c r="B934" s="209" t="s">
        <v>3103</v>
      </c>
      <c r="C934" s="210">
        <f>INDEX('IN_RC-T'!$A$3:$AAA$865,MATCH($A934,'IN_RC-T'!$A$3:$A$865,0),MATCH(C$3,'IN_RC-T'!$A$3:$AAA$3,0))</f>
        <v>0</v>
      </c>
      <c r="D934" s="210">
        <f>INDEX('IN_RC-T'!$A$3:$AAA$865,MATCH($A934,'IN_RC-T'!$A$3:$A$865,0),MATCH(D$3,'IN_RC-T'!$A$3:$AAA$3,0))</f>
        <v>0</v>
      </c>
      <c r="E934" s="210">
        <f>INDEX('IN_RC-T'!$A$3:$AAA$865,MATCH($A934,'IN_RC-T'!$A$3:$A$865,0),MATCH(E$3,'IN_RC-T'!$A$3:$AAA$3,0))</f>
        <v>0</v>
      </c>
    </row>
    <row r="935" spans="1:5" ht="11.4" outlineLevel="1" x14ac:dyDescent="0.25">
      <c r="A935" s="85" t="s">
        <v>4301</v>
      </c>
      <c r="B935" s="660" t="s">
        <v>4776</v>
      </c>
      <c r="C935" s="661">
        <f>C899+C902+C905+C908+C911+C914+C917+C920+C923+C926+C929+C932</f>
        <v>0</v>
      </c>
      <c r="D935" s="661">
        <f>D899+D902+D905+D908+D911+D914+D917+D920+D923+D926+D929+D932</f>
        <v>0</v>
      </c>
      <c r="E935" s="661">
        <f>E899+E902+E905+E908+E911+E914+E917+E920+E923+E926+E929+E932</f>
        <v>0</v>
      </c>
    </row>
    <row r="936" spans="1:5" ht="11.4" outlineLevel="1" x14ac:dyDescent="0.25">
      <c r="A936" s="85" t="s">
        <v>4302</v>
      </c>
      <c r="B936" s="204" t="s">
        <v>4777</v>
      </c>
      <c r="C936" s="658">
        <f>C934-C935</f>
        <v>0</v>
      </c>
      <c r="D936" s="658">
        <f>D934-D935</f>
        <v>0</v>
      </c>
      <c r="E936" s="658">
        <f>E934-E935</f>
        <v>0</v>
      </c>
    </row>
    <row r="937" spans="1:5" outlineLevel="1" x14ac:dyDescent="0.2">
      <c r="B937" s="137"/>
      <c r="C937" s="137"/>
      <c r="D937" s="137"/>
      <c r="E937" s="137"/>
    </row>
    <row r="938" spans="1:5" ht="11.4" outlineLevel="1" x14ac:dyDescent="0.25">
      <c r="A938" s="85" t="s">
        <v>2438</v>
      </c>
      <c r="B938" s="209" t="s">
        <v>4778</v>
      </c>
      <c r="C938" s="210">
        <f>INDEX('IN_RC-T'!$A$3:$AAA$865,MATCH($A938,'IN_RC-T'!$A$3:$A$865,0),MATCH(C$3,'IN_RC-T'!$A$3:$AAA$3,0))</f>
        <v>0</v>
      </c>
      <c r="D938" s="210">
        <f>INDEX('IN_RC-T'!$A$3:$AAA$865,MATCH($A938,'IN_RC-T'!$A$3:$A$865,0),MATCH(D$3,'IN_RC-T'!$A$3:$AAA$3,0))</f>
        <v>0</v>
      </c>
      <c r="E938" s="210">
        <f>INDEX('IN_RC-T'!$A$3:$AAA$865,MATCH($A938,'IN_RC-T'!$A$3:$A$865,0),MATCH(E$3,'IN_RC-T'!$A$3:$AAA$3,0))</f>
        <v>0</v>
      </c>
    </row>
    <row r="939" spans="1:5" ht="11.4" outlineLevel="1" x14ac:dyDescent="0.25">
      <c r="A939" s="85" t="s">
        <v>4303</v>
      </c>
      <c r="B939" s="657" t="s">
        <v>4779</v>
      </c>
      <c r="C939" s="659">
        <v>0</v>
      </c>
      <c r="D939" s="659">
        <v>0</v>
      </c>
      <c r="E939" s="659">
        <v>0</v>
      </c>
    </row>
    <row r="940" spans="1:5" ht="11.4" outlineLevel="1" x14ac:dyDescent="0.25">
      <c r="A940" s="85" t="s">
        <v>4304</v>
      </c>
      <c r="B940" s="204" t="s">
        <v>4780</v>
      </c>
      <c r="C940" s="658">
        <f>C938-C939</f>
        <v>0</v>
      </c>
      <c r="D940" s="658">
        <f>D938-D939</f>
        <v>0</v>
      </c>
      <c r="E940" s="658">
        <f>E938-E939</f>
        <v>0</v>
      </c>
    </row>
    <row r="941" spans="1:5" ht="11.4" outlineLevel="1" x14ac:dyDescent="0.25">
      <c r="A941" s="85" t="s">
        <v>2476</v>
      </c>
      <c r="B941" s="209" t="s">
        <v>4781</v>
      </c>
      <c r="C941" s="210">
        <f>INDEX('IN_RC-T'!$A$3:$AAA$865,MATCH($A941,'IN_RC-T'!$A$3:$A$865,0),MATCH(C$3,'IN_RC-T'!$A$3:$AAA$3,0))</f>
        <v>0</v>
      </c>
      <c r="D941" s="210">
        <f>INDEX('IN_RC-T'!$A$3:$AAA$865,MATCH($A941,'IN_RC-T'!$A$3:$A$865,0),MATCH(D$3,'IN_RC-T'!$A$3:$AAA$3,0))</f>
        <v>0</v>
      </c>
      <c r="E941" s="210">
        <f>INDEX('IN_RC-T'!$A$3:$AAA$865,MATCH($A941,'IN_RC-T'!$A$3:$A$865,0),MATCH(E$3,'IN_RC-T'!$A$3:$AAA$3,0))</f>
        <v>0</v>
      </c>
    </row>
    <row r="942" spans="1:5" ht="11.4" outlineLevel="1" x14ac:dyDescent="0.25">
      <c r="A942" s="85" t="s">
        <v>4305</v>
      </c>
      <c r="B942" s="657" t="s">
        <v>4782</v>
      </c>
      <c r="C942" s="659">
        <v>0</v>
      </c>
      <c r="D942" s="659">
        <v>0</v>
      </c>
      <c r="E942" s="659">
        <v>0</v>
      </c>
    </row>
    <row r="943" spans="1:5" ht="11.4" outlineLevel="1" x14ac:dyDescent="0.25">
      <c r="A943" s="85" t="s">
        <v>4306</v>
      </c>
      <c r="B943" s="204" t="s">
        <v>4783</v>
      </c>
      <c r="C943" s="658">
        <f>C941-C942</f>
        <v>0</v>
      </c>
      <c r="D943" s="658">
        <f>D941-D942</f>
        <v>0</v>
      </c>
      <c r="E943" s="658">
        <f>E941-E942</f>
        <v>0</v>
      </c>
    </row>
    <row r="944" spans="1:5" ht="12" outlineLevel="1" x14ac:dyDescent="0.25">
      <c r="A944" s="85" t="s">
        <v>2525</v>
      </c>
      <c r="B944" s="209" t="s">
        <v>4784</v>
      </c>
      <c r="C944" s="210">
        <f>INDEX('IN_RC-T'!$A$3:$AAA$865,MATCH($A944,'IN_RC-T'!$A$3:$A$865,0),MATCH(C$3,'IN_RC-T'!$A$3:$AAA$3,0))</f>
        <v>0</v>
      </c>
      <c r="D944" s="210">
        <f>INDEX('IN_RC-T'!$A$3:$AAA$865,MATCH($A944,'IN_RC-T'!$A$3:$A$865,0),MATCH(D$3,'IN_RC-T'!$A$3:$AAA$3,0))</f>
        <v>0</v>
      </c>
      <c r="E944" s="210">
        <f>INDEX('IN_RC-T'!$A$3:$AAA$865,MATCH($A944,'IN_RC-T'!$A$3:$A$865,0),MATCH(E$3,'IN_RC-T'!$A$3:$AAA$3,0))</f>
        <v>0</v>
      </c>
    </row>
    <row r="945" spans="1:5" ht="12" outlineLevel="1" x14ac:dyDescent="0.25">
      <c r="A945" s="85" t="s">
        <v>4307</v>
      </c>
      <c r="B945" s="657" t="s">
        <v>4785</v>
      </c>
      <c r="C945" s="659">
        <v>0</v>
      </c>
      <c r="D945" s="659">
        <v>0</v>
      </c>
      <c r="E945" s="659">
        <v>0</v>
      </c>
    </row>
    <row r="946" spans="1:5" ht="12" outlineLevel="1" x14ac:dyDescent="0.25">
      <c r="A946" s="85" t="s">
        <v>4308</v>
      </c>
      <c r="B946" s="204" t="s">
        <v>4786</v>
      </c>
      <c r="C946" s="658">
        <f>C944-C945</f>
        <v>0</v>
      </c>
      <c r="D946" s="658">
        <f>D944-D945</f>
        <v>0</v>
      </c>
      <c r="E946" s="658">
        <f>E944-E945</f>
        <v>0</v>
      </c>
    </row>
    <row r="947" spans="1:5" ht="12" outlineLevel="1" x14ac:dyDescent="0.25">
      <c r="A947" s="85" t="s">
        <v>2561</v>
      </c>
      <c r="B947" s="209" t="s">
        <v>4787</v>
      </c>
      <c r="C947" s="210">
        <f>INDEX('IN_RC-T'!$A$3:$AAA$865,MATCH($A947,'IN_RC-T'!$A$3:$A$865,0),MATCH(C$3,'IN_RC-T'!$A$3:$AAA$3,0))</f>
        <v>0</v>
      </c>
      <c r="D947" s="210">
        <f>INDEX('IN_RC-T'!$A$3:$AAA$865,MATCH($A947,'IN_RC-T'!$A$3:$A$865,0),MATCH(D$3,'IN_RC-T'!$A$3:$AAA$3,0))</f>
        <v>0</v>
      </c>
      <c r="E947" s="210">
        <f>INDEX('IN_RC-T'!$A$3:$AAA$865,MATCH($A947,'IN_RC-T'!$A$3:$A$865,0),MATCH(E$3,'IN_RC-T'!$A$3:$AAA$3,0))</f>
        <v>0</v>
      </c>
    </row>
    <row r="948" spans="1:5" ht="12" outlineLevel="1" x14ac:dyDescent="0.25">
      <c r="A948" s="85" t="s">
        <v>4309</v>
      </c>
      <c r="B948" s="664" t="s">
        <v>4788</v>
      </c>
      <c r="C948" s="655">
        <v>0</v>
      </c>
      <c r="D948" s="655">
        <v>0</v>
      </c>
      <c r="E948" s="655">
        <v>0</v>
      </c>
    </row>
    <row r="949" spans="1:5" ht="12" outlineLevel="1" x14ac:dyDescent="0.25">
      <c r="A949" s="85" t="s">
        <v>4310</v>
      </c>
      <c r="B949" s="204" t="s">
        <v>4789</v>
      </c>
      <c r="C949" s="658">
        <f>C947-C948</f>
        <v>0</v>
      </c>
      <c r="D949" s="658">
        <f>D947-D948</f>
        <v>0</v>
      </c>
      <c r="E949" s="658">
        <f>E947-E948</f>
        <v>0</v>
      </c>
    </row>
    <row r="950" spans="1:5" ht="12" outlineLevel="1" x14ac:dyDescent="0.25">
      <c r="A950" s="85" t="s">
        <v>2616</v>
      </c>
      <c r="B950" s="209" t="s">
        <v>4790</v>
      </c>
      <c r="C950" s="210">
        <f>INDEX('IN_RC-T'!$A$3:$AAA$865,MATCH($A950,'IN_RC-T'!$A$3:$A$865,0),MATCH(C$3,'IN_RC-T'!$A$3:$AAA$3,0))</f>
        <v>0</v>
      </c>
      <c r="D950" s="210">
        <f>INDEX('IN_RC-T'!$A$3:$AAA$865,MATCH($A950,'IN_RC-T'!$A$3:$A$865,0),MATCH(D$3,'IN_RC-T'!$A$3:$AAA$3,0))</f>
        <v>0</v>
      </c>
      <c r="E950" s="210">
        <f>INDEX('IN_RC-T'!$A$3:$AAA$865,MATCH($A950,'IN_RC-T'!$A$3:$A$865,0),MATCH(E$3,'IN_RC-T'!$A$3:$AAA$3,0))</f>
        <v>0</v>
      </c>
    </row>
    <row r="951" spans="1:5" ht="12" outlineLevel="1" x14ac:dyDescent="0.25">
      <c r="A951" s="85" t="s">
        <v>4311</v>
      </c>
      <c r="B951" s="664" t="s">
        <v>4791</v>
      </c>
      <c r="C951" s="655">
        <v>0</v>
      </c>
      <c r="D951" s="655">
        <v>0</v>
      </c>
      <c r="E951" s="655">
        <v>0</v>
      </c>
    </row>
    <row r="952" spans="1:5" ht="12" outlineLevel="1" x14ac:dyDescent="0.25">
      <c r="A952" s="85" t="s">
        <v>4312</v>
      </c>
      <c r="B952" s="204" t="s">
        <v>4792</v>
      </c>
      <c r="C952" s="658">
        <f>C950-C951</f>
        <v>0</v>
      </c>
      <c r="D952" s="658">
        <f>D950-D951</f>
        <v>0</v>
      </c>
      <c r="E952" s="658">
        <f>E950-E951</f>
        <v>0</v>
      </c>
    </row>
    <row r="953" spans="1:5" ht="12" outlineLevel="1" x14ac:dyDescent="0.25">
      <c r="A953" s="85" t="s">
        <v>2670</v>
      </c>
      <c r="B953" s="209" t="s">
        <v>4793</v>
      </c>
      <c r="C953" s="210">
        <f>INDEX('IN_RC-T'!$A$3:$AAA$865,MATCH($A953,'IN_RC-T'!$A$3:$A$865,0),MATCH(C$3,'IN_RC-T'!$A$3:$AAA$3,0))</f>
        <v>0</v>
      </c>
      <c r="D953" s="210">
        <f>INDEX('IN_RC-T'!$A$3:$AAA$865,MATCH($A953,'IN_RC-T'!$A$3:$A$865,0),MATCH(D$3,'IN_RC-T'!$A$3:$AAA$3,0))</f>
        <v>0</v>
      </c>
      <c r="E953" s="210">
        <f>INDEX('IN_RC-T'!$A$3:$AAA$865,MATCH($A953,'IN_RC-T'!$A$3:$A$865,0),MATCH(E$3,'IN_RC-T'!$A$3:$AAA$3,0))</f>
        <v>0</v>
      </c>
    </row>
    <row r="954" spans="1:5" ht="12" outlineLevel="1" x14ac:dyDescent="0.25">
      <c r="A954" s="85" t="s">
        <v>4313</v>
      </c>
      <c r="B954" s="664" t="s">
        <v>4794</v>
      </c>
      <c r="C954" s="655">
        <v>0</v>
      </c>
      <c r="D954" s="655">
        <v>0</v>
      </c>
      <c r="E954" s="655">
        <v>0</v>
      </c>
    </row>
    <row r="955" spans="1:5" ht="12" outlineLevel="1" x14ac:dyDescent="0.25">
      <c r="A955" s="85" t="s">
        <v>4314</v>
      </c>
      <c r="B955" s="204" t="s">
        <v>4795</v>
      </c>
      <c r="C955" s="658">
        <f>C953-C954</f>
        <v>0</v>
      </c>
      <c r="D955" s="658">
        <f>D953-D954</f>
        <v>0</v>
      </c>
      <c r="E955" s="658">
        <f>E953-E954</f>
        <v>0</v>
      </c>
    </row>
    <row r="956" spans="1:5" ht="11.4" outlineLevel="1" x14ac:dyDescent="0.25">
      <c r="A956" s="85" t="s">
        <v>2705</v>
      </c>
      <c r="B956" s="209" t="s">
        <v>4796</v>
      </c>
      <c r="C956" s="210">
        <f>INDEX('IN_RC-T'!$A$3:$AAA$865,MATCH($A956,'IN_RC-T'!$A$3:$A$865,0),MATCH(C$3,'IN_RC-T'!$A$3:$AAA$3,0))</f>
        <v>0</v>
      </c>
      <c r="D956" s="210">
        <f>INDEX('IN_RC-T'!$A$3:$AAA$865,MATCH($A956,'IN_RC-T'!$A$3:$A$865,0),MATCH(D$3,'IN_RC-T'!$A$3:$AAA$3,0))</f>
        <v>0</v>
      </c>
      <c r="E956" s="210">
        <f>INDEX('IN_RC-T'!$A$3:$AAA$865,MATCH($A956,'IN_RC-T'!$A$3:$A$865,0),MATCH(E$3,'IN_RC-T'!$A$3:$AAA$3,0))</f>
        <v>0</v>
      </c>
    </row>
    <row r="957" spans="1:5" ht="11.4" outlineLevel="1" x14ac:dyDescent="0.25">
      <c r="A957" s="85" t="s">
        <v>4315</v>
      </c>
      <c r="B957" s="657" t="s">
        <v>4797</v>
      </c>
      <c r="C957" s="659">
        <v>0</v>
      </c>
      <c r="D957" s="659">
        <v>0</v>
      </c>
      <c r="E957" s="659">
        <v>0</v>
      </c>
    </row>
    <row r="958" spans="1:5" ht="11.4" outlineLevel="1" x14ac:dyDescent="0.25">
      <c r="A958" s="85" t="s">
        <v>4316</v>
      </c>
      <c r="B958" s="204" t="s">
        <v>4798</v>
      </c>
      <c r="C958" s="658">
        <f>C956-C957</f>
        <v>0</v>
      </c>
      <c r="D958" s="658">
        <f>D956-D957</f>
        <v>0</v>
      </c>
      <c r="E958" s="658">
        <f>E956-E957</f>
        <v>0</v>
      </c>
    </row>
    <row r="959" spans="1:5" ht="12" outlineLevel="1" x14ac:dyDescent="0.25">
      <c r="A959" s="85" t="s">
        <v>2759</v>
      </c>
      <c r="B959" s="209" t="s">
        <v>4799</v>
      </c>
      <c r="C959" s="210">
        <f>INDEX('IN_RC-T'!$A$3:$AAA$865,MATCH($A959,'IN_RC-T'!$A$3:$A$865,0),MATCH(C$3,'IN_RC-T'!$A$3:$AAA$3,0))</f>
        <v>0</v>
      </c>
      <c r="D959" s="210">
        <f>INDEX('IN_RC-T'!$A$3:$AAA$865,MATCH($A959,'IN_RC-T'!$A$3:$A$865,0),MATCH(D$3,'IN_RC-T'!$A$3:$AAA$3,0))</f>
        <v>0</v>
      </c>
      <c r="E959" s="210">
        <f>INDEX('IN_RC-T'!$A$3:$AAA$865,MATCH($A959,'IN_RC-T'!$A$3:$A$865,0),MATCH(E$3,'IN_RC-T'!$A$3:$AAA$3,0))</f>
        <v>0</v>
      </c>
    </row>
    <row r="960" spans="1:5" ht="12" outlineLevel="1" x14ac:dyDescent="0.25">
      <c r="A960" s="85" t="s">
        <v>4317</v>
      </c>
      <c r="B960" s="657" t="s">
        <v>4800</v>
      </c>
      <c r="C960" s="659">
        <v>0</v>
      </c>
      <c r="D960" s="659">
        <v>0</v>
      </c>
      <c r="E960" s="659">
        <v>0</v>
      </c>
    </row>
    <row r="961" spans="1:5" ht="12" outlineLevel="1" x14ac:dyDescent="0.25">
      <c r="A961" s="85" t="s">
        <v>4318</v>
      </c>
      <c r="B961" s="204" t="s">
        <v>4801</v>
      </c>
      <c r="C961" s="658">
        <f>C959-C960</f>
        <v>0</v>
      </c>
      <c r="D961" s="658">
        <f>D959-D960</f>
        <v>0</v>
      </c>
      <c r="E961" s="658">
        <f>E959-E960</f>
        <v>0</v>
      </c>
    </row>
    <row r="962" spans="1:5" ht="11.4" outlineLevel="1" x14ac:dyDescent="0.25">
      <c r="A962" s="85" t="s">
        <v>2832</v>
      </c>
      <c r="B962" s="209" t="s">
        <v>4802</v>
      </c>
      <c r="C962" s="210">
        <f>INDEX('IN_RC-T'!$A$3:$AAA$865,MATCH($A962,'IN_RC-T'!$A$3:$A$865,0),MATCH(C$3,'IN_RC-T'!$A$3:$AAA$3,0))</f>
        <v>0</v>
      </c>
      <c r="D962" s="210">
        <f>INDEX('IN_RC-T'!$A$3:$AAA$865,MATCH($A962,'IN_RC-T'!$A$3:$A$865,0),MATCH(D$3,'IN_RC-T'!$A$3:$AAA$3,0))</f>
        <v>0</v>
      </c>
      <c r="E962" s="210">
        <f>INDEX('IN_RC-T'!$A$3:$AAA$865,MATCH($A962,'IN_RC-T'!$A$3:$A$865,0),MATCH(E$3,'IN_RC-T'!$A$3:$AAA$3,0))</f>
        <v>0</v>
      </c>
    </row>
    <row r="963" spans="1:5" ht="12" outlineLevel="1" x14ac:dyDescent="0.25">
      <c r="A963" s="85" t="s">
        <v>4319</v>
      </c>
      <c r="B963" s="664" t="s">
        <v>4803</v>
      </c>
      <c r="C963" s="655">
        <v>0</v>
      </c>
      <c r="D963" s="655">
        <v>0</v>
      </c>
      <c r="E963" s="655">
        <v>0</v>
      </c>
    </row>
    <row r="964" spans="1:5" ht="12" outlineLevel="1" x14ac:dyDescent="0.25">
      <c r="A964" s="85" t="s">
        <v>4320</v>
      </c>
      <c r="B964" s="204" t="s">
        <v>4804</v>
      </c>
      <c r="C964" s="658">
        <f>C962-C963</f>
        <v>0</v>
      </c>
      <c r="D964" s="658">
        <f>D962-D963</f>
        <v>0</v>
      </c>
      <c r="E964" s="658">
        <f>E962-E963</f>
        <v>0</v>
      </c>
    </row>
    <row r="965" spans="1:5" ht="11.4" outlineLevel="1" x14ac:dyDescent="0.25">
      <c r="A965" s="85" t="s">
        <v>2887</v>
      </c>
      <c r="B965" s="209" t="s">
        <v>4805</v>
      </c>
      <c r="C965" s="210">
        <f>INDEX('IN_RC-T'!$A$3:$AAA$865,MATCH($A965,'IN_RC-T'!$A$3:$A$865,0),MATCH(C$3,'IN_RC-T'!$A$3:$AAA$3,0))</f>
        <v>0</v>
      </c>
      <c r="D965" s="210">
        <f>INDEX('IN_RC-T'!$A$3:$AAA$865,MATCH($A965,'IN_RC-T'!$A$3:$A$865,0),MATCH(D$3,'IN_RC-T'!$A$3:$AAA$3,0))</f>
        <v>0</v>
      </c>
      <c r="E965" s="210">
        <f>INDEX('IN_RC-T'!$A$3:$AAA$865,MATCH($A965,'IN_RC-T'!$A$3:$A$865,0),MATCH(E$3,'IN_RC-T'!$A$3:$AAA$3,0))</f>
        <v>0</v>
      </c>
    </row>
    <row r="966" spans="1:5" ht="12" outlineLevel="1" x14ac:dyDescent="0.25">
      <c r="A966" s="85" t="s">
        <v>4458</v>
      </c>
      <c r="B966" s="664" t="s">
        <v>4806</v>
      </c>
      <c r="C966" s="655">
        <v>0</v>
      </c>
      <c r="D966" s="655">
        <v>0</v>
      </c>
      <c r="E966" s="655">
        <v>0</v>
      </c>
    </row>
    <row r="967" spans="1:5" ht="12" outlineLevel="1" x14ac:dyDescent="0.25">
      <c r="A967" s="85" t="s">
        <v>4459</v>
      </c>
      <c r="B967" s="204" t="s">
        <v>4807</v>
      </c>
      <c r="C967" s="658">
        <f>C965-C966</f>
        <v>0</v>
      </c>
      <c r="D967" s="658">
        <f>D965-D966</f>
        <v>0</v>
      </c>
      <c r="E967" s="658">
        <f>E965-E966</f>
        <v>0</v>
      </c>
    </row>
    <row r="968" spans="1:5" ht="11.4" outlineLevel="1" x14ac:dyDescent="0.25">
      <c r="A968" s="85" t="s">
        <v>2942</v>
      </c>
      <c r="B968" s="209" t="s">
        <v>4808</v>
      </c>
      <c r="C968" s="210">
        <f>INDEX('IN_RC-T'!$A$3:$AAA$865,MATCH($A968,'IN_RC-T'!$A$3:$A$865,0),MATCH(C$3,'IN_RC-T'!$A$3:$AAA$3,0))</f>
        <v>0</v>
      </c>
      <c r="D968" s="210">
        <f>INDEX('IN_RC-T'!$A$3:$AAA$865,MATCH($A968,'IN_RC-T'!$A$3:$A$865,0),MATCH(D$3,'IN_RC-T'!$A$3:$AAA$3,0))</f>
        <v>0</v>
      </c>
      <c r="E968" s="210">
        <f>INDEX('IN_RC-T'!$A$3:$AAA$865,MATCH($A968,'IN_RC-T'!$A$3:$A$865,0),MATCH(E$3,'IN_RC-T'!$A$3:$AAA$3,0))</f>
        <v>0</v>
      </c>
    </row>
    <row r="969" spans="1:5" ht="11.4" outlineLevel="1" x14ac:dyDescent="0.25">
      <c r="A969" s="85" t="s">
        <v>4321</v>
      </c>
      <c r="B969" s="664" t="s">
        <v>4809</v>
      </c>
      <c r="C969" s="655">
        <v>0</v>
      </c>
      <c r="D969" s="655">
        <v>0</v>
      </c>
      <c r="E969" s="655">
        <v>0</v>
      </c>
    </row>
    <row r="970" spans="1:5" ht="11.4" outlineLevel="1" x14ac:dyDescent="0.25">
      <c r="A970" s="85" t="s">
        <v>4322</v>
      </c>
      <c r="B970" s="204" t="s">
        <v>4810</v>
      </c>
      <c r="C970" s="658">
        <f>C968-C969</f>
        <v>0</v>
      </c>
      <c r="D970" s="658">
        <f>D968-D969</f>
        <v>0</v>
      </c>
      <c r="E970" s="658">
        <f>E968-E969</f>
        <v>0</v>
      </c>
    </row>
    <row r="971" spans="1:5" ht="11.4" outlineLevel="1" x14ac:dyDescent="0.25">
      <c r="A971" s="85" t="s">
        <v>6806</v>
      </c>
      <c r="B971" s="209" t="s">
        <v>4811</v>
      </c>
      <c r="C971" s="210">
        <f>INDEX('IN_RC-T'!$A$3:$AAA$865,MATCH($A971,'IN_RC-T'!$A$3:$A$865,0),MATCH(C$3,'IN_RC-T'!$A$3:$AAA$3,0))</f>
        <v>0</v>
      </c>
      <c r="D971" s="210">
        <f>INDEX('IN_RC-T'!$A$3:$AAA$865,MATCH($A971,'IN_RC-T'!$A$3:$A$865,0),MATCH(D$3,'IN_RC-T'!$A$3:$AAA$3,0))</f>
        <v>0</v>
      </c>
      <c r="E971" s="210">
        <f>INDEX('IN_RC-T'!$A$3:$AAA$865,MATCH($A971,'IN_RC-T'!$A$3:$A$865,0),MATCH(E$3,'IN_RC-T'!$A$3:$AAA$3,0))</f>
        <v>0</v>
      </c>
    </row>
    <row r="972" spans="1:5" ht="11.4" outlineLevel="1" x14ac:dyDescent="0.25">
      <c r="A972" s="85" t="s">
        <v>6966</v>
      </c>
      <c r="B972" s="657" t="s">
        <v>4812</v>
      </c>
      <c r="C972" s="659">
        <v>0</v>
      </c>
      <c r="D972" s="659">
        <v>0</v>
      </c>
      <c r="E972" s="659">
        <v>0</v>
      </c>
    </row>
    <row r="973" spans="1:5" ht="11.4" outlineLevel="1" x14ac:dyDescent="0.25">
      <c r="A973" s="85" t="s">
        <v>6951</v>
      </c>
      <c r="B973" s="204" t="s">
        <v>4813</v>
      </c>
      <c r="C973" s="658">
        <f>C971-C972</f>
        <v>0</v>
      </c>
      <c r="D973" s="658">
        <f>D971-D972</f>
        <v>0</v>
      </c>
      <c r="E973" s="658">
        <f>E971-E972</f>
        <v>0</v>
      </c>
    </row>
    <row r="974" spans="1:5" ht="11.4" outlineLevel="1" x14ac:dyDescent="0.25">
      <c r="A974" s="85" t="s">
        <v>3061</v>
      </c>
      <c r="B974" s="209" t="s">
        <v>3104</v>
      </c>
      <c r="C974" s="210">
        <f>INDEX('IN_RC-T'!$A$3:$AAA$865,MATCH($A974,'IN_RC-T'!$A$3:$A$865,0),MATCH(C$3,'IN_RC-T'!$A$3:$AAA$3,0))</f>
        <v>0</v>
      </c>
      <c r="D974" s="210">
        <f>INDEX('IN_RC-T'!$A$3:$AAA$865,MATCH($A974,'IN_RC-T'!$A$3:$A$865,0),MATCH(D$3,'IN_RC-T'!$A$3:$AAA$3,0))</f>
        <v>0</v>
      </c>
      <c r="E974" s="210">
        <f>INDEX('IN_RC-T'!$A$3:$AAA$865,MATCH($A974,'IN_RC-T'!$A$3:$A$865,0),MATCH(E$3,'IN_RC-T'!$A$3:$AAA$3,0))</f>
        <v>0</v>
      </c>
    </row>
    <row r="975" spans="1:5" ht="11.4" outlineLevel="1" x14ac:dyDescent="0.25">
      <c r="A975" s="85" t="s">
        <v>4323</v>
      </c>
      <c r="B975" s="660" t="s">
        <v>4814</v>
      </c>
      <c r="C975" s="661">
        <f>C939+C942+C945+C948+C951+C954+C957+C960+C963+C966+C969+C972</f>
        <v>0</v>
      </c>
      <c r="D975" s="661">
        <f>D939+D942+D945+D948+D951+D954+D957+D960+D963+D966+D969+D972</f>
        <v>0</v>
      </c>
      <c r="E975" s="661">
        <f>E939+E942+E945+E948+E951+E954+E957+E960+E963+E966+E969+E972</f>
        <v>0</v>
      </c>
    </row>
    <row r="976" spans="1:5" ht="11.4" outlineLevel="1" x14ac:dyDescent="0.25">
      <c r="A976" s="85" t="s">
        <v>4324</v>
      </c>
      <c r="B976" s="204" t="s">
        <v>4815</v>
      </c>
      <c r="C976" s="658">
        <f>C974-C975</f>
        <v>0</v>
      </c>
      <c r="D976" s="658">
        <f>D974-D975</f>
        <v>0</v>
      </c>
      <c r="E976" s="658">
        <f>E974-E975</f>
        <v>0</v>
      </c>
    </row>
    <row r="977" spans="1:5" outlineLevel="1" x14ac:dyDescent="0.2">
      <c r="B977" s="137"/>
      <c r="C977" s="137"/>
      <c r="D977" s="137"/>
      <c r="E977" s="137"/>
    </row>
    <row r="978" spans="1:5" ht="11.4" outlineLevel="1" x14ac:dyDescent="0.25">
      <c r="A978" s="85" t="s">
        <v>4325</v>
      </c>
      <c r="B978" s="209" t="s">
        <v>4816</v>
      </c>
      <c r="C978" s="210">
        <f>INDEX(PEF_COM_29!$A$3:$AAA$50,MATCH($A978,PEF_COM_29!$A$3:$A$50,0),MATCH(C$3,PEF_COM_29!$A$3:$AAA$3,0))</f>
        <v>0</v>
      </c>
      <c r="D978" s="210">
        <f>INDEX(PEF_COM_29!$A$3:$AAA$50,MATCH($A978,PEF_COM_29!$A$3:$A$50,0),MATCH(D$3,PEF_COM_29!$A$3:$AAA$3,0))</f>
        <v>0</v>
      </c>
      <c r="E978" s="210">
        <f>INDEX(PEF_COM_29!$A$3:$AAA$50,MATCH($A978,PEF_COM_29!$A$3:$A$50,0),MATCH(E$3,PEF_COM_29!$A$3:$AAA$3,0))</f>
        <v>0</v>
      </c>
    </row>
    <row r="979" spans="1:5" ht="11.4" outlineLevel="1" x14ac:dyDescent="0.25">
      <c r="A979" s="85" t="s">
        <v>4326</v>
      </c>
      <c r="B979" s="657" t="s">
        <v>4817</v>
      </c>
      <c r="C979" s="659">
        <v>0</v>
      </c>
      <c r="D979" s="659">
        <v>0</v>
      </c>
      <c r="E979" s="659">
        <v>0</v>
      </c>
    </row>
    <row r="980" spans="1:5" ht="11.4" outlineLevel="1" x14ac:dyDescent="0.25">
      <c r="A980" s="85" t="s">
        <v>4327</v>
      </c>
      <c r="B980" s="204" t="s">
        <v>4818</v>
      </c>
      <c r="C980" s="658">
        <f>C978-C979</f>
        <v>0</v>
      </c>
      <c r="D980" s="658">
        <f>D978-D979</f>
        <v>0</v>
      </c>
      <c r="E980" s="658">
        <f>E978-E979</f>
        <v>0</v>
      </c>
    </row>
    <row r="981" spans="1:5" outlineLevel="1" x14ac:dyDescent="0.2">
      <c r="B981" s="137"/>
      <c r="C981" s="137"/>
      <c r="D981" s="137"/>
      <c r="E981" s="137"/>
    </row>
    <row r="982" spans="1:5" ht="11.4" outlineLevel="1" x14ac:dyDescent="0.25">
      <c r="A982" s="85" t="s">
        <v>4973</v>
      </c>
      <c r="B982" s="86" t="s">
        <v>4994</v>
      </c>
      <c r="C982" s="87">
        <f t="shared" ref="C982" si="12">C871+C878+C885+C892+C935</f>
        <v>0</v>
      </c>
      <c r="D982" s="87">
        <f t="shared" ref="D982:E982" si="13">D871+D878+D885+D892+D935</f>
        <v>0</v>
      </c>
      <c r="E982" s="87">
        <f t="shared" si="13"/>
        <v>0</v>
      </c>
    </row>
    <row r="983" spans="1:5" ht="11.4" outlineLevel="1" x14ac:dyDescent="0.25">
      <c r="A983" s="85" t="s">
        <v>4974</v>
      </c>
      <c r="B983" s="86" t="s">
        <v>4995</v>
      </c>
      <c r="C983" s="87">
        <f>C874+C881+C888+C895+C975+C979</f>
        <v>0</v>
      </c>
      <c r="D983" s="87">
        <f>D874+D881+D888+D895+D975+D979</f>
        <v>0</v>
      </c>
      <c r="E983" s="87">
        <f>E874+E881+E888+E895+E975+E979</f>
        <v>0</v>
      </c>
    </row>
    <row r="984" spans="1:5" ht="11.4" outlineLevel="1" x14ac:dyDescent="0.25">
      <c r="A984" s="85" t="s">
        <v>4975</v>
      </c>
      <c r="B984" s="56" t="s">
        <v>4996</v>
      </c>
      <c r="C984" s="81">
        <f>C982+C983</f>
        <v>0</v>
      </c>
      <c r="D984" s="81">
        <f>D982+D983</f>
        <v>0</v>
      </c>
      <c r="E984" s="81">
        <f>E982+E983</f>
        <v>0</v>
      </c>
    </row>
    <row r="985" spans="1:5" outlineLevel="1" x14ac:dyDescent="0.2">
      <c r="B985" s="137"/>
      <c r="C985" s="137"/>
      <c r="D985" s="137"/>
      <c r="E985" s="137"/>
    </row>
    <row r="986" spans="1:5" ht="11.4" outlineLevel="1" x14ac:dyDescent="0.25">
      <c r="A986" s="85" t="s">
        <v>4328</v>
      </c>
      <c r="B986" s="209" t="s">
        <v>4819</v>
      </c>
      <c r="C986" s="210">
        <f>INDEX(PEF_GEST_29!$A$3:$AAA$50,MATCH($A986,PEF_GEST_29!$A$3:$A$50,0),MATCH(C$3,PEF_GEST_29!$A$3:$AAA$3,0))</f>
        <v>2380990.7114399998</v>
      </c>
      <c r="D986" s="210">
        <f>INDEX(PEF_GEST_29!$A$3:$AAA$50,MATCH($A986,PEF_GEST_29!$A$3:$A$50,0),MATCH(D$3,PEF_GEST_29!$A$3:$AAA$3,0))</f>
        <v>0</v>
      </c>
      <c r="E986" s="210">
        <f>INDEX(PEF_GEST_29!$A$3:$AAA$50,MATCH($A986,PEF_GEST_29!$A$3:$A$50,0),MATCH(E$3,PEF_GEST_29!$A$3:$AAA$3,0))</f>
        <v>52792.447399999997</v>
      </c>
    </row>
    <row r="987" spans="1:5" ht="11.4" outlineLevel="1" x14ac:dyDescent="0.25">
      <c r="A987" s="85" t="s">
        <v>4329</v>
      </c>
      <c r="B987" s="657" t="s">
        <v>4820</v>
      </c>
      <c r="C987" s="659">
        <v>0</v>
      </c>
      <c r="D987" s="659">
        <v>0</v>
      </c>
      <c r="E987" s="659">
        <v>0</v>
      </c>
    </row>
    <row r="988" spans="1:5" ht="11.4" outlineLevel="1" x14ac:dyDescent="0.25">
      <c r="A988" s="85" t="s">
        <v>4330</v>
      </c>
      <c r="B988" s="204" t="s">
        <v>4821</v>
      </c>
      <c r="C988" s="658">
        <f>C986-C987</f>
        <v>2380990.7114399998</v>
      </c>
      <c r="D988" s="658">
        <f>D986-D987</f>
        <v>0</v>
      </c>
      <c r="E988" s="658">
        <f>E986-E987</f>
        <v>52792.447399999997</v>
      </c>
    </row>
    <row r="989" spans="1:5" ht="11.4" outlineLevel="1" x14ac:dyDescent="0.25">
      <c r="A989" s="85" t="s">
        <v>4331</v>
      </c>
      <c r="B989" s="209" t="s">
        <v>4822</v>
      </c>
      <c r="C989" s="210">
        <f>INDEX(PEF_COM_29!$A$3:$AAA$50,MATCH($A989,PEF_COM_29!$A$3:$A$50,0),MATCH(C$3,PEF_COM_29!$A$3:$AAA$3,0))</f>
        <v>0</v>
      </c>
      <c r="D989" s="210">
        <f>INDEX(PEF_COM_29!$A$3:$AAA$50,MATCH($A989,PEF_COM_29!$A$3:$A$50,0),MATCH(D$3,PEF_COM_29!$A$3:$AAA$3,0))</f>
        <v>0</v>
      </c>
      <c r="E989" s="210">
        <f>INDEX(PEF_COM_29!$A$3:$AAA$50,MATCH($A989,PEF_COM_29!$A$3:$A$50,0),MATCH(E$3,PEF_COM_29!$A$3:$AAA$3,0))</f>
        <v>0</v>
      </c>
    </row>
    <row r="990" spans="1:5" ht="11.4" outlineLevel="1" x14ac:dyDescent="0.25">
      <c r="A990" s="85" t="s">
        <v>4332</v>
      </c>
      <c r="B990" s="657" t="s">
        <v>4823</v>
      </c>
      <c r="C990" s="659">
        <v>0</v>
      </c>
      <c r="D990" s="659">
        <v>0</v>
      </c>
      <c r="E990" s="659">
        <v>0</v>
      </c>
    </row>
    <row r="991" spans="1:5" ht="11.4" outlineLevel="1" x14ac:dyDescent="0.25">
      <c r="A991" s="85" t="s">
        <v>4333</v>
      </c>
      <c r="B991" s="204" t="s">
        <v>4824</v>
      </c>
      <c r="C991" s="658">
        <f>C989-C990</f>
        <v>0</v>
      </c>
      <c r="D991" s="658">
        <f>D989-D990</f>
        <v>0</v>
      </c>
      <c r="E991" s="658">
        <f>E989-E990</f>
        <v>0</v>
      </c>
    </row>
    <row r="992" spans="1:5" outlineLevel="1" x14ac:dyDescent="0.2">
      <c r="B992" s="137"/>
      <c r="C992" s="662"/>
      <c r="D992" s="662"/>
      <c r="E992" s="662"/>
    </row>
    <row r="993" spans="1:5" ht="11.4" outlineLevel="1" x14ac:dyDescent="0.25">
      <c r="A993" s="85" t="s">
        <v>4334</v>
      </c>
      <c r="B993" s="209" t="s">
        <v>4825</v>
      </c>
      <c r="C993" s="210">
        <f>INDEX(PEF_GEST_29!$A$3:$AAA$50,MATCH($A993,PEF_GEST_29!$A$3:$A$50,0),MATCH(C$3,PEF_GEST_29!$A$3:$AAA$3,0))</f>
        <v>654540.42896000005</v>
      </c>
      <c r="D993" s="210">
        <f>INDEX(PEF_GEST_29!$A$3:$AAA$50,MATCH($A993,PEF_GEST_29!$A$3:$A$50,0),MATCH(D$3,PEF_GEST_29!$A$3:$AAA$3,0))</f>
        <v>0</v>
      </c>
      <c r="E993" s="210">
        <f>INDEX(PEF_GEST_29!$A$3:$AAA$50,MATCH($A993,PEF_GEST_29!$A$3:$A$50,0),MATCH(E$3,PEF_GEST_29!$A$3:$AAA$3,0))</f>
        <v>0</v>
      </c>
    </row>
    <row r="994" spans="1:5" ht="11.4" outlineLevel="1" x14ac:dyDescent="0.25">
      <c r="A994" s="85" t="s">
        <v>4335</v>
      </c>
      <c r="B994" s="657" t="s">
        <v>4826</v>
      </c>
      <c r="C994" s="659">
        <v>0</v>
      </c>
      <c r="D994" s="659">
        <v>0</v>
      </c>
      <c r="E994" s="659">
        <v>0</v>
      </c>
    </row>
    <row r="995" spans="1:5" ht="11.4" outlineLevel="1" x14ac:dyDescent="0.25">
      <c r="A995" s="85" t="s">
        <v>4336</v>
      </c>
      <c r="B995" s="204" t="s">
        <v>4827</v>
      </c>
      <c r="C995" s="658">
        <f>C993-C994</f>
        <v>654540.42896000005</v>
      </c>
      <c r="D995" s="658">
        <f>D993-D994</f>
        <v>0</v>
      </c>
      <c r="E995" s="658">
        <f>E993-E994</f>
        <v>0</v>
      </c>
    </row>
    <row r="996" spans="1:5" ht="11.4" outlineLevel="1" x14ac:dyDescent="0.25">
      <c r="A996" s="85" t="s">
        <v>4337</v>
      </c>
      <c r="B996" s="209" t="s">
        <v>4828</v>
      </c>
      <c r="C996" s="210">
        <f>INDEX(PEF_COM_29!$A$3:$AAA$50,MATCH($A996,PEF_COM_29!$A$3:$A$50,0),MATCH(C$3,PEF_COM_29!$A$3:$AAA$3,0))</f>
        <v>0</v>
      </c>
      <c r="D996" s="210">
        <f>INDEX(PEF_COM_29!$A$3:$AAA$50,MATCH($A996,PEF_COM_29!$A$3:$A$50,0),MATCH(D$3,PEF_COM_29!$A$3:$AAA$3,0))</f>
        <v>0</v>
      </c>
      <c r="E996" s="210">
        <f>INDEX(PEF_COM_29!$A$3:$AAA$50,MATCH($A996,PEF_COM_29!$A$3:$A$50,0),MATCH(E$3,PEF_COM_29!$A$3:$AAA$3,0))</f>
        <v>0</v>
      </c>
    </row>
    <row r="997" spans="1:5" ht="11.4" outlineLevel="1" x14ac:dyDescent="0.25">
      <c r="A997" s="85" t="s">
        <v>4338</v>
      </c>
      <c r="B997" s="657" t="s">
        <v>4829</v>
      </c>
      <c r="C997" s="659">
        <v>0</v>
      </c>
      <c r="D997" s="659">
        <v>0</v>
      </c>
      <c r="E997" s="659">
        <v>0</v>
      </c>
    </row>
    <row r="998" spans="1:5" ht="11.4" outlineLevel="1" x14ac:dyDescent="0.25">
      <c r="A998" s="85" t="s">
        <v>4339</v>
      </c>
      <c r="B998" s="204" t="s">
        <v>4830</v>
      </c>
      <c r="C998" s="658">
        <f>C996-C997</f>
        <v>0</v>
      </c>
      <c r="D998" s="658">
        <f>D996-D997</f>
        <v>0</v>
      </c>
      <c r="E998" s="658">
        <f>E996-E997</f>
        <v>0</v>
      </c>
    </row>
    <row r="999" spans="1:5" outlineLevel="1" x14ac:dyDescent="0.2">
      <c r="B999" s="137"/>
      <c r="C999" s="662"/>
      <c r="D999" s="662"/>
      <c r="E999" s="662"/>
    </row>
    <row r="1000" spans="1:5" ht="11.4" outlineLevel="1" x14ac:dyDescent="0.25">
      <c r="A1000" s="85" t="s">
        <v>4340</v>
      </c>
      <c r="B1000" s="209" t="s">
        <v>4831</v>
      </c>
      <c r="C1000" s="210">
        <f>INDEX(PEF_GEST_29!$A$3:$AAA$50,MATCH($A1000,PEF_GEST_29!$A$3:$A$50,0),MATCH(C$3,PEF_GEST_29!$A$3:$AAA$3,0))</f>
        <v>1750717.3543199999</v>
      </c>
      <c r="D1000" s="210">
        <f>INDEX(PEF_GEST_29!$A$3:$AAA$50,MATCH($A1000,PEF_GEST_29!$A$3:$A$50,0),MATCH(D$3,PEF_GEST_29!$A$3:$AAA$3,0))</f>
        <v>52656.265596000005</v>
      </c>
      <c r="E1000" s="210">
        <f>INDEX(PEF_GEST_29!$A$3:$AAA$50,MATCH($A1000,PEF_GEST_29!$A$3:$A$50,0),MATCH(E$3,PEF_GEST_29!$A$3:$AAA$3,0))</f>
        <v>48576</v>
      </c>
    </row>
    <row r="1001" spans="1:5" ht="11.4" outlineLevel="1" x14ac:dyDescent="0.25">
      <c r="A1001" s="85" t="s">
        <v>4341</v>
      </c>
      <c r="B1001" s="657" t="s">
        <v>4832</v>
      </c>
      <c r="C1001" s="659">
        <v>0</v>
      </c>
      <c r="D1001" s="659">
        <v>0</v>
      </c>
      <c r="E1001" s="659">
        <v>0</v>
      </c>
    </row>
    <row r="1002" spans="1:5" ht="11.4" outlineLevel="1" x14ac:dyDescent="0.25">
      <c r="A1002" s="85" t="s">
        <v>4342</v>
      </c>
      <c r="B1002" s="204" t="s">
        <v>4833</v>
      </c>
      <c r="C1002" s="658">
        <f>C1000-C1001</f>
        <v>1750717.3543199999</v>
      </c>
      <c r="D1002" s="658">
        <f>D1000-D1001</f>
        <v>52656.265596000005</v>
      </c>
      <c r="E1002" s="658">
        <f>E1000-E1001</f>
        <v>48576</v>
      </c>
    </row>
    <row r="1003" spans="1:5" ht="11.4" outlineLevel="1" x14ac:dyDescent="0.25">
      <c r="A1003" s="85" t="s">
        <v>4343</v>
      </c>
      <c r="B1003" s="209" t="s">
        <v>4834</v>
      </c>
      <c r="C1003" s="210">
        <f>INDEX(PEF_COM_29!$A$3:$AAA$50,MATCH($A1003,PEF_COM_29!$A$3:$A$50,0),MATCH(C$3,PEF_COM_29!$A$3:$AAA$3,0))</f>
        <v>0</v>
      </c>
      <c r="D1003" s="210">
        <f>INDEX(PEF_COM_29!$A$3:$AAA$50,MATCH($A1003,PEF_COM_29!$A$3:$A$50,0),MATCH(D$3,PEF_COM_29!$A$3:$AAA$3,0))</f>
        <v>0</v>
      </c>
      <c r="E1003" s="210">
        <f>INDEX(PEF_COM_29!$A$3:$AAA$50,MATCH($A1003,PEF_COM_29!$A$3:$A$50,0),MATCH(E$3,PEF_COM_29!$A$3:$AAA$3,0))</f>
        <v>0</v>
      </c>
    </row>
    <row r="1004" spans="1:5" ht="11.4" outlineLevel="1" x14ac:dyDescent="0.25">
      <c r="A1004" s="85" t="s">
        <v>4344</v>
      </c>
      <c r="B1004" s="657" t="s">
        <v>4835</v>
      </c>
      <c r="C1004" s="659">
        <v>0</v>
      </c>
      <c r="D1004" s="659">
        <v>0</v>
      </c>
      <c r="E1004" s="659">
        <v>0</v>
      </c>
    </row>
    <row r="1005" spans="1:5" ht="11.4" outlineLevel="1" x14ac:dyDescent="0.25">
      <c r="A1005" s="85" t="s">
        <v>4345</v>
      </c>
      <c r="B1005" s="204" t="s">
        <v>4836</v>
      </c>
      <c r="C1005" s="658">
        <f>C1003-C1004</f>
        <v>0</v>
      </c>
      <c r="D1005" s="658">
        <f>D1003-D1004</f>
        <v>0</v>
      </c>
      <c r="E1005" s="658">
        <f>E1003-E1004</f>
        <v>0</v>
      </c>
    </row>
    <row r="1006" spans="1:5" outlineLevel="1" x14ac:dyDescent="0.2">
      <c r="B1006" s="137"/>
      <c r="C1006" s="662"/>
      <c r="D1006" s="662"/>
      <c r="E1006" s="662"/>
    </row>
    <row r="1007" spans="1:5" ht="11.4" outlineLevel="1" x14ac:dyDescent="0.25">
      <c r="A1007" s="85" t="s">
        <v>4346</v>
      </c>
      <c r="B1007" s="209" t="s">
        <v>4837</v>
      </c>
      <c r="C1007" s="210">
        <f>INDEX(PEF_GEST_29!$A$3:$AAA$50,MATCH($A1007,PEF_GEST_29!$A$3:$A$50,0),MATCH(C$3,PEF_GEST_29!$A$3:$AAA$3,0))</f>
        <v>0</v>
      </c>
      <c r="D1007" s="210">
        <f>INDEX(PEF_GEST_29!$A$3:$AAA$50,MATCH($A1007,PEF_GEST_29!$A$3:$A$50,0),MATCH(D$3,PEF_GEST_29!$A$3:$AAA$3,0))</f>
        <v>0</v>
      </c>
      <c r="E1007" s="210">
        <f>INDEX(PEF_GEST_29!$A$3:$AAA$50,MATCH($A1007,PEF_GEST_29!$A$3:$A$50,0),MATCH(E$3,PEF_GEST_29!$A$3:$AAA$3,0))</f>
        <v>0</v>
      </c>
    </row>
    <row r="1008" spans="1:5" ht="11.4" outlineLevel="1" x14ac:dyDescent="0.25">
      <c r="A1008" s="85" t="s">
        <v>4347</v>
      </c>
      <c r="B1008" s="657" t="s">
        <v>4838</v>
      </c>
      <c r="C1008" s="659">
        <v>0</v>
      </c>
      <c r="D1008" s="659">
        <v>0</v>
      </c>
      <c r="E1008" s="659">
        <v>0</v>
      </c>
    </row>
    <row r="1009" spans="1:5" ht="11.4" outlineLevel="1" x14ac:dyDescent="0.25">
      <c r="A1009" s="85" t="s">
        <v>4348</v>
      </c>
      <c r="B1009" s="204" t="s">
        <v>4839</v>
      </c>
      <c r="C1009" s="658">
        <f>C1007-C1008</f>
        <v>0</v>
      </c>
      <c r="D1009" s="658">
        <f>D1007-D1008</f>
        <v>0</v>
      </c>
      <c r="E1009" s="658">
        <f>E1007-E1008</f>
        <v>0</v>
      </c>
    </row>
    <row r="1010" spans="1:5" ht="11.4" outlineLevel="1" x14ac:dyDescent="0.25">
      <c r="A1010" s="85" t="s">
        <v>4349</v>
      </c>
      <c r="B1010" s="209" t="s">
        <v>4840</v>
      </c>
      <c r="C1010" s="210">
        <f>INDEX(PEF_COM_29!$A$3:$AAA$50,MATCH($A1010,PEF_COM_29!$A$3:$A$50,0),MATCH(C$3,PEF_COM_29!$A$3:$AAA$3,0))</f>
        <v>0</v>
      </c>
      <c r="D1010" s="210">
        <f>INDEX(PEF_COM_29!$A$3:$AAA$50,MATCH($A1010,PEF_COM_29!$A$3:$A$50,0),MATCH(D$3,PEF_COM_29!$A$3:$AAA$3,0))</f>
        <v>0</v>
      </c>
      <c r="E1010" s="210">
        <f>INDEX(PEF_COM_29!$A$3:$AAA$50,MATCH($A1010,PEF_COM_29!$A$3:$A$50,0),MATCH(E$3,PEF_COM_29!$A$3:$AAA$3,0))</f>
        <v>0</v>
      </c>
    </row>
    <row r="1011" spans="1:5" ht="11.4" outlineLevel="1" x14ac:dyDescent="0.25">
      <c r="A1011" s="85" t="s">
        <v>4350</v>
      </c>
      <c r="B1011" s="657" t="s">
        <v>4841</v>
      </c>
      <c r="C1011" s="659">
        <v>0</v>
      </c>
      <c r="D1011" s="659">
        <v>0</v>
      </c>
      <c r="E1011" s="659">
        <v>0</v>
      </c>
    </row>
    <row r="1012" spans="1:5" ht="11.4" outlineLevel="1" x14ac:dyDescent="0.25">
      <c r="A1012" s="85" t="s">
        <v>4351</v>
      </c>
      <c r="B1012" s="204" t="s">
        <v>4842</v>
      </c>
      <c r="C1012" s="658">
        <f>C1010-C1011</f>
        <v>0</v>
      </c>
      <c r="D1012" s="658">
        <f>D1010-D1011</f>
        <v>0</v>
      </c>
      <c r="E1012" s="658">
        <f>E1010-E1011</f>
        <v>0</v>
      </c>
    </row>
    <row r="1013" spans="1:5" outlineLevel="1" x14ac:dyDescent="0.2">
      <c r="B1013" s="137"/>
      <c r="C1013" s="137"/>
      <c r="D1013" s="137"/>
      <c r="E1013" s="137"/>
    </row>
    <row r="1014" spans="1:5" ht="11.4" outlineLevel="1" x14ac:dyDescent="0.25">
      <c r="A1014" s="85" t="s">
        <v>4352</v>
      </c>
      <c r="B1014" s="209" t="s">
        <v>4843</v>
      </c>
      <c r="C1014" s="210">
        <f>INDEX(PEF_GEST_29!$A$3:$AAA$50,MATCH($A1014,PEF_GEST_29!$A$3:$A$50,0),MATCH(C$3,PEF_GEST_29!$A$3:$AAA$3,0))</f>
        <v>0</v>
      </c>
      <c r="D1014" s="210">
        <f>INDEX(PEF_GEST_29!$A$3:$AAA$50,MATCH($A1014,PEF_GEST_29!$A$3:$A$50,0),MATCH(D$3,PEF_GEST_29!$A$3:$AAA$3,0))</f>
        <v>0</v>
      </c>
      <c r="E1014" s="210">
        <f>INDEX(PEF_GEST_29!$A$3:$AAA$50,MATCH($A1014,PEF_GEST_29!$A$3:$A$50,0),MATCH(E$3,PEF_GEST_29!$A$3:$AAA$3,0))</f>
        <v>0</v>
      </c>
    </row>
    <row r="1015" spans="1:5" ht="11.4" outlineLevel="1" x14ac:dyDescent="0.25">
      <c r="A1015" s="85" t="s">
        <v>4353</v>
      </c>
      <c r="B1015" s="657" t="s">
        <v>4844</v>
      </c>
      <c r="C1015" s="659">
        <v>0</v>
      </c>
      <c r="D1015" s="659">
        <v>0</v>
      </c>
      <c r="E1015" s="659">
        <v>0</v>
      </c>
    </row>
    <row r="1016" spans="1:5" ht="11.4" outlineLevel="1" x14ac:dyDescent="0.25">
      <c r="A1016" s="85" t="s">
        <v>4354</v>
      </c>
      <c r="B1016" s="204" t="s">
        <v>4845</v>
      </c>
      <c r="C1016" s="658">
        <f>C1014-C1015</f>
        <v>0</v>
      </c>
      <c r="D1016" s="658">
        <f>D1014-D1015</f>
        <v>0</v>
      </c>
      <c r="E1016" s="658">
        <f>E1014-E1015</f>
        <v>0</v>
      </c>
    </row>
    <row r="1017" spans="1:5" ht="11.4" outlineLevel="1" x14ac:dyDescent="0.25">
      <c r="A1017" s="85" t="s">
        <v>4355</v>
      </c>
      <c r="B1017" s="209" t="s">
        <v>4846</v>
      </c>
      <c r="C1017" s="210">
        <f>INDEX(PEF_COM_29!$A$3:$AAA$50,MATCH($A1017,PEF_COM_29!$A$3:$A$50,0),MATCH(C$3,PEF_COM_29!$A$3:$AAA$3,0))</f>
        <v>0</v>
      </c>
      <c r="D1017" s="210">
        <f>INDEX(PEF_COM_29!$A$3:$AAA$50,MATCH($A1017,PEF_COM_29!$A$3:$A$50,0),MATCH(D$3,PEF_COM_29!$A$3:$AAA$3,0))</f>
        <v>0</v>
      </c>
      <c r="E1017" s="210">
        <f>INDEX(PEF_COM_29!$A$3:$AAA$50,MATCH($A1017,PEF_COM_29!$A$3:$A$50,0),MATCH(E$3,PEF_COM_29!$A$3:$AAA$3,0))</f>
        <v>0</v>
      </c>
    </row>
    <row r="1018" spans="1:5" ht="11.4" outlineLevel="1" x14ac:dyDescent="0.25">
      <c r="A1018" s="85" t="s">
        <v>4356</v>
      </c>
      <c r="B1018" s="657" t="s">
        <v>4847</v>
      </c>
      <c r="C1018" s="659">
        <v>0</v>
      </c>
      <c r="D1018" s="659">
        <v>0</v>
      </c>
      <c r="E1018" s="659">
        <v>0</v>
      </c>
    </row>
    <row r="1019" spans="1:5" ht="11.4" outlineLevel="1" x14ac:dyDescent="0.25">
      <c r="A1019" s="85" t="s">
        <v>4357</v>
      </c>
      <c r="B1019" s="204" t="s">
        <v>4848</v>
      </c>
      <c r="C1019" s="658">
        <f>C1017-C1018</f>
        <v>0</v>
      </c>
      <c r="D1019" s="658">
        <f>D1017-D1018</f>
        <v>0</v>
      </c>
      <c r="E1019" s="658">
        <f>E1017-E1018</f>
        <v>0</v>
      </c>
    </row>
    <row r="1020" spans="1:5" outlineLevel="1" x14ac:dyDescent="0.2">
      <c r="B1020" s="137"/>
      <c r="C1020" s="137"/>
      <c r="D1020" s="137"/>
      <c r="E1020" s="137"/>
    </row>
    <row r="1021" spans="1:5" ht="11.4" outlineLevel="1" x14ac:dyDescent="0.25">
      <c r="A1021" s="85" t="s">
        <v>4358</v>
      </c>
      <c r="B1021" s="209" t="s">
        <v>4849</v>
      </c>
      <c r="C1021" s="210">
        <f>INDEX(PEF_GEST_29!$A$3:$AAA$50,MATCH($A1021,PEF_GEST_29!$A$3:$A$50,0),MATCH(C$3,PEF_GEST_29!$A$3:$AAA$3,0))</f>
        <v>510556.06046451128</v>
      </c>
      <c r="D1021" s="210">
        <f>INDEX(PEF_GEST_29!$A$3:$AAA$50,MATCH($A1021,PEF_GEST_29!$A$3:$A$50,0),MATCH(D$3,PEF_GEST_29!$A$3:$AAA$3,0))</f>
        <v>33465.608098920478</v>
      </c>
      <c r="E1021" s="210">
        <f>INDEX(PEF_GEST_29!$A$3:$AAA$50,MATCH($A1021,PEF_GEST_29!$A$3:$A$50,0),MATCH(E$3,PEF_GEST_29!$A$3:$AAA$3,0))</f>
        <v>0</v>
      </c>
    </row>
    <row r="1022" spans="1:5" ht="11.4" outlineLevel="1" x14ac:dyDescent="0.25">
      <c r="A1022" s="85" t="s">
        <v>4359</v>
      </c>
      <c r="B1022" s="657" t="s">
        <v>4850</v>
      </c>
      <c r="C1022" s="659">
        <v>0</v>
      </c>
      <c r="D1022" s="659">
        <v>0</v>
      </c>
      <c r="E1022" s="659">
        <v>0</v>
      </c>
    </row>
    <row r="1023" spans="1:5" ht="11.4" outlineLevel="1" x14ac:dyDescent="0.25">
      <c r="A1023" s="85" t="s">
        <v>4360</v>
      </c>
      <c r="B1023" s="204" t="s">
        <v>4851</v>
      </c>
      <c r="C1023" s="658">
        <f>C1021-C1022</f>
        <v>510556.06046451128</v>
      </c>
      <c r="D1023" s="658">
        <f>D1021-D1022</f>
        <v>33465.608098920478</v>
      </c>
      <c r="E1023" s="658">
        <f>E1021-E1022</f>
        <v>0</v>
      </c>
    </row>
    <row r="1024" spans="1:5" ht="11.4" outlineLevel="1" x14ac:dyDescent="0.25">
      <c r="A1024" s="85" t="s">
        <v>4361</v>
      </c>
      <c r="B1024" s="209" t="s">
        <v>4852</v>
      </c>
      <c r="C1024" s="210">
        <f>INDEX(PEF_COM_29!$A$3:$AAA$50,MATCH($A1024,PEF_COM_29!$A$3:$A$50,0),MATCH(C$3,PEF_COM_29!$A$3:$AAA$3,0))</f>
        <v>0</v>
      </c>
      <c r="D1024" s="210">
        <f>INDEX(PEF_COM_29!$A$3:$AAA$50,MATCH($A1024,PEF_COM_29!$A$3:$A$50,0),MATCH(D$3,PEF_COM_29!$A$3:$AAA$3,0))</f>
        <v>0</v>
      </c>
      <c r="E1024" s="210">
        <f>INDEX(PEF_COM_29!$A$3:$AAA$50,MATCH($A1024,PEF_COM_29!$A$3:$A$50,0),MATCH(E$3,PEF_COM_29!$A$3:$AAA$3,0))</f>
        <v>20354.085815461956</v>
      </c>
    </row>
    <row r="1025" spans="1:5" ht="11.4" outlineLevel="1" x14ac:dyDescent="0.25">
      <c r="A1025" s="85" t="s">
        <v>4362</v>
      </c>
      <c r="B1025" s="657" t="s">
        <v>4853</v>
      </c>
      <c r="C1025" s="659">
        <v>0</v>
      </c>
      <c r="D1025" s="659">
        <v>0</v>
      </c>
      <c r="E1025" s="659">
        <v>0</v>
      </c>
    </row>
    <row r="1026" spans="1:5" ht="11.4" outlineLevel="1" x14ac:dyDescent="0.25">
      <c r="A1026" s="85" t="s">
        <v>4363</v>
      </c>
      <c r="B1026" s="204" t="s">
        <v>4854</v>
      </c>
      <c r="C1026" s="658">
        <f>C1024-C1025</f>
        <v>0</v>
      </c>
      <c r="D1026" s="658">
        <f>D1024-D1025</f>
        <v>0</v>
      </c>
      <c r="E1026" s="658">
        <f>E1024-E1025</f>
        <v>20354.085815461956</v>
      </c>
    </row>
    <row r="1027" spans="1:5" outlineLevel="1" x14ac:dyDescent="0.2">
      <c r="B1027" s="137"/>
      <c r="C1027" s="137"/>
      <c r="D1027" s="137"/>
      <c r="E1027" s="137"/>
    </row>
    <row r="1028" spans="1:5" ht="11.4" outlineLevel="1" x14ac:dyDescent="0.25">
      <c r="A1028" s="85" t="s">
        <v>4364</v>
      </c>
      <c r="B1028" s="209" t="s">
        <v>4855</v>
      </c>
      <c r="C1028" s="210">
        <f>INDEX(PEF_GEST_29!$A$3:$AAA$50,MATCH($A1028,PEF_GEST_29!$A$3:$A$50,0),MATCH(C$3,PEF_GEST_29!$A$3:$AAA$3,0))</f>
        <v>0</v>
      </c>
      <c r="D1028" s="210">
        <f>INDEX(PEF_GEST_29!$A$3:$AAA$50,MATCH($A1028,PEF_GEST_29!$A$3:$A$50,0),MATCH(D$3,PEF_GEST_29!$A$3:$AAA$3,0))</f>
        <v>0</v>
      </c>
      <c r="E1028" s="210">
        <f>INDEX(PEF_GEST_29!$A$3:$AAA$50,MATCH($A1028,PEF_GEST_29!$A$3:$A$50,0),MATCH(E$3,PEF_GEST_29!$A$3:$AAA$3,0))</f>
        <v>0</v>
      </c>
    </row>
    <row r="1029" spans="1:5" ht="11.4" outlineLevel="1" x14ac:dyDescent="0.25">
      <c r="A1029" s="85" t="s">
        <v>4365</v>
      </c>
      <c r="B1029" s="657" t="s">
        <v>4856</v>
      </c>
      <c r="C1029" s="659">
        <v>0</v>
      </c>
      <c r="D1029" s="659">
        <v>0</v>
      </c>
      <c r="E1029" s="659">
        <v>0</v>
      </c>
    </row>
    <row r="1030" spans="1:5" ht="11.4" outlineLevel="1" x14ac:dyDescent="0.25">
      <c r="A1030" s="85" t="s">
        <v>4366</v>
      </c>
      <c r="B1030" s="204" t="s">
        <v>4857</v>
      </c>
      <c r="C1030" s="658">
        <f>C1028-C1029</f>
        <v>0</v>
      </c>
      <c r="D1030" s="658">
        <f>D1028-D1029</f>
        <v>0</v>
      </c>
      <c r="E1030" s="658">
        <f>E1028-E1029</f>
        <v>0</v>
      </c>
    </row>
    <row r="1031" spans="1:5" ht="11.4" outlineLevel="1" x14ac:dyDescent="0.25">
      <c r="A1031" s="85" t="s">
        <v>4367</v>
      </c>
      <c r="B1031" s="209" t="s">
        <v>4858</v>
      </c>
      <c r="C1031" s="210">
        <f>INDEX(PEF_GEST_29!$A$3:$AAA$50,MATCH($A1031,PEF_GEST_29!$A$3:$A$50,0),MATCH(C$3,PEF_GEST_29!$A$3:$AAA$3,0))</f>
        <v>455055</v>
      </c>
      <c r="D1031" s="210">
        <f>INDEX(PEF_GEST_29!$A$3:$AAA$50,MATCH($A1031,PEF_GEST_29!$A$3:$A$50,0),MATCH(D$3,PEF_GEST_29!$A$3:$AAA$3,0))</f>
        <v>0</v>
      </c>
      <c r="E1031" s="210">
        <f>INDEX(PEF_GEST_29!$A$3:$AAA$50,MATCH($A1031,PEF_GEST_29!$A$3:$A$50,0),MATCH(E$3,PEF_GEST_29!$A$3:$AAA$3,0))</f>
        <v>0</v>
      </c>
    </row>
    <row r="1032" spans="1:5" ht="11.4" outlineLevel="1" x14ac:dyDescent="0.25">
      <c r="A1032" s="85" t="s">
        <v>4368</v>
      </c>
      <c r="B1032" s="657" t="s">
        <v>4859</v>
      </c>
      <c r="C1032" s="659">
        <v>0</v>
      </c>
      <c r="D1032" s="659">
        <v>0</v>
      </c>
      <c r="E1032" s="659">
        <v>0</v>
      </c>
    </row>
    <row r="1033" spans="1:5" ht="11.4" outlineLevel="1" x14ac:dyDescent="0.25">
      <c r="A1033" s="85" t="s">
        <v>4369</v>
      </c>
      <c r="B1033" s="204" t="s">
        <v>4860</v>
      </c>
      <c r="C1033" s="658">
        <f>C1031-C1032</f>
        <v>455055</v>
      </c>
      <c r="D1033" s="658">
        <f>D1031-D1032</f>
        <v>0</v>
      </c>
      <c r="E1033" s="658">
        <f>E1031-E1032</f>
        <v>0</v>
      </c>
    </row>
    <row r="1034" spans="1:5" ht="11.4" outlineLevel="1" x14ac:dyDescent="0.25">
      <c r="A1034" s="85" t="s">
        <v>4370</v>
      </c>
      <c r="B1034" s="209" t="s">
        <v>4861</v>
      </c>
      <c r="C1034" s="210">
        <f>INDEX(PEF_GEST_29!$A$3:$AAA$50,MATCH($A1034,PEF_GEST_29!$A$3:$A$50,0),MATCH(C$3,PEF_GEST_29!$A$3:$AAA$3,0))</f>
        <v>0</v>
      </c>
      <c r="D1034" s="210">
        <f>INDEX(PEF_GEST_29!$A$3:$AAA$50,MATCH($A1034,PEF_GEST_29!$A$3:$A$50,0),MATCH(D$3,PEF_GEST_29!$A$3:$AAA$3,0))</f>
        <v>0</v>
      </c>
      <c r="E1034" s="210">
        <f>INDEX(PEF_GEST_29!$A$3:$AAA$50,MATCH($A1034,PEF_GEST_29!$A$3:$A$50,0),MATCH(E$3,PEF_GEST_29!$A$3:$AAA$3,0))</f>
        <v>0</v>
      </c>
    </row>
    <row r="1035" spans="1:5" ht="11.4" outlineLevel="1" x14ac:dyDescent="0.25">
      <c r="A1035" s="85" t="s">
        <v>4371</v>
      </c>
      <c r="B1035" s="657" t="s">
        <v>4862</v>
      </c>
      <c r="C1035" s="659">
        <v>0</v>
      </c>
      <c r="D1035" s="659">
        <v>0</v>
      </c>
      <c r="E1035" s="659">
        <v>0</v>
      </c>
    </row>
    <row r="1036" spans="1:5" ht="11.4" outlineLevel="1" x14ac:dyDescent="0.25">
      <c r="A1036" s="85" t="s">
        <v>4372</v>
      </c>
      <c r="B1036" s="204" t="s">
        <v>4863</v>
      </c>
      <c r="C1036" s="658">
        <f>C1034-C1035</f>
        <v>0</v>
      </c>
      <c r="D1036" s="658">
        <f>D1034-D1035</f>
        <v>0</v>
      </c>
      <c r="E1036" s="658">
        <f>E1034-E1035</f>
        <v>0</v>
      </c>
    </row>
    <row r="1037" spans="1:5" ht="11.4" outlineLevel="1" x14ac:dyDescent="0.25">
      <c r="A1037" s="85" t="s">
        <v>4373</v>
      </c>
      <c r="B1037" s="209" t="s">
        <v>4864</v>
      </c>
      <c r="C1037" s="210">
        <f>INDEX(PEF_GEST_29!$A$3:$AAA$50,MATCH($A1037,PEF_GEST_29!$A$3:$A$50,0),MATCH(C$3,PEF_GEST_29!$A$3:$AAA$3,0))</f>
        <v>0</v>
      </c>
      <c r="D1037" s="210">
        <f>INDEX(PEF_GEST_29!$A$3:$AAA$50,MATCH($A1037,PEF_GEST_29!$A$3:$A$50,0),MATCH(D$3,PEF_GEST_29!$A$3:$AAA$3,0))</f>
        <v>0</v>
      </c>
      <c r="E1037" s="210">
        <f>INDEX(PEF_GEST_29!$A$3:$AAA$50,MATCH($A1037,PEF_GEST_29!$A$3:$A$50,0),MATCH(E$3,PEF_GEST_29!$A$3:$AAA$3,0))</f>
        <v>0</v>
      </c>
    </row>
    <row r="1038" spans="1:5" ht="11.4" outlineLevel="1" x14ac:dyDescent="0.25">
      <c r="A1038" s="85" t="s">
        <v>4374</v>
      </c>
      <c r="B1038" s="657" t="s">
        <v>4865</v>
      </c>
      <c r="C1038" s="659">
        <v>0</v>
      </c>
      <c r="D1038" s="659">
        <v>0</v>
      </c>
      <c r="E1038" s="659">
        <v>0</v>
      </c>
    </row>
    <row r="1039" spans="1:5" ht="11.4" outlineLevel="1" x14ac:dyDescent="0.25">
      <c r="A1039" s="85" t="s">
        <v>4375</v>
      </c>
      <c r="B1039" s="204" t="s">
        <v>4866</v>
      </c>
      <c r="C1039" s="658">
        <f>C1037-C1038</f>
        <v>0</v>
      </c>
      <c r="D1039" s="658">
        <f>D1037-D1038</f>
        <v>0</v>
      </c>
      <c r="E1039" s="658">
        <f>E1037-E1038</f>
        <v>0</v>
      </c>
    </row>
    <row r="1040" spans="1:5" ht="11.4" outlineLevel="1" x14ac:dyDescent="0.25">
      <c r="A1040" s="85" t="s">
        <v>4376</v>
      </c>
      <c r="B1040" s="209" t="s">
        <v>4867</v>
      </c>
      <c r="C1040" s="210">
        <f t="shared" ref="C1040:E1041" si="14">C1028+C1031+C1034+C1037</f>
        <v>455055</v>
      </c>
      <c r="D1040" s="210">
        <f t="shared" si="14"/>
        <v>0</v>
      </c>
      <c r="E1040" s="210">
        <f t="shared" si="14"/>
        <v>0</v>
      </c>
    </row>
    <row r="1041" spans="1:5" ht="11.4" outlineLevel="1" x14ac:dyDescent="0.25">
      <c r="A1041" s="85" t="s">
        <v>4377</v>
      </c>
      <c r="B1041" s="660" t="s">
        <v>4868</v>
      </c>
      <c r="C1041" s="661">
        <f t="shared" si="14"/>
        <v>0</v>
      </c>
      <c r="D1041" s="661">
        <f t="shared" si="14"/>
        <v>0</v>
      </c>
      <c r="E1041" s="661">
        <f t="shared" si="14"/>
        <v>0</v>
      </c>
    </row>
    <row r="1042" spans="1:5" ht="11.4" outlineLevel="1" x14ac:dyDescent="0.25">
      <c r="A1042" s="85" t="s">
        <v>4378</v>
      </c>
      <c r="B1042" s="204" t="s">
        <v>4869</v>
      </c>
      <c r="C1042" s="658">
        <f>C1040-C1041</f>
        <v>455055</v>
      </c>
      <c r="D1042" s="658">
        <f>D1040-D1041</f>
        <v>0</v>
      </c>
      <c r="E1042" s="658">
        <f>E1040-E1041</f>
        <v>0</v>
      </c>
    </row>
    <row r="1043" spans="1:5" outlineLevel="1" x14ac:dyDescent="0.2">
      <c r="B1043" s="137"/>
      <c r="C1043" s="137"/>
      <c r="D1043" s="137"/>
      <c r="E1043" s="137"/>
    </row>
    <row r="1044" spans="1:5" ht="11.4" outlineLevel="1" x14ac:dyDescent="0.25">
      <c r="A1044" s="85" t="s">
        <v>4379</v>
      </c>
      <c r="B1044" s="209" t="s">
        <v>4870</v>
      </c>
      <c r="C1044" s="210">
        <f>INDEX(PEF_COM_29!$A$3:$AAA$50,MATCH($A1044,PEF_COM_29!$A$3:$A$50,0),MATCH(C$3,PEF_COM_29!$A$3:$AAA$3,0))</f>
        <v>0</v>
      </c>
      <c r="D1044" s="210">
        <f>INDEX(PEF_COM_29!$A$3:$AAA$50,MATCH($A1044,PEF_COM_29!$A$3:$A$50,0),MATCH(D$3,PEF_COM_29!$A$3:$AAA$3,0))</f>
        <v>0</v>
      </c>
      <c r="E1044" s="210">
        <f>INDEX(PEF_COM_29!$A$3:$AAA$50,MATCH($A1044,PEF_COM_29!$A$3:$A$50,0),MATCH(E$3,PEF_COM_29!$A$3:$AAA$3,0))</f>
        <v>0</v>
      </c>
    </row>
    <row r="1045" spans="1:5" ht="11.4" outlineLevel="1" x14ac:dyDescent="0.25">
      <c r="A1045" s="85" t="s">
        <v>4380</v>
      </c>
      <c r="B1045" s="657" t="s">
        <v>4871</v>
      </c>
      <c r="C1045" s="659">
        <v>0</v>
      </c>
      <c r="D1045" s="659">
        <v>0</v>
      </c>
      <c r="E1045" s="659">
        <v>0</v>
      </c>
    </row>
    <row r="1046" spans="1:5" ht="11.4" outlineLevel="1" x14ac:dyDescent="0.25">
      <c r="A1046" s="85" t="s">
        <v>4381</v>
      </c>
      <c r="B1046" s="204" t="s">
        <v>4872</v>
      </c>
      <c r="C1046" s="658">
        <f>C1044-C1045</f>
        <v>0</v>
      </c>
      <c r="D1046" s="658">
        <f>D1044-D1045</f>
        <v>0</v>
      </c>
      <c r="E1046" s="658">
        <f>E1044-E1045</f>
        <v>0</v>
      </c>
    </row>
    <row r="1047" spans="1:5" ht="11.4" outlineLevel="1" x14ac:dyDescent="0.25">
      <c r="A1047" s="85" t="s">
        <v>4382</v>
      </c>
      <c r="B1047" s="209" t="s">
        <v>4873</v>
      </c>
      <c r="C1047" s="210">
        <f>INDEX(PEF_COM_29!$A$3:$AAA$50,MATCH($A1047,PEF_COM_29!$A$3:$A$50,0),MATCH(C$3,PEF_COM_29!$A$3:$AAA$3,0))</f>
        <v>0</v>
      </c>
      <c r="D1047" s="210">
        <f>INDEX(PEF_COM_29!$A$3:$AAA$50,MATCH($A1047,PEF_COM_29!$A$3:$A$50,0),MATCH(D$3,PEF_COM_29!$A$3:$AAA$3,0))</f>
        <v>0</v>
      </c>
      <c r="E1047" s="210">
        <f>INDEX(PEF_COM_29!$A$3:$AAA$50,MATCH($A1047,PEF_COM_29!$A$3:$A$50,0),MATCH(E$3,PEF_COM_29!$A$3:$AAA$3,0))</f>
        <v>0</v>
      </c>
    </row>
    <row r="1048" spans="1:5" ht="11.4" outlineLevel="1" x14ac:dyDescent="0.25">
      <c r="A1048" s="85" t="s">
        <v>4383</v>
      </c>
      <c r="B1048" s="657" t="s">
        <v>4874</v>
      </c>
      <c r="C1048" s="659">
        <v>0</v>
      </c>
      <c r="D1048" s="659">
        <v>0</v>
      </c>
      <c r="E1048" s="659">
        <v>0</v>
      </c>
    </row>
    <row r="1049" spans="1:5" ht="11.4" outlineLevel="1" x14ac:dyDescent="0.25">
      <c r="A1049" s="85" t="s">
        <v>4384</v>
      </c>
      <c r="B1049" s="204" t="s">
        <v>4875</v>
      </c>
      <c r="C1049" s="658">
        <f>C1047-C1048</f>
        <v>0</v>
      </c>
      <c r="D1049" s="658">
        <f>D1047-D1048</f>
        <v>0</v>
      </c>
      <c r="E1049" s="658">
        <f>E1047-E1048</f>
        <v>0</v>
      </c>
    </row>
    <row r="1050" spans="1:5" ht="11.4" outlineLevel="1" x14ac:dyDescent="0.25">
      <c r="A1050" s="85" t="s">
        <v>4385</v>
      </c>
      <c r="B1050" s="209" t="s">
        <v>4876</v>
      </c>
      <c r="C1050" s="210">
        <f>INDEX(PEF_COM_29!$A$3:$AAA$50,MATCH($A1050,PEF_COM_29!$A$3:$A$50,0),MATCH(C$3,PEF_COM_29!$A$3:$AAA$3,0))</f>
        <v>0</v>
      </c>
      <c r="D1050" s="210">
        <f>INDEX(PEF_COM_29!$A$3:$AAA$50,MATCH($A1050,PEF_COM_29!$A$3:$A$50,0),MATCH(D$3,PEF_COM_29!$A$3:$AAA$3,0))</f>
        <v>0</v>
      </c>
      <c r="E1050" s="210">
        <f>INDEX(PEF_COM_29!$A$3:$AAA$50,MATCH($A1050,PEF_COM_29!$A$3:$A$50,0),MATCH(E$3,PEF_COM_29!$A$3:$AAA$3,0))</f>
        <v>0</v>
      </c>
    </row>
    <row r="1051" spans="1:5" ht="11.4" outlineLevel="1" x14ac:dyDescent="0.25">
      <c r="A1051" s="85" t="s">
        <v>4386</v>
      </c>
      <c r="B1051" s="657" t="s">
        <v>4877</v>
      </c>
      <c r="C1051" s="659">
        <v>0</v>
      </c>
      <c r="D1051" s="659">
        <v>0</v>
      </c>
      <c r="E1051" s="659">
        <v>0</v>
      </c>
    </row>
    <row r="1052" spans="1:5" ht="11.4" outlineLevel="1" x14ac:dyDescent="0.25">
      <c r="A1052" s="85" t="s">
        <v>4387</v>
      </c>
      <c r="B1052" s="204" t="s">
        <v>4878</v>
      </c>
      <c r="C1052" s="658">
        <f>C1050-C1051</f>
        <v>0</v>
      </c>
      <c r="D1052" s="658">
        <f>D1050-D1051</f>
        <v>0</v>
      </c>
      <c r="E1052" s="658">
        <f>E1050-E1051</f>
        <v>0</v>
      </c>
    </row>
    <row r="1053" spans="1:5" ht="11.4" outlineLevel="1" x14ac:dyDescent="0.25">
      <c r="A1053" s="85" t="s">
        <v>4388</v>
      </c>
      <c r="B1053" s="209" t="s">
        <v>4879</v>
      </c>
      <c r="C1053" s="210">
        <f>INDEX(PEF_COM_29!$A$3:$AAA$50,MATCH($A1053,PEF_COM_29!$A$3:$A$50,0),MATCH(C$3,PEF_COM_29!$A$3:$AAA$3,0))</f>
        <v>0</v>
      </c>
      <c r="D1053" s="210">
        <f>INDEX(PEF_COM_29!$A$3:$AAA$50,MATCH($A1053,PEF_COM_29!$A$3:$A$50,0),MATCH(D$3,PEF_COM_29!$A$3:$AAA$3,0))</f>
        <v>0</v>
      </c>
      <c r="E1053" s="210">
        <f>INDEX(PEF_COM_29!$A$3:$AAA$50,MATCH($A1053,PEF_COM_29!$A$3:$A$50,0),MATCH(E$3,PEF_COM_29!$A$3:$AAA$3,0))</f>
        <v>0</v>
      </c>
    </row>
    <row r="1054" spans="1:5" ht="11.4" outlineLevel="1" x14ac:dyDescent="0.25">
      <c r="A1054" s="85" t="s">
        <v>4389</v>
      </c>
      <c r="B1054" s="657" t="s">
        <v>4880</v>
      </c>
      <c r="C1054" s="659">
        <v>0</v>
      </c>
      <c r="D1054" s="659">
        <v>0</v>
      </c>
      <c r="E1054" s="659">
        <v>0</v>
      </c>
    </row>
    <row r="1055" spans="1:5" ht="11.4" outlineLevel="1" x14ac:dyDescent="0.25">
      <c r="A1055" s="85" t="s">
        <v>4390</v>
      </c>
      <c r="B1055" s="204" t="s">
        <v>4881</v>
      </c>
      <c r="C1055" s="658">
        <f>C1053-C1054</f>
        <v>0</v>
      </c>
      <c r="D1055" s="658">
        <f>D1053-D1054</f>
        <v>0</v>
      </c>
      <c r="E1055" s="658">
        <f>E1053-E1054</f>
        <v>0</v>
      </c>
    </row>
    <row r="1056" spans="1:5" ht="11.4" outlineLevel="1" x14ac:dyDescent="0.25">
      <c r="A1056" s="85" t="s">
        <v>4391</v>
      </c>
      <c r="B1056" s="209" t="s">
        <v>4882</v>
      </c>
      <c r="C1056" s="210">
        <f t="shared" ref="C1056:E1057" si="15">C1044+C1047+C1050+C1053</f>
        <v>0</v>
      </c>
      <c r="D1056" s="210">
        <f t="shared" si="15"/>
        <v>0</v>
      </c>
      <c r="E1056" s="210">
        <f t="shared" si="15"/>
        <v>0</v>
      </c>
    </row>
    <row r="1057" spans="1:5" ht="11.4" outlineLevel="1" x14ac:dyDescent="0.25">
      <c r="A1057" s="85" t="s">
        <v>4392</v>
      </c>
      <c r="B1057" s="660" t="s">
        <v>4883</v>
      </c>
      <c r="C1057" s="661">
        <f t="shared" si="15"/>
        <v>0</v>
      </c>
      <c r="D1057" s="661">
        <f t="shared" si="15"/>
        <v>0</v>
      </c>
      <c r="E1057" s="661">
        <f t="shared" si="15"/>
        <v>0</v>
      </c>
    </row>
    <row r="1058" spans="1:5" ht="11.4" outlineLevel="1" x14ac:dyDescent="0.25">
      <c r="A1058" s="85" t="s">
        <v>4393</v>
      </c>
      <c r="B1058" s="204" t="s">
        <v>4884</v>
      </c>
      <c r="C1058" s="658">
        <f>C1056-C1057</f>
        <v>0</v>
      </c>
      <c r="D1058" s="658">
        <f>D1056-D1057</f>
        <v>0</v>
      </c>
      <c r="E1058" s="658">
        <f>E1056-E1057</f>
        <v>0</v>
      </c>
    </row>
    <row r="1059" spans="1:5" outlineLevel="1" x14ac:dyDescent="0.2">
      <c r="B1059" s="137"/>
      <c r="C1059" s="137"/>
      <c r="D1059" s="137"/>
      <c r="E1059" s="137"/>
    </row>
    <row r="1060" spans="1:5" ht="11.4" outlineLevel="1" x14ac:dyDescent="0.25">
      <c r="A1060" s="85" t="s">
        <v>4394</v>
      </c>
      <c r="B1060" s="209" t="s">
        <v>4885</v>
      </c>
      <c r="C1060" s="210">
        <f>INDEX(PEF_GEST_29!$A$3:$AAA$50,MATCH($A1060,PEF_GEST_29!$A$3:$A$50,0),MATCH(C$3,PEF_GEST_29!$A$3:$AAA$3,0))</f>
        <v>492038.4513588674</v>
      </c>
      <c r="D1060" s="210">
        <f>INDEX(PEF_GEST_29!$A$3:$AAA$50,MATCH($A1060,PEF_GEST_29!$A$3:$A$50,0),MATCH(D$3,PEF_GEST_29!$A$3:$AAA$3,0))</f>
        <v>26714.304253045604</v>
      </c>
      <c r="E1060" s="210">
        <f>INDEX(PEF_GEST_29!$A$3:$AAA$50,MATCH($A1060,PEF_GEST_29!$A$3:$A$50,0),MATCH(E$3,PEF_GEST_29!$A$3:$AAA$3,0))</f>
        <v>18560.576332630921</v>
      </c>
    </row>
    <row r="1061" spans="1:5" ht="11.4" outlineLevel="1" x14ac:dyDescent="0.25">
      <c r="A1061" s="85" t="s">
        <v>4395</v>
      </c>
      <c r="B1061" s="657" t="s">
        <v>4886</v>
      </c>
      <c r="C1061" s="659">
        <v>0</v>
      </c>
      <c r="D1061" s="659">
        <v>0</v>
      </c>
      <c r="E1061" s="659">
        <v>0</v>
      </c>
    </row>
    <row r="1062" spans="1:5" ht="11.4" outlineLevel="1" x14ac:dyDescent="0.25">
      <c r="A1062" s="85" t="s">
        <v>4396</v>
      </c>
      <c r="B1062" s="204" t="s">
        <v>4887</v>
      </c>
      <c r="C1062" s="658">
        <f>C1060-C1061</f>
        <v>492038.4513588674</v>
      </c>
      <c r="D1062" s="658">
        <f>D1060-D1061</f>
        <v>26714.304253045604</v>
      </c>
      <c r="E1062" s="658">
        <f>E1060-E1061</f>
        <v>18560.576332630921</v>
      </c>
    </row>
    <row r="1063" spans="1:5" ht="11.4" outlineLevel="1" x14ac:dyDescent="0.25">
      <c r="A1063" s="85" t="s">
        <v>4397</v>
      </c>
      <c r="B1063" s="209" t="s">
        <v>4888</v>
      </c>
      <c r="C1063" s="210">
        <f>INDEX(PEF_COM_29!$A$3:$AAA$50,MATCH($A1063,PEF_COM_29!$A$3:$A$50,0),MATCH(C$3,PEF_COM_29!$A$3:$AAA$3,0))</f>
        <v>0</v>
      </c>
      <c r="D1063" s="210">
        <f>INDEX(PEF_COM_29!$A$3:$AAA$50,MATCH($A1063,PEF_COM_29!$A$3:$A$50,0),MATCH(D$3,PEF_COM_29!$A$3:$AAA$3,0))</f>
        <v>0</v>
      </c>
      <c r="E1063" s="210">
        <f>INDEX(PEF_COM_29!$A$3:$AAA$50,MATCH($A1063,PEF_COM_29!$A$3:$A$50,0),MATCH(E$3,PEF_COM_29!$A$3:$AAA$3,0))</f>
        <v>25558.809951240684</v>
      </c>
    </row>
    <row r="1064" spans="1:5" ht="11.4" outlineLevel="1" x14ac:dyDescent="0.25">
      <c r="A1064" s="85" t="s">
        <v>4398</v>
      </c>
      <c r="B1064" s="657" t="s">
        <v>4889</v>
      </c>
      <c r="C1064" s="659">
        <v>0</v>
      </c>
      <c r="D1064" s="659">
        <v>0</v>
      </c>
      <c r="E1064" s="659">
        <v>0</v>
      </c>
    </row>
    <row r="1065" spans="1:5" ht="11.4" outlineLevel="1" x14ac:dyDescent="0.25">
      <c r="A1065" s="85" t="s">
        <v>4399</v>
      </c>
      <c r="B1065" s="204" t="s">
        <v>4890</v>
      </c>
      <c r="C1065" s="658">
        <f>C1063-C1064</f>
        <v>0</v>
      </c>
      <c r="D1065" s="658">
        <f>D1063-D1064</f>
        <v>0</v>
      </c>
      <c r="E1065" s="658">
        <f>E1063-E1064</f>
        <v>25558.809951240684</v>
      </c>
    </row>
    <row r="1066" spans="1:5" outlineLevel="1" x14ac:dyDescent="0.2">
      <c r="B1066" s="137"/>
      <c r="C1066" s="662"/>
      <c r="D1066" s="662"/>
      <c r="E1066" s="662"/>
    </row>
    <row r="1067" spans="1:5" ht="11.4" outlineLevel="1" x14ac:dyDescent="0.25">
      <c r="A1067" s="85" t="s">
        <v>4400</v>
      </c>
      <c r="B1067" s="209" t="s">
        <v>4891</v>
      </c>
      <c r="C1067" s="210">
        <f>INDEX(PEF_GEST_29!$A$3:$AAA$50,MATCH($A1067,PEF_GEST_29!$A$3:$A$50,0),MATCH(C$3,PEF_GEST_29!$A$3:$AAA$3,0))</f>
        <v>0</v>
      </c>
      <c r="D1067" s="210">
        <f>INDEX(PEF_GEST_29!$A$3:$AAA$50,MATCH($A1067,PEF_GEST_29!$A$3:$A$50,0),MATCH(D$3,PEF_GEST_29!$A$3:$AAA$3,0))</f>
        <v>0</v>
      </c>
      <c r="E1067" s="210">
        <f>INDEX(PEF_GEST_29!$A$3:$AAA$50,MATCH($A1067,PEF_GEST_29!$A$3:$A$50,0),MATCH(E$3,PEF_GEST_29!$A$3:$AAA$3,0))</f>
        <v>0</v>
      </c>
    </row>
    <row r="1068" spans="1:5" ht="11.4" outlineLevel="1" x14ac:dyDescent="0.25">
      <c r="A1068" s="85" t="s">
        <v>4401</v>
      </c>
      <c r="B1068" s="657" t="s">
        <v>4892</v>
      </c>
      <c r="C1068" s="659">
        <v>0</v>
      </c>
      <c r="D1068" s="659">
        <v>0</v>
      </c>
      <c r="E1068" s="659">
        <v>0</v>
      </c>
    </row>
    <row r="1069" spans="1:5" ht="11.4" outlineLevel="1" x14ac:dyDescent="0.25">
      <c r="A1069" s="85" t="s">
        <v>4402</v>
      </c>
      <c r="B1069" s="204" t="s">
        <v>4893</v>
      </c>
      <c r="C1069" s="658">
        <f>C1067-C1068</f>
        <v>0</v>
      </c>
      <c r="D1069" s="658">
        <f>D1067-D1068</f>
        <v>0</v>
      </c>
      <c r="E1069" s="658">
        <f>E1067-E1068</f>
        <v>0</v>
      </c>
    </row>
    <row r="1070" spans="1:5" ht="11.4" outlineLevel="1" x14ac:dyDescent="0.25">
      <c r="A1070" s="85" t="s">
        <v>4403</v>
      </c>
      <c r="B1070" s="209" t="s">
        <v>4894</v>
      </c>
      <c r="C1070" s="210">
        <f>INDEX(PEF_COM_29!$A$3:$AAA$50,MATCH($A1070,PEF_COM_29!$A$3:$A$50,0),MATCH(C$3,PEF_COM_29!$A$3:$AAA$3,0))</f>
        <v>0</v>
      </c>
      <c r="D1070" s="210">
        <f>INDEX(PEF_COM_29!$A$3:$AAA$50,MATCH($A1070,PEF_COM_29!$A$3:$A$50,0),MATCH(D$3,PEF_COM_29!$A$3:$AAA$3,0))</f>
        <v>0</v>
      </c>
      <c r="E1070" s="210">
        <f>INDEX(PEF_COM_29!$A$3:$AAA$50,MATCH($A1070,PEF_COM_29!$A$3:$A$50,0),MATCH(E$3,PEF_COM_29!$A$3:$AAA$3,0))</f>
        <v>0</v>
      </c>
    </row>
    <row r="1071" spans="1:5" ht="11.4" outlineLevel="1" x14ac:dyDescent="0.25">
      <c r="A1071" s="85" t="s">
        <v>4404</v>
      </c>
      <c r="B1071" s="657" t="s">
        <v>4895</v>
      </c>
      <c r="C1071" s="659">
        <v>0</v>
      </c>
      <c r="D1071" s="659">
        <v>0</v>
      </c>
      <c r="E1071" s="659">
        <v>0</v>
      </c>
    </row>
    <row r="1072" spans="1:5" ht="11.4" outlineLevel="1" x14ac:dyDescent="0.25">
      <c r="A1072" s="85" t="s">
        <v>4405</v>
      </c>
      <c r="B1072" s="204" t="s">
        <v>4896</v>
      </c>
      <c r="C1072" s="658">
        <f>C1070-C1071</f>
        <v>0</v>
      </c>
      <c r="D1072" s="658">
        <f>D1070-D1071</f>
        <v>0</v>
      </c>
      <c r="E1072" s="658">
        <f>E1070-E1071</f>
        <v>0</v>
      </c>
    </row>
    <row r="1073" spans="1:5" outlineLevel="1" x14ac:dyDescent="0.2">
      <c r="B1073" s="137"/>
      <c r="C1073" s="137"/>
      <c r="D1073" s="137"/>
      <c r="E1073" s="137"/>
    </row>
    <row r="1074" spans="1:5" ht="11.4" outlineLevel="1" x14ac:dyDescent="0.25">
      <c r="A1074" s="85" t="s">
        <v>4406</v>
      </c>
      <c r="B1074" s="209" t="s">
        <v>4897</v>
      </c>
      <c r="C1074" s="210">
        <f>INDEX(PEF_GEST_29!$A$3:$AAA$50,MATCH($A1074,PEF_GEST_29!$A$3:$A$50,0),MATCH(C$3,PEF_GEST_29!$A$3:$AAA$3,0))</f>
        <v>0</v>
      </c>
      <c r="D1074" s="210">
        <f>INDEX(PEF_GEST_29!$A$3:$AAA$50,MATCH($A1074,PEF_GEST_29!$A$3:$A$50,0),MATCH(D$3,PEF_GEST_29!$A$3:$AAA$3,0))</f>
        <v>0</v>
      </c>
      <c r="E1074" s="210">
        <f>INDEX(PEF_GEST_29!$A$3:$AAA$50,MATCH($A1074,PEF_GEST_29!$A$3:$A$50,0),MATCH(E$3,PEF_GEST_29!$A$3:$AAA$3,0))</f>
        <v>0</v>
      </c>
    </row>
    <row r="1075" spans="1:5" ht="11.4" outlineLevel="1" x14ac:dyDescent="0.25">
      <c r="A1075" s="85" t="s">
        <v>4407</v>
      </c>
      <c r="B1075" s="657" t="s">
        <v>4898</v>
      </c>
      <c r="C1075" s="659">
        <v>0</v>
      </c>
      <c r="D1075" s="659">
        <v>0</v>
      </c>
      <c r="E1075" s="659">
        <v>0</v>
      </c>
    </row>
    <row r="1076" spans="1:5" ht="11.4" outlineLevel="1" x14ac:dyDescent="0.25">
      <c r="A1076" s="85" t="s">
        <v>4408</v>
      </c>
      <c r="B1076" s="204" t="s">
        <v>4899</v>
      </c>
      <c r="C1076" s="658">
        <f>C1074-C1075</f>
        <v>0</v>
      </c>
      <c r="D1076" s="658">
        <f>D1074-D1075</f>
        <v>0</v>
      </c>
      <c r="E1076" s="658">
        <f>E1074-E1075</f>
        <v>0</v>
      </c>
    </row>
    <row r="1077" spans="1:5" ht="11.4" outlineLevel="1" x14ac:dyDescent="0.25">
      <c r="A1077" s="85" t="s">
        <v>4409</v>
      </c>
      <c r="B1077" s="209" t="s">
        <v>4900</v>
      </c>
      <c r="C1077" s="210">
        <f>INDEX(PEF_COM_29!$A$3:$AAA$50,MATCH($A1077,PEF_COM_29!$A$3:$A$50,0),MATCH(C$3,PEF_COM_29!$A$3:$AAA$3,0))</f>
        <v>0</v>
      </c>
      <c r="D1077" s="210">
        <f>INDEX(PEF_COM_29!$A$3:$AAA$50,MATCH($A1077,PEF_COM_29!$A$3:$A$50,0),MATCH(D$3,PEF_COM_29!$A$3:$AAA$3,0))</f>
        <v>0</v>
      </c>
      <c r="E1077" s="210">
        <f>INDEX(PEF_COM_29!$A$3:$AAA$50,MATCH($A1077,PEF_COM_29!$A$3:$A$50,0),MATCH(E$3,PEF_COM_29!$A$3:$AAA$3,0))</f>
        <v>0</v>
      </c>
    </row>
    <row r="1078" spans="1:5" ht="11.4" outlineLevel="1" x14ac:dyDescent="0.25">
      <c r="A1078" s="85" t="s">
        <v>4410</v>
      </c>
      <c r="B1078" s="657" t="s">
        <v>4901</v>
      </c>
      <c r="C1078" s="659">
        <v>0</v>
      </c>
      <c r="D1078" s="659">
        <v>0</v>
      </c>
      <c r="E1078" s="659">
        <v>0</v>
      </c>
    </row>
    <row r="1079" spans="1:5" ht="11.4" outlineLevel="1" x14ac:dyDescent="0.25">
      <c r="A1079" s="85" t="s">
        <v>4411</v>
      </c>
      <c r="B1079" s="204" t="s">
        <v>4902</v>
      </c>
      <c r="C1079" s="658">
        <f>C1077-C1078</f>
        <v>0</v>
      </c>
      <c r="D1079" s="658">
        <f>D1077-D1078</f>
        <v>0</v>
      </c>
      <c r="E1079" s="658">
        <f>E1077-E1078</f>
        <v>0</v>
      </c>
    </row>
    <row r="1080" spans="1:5" outlineLevel="1" x14ac:dyDescent="0.2">
      <c r="B1080" s="137"/>
      <c r="C1080" s="137"/>
      <c r="D1080" s="137"/>
      <c r="E1080" s="137"/>
    </row>
    <row r="1081" spans="1:5" ht="11.4" outlineLevel="1" x14ac:dyDescent="0.25">
      <c r="A1081" s="85" t="s">
        <v>2440</v>
      </c>
      <c r="B1081" s="209" t="s">
        <v>4903</v>
      </c>
      <c r="C1081" s="210">
        <f>INDEX('IN_RC-T'!$A$3:$AAA$865,MATCH($A1081,'IN_RC-T'!$A$3:$A$865,0),MATCH(C$3,'IN_RC-T'!$A$3:$AAA$3,0))</f>
        <v>0</v>
      </c>
      <c r="D1081" s="210">
        <f>INDEX('IN_RC-T'!$A$3:$AAA$865,MATCH($A1081,'IN_RC-T'!$A$3:$A$865,0),MATCH(D$3,'IN_RC-T'!$A$3:$AAA$3,0))</f>
        <v>0</v>
      </c>
      <c r="E1081" s="210">
        <f>INDEX('IN_RC-T'!$A$3:$AAA$865,MATCH($A1081,'IN_RC-T'!$A$3:$A$865,0),MATCH(E$3,'IN_RC-T'!$A$3:$AAA$3,0))</f>
        <v>0</v>
      </c>
    </row>
    <row r="1082" spans="1:5" ht="11.4" outlineLevel="1" x14ac:dyDescent="0.25">
      <c r="A1082" s="85" t="s">
        <v>4412</v>
      </c>
      <c r="B1082" s="657" t="s">
        <v>4904</v>
      </c>
      <c r="C1082" s="659">
        <v>0</v>
      </c>
      <c r="D1082" s="659">
        <v>0</v>
      </c>
      <c r="E1082" s="659">
        <v>0</v>
      </c>
    </row>
    <row r="1083" spans="1:5" ht="11.4" outlineLevel="1" x14ac:dyDescent="0.25">
      <c r="A1083" s="85" t="s">
        <v>4413</v>
      </c>
      <c r="B1083" s="204" t="s">
        <v>4905</v>
      </c>
      <c r="C1083" s="658">
        <f>C1081-C1082</f>
        <v>0</v>
      </c>
      <c r="D1083" s="658">
        <f>D1081-D1082</f>
        <v>0</v>
      </c>
      <c r="E1083" s="658">
        <f>E1081-E1082</f>
        <v>0</v>
      </c>
    </row>
    <row r="1084" spans="1:5" ht="12" outlineLevel="1" x14ac:dyDescent="0.25">
      <c r="A1084" s="85" t="s">
        <v>2527</v>
      </c>
      <c r="B1084" s="209" t="s">
        <v>4906</v>
      </c>
      <c r="C1084" s="210">
        <f>INDEX('IN_RC-T'!$A$3:$AAA$865,MATCH($A1084,'IN_RC-T'!$A$3:$A$865,0),MATCH(C$3,'IN_RC-T'!$A$3:$AAA$3,0))</f>
        <v>0</v>
      </c>
      <c r="D1084" s="210">
        <f>INDEX('IN_RC-T'!$A$3:$AAA$865,MATCH($A1084,'IN_RC-T'!$A$3:$A$865,0),MATCH(D$3,'IN_RC-T'!$A$3:$AAA$3,0))</f>
        <v>0</v>
      </c>
      <c r="E1084" s="210">
        <f>INDEX('IN_RC-T'!$A$3:$AAA$865,MATCH($A1084,'IN_RC-T'!$A$3:$A$865,0),MATCH(E$3,'IN_RC-T'!$A$3:$AAA$3,0))</f>
        <v>0</v>
      </c>
    </row>
    <row r="1085" spans="1:5" ht="12" outlineLevel="1" x14ac:dyDescent="0.25">
      <c r="A1085" s="85" t="s">
        <v>4414</v>
      </c>
      <c r="B1085" s="657" t="s">
        <v>4907</v>
      </c>
      <c r="C1085" s="659">
        <v>0</v>
      </c>
      <c r="D1085" s="659">
        <v>0</v>
      </c>
      <c r="E1085" s="659">
        <v>0</v>
      </c>
    </row>
    <row r="1086" spans="1:5" ht="12" outlineLevel="1" x14ac:dyDescent="0.25">
      <c r="A1086" s="85" t="s">
        <v>4415</v>
      </c>
      <c r="B1086" s="204" t="s">
        <v>4908</v>
      </c>
      <c r="C1086" s="658">
        <f>C1084-C1085</f>
        <v>0</v>
      </c>
      <c r="D1086" s="658">
        <f>D1084-D1085</f>
        <v>0</v>
      </c>
      <c r="E1086" s="658">
        <f>E1084-E1085</f>
        <v>0</v>
      </c>
    </row>
    <row r="1087" spans="1:5" ht="12" outlineLevel="1" x14ac:dyDescent="0.25">
      <c r="A1087" s="85" t="s">
        <v>2563</v>
      </c>
      <c r="B1087" s="209" t="s">
        <v>4909</v>
      </c>
      <c r="C1087" s="210">
        <f>INDEX('IN_RC-T'!$A$3:$AAA$865,MATCH($A1087,'IN_RC-T'!$A$3:$A$865,0),MATCH(C$3,'IN_RC-T'!$A$3:$AAA$3,0))</f>
        <v>0</v>
      </c>
      <c r="D1087" s="210">
        <f>INDEX('IN_RC-T'!$A$3:$AAA$865,MATCH($A1087,'IN_RC-T'!$A$3:$A$865,0),MATCH(D$3,'IN_RC-T'!$A$3:$AAA$3,0))</f>
        <v>0</v>
      </c>
      <c r="E1087" s="210">
        <f>INDEX('IN_RC-T'!$A$3:$AAA$865,MATCH($A1087,'IN_RC-T'!$A$3:$A$865,0),MATCH(E$3,'IN_RC-T'!$A$3:$AAA$3,0))</f>
        <v>0</v>
      </c>
    </row>
    <row r="1088" spans="1:5" ht="12" outlineLevel="1" x14ac:dyDescent="0.25">
      <c r="A1088" s="85" t="s">
        <v>4416</v>
      </c>
      <c r="B1088" s="664" t="s">
        <v>4910</v>
      </c>
      <c r="C1088" s="655">
        <v>0</v>
      </c>
      <c r="D1088" s="655">
        <v>0</v>
      </c>
      <c r="E1088" s="655">
        <v>0</v>
      </c>
    </row>
    <row r="1089" spans="1:5" ht="12" outlineLevel="1" x14ac:dyDescent="0.25">
      <c r="A1089" s="85" t="s">
        <v>4417</v>
      </c>
      <c r="B1089" s="204" t="s">
        <v>4911</v>
      </c>
      <c r="C1089" s="658">
        <f>C1087-C1088</f>
        <v>0</v>
      </c>
      <c r="D1089" s="658">
        <f>D1087-D1088</f>
        <v>0</v>
      </c>
      <c r="E1089" s="658">
        <f>E1087-E1088</f>
        <v>0</v>
      </c>
    </row>
    <row r="1090" spans="1:5" ht="12" outlineLevel="1" x14ac:dyDescent="0.25">
      <c r="A1090" s="85" t="s">
        <v>2618</v>
      </c>
      <c r="B1090" s="209" t="s">
        <v>4912</v>
      </c>
      <c r="C1090" s="210">
        <f>INDEX('IN_RC-T'!$A$3:$AAA$865,MATCH($A1090,'IN_RC-T'!$A$3:$A$865,0),MATCH(C$3,'IN_RC-T'!$A$3:$AAA$3,0))</f>
        <v>0</v>
      </c>
      <c r="D1090" s="210">
        <f>INDEX('IN_RC-T'!$A$3:$AAA$865,MATCH($A1090,'IN_RC-T'!$A$3:$A$865,0),MATCH(D$3,'IN_RC-T'!$A$3:$AAA$3,0))</f>
        <v>0</v>
      </c>
      <c r="E1090" s="210">
        <f>INDEX('IN_RC-T'!$A$3:$AAA$865,MATCH($A1090,'IN_RC-T'!$A$3:$A$865,0),MATCH(E$3,'IN_RC-T'!$A$3:$AAA$3,0))</f>
        <v>0</v>
      </c>
    </row>
    <row r="1091" spans="1:5" ht="12" outlineLevel="1" x14ac:dyDescent="0.25">
      <c r="A1091" s="85" t="s">
        <v>4418</v>
      </c>
      <c r="B1091" s="664" t="s">
        <v>4913</v>
      </c>
      <c r="C1091" s="655">
        <v>0</v>
      </c>
      <c r="D1091" s="655">
        <v>0</v>
      </c>
      <c r="E1091" s="655">
        <v>0</v>
      </c>
    </row>
    <row r="1092" spans="1:5" ht="12" outlineLevel="1" x14ac:dyDescent="0.25">
      <c r="A1092" s="85" t="s">
        <v>4419</v>
      </c>
      <c r="B1092" s="204" t="s">
        <v>4914</v>
      </c>
      <c r="C1092" s="658">
        <f>C1090-C1091</f>
        <v>0</v>
      </c>
      <c r="D1092" s="658">
        <f>D1090-D1091</f>
        <v>0</v>
      </c>
      <c r="E1092" s="658">
        <f>E1090-E1091</f>
        <v>0</v>
      </c>
    </row>
    <row r="1093" spans="1:5" ht="12" outlineLevel="1" x14ac:dyDescent="0.25">
      <c r="A1093" s="85" t="s">
        <v>2672</v>
      </c>
      <c r="B1093" s="209" t="s">
        <v>4915</v>
      </c>
      <c r="C1093" s="210">
        <f>INDEX('IN_RC-T'!$A$3:$AAA$865,MATCH($A1093,'IN_RC-T'!$A$3:$A$865,0),MATCH(C$3,'IN_RC-T'!$A$3:$AAA$3,0))</f>
        <v>0</v>
      </c>
      <c r="D1093" s="210">
        <f>INDEX('IN_RC-T'!$A$3:$AAA$865,MATCH($A1093,'IN_RC-T'!$A$3:$A$865,0),MATCH(D$3,'IN_RC-T'!$A$3:$AAA$3,0))</f>
        <v>0</v>
      </c>
      <c r="E1093" s="210">
        <f>INDEX('IN_RC-T'!$A$3:$AAA$865,MATCH($A1093,'IN_RC-T'!$A$3:$A$865,0),MATCH(E$3,'IN_RC-T'!$A$3:$AAA$3,0))</f>
        <v>0</v>
      </c>
    </row>
    <row r="1094" spans="1:5" ht="12" outlineLevel="1" x14ac:dyDescent="0.25">
      <c r="A1094" s="85" t="s">
        <v>4420</v>
      </c>
      <c r="B1094" s="664" t="s">
        <v>4916</v>
      </c>
      <c r="C1094" s="655">
        <v>0</v>
      </c>
      <c r="D1094" s="655">
        <v>0</v>
      </c>
      <c r="E1094" s="655">
        <v>0</v>
      </c>
    </row>
    <row r="1095" spans="1:5" ht="12" outlineLevel="1" x14ac:dyDescent="0.25">
      <c r="A1095" s="85" t="s">
        <v>4421</v>
      </c>
      <c r="B1095" s="204" t="s">
        <v>4917</v>
      </c>
      <c r="C1095" s="658">
        <f>C1093-C1094</f>
        <v>0</v>
      </c>
      <c r="D1095" s="658">
        <f>D1093-D1094</f>
        <v>0</v>
      </c>
      <c r="E1095" s="658">
        <f>E1093-E1094</f>
        <v>0</v>
      </c>
    </row>
    <row r="1096" spans="1:5" ht="12" outlineLevel="1" x14ac:dyDescent="0.25">
      <c r="A1096" s="85" t="s">
        <v>2761</v>
      </c>
      <c r="B1096" s="209" t="s">
        <v>4918</v>
      </c>
      <c r="C1096" s="210">
        <f>INDEX('IN_RC-T'!$A$3:$AAA$865,MATCH($A1096,'IN_RC-T'!$A$3:$A$865,0),MATCH(C$3,'IN_RC-T'!$A$3:$AAA$3,0))</f>
        <v>0</v>
      </c>
      <c r="D1096" s="210">
        <f>INDEX('IN_RC-T'!$A$3:$AAA$865,MATCH($A1096,'IN_RC-T'!$A$3:$A$865,0),MATCH(D$3,'IN_RC-T'!$A$3:$AAA$3,0))</f>
        <v>0</v>
      </c>
      <c r="E1096" s="210">
        <f>INDEX('IN_RC-T'!$A$3:$AAA$865,MATCH($A1096,'IN_RC-T'!$A$3:$A$865,0),MATCH(E$3,'IN_RC-T'!$A$3:$AAA$3,0))</f>
        <v>0</v>
      </c>
    </row>
    <row r="1097" spans="1:5" ht="12" outlineLevel="1" x14ac:dyDescent="0.25">
      <c r="A1097" s="85" t="s">
        <v>4422</v>
      </c>
      <c r="B1097" s="657" t="s">
        <v>4919</v>
      </c>
      <c r="C1097" s="659">
        <v>0</v>
      </c>
      <c r="D1097" s="659">
        <v>0</v>
      </c>
      <c r="E1097" s="659">
        <v>0</v>
      </c>
    </row>
    <row r="1098" spans="1:5" ht="12" outlineLevel="1" x14ac:dyDescent="0.25">
      <c r="A1098" s="85" t="s">
        <v>4423</v>
      </c>
      <c r="B1098" s="204" t="s">
        <v>4920</v>
      </c>
      <c r="C1098" s="658">
        <f>C1096-C1097</f>
        <v>0</v>
      </c>
      <c r="D1098" s="658">
        <f>D1096-D1097</f>
        <v>0</v>
      </c>
      <c r="E1098" s="658">
        <f>E1096-E1097</f>
        <v>0</v>
      </c>
    </row>
    <row r="1099" spans="1:5" ht="11.4" outlineLevel="1" x14ac:dyDescent="0.25">
      <c r="A1099" s="85" t="s">
        <v>2834</v>
      </c>
      <c r="B1099" s="209" t="s">
        <v>4921</v>
      </c>
      <c r="C1099" s="210">
        <f>INDEX('IN_RC-T'!$A$3:$AAA$865,MATCH($A1099,'IN_RC-T'!$A$3:$A$865,0),MATCH(C$3,'IN_RC-T'!$A$3:$AAA$3,0))</f>
        <v>0</v>
      </c>
      <c r="D1099" s="210">
        <f>INDEX('IN_RC-T'!$A$3:$AAA$865,MATCH($A1099,'IN_RC-T'!$A$3:$A$865,0),MATCH(D$3,'IN_RC-T'!$A$3:$AAA$3,0))</f>
        <v>0</v>
      </c>
      <c r="E1099" s="210">
        <f>INDEX('IN_RC-T'!$A$3:$AAA$865,MATCH($A1099,'IN_RC-T'!$A$3:$A$865,0),MATCH(E$3,'IN_RC-T'!$A$3:$AAA$3,0))</f>
        <v>0</v>
      </c>
    </row>
    <row r="1100" spans="1:5" ht="12" outlineLevel="1" x14ac:dyDescent="0.25">
      <c r="A1100" s="85" t="s">
        <v>4424</v>
      </c>
      <c r="B1100" s="664" t="s">
        <v>4922</v>
      </c>
      <c r="C1100" s="655">
        <v>0</v>
      </c>
      <c r="D1100" s="655">
        <v>0</v>
      </c>
      <c r="E1100" s="655">
        <v>0</v>
      </c>
    </row>
    <row r="1101" spans="1:5" ht="12" outlineLevel="1" x14ac:dyDescent="0.25">
      <c r="A1101" s="85" t="s">
        <v>4425</v>
      </c>
      <c r="B1101" s="204" t="s">
        <v>4923</v>
      </c>
      <c r="C1101" s="658">
        <f>C1099-C1100</f>
        <v>0</v>
      </c>
      <c r="D1101" s="658">
        <f>D1099-D1100</f>
        <v>0</v>
      </c>
      <c r="E1101" s="658">
        <f>E1099-E1100</f>
        <v>0</v>
      </c>
    </row>
    <row r="1102" spans="1:5" ht="11.4" outlineLevel="1" x14ac:dyDescent="0.25">
      <c r="A1102" s="85" t="s">
        <v>2889</v>
      </c>
      <c r="B1102" s="209" t="s">
        <v>4924</v>
      </c>
      <c r="C1102" s="210">
        <f>INDEX('IN_RC-T'!$A$3:$AAA$865,MATCH($A1102,'IN_RC-T'!$A$3:$A$865,0),MATCH(C$3,'IN_RC-T'!$A$3:$AAA$3,0))</f>
        <v>0</v>
      </c>
      <c r="D1102" s="210">
        <f>INDEX('IN_RC-T'!$A$3:$AAA$865,MATCH($A1102,'IN_RC-T'!$A$3:$A$865,0),MATCH(D$3,'IN_RC-T'!$A$3:$AAA$3,0))</f>
        <v>0</v>
      </c>
      <c r="E1102" s="210">
        <f>INDEX('IN_RC-T'!$A$3:$AAA$865,MATCH($A1102,'IN_RC-T'!$A$3:$A$865,0),MATCH(E$3,'IN_RC-T'!$A$3:$AAA$3,0))</f>
        <v>0</v>
      </c>
    </row>
    <row r="1103" spans="1:5" ht="12" outlineLevel="1" x14ac:dyDescent="0.25">
      <c r="A1103" s="85" t="s">
        <v>4456</v>
      </c>
      <c r="B1103" s="664" t="s">
        <v>4925</v>
      </c>
      <c r="C1103" s="655">
        <v>0</v>
      </c>
      <c r="D1103" s="655">
        <v>0</v>
      </c>
      <c r="E1103" s="655">
        <v>0</v>
      </c>
    </row>
    <row r="1104" spans="1:5" ht="12" outlineLevel="1" x14ac:dyDescent="0.25">
      <c r="A1104" s="85" t="s">
        <v>4457</v>
      </c>
      <c r="B1104" s="204" t="s">
        <v>4926</v>
      </c>
      <c r="C1104" s="658">
        <f>C1102-C1103</f>
        <v>0</v>
      </c>
      <c r="D1104" s="658">
        <f>D1102-D1103</f>
        <v>0</v>
      </c>
      <c r="E1104" s="658">
        <f>E1102-E1103</f>
        <v>0</v>
      </c>
    </row>
    <row r="1105" spans="1:5" ht="12" outlineLevel="1" x14ac:dyDescent="0.25">
      <c r="A1105" s="85" t="s">
        <v>3019</v>
      </c>
      <c r="B1105" s="209" t="s">
        <v>4927</v>
      </c>
      <c r="C1105" s="210">
        <f>INDEX('IN_RC-T'!$A$3:$AAA$865,MATCH($A1105,'IN_RC-T'!$A$3:$A$865,0),MATCH(C$3,'IN_RC-T'!$A$3:$AAA$3,0))</f>
        <v>0</v>
      </c>
      <c r="D1105" s="210">
        <f>INDEX('IN_RC-T'!$A$3:$AAA$865,MATCH($A1105,'IN_RC-T'!$A$3:$A$865,0),MATCH(D$3,'IN_RC-T'!$A$3:$AAA$3,0))</f>
        <v>0</v>
      </c>
      <c r="E1105" s="210">
        <f>INDEX('IN_RC-T'!$A$3:$AAA$865,MATCH($A1105,'IN_RC-T'!$A$3:$A$865,0),MATCH(E$3,'IN_RC-T'!$A$3:$AAA$3,0))</f>
        <v>0</v>
      </c>
    </row>
    <row r="1106" spans="1:5" ht="12" outlineLevel="1" x14ac:dyDescent="0.25">
      <c r="A1106" s="85" t="s">
        <v>4426</v>
      </c>
      <c r="B1106" s="657" t="s">
        <v>4928</v>
      </c>
      <c r="C1106" s="659">
        <v>0</v>
      </c>
      <c r="D1106" s="659">
        <v>0</v>
      </c>
      <c r="E1106" s="659">
        <v>0</v>
      </c>
    </row>
    <row r="1107" spans="1:5" ht="12" outlineLevel="1" x14ac:dyDescent="0.25">
      <c r="A1107" s="85" t="s">
        <v>4427</v>
      </c>
      <c r="B1107" s="204" t="s">
        <v>4929</v>
      </c>
      <c r="C1107" s="658">
        <f>C1105-C1106</f>
        <v>0</v>
      </c>
      <c r="D1107" s="658">
        <f>D1105-D1106</f>
        <v>0</v>
      </c>
      <c r="E1107" s="658">
        <f>E1105-E1106</f>
        <v>0</v>
      </c>
    </row>
    <row r="1108" spans="1:5" ht="11.4" outlineLevel="1" x14ac:dyDescent="0.25">
      <c r="A1108" s="85" t="s">
        <v>6807</v>
      </c>
      <c r="B1108" s="209" t="s">
        <v>4930</v>
      </c>
      <c r="C1108" s="210">
        <f>INDEX('IN_RC-T'!$A$3:$AAA$865,MATCH($A1108,'IN_RC-T'!$A$3:$A$865,0),MATCH(C$3,'IN_RC-T'!$A$3:$AAA$3,0))</f>
        <v>0</v>
      </c>
      <c r="D1108" s="210">
        <f>INDEX('IN_RC-T'!$A$3:$AAA$865,MATCH($A1108,'IN_RC-T'!$A$3:$A$865,0),MATCH(D$3,'IN_RC-T'!$A$3:$AAA$3,0))</f>
        <v>0</v>
      </c>
      <c r="E1108" s="210">
        <f>INDEX('IN_RC-T'!$A$3:$AAA$865,MATCH($A1108,'IN_RC-T'!$A$3:$A$865,0),MATCH(E$3,'IN_RC-T'!$A$3:$AAA$3,0))</f>
        <v>0</v>
      </c>
    </row>
    <row r="1109" spans="1:5" ht="11.4" outlineLevel="1" x14ac:dyDescent="0.25">
      <c r="A1109" s="85" t="s">
        <v>6967</v>
      </c>
      <c r="B1109" s="657" t="s">
        <v>4931</v>
      </c>
      <c r="C1109" s="659">
        <v>0</v>
      </c>
      <c r="D1109" s="659">
        <v>0</v>
      </c>
      <c r="E1109" s="659">
        <v>0</v>
      </c>
    </row>
    <row r="1110" spans="1:5" ht="11.4" outlineLevel="1" x14ac:dyDescent="0.25">
      <c r="A1110" s="85" t="s">
        <v>6944</v>
      </c>
      <c r="B1110" s="204" t="s">
        <v>4932</v>
      </c>
      <c r="C1110" s="658">
        <f>C1108-C1109</f>
        <v>0</v>
      </c>
      <c r="D1110" s="658">
        <f>D1108-D1109</f>
        <v>0</v>
      </c>
      <c r="E1110" s="658">
        <f>E1108-E1109</f>
        <v>0</v>
      </c>
    </row>
    <row r="1111" spans="1:5" ht="11.4" outlineLevel="1" x14ac:dyDescent="0.25">
      <c r="A1111" s="85" t="s">
        <v>3049</v>
      </c>
      <c r="B1111" s="209" t="s">
        <v>3106</v>
      </c>
      <c r="C1111" s="210">
        <f>INDEX('IN_RC-T'!$A$3:$AAA$865,MATCH($A1111,'IN_RC-T'!$A$3:$A$865,0),MATCH(C$3,'IN_RC-T'!$A$3:$AAA$3,0))</f>
        <v>0</v>
      </c>
      <c r="D1111" s="210">
        <f>INDEX('IN_RC-T'!$A$3:$AAA$865,MATCH($A1111,'IN_RC-T'!$A$3:$A$865,0),MATCH(D$3,'IN_RC-T'!$A$3:$AAA$3,0))</f>
        <v>0</v>
      </c>
      <c r="E1111" s="210">
        <f>INDEX('IN_RC-T'!$A$3:$AAA$865,MATCH($A1111,'IN_RC-T'!$A$3:$A$865,0),MATCH(E$3,'IN_RC-T'!$A$3:$AAA$3,0))</f>
        <v>0</v>
      </c>
    </row>
    <row r="1112" spans="1:5" ht="11.4" outlineLevel="1" x14ac:dyDescent="0.25">
      <c r="A1112" s="85" t="s">
        <v>4428</v>
      </c>
      <c r="B1112" s="660" t="s">
        <v>4933</v>
      </c>
      <c r="C1112" s="661">
        <f>C1082+C1085+C1088+C1091+C1094+C1097+C1100+C1103+C1106+C1109</f>
        <v>0</v>
      </c>
      <c r="D1112" s="661">
        <f>D1082+D1085+D1088+D1091+D1094+D1097+D1100+D1103+D1106+D1109</f>
        <v>0</v>
      </c>
      <c r="E1112" s="661">
        <f>E1082+E1085+E1088+E1091+E1094+E1097+E1100+E1103+E1106+E1109</f>
        <v>0</v>
      </c>
    </row>
    <row r="1113" spans="1:5" ht="11.4" outlineLevel="1" x14ac:dyDescent="0.25">
      <c r="A1113" s="85" t="s">
        <v>4429</v>
      </c>
      <c r="B1113" s="204" t="s">
        <v>4934</v>
      </c>
      <c r="C1113" s="658">
        <f>C1111-C1112</f>
        <v>0</v>
      </c>
      <c r="D1113" s="658">
        <f>D1111-D1112</f>
        <v>0</v>
      </c>
      <c r="E1113" s="658">
        <f>E1111-E1112</f>
        <v>0</v>
      </c>
    </row>
    <row r="1114" spans="1:5" outlineLevel="1" x14ac:dyDescent="0.2">
      <c r="B1114" s="137"/>
      <c r="C1114" s="137"/>
      <c r="D1114" s="137"/>
      <c r="E1114" s="137"/>
    </row>
    <row r="1115" spans="1:5" ht="11.4" outlineLevel="1" x14ac:dyDescent="0.25">
      <c r="A1115" s="85" t="s">
        <v>2441</v>
      </c>
      <c r="B1115" s="209" t="s">
        <v>4935</v>
      </c>
      <c r="C1115" s="210">
        <f>INDEX('IN_RC-T'!$A$3:$AAA$865,MATCH($A1115,'IN_RC-T'!$A$3:$A$865,0),MATCH(C$3,'IN_RC-T'!$A$3:$AAA$3,0))</f>
        <v>0</v>
      </c>
      <c r="D1115" s="210">
        <f>INDEX('IN_RC-T'!$A$3:$AAA$865,MATCH($A1115,'IN_RC-T'!$A$3:$A$865,0),MATCH(D$3,'IN_RC-T'!$A$3:$AAA$3,0))</f>
        <v>0</v>
      </c>
      <c r="E1115" s="210">
        <f>INDEX('IN_RC-T'!$A$3:$AAA$865,MATCH($A1115,'IN_RC-T'!$A$3:$A$865,0),MATCH(E$3,'IN_RC-T'!$A$3:$AAA$3,0))</f>
        <v>0</v>
      </c>
    </row>
    <row r="1116" spans="1:5" ht="11.4" outlineLevel="1" x14ac:dyDescent="0.25">
      <c r="A1116" s="85" t="s">
        <v>4430</v>
      </c>
      <c r="B1116" s="657" t="s">
        <v>4936</v>
      </c>
      <c r="C1116" s="659">
        <v>0</v>
      </c>
      <c r="D1116" s="659">
        <v>0</v>
      </c>
      <c r="E1116" s="659">
        <v>0</v>
      </c>
    </row>
    <row r="1117" spans="1:5" ht="11.4" outlineLevel="1" x14ac:dyDescent="0.25">
      <c r="A1117" s="85" t="s">
        <v>4431</v>
      </c>
      <c r="B1117" s="204" t="s">
        <v>4937</v>
      </c>
      <c r="C1117" s="658">
        <f>C1115-C1116</f>
        <v>0</v>
      </c>
      <c r="D1117" s="658">
        <f>D1115-D1116</f>
        <v>0</v>
      </c>
      <c r="E1117" s="658">
        <f>E1115-E1116</f>
        <v>0</v>
      </c>
    </row>
    <row r="1118" spans="1:5" ht="12" outlineLevel="1" x14ac:dyDescent="0.25">
      <c r="A1118" s="85" t="s">
        <v>2528</v>
      </c>
      <c r="B1118" s="209" t="s">
        <v>4938</v>
      </c>
      <c r="C1118" s="210">
        <f>INDEX('IN_RC-T'!$A$3:$AAA$865,MATCH($A1118,'IN_RC-T'!$A$3:$A$865,0),MATCH(C$3,'IN_RC-T'!$A$3:$AAA$3,0))</f>
        <v>0</v>
      </c>
      <c r="D1118" s="210">
        <f>INDEX('IN_RC-T'!$A$3:$AAA$865,MATCH($A1118,'IN_RC-T'!$A$3:$A$865,0),MATCH(D$3,'IN_RC-T'!$A$3:$AAA$3,0))</f>
        <v>0</v>
      </c>
      <c r="E1118" s="210">
        <f>INDEX('IN_RC-T'!$A$3:$AAA$865,MATCH($A1118,'IN_RC-T'!$A$3:$A$865,0),MATCH(E$3,'IN_RC-T'!$A$3:$AAA$3,0))</f>
        <v>0</v>
      </c>
    </row>
    <row r="1119" spans="1:5" ht="12" outlineLevel="1" x14ac:dyDescent="0.25">
      <c r="A1119" s="85" t="s">
        <v>4432</v>
      </c>
      <c r="B1119" s="657" t="s">
        <v>4939</v>
      </c>
      <c r="C1119" s="659">
        <v>0</v>
      </c>
      <c r="D1119" s="659">
        <v>0</v>
      </c>
      <c r="E1119" s="659">
        <v>0</v>
      </c>
    </row>
    <row r="1120" spans="1:5" ht="12" outlineLevel="1" x14ac:dyDescent="0.25">
      <c r="A1120" s="85" t="s">
        <v>4433</v>
      </c>
      <c r="B1120" s="204" t="s">
        <v>4940</v>
      </c>
      <c r="C1120" s="658">
        <f>C1118-C1119</f>
        <v>0</v>
      </c>
      <c r="D1120" s="658">
        <f>D1118-D1119</f>
        <v>0</v>
      </c>
      <c r="E1120" s="658">
        <f>E1118-E1119</f>
        <v>0</v>
      </c>
    </row>
    <row r="1121" spans="1:5" ht="12" outlineLevel="1" x14ac:dyDescent="0.25">
      <c r="A1121" s="85" t="s">
        <v>2564</v>
      </c>
      <c r="B1121" s="209" t="s">
        <v>4941</v>
      </c>
      <c r="C1121" s="210">
        <f>INDEX('IN_RC-T'!$A$3:$AAA$865,MATCH($A1121,'IN_RC-T'!$A$3:$A$865,0),MATCH(C$3,'IN_RC-T'!$A$3:$AAA$3,0))</f>
        <v>0</v>
      </c>
      <c r="D1121" s="210">
        <f>INDEX('IN_RC-T'!$A$3:$AAA$865,MATCH($A1121,'IN_RC-T'!$A$3:$A$865,0),MATCH(D$3,'IN_RC-T'!$A$3:$AAA$3,0))</f>
        <v>0</v>
      </c>
      <c r="E1121" s="210">
        <f>INDEX('IN_RC-T'!$A$3:$AAA$865,MATCH($A1121,'IN_RC-T'!$A$3:$A$865,0),MATCH(E$3,'IN_RC-T'!$A$3:$AAA$3,0))</f>
        <v>0</v>
      </c>
    </row>
    <row r="1122" spans="1:5" ht="12" outlineLevel="1" x14ac:dyDescent="0.25">
      <c r="A1122" s="85" t="s">
        <v>4434</v>
      </c>
      <c r="B1122" s="664" t="s">
        <v>4942</v>
      </c>
      <c r="C1122" s="655">
        <v>0</v>
      </c>
      <c r="D1122" s="655">
        <v>0</v>
      </c>
      <c r="E1122" s="655">
        <v>0</v>
      </c>
    </row>
    <row r="1123" spans="1:5" ht="12" outlineLevel="1" x14ac:dyDescent="0.25">
      <c r="A1123" s="85" t="s">
        <v>4435</v>
      </c>
      <c r="B1123" s="204" t="s">
        <v>4943</v>
      </c>
      <c r="C1123" s="658">
        <f>C1121-C1122</f>
        <v>0</v>
      </c>
      <c r="D1123" s="658">
        <f>D1121-D1122</f>
        <v>0</v>
      </c>
      <c r="E1123" s="658">
        <f>E1121-E1122</f>
        <v>0</v>
      </c>
    </row>
    <row r="1124" spans="1:5" ht="12" outlineLevel="1" x14ac:dyDescent="0.25">
      <c r="A1124" s="85" t="s">
        <v>2619</v>
      </c>
      <c r="B1124" s="209" t="s">
        <v>4944</v>
      </c>
      <c r="C1124" s="210">
        <f>INDEX('IN_RC-T'!$A$3:$AAA$865,MATCH($A1124,'IN_RC-T'!$A$3:$A$865,0),MATCH(C$3,'IN_RC-T'!$A$3:$AAA$3,0))</f>
        <v>0</v>
      </c>
      <c r="D1124" s="210">
        <f>INDEX('IN_RC-T'!$A$3:$AAA$865,MATCH($A1124,'IN_RC-T'!$A$3:$A$865,0),MATCH(D$3,'IN_RC-T'!$A$3:$AAA$3,0))</f>
        <v>0</v>
      </c>
      <c r="E1124" s="210">
        <f>INDEX('IN_RC-T'!$A$3:$AAA$865,MATCH($A1124,'IN_RC-T'!$A$3:$A$865,0),MATCH(E$3,'IN_RC-T'!$A$3:$AAA$3,0))</f>
        <v>0</v>
      </c>
    </row>
    <row r="1125" spans="1:5" ht="12" outlineLevel="1" x14ac:dyDescent="0.25">
      <c r="A1125" s="85" t="s">
        <v>4436</v>
      </c>
      <c r="B1125" s="664" t="s">
        <v>4945</v>
      </c>
      <c r="C1125" s="655">
        <v>0</v>
      </c>
      <c r="D1125" s="655">
        <v>0</v>
      </c>
      <c r="E1125" s="655">
        <v>0</v>
      </c>
    </row>
    <row r="1126" spans="1:5" ht="12" outlineLevel="1" x14ac:dyDescent="0.25">
      <c r="A1126" s="85" t="s">
        <v>4437</v>
      </c>
      <c r="B1126" s="204" t="s">
        <v>4946</v>
      </c>
      <c r="C1126" s="658">
        <f>C1124-C1125</f>
        <v>0</v>
      </c>
      <c r="D1126" s="658">
        <f>D1124-D1125</f>
        <v>0</v>
      </c>
      <c r="E1126" s="658">
        <f>E1124-E1125</f>
        <v>0</v>
      </c>
    </row>
    <row r="1127" spans="1:5" ht="12" outlineLevel="1" x14ac:dyDescent="0.25">
      <c r="A1127" s="85" t="s">
        <v>2673</v>
      </c>
      <c r="B1127" s="209" t="s">
        <v>4947</v>
      </c>
      <c r="C1127" s="210">
        <f>INDEX('IN_RC-T'!$A$3:$AAA$865,MATCH($A1127,'IN_RC-T'!$A$3:$A$865,0),MATCH(C$3,'IN_RC-T'!$A$3:$AAA$3,0))</f>
        <v>0</v>
      </c>
      <c r="D1127" s="210">
        <f>INDEX('IN_RC-T'!$A$3:$AAA$865,MATCH($A1127,'IN_RC-T'!$A$3:$A$865,0),MATCH(D$3,'IN_RC-T'!$A$3:$AAA$3,0))</f>
        <v>0</v>
      </c>
      <c r="E1127" s="210">
        <f>INDEX('IN_RC-T'!$A$3:$AAA$865,MATCH($A1127,'IN_RC-T'!$A$3:$A$865,0),MATCH(E$3,'IN_RC-T'!$A$3:$AAA$3,0))</f>
        <v>0</v>
      </c>
    </row>
    <row r="1128" spans="1:5" ht="12" outlineLevel="1" x14ac:dyDescent="0.25">
      <c r="A1128" s="85" t="s">
        <v>4438</v>
      </c>
      <c r="B1128" s="664" t="s">
        <v>4948</v>
      </c>
      <c r="C1128" s="655">
        <v>0</v>
      </c>
      <c r="D1128" s="655">
        <v>0</v>
      </c>
      <c r="E1128" s="655">
        <v>0</v>
      </c>
    </row>
    <row r="1129" spans="1:5" ht="12" outlineLevel="1" x14ac:dyDescent="0.25">
      <c r="A1129" s="85" t="s">
        <v>4439</v>
      </c>
      <c r="B1129" s="204" t="s">
        <v>4949</v>
      </c>
      <c r="C1129" s="658">
        <f>C1127-C1128</f>
        <v>0</v>
      </c>
      <c r="D1129" s="658">
        <f>D1127-D1128</f>
        <v>0</v>
      </c>
      <c r="E1129" s="658">
        <f>E1127-E1128</f>
        <v>0</v>
      </c>
    </row>
    <row r="1130" spans="1:5" ht="12" outlineLevel="1" x14ac:dyDescent="0.25">
      <c r="A1130" s="85" t="s">
        <v>2762</v>
      </c>
      <c r="B1130" s="209" t="s">
        <v>4950</v>
      </c>
      <c r="C1130" s="210">
        <f>INDEX('IN_RC-T'!$A$3:$AAA$865,MATCH($A1130,'IN_RC-T'!$A$3:$A$865,0),MATCH(C$3,'IN_RC-T'!$A$3:$AAA$3,0))</f>
        <v>0</v>
      </c>
      <c r="D1130" s="210">
        <f>INDEX('IN_RC-T'!$A$3:$AAA$865,MATCH($A1130,'IN_RC-T'!$A$3:$A$865,0),MATCH(D$3,'IN_RC-T'!$A$3:$AAA$3,0))</f>
        <v>0</v>
      </c>
      <c r="E1130" s="210">
        <f>INDEX('IN_RC-T'!$A$3:$AAA$865,MATCH($A1130,'IN_RC-T'!$A$3:$A$865,0),MATCH(E$3,'IN_RC-T'!$A$3:$AAA$3,0))</f>
        <v>0</v>
      </c>
    </row>
    <row r="1131" spans="1:5" ht="12" outlineLevel="1" x14ac:dyDescent="0.25">
      <c r="A1131" s="85" t="s">
        <v>4440</v>
      </c>
      <c r="B1131" s="657" t="s">
        <v>4951</v>
      </c>
      <c r="C1131" s="659">
        <v>0</v>
      </c>
      <c r="D1131" s="659">
        <v>0</v>
      </c>
      <c r="E1131" s="659">
        <v>0</v>
      </c>
    </row>
    <row r="1132" spans="1:5" ht="12" outlineLevel="1" x14ac:dyDescent="0.25">
      <c r="A1132" s="85" t="s">
        <v>4441</v>
      </c>
      <c r="B1132" s="204" t="s">
        <v>4952</v>
      </c>
      <c r="C1132" s="658">
        <f>C1130-C1131</f>
        <v>0</v>
      </c>
      <c r="D1132" s="658">
        <f>D1130-D1131</f>
        <v>0</v>
      </c>
      <c r="E1132" s="658">
        <f>E1130-E1131</f>
        <v>0</v>
      </c>
    </row>
    <row r="1133" spans="1:5" ht="11.4" outlineLevel="1" x14ac:dyDescent="0.25">
      <c r="A1133" s="85" t="s">
        <v>2835</v>
      </c>
      <c r="B1133" s="209" t="s">
        <v>4953</v>
      </c>
      <c r="C1133" s="210">
        <f>INDEX('IN_RC-T'!$A$3:$AAA$865,MATCH($A1133,'IN_RC-T'!$A$3:$A$865,0),MATCH(C$3,'IN_RC-T'!$A$3:$AAA$3,0))</f>
        <v>0</v>
      </c>
      <c r="D1133" s="210">
        <f>INDEX('IN_RC-T'!$A$3:$AAA$865,MATCH($A1133,'IN_RC-T'!$A$3:$A$865,0),MATCH(D$3,'IN_RC-T'!$A$3:$AAA$3,0))</f>
        <v>0</v>
      </c>
      <c r="E1133" s="210">
        <f>INDEX('IN_RC-T'!$A$3:$AAA$865,MATCH($A1133,'IN_RC-T'!$A$3:$A$865,0),MATCH(E$3,'IN_RC-T'!$A$3:$AAA$3,0))</f>
        <v>0</v>
      </c>
    </row>
    <row r="1134" spans="1:5" ht="12" outlineLevel="1" x14ac:dyDescent="0.25">
      <c r="A1134" s="85" t="s">
        <v>4442</v>
      </c>
      <c r="B1134" s="664" t="s">
        <v>4954</v>
      </c>
      <c r="C1134" s="655">
        <v>0</v>
      </c>
      <c r="D1134" s="655">
        <v>0</v>
      </c>
      <c r="E1134" s="655">
        <v>0</v>
      </c>
    </row>
    <row r="1135" spans="1:5" ht="12" outlineLevel="1" x14ac:dyDescent="0.25">
      <c r="A1135" s="85" t="s">
        <v>4443</v>
      </c>
      <c r="B1135" s="204" t="s">
        <v>4955</v>
      </c>
      <c r="C1135" s="658">
        <f>C1133-C1134</f>
        <v>0</v>
      </c>
      <c r="D1135" s="658">
        <f>D1133-D1134</f>
        <v>0</v>
      </c>
      <c r="E1135" s="658">
        <f>E1133-E1134</f>
        <v>0</v>
      </c>
    </row>
    <row r="1136" spans="1:5" ht="11.4" outlineLevel="1" x14ac:dyDescent="0.25">
      <c r="A1136" s="85" t="s">
        <v>2890</v>
      </c>
      <c r="B1136" s="209" t="s">
        <v>4956</v>
      </c>
      <c r="C1136" s="210">
        <f>INDEX('IN_RC-T'!$A$3:$AAA$865,MATCH($A1136,'IN_RC-T'!$A$3:$A$865,0),MATCH(C$3,'IN_RC-T'!$A$3:$AAA$3,0))</f>
        <v>0</v>
      </c>
      <c r="D1136" s="210">
        <f>INDEX('IN_RC-T'!$A$3:$AAA$865,MATCH($A1136,'IN_RC-T'!$A$3:$A$865,0),MATCH(D$3,'IN_RC-T'!$A$3:$AAA$3,0))</f>
        <v>0</v>
      </c>
      <c r="E1136" s="210">
        <f>INDEX('IN_RC-T'!$A$3:$AAA$865,MATCH($A1136,'IN_RC-T'!$A$3:$A$865,0),MATCH(E$3,'IN_RC-T'!$A$3:$AAA$3,0))</f>
        <v>0</v>
      </c>
    </row>
    <row r="1137" spans="1:5" ht="12" outlineLevel="1" x14ac:dyDescent="0.25">
      <c r="A1137" s="85" t="s">
        <v>4454</v>
      </c>
      <c r="B1137" s="664" t="s">
        <v>4957</v>
      </c>
      <c r="C1137" s="655">
        <v>0</v>
      </c>
      <c r="D1137" s="655">
        <v>0</v>
      </c>
      <c r="E1137" s="655">
        <v>0</v>
      </c>
    </row>
    <row r="1138" spans="1:5" ht="12" outlineLevel="1" x14ac:dyDescent="0.25">
      <c r="A1138" s="85" t="s">
        <v>4455</v>
      </c>
      <c r="B1138" s="204" t="s">
        <v>4958</v>
      </c>
      <c r="C1138" s="658">
        <f>C1136-C1137</f>
        <v>0</v>
      </c>
      <c r="D1138" s="658">
        <f>D1136-D1137</f>
        <v>0</v>
      </c>
      <c r="E1138" s="658">
        <f>E1136-E1137</f>
        <v>0</v>
      </c>
    </row>
    <row r="1139" spans="1:5" ht="12" outlineLevel="1" x14ac:dyDescent="0.25">
      <c r="A1139" s="85" t="s">
        <v>3020</v>
      </c>
      <c r="B1139" s="209" t="s">
        <v>4959</v>
      </c>
      <c r="C1139" s="210">
        <f>INDEX('IN_RC-T'!$A$3:$AAA$865,MATCH($A1139,'IN_RC-T'!$A$3:$A$865,0),MATCH(C$3,'IN_RC-T'!$A$3:$AAA$3,0))</f>
        <v>0</v>
      </c>
      <c r="D1139" s="210">
        <f>INDEX('IN_RC-T'!$A$3:$AAA$865,MATCH($A1139,'IN_RC-T'!$A$3:$A$865,0),MATCH(D$3,'IN_RC-T'!$A$3:$AAA$3,0))</f>
        <v>0</v>
      </c>
      <c r="E1139" s="210">
        <f>INDEX('IN_RC-T'!$A$3:$AAA$865,MATCH($A1139,'IN_RC-T'!$A$3:$A$865,0),MATCH(E$3,'IN_RC-T'!$A$3:$AAA$3,0))</f>
        <v>0</v>
      </c>
    </row>
    <row r="1140" spans="1:5" ht="12" outlineLevel="1" x14ac:dyDescent="0.25">
      <c r="A1140" s="85" t="s">
        <v>4444</v>
      </c>
      <c r="B1140" s="657" t="s">
        <v>4960</v>
      </c>
      <c r="C1140" s="659">
        <v>0</v>
      </c>
      <c r="D1140" s="659">
        <v>0</v>
      </c>
      <c r="E1140" s="659">
        <v>0</v>
      </c>
    </row>
    <row r="1141" spans="1:5" ht="12" outlineLevel="1" x14ac:dyDescent="0.25">
      <c r="A1141" s="85" t="s">
        <v>4445</v>
      </c>
      <c r="B1141" s="204" t="s">
        <v>4961</v>
      </c>
      <c r="C1141" s="658">
        <f>C1139-C1140</f>
        <v>0</v>
      </c>
      <c r="D1141" s="658">
        <f>D1139-D1140</f>
        <v>0</v>
      </c>
      <c r="E1141" s="658">
        <f>E1139-E1140</f>
        <v>0</v>
      </c>
    </row>
    <row r="1142" spans="1:5" ht="11.4" outlineLevel="1" x14ac:dyDescent="0.25">
      <c r="A1142" s="85" t="s">
        <v>6808</v>
      </c>
      <c r="B1142" s="209" t="s">
        <v>4962</v>
      </c>
      <c r="C1142" s="210">
        <f>INDEX('IN_RC-T'!$A$3:$AAA$865,MATCH($A1142,'IN_RC-T'!$A$3:$A$865,0),MATCH(C$3,'IN_RC-T'!$A$3:$AAA$3,0))</f>
        <v>0</v>
      </c>
      <c r="D1142" s="210">
        <f>INDEX('IN_RC-T'!$A$3:$AAA$865,MATCH($A1142,'IN_RC-T'!$A$3:$A$865,0),MATCH(D$3,'IN_RC-T'!$A$3:$AAA$3,0))</f>
        <v>0</v>
      </c>
      <c r="E1142" s="210">
        <f>INDEX('IN_RC-T'!$A$3:$AAA$865,MATCH($A1142,'IN_RC-T'!$A$3:$A$865,0),MATCH(E$3,'IN_RC-T'!$A$3:$AAA$3,0))</f>
        <v>0</v>
      </c>
    </row>
    <row r="1143" spans="1:5" ht="11.4" outlineLevel="1" x14ac:dyDescent="0.25">
      <c r="A1143" s="85" t="s">
        <v>6968</v>
      </c>
      <c r="B1143" s="657" t="s">
        <v>4963</v>
      </c>
      <c r="C1143" s="659">
        <v>0</v>
      </c>
      <c r="D1143" s="659">
        <v>0</v>
      </c>
      <c r="E1143" s="659">
        <v>0</v>
      </c>
    </row>
    <row r="1144" spans="1:5" ht="11.4" outlineLevel="1" x14ac:dyDescent="0.25">
      <c r="A1144" s="85" t="s">
        <v>6952</v>
      </c>
      <c r="B1144" s="204" t="s">
        <v>4964</v>
      </c>
      <c r="C1144" s="658">
        <f>C1142-C1143</f>
        <v>0</v>
      </c>
      <c r="D1144" s="658">
        <f>D1142-D1143</f>
        <v>0</v>
      </c>
      <c r="E1144" s="658">
        <f>E1142-E1143</f>
        <v>0</v>
      </c>
    </row>
    <row r="1145" spans="1:5" ht="11.4" outlineLevel="1" x14ac:dyDescent="0.25">
      <c r="A1145" s="85" t="s">
        <v>3062</v>
      </c>
      <c r="B1145" s="209" t="s">
        <v>3107</v>
      </c>
      <c r="C1145" s="210">
        <f>INDEX('IN_RC-T'!$A$3:$AAA$865,MATCH($A1145,'IN_RC-T'!$A$3:$A$865,0),MATCH(C$3,'IN_RC-T'!$A$3:$AAA$3,0))</f>
        <v>0</v>
      </c>
      <c r="D1145" s="210">
        <f>INDEX('IN_RC-T'!$A$3:$AAA$865,MATCH($A1145,'IN_RC-T'!$A$3:$A$865,0),MATCH(D$3,'IN_RC-T'!$A$3:$AAA$3,0))</f>
        <v>0</v>
      </c>
      <c r="E1145" s="210">
        <f>INDEX('IN_RC-T'!$A$3:$AAA$865,MATCH($A1145,'IN_RC-T'!$A$3:$A$865,0),MATCH(E$3,'IN_RC-T'!$A$3:$AAA$3,0))</f>
        <v>0</v>
      </c>
    </row>
    <row r="1146" spans="1:5" ht="11.4" outlineLevel="1" x14ac:dyDescent="0.25">
      <c r="A1146" s="85" t="s">
        <v>4446</v>
      </c>
      <c r="B1146" s="660" t="s">
        <v>4965</v>
      </c>
      <c r="C1146" s="661">
        <f>C1116+C1119+C1122+C1125+C1128+C1131+C1134+C1137+C1140+C1143</f>
        <v>0</v>
      </c>
      <c r="D1146" s="661">
        <f>D1116+D1119+D1122+D1125+D1128+D1131+D1134+D1137+D1140+D1143</f>
        <v>0</v>
      </c>
      <c r="E1146" s="661">
        <f>E1116+E1119+E1122+E1125+E1128+E1131+E1134+E1137+E1140+E1143</f>
        <v>0</v>
      </c>
    </row>
    <row r="1147" spans="1:5" ht="11.4" outlineLevel="1" x14ac:dyDescent="0.25">
      <c r="A1147" s="85" t="s">
        <v>4447</v>
      </c>
      <c r="B1147" s="204" t="s">
        <v>4966</v>
      </c>
      <c r="C1147" s="658">
        <f>C1145-C1146</f>
        <v>0</v>
      </c>
      <c r="D1147" s="658">
        <f>D1145-D1146</f>
        <v>0</v>
      </c>
      <c r="E1147" s="658">
        <f>E1145-E1146</f>
        <v>0</v>
      </c>
    </row>
    <row r="1148" spans="1:5" outlineLevel="1" x14ac:dyDescent="0.2">
      <c r="B1148" s="137"/>
      <c r="C1148" s="137"/>
      <c r="D1148" s="137"/>
      <c r="E1148" s="137"/>
    </row>
    <row r="1149" spans="1:5" ht="11.4" outlineLevel="1" x14ac:dyDescent="0.25">
      <c r="A1149" s="85" t="s">
        <v>4448</v>
      </c>
      <c r="B1149" s="209" t="s">
        <v>4967</v>
      </c>
      <c r="C1149" s="210">
        <f>INDEX(PEF_COM_29!$A$3:$AAA$50,MATCH($A1149,PEF_COM_29!$A$3:$A$50,0),MATCH(C$3,PEF_COM_29!$A$3:$AAA$3,0))</f>
        <v>0</v>
      </c>
      <c r="D1149" s="210">
        <f>INDEX(PEF_COM_29!$A$3:$AAA$50,MATCH($A1149,PEF_COM_29!$A$3:$A$50,0),MATCH(D$3,PEF_COM_29!$A$3:$AAA$3,0))</f>
        <v>0</v>
      </c>
      <c r="E1149" s="210">
        <f>INDEX(PEF_COM_29!$A$3:$AAA$50,MATCH($A1149,PEF_COM_29!$A$3:$A$50,0),MATCH(E$3,PEF_COM_29!$A$3:$AAA$3,0))</f>
        <v>0</v>
      </c>
    </row>
    <row r="1150" spans="1:5" ht="11.4" outlineLevel="1" x14ac:dyDescent="0.25">
      <c r="A1150" s="85" t="s">
        <v>4449</v>
      </c>
      <c r="B1150" s="657" t="s">
        <v>4968</v>
      </c>
      <c r="C1150" s="659">
        <v>0</v>
      </c>
      <c r="D1150" s="659">
        <v>0</v>
      </c>
      <c r="E1150" s="659">
        <v>0</v>
      </c>
    </row>
    <row r="1151" spans="1:5" ht="11.4" outlineLevel="1" x14ac:dyDescent="0.25">
      <c r="A1151" s="85" t="s">
        <v>4450</v>
      </c>
      <c r="B1151" s="204" t="s">
        <v>4969</v>
      </c>
      <c r="C1151" s="658">
        <f>C1149-C1150</f>
        <v>0</v>
      </c>
      <c r="D1151" s="658">
        <f>D1149-D1150</f>
        <v>0</v>
      </c>
      <c r="E1151" s="658">
        <f>E1149-E1150</f>
        <v>0</v>
      </c>
    </row>
    <row r="1152" spans="1:5" outlineLevel="1" x14ac:dyDescent="0.2">
      <c r="B1152" s="137"/>
      <c r="C1152" s="137"/>
      <c r="D1152" s="137"/>
      <c r="E1152" s="137"/>
    </row>
    <row r="1153" spans="1:5" ht="11.4" outlineLevel="1" x14ac:dyDescent="0.25">
      <c r="A1153" s="85" t="s">
        <v>4451</v>
      </c>
      <c r="B1153" s="209" t="s">
        <v>4997</v>
      </c>
      <c r="C1153" s="210">
        <f>C987+C994+C1001+C1008+C1015+C1022+C1041+C1061+C1068+C1075+C1112</f>
        <v>0</v>
      </c>
      <c r="D1153" s="210">
        <f>D987+D994+D1001+D1008+D1015+D1022+D1041+D1061+D1068+D1075+D1112</f>
        <v>0</v>
      </c>
      <c r="E1153" s="210">
        <f>E987+E994+E1001+E1008+E1015+E1022+E1041+E1061+E1068+E1075+E1112</f>
        <v>0</v>
      </c>
    </row>
    <row r="1154" spans="1:5" ht="11.4" outlineLevel="1" x14ac:dyDescent="0.25">
      <c r="A1154" s="85" t="s">
        <v>4452</v>
      </c>
      <c r="B1154" s="527" t="s">
        <v>4998</v>
      </c>
      <c r="C1154" s="663">
        <f>C990+C997+C1004+C1011+C1018+C1025+C1057+C1064+C1071+C1078+C1146+C1150</f>
        <v>0</v>
      </c>
      <c r="D1154" s="663">
        <f>D990+D997+D1004+D1011+D1018+D1025+D1057+D1064+D1071+D1078+D1146+D1150</f>
        <v>0</v>
      </c>
      <c r="E1154" s="663">
        <f>E990+E997+E1004+E1011+E1018+E1025+E1057+E1064+E1071+E1078+E1146+E1150</f>
        <v>0</v>
      </c>
    </row>
    <row r="1155" spans="1:5" ht="11.4" outlineLevel="1" x14ac:dyDescent="0.25">
      <c r="A1155" s="85" t="s">
        <v>4453</v>
      </c>
      <c r="B1155" s="204" t="s">
        <v>4999</v>
      </c>
      <c r="C1155" s="658">
        <f>C1153+C1154</f>
        <v>0</v>
      </c>
      <c r="D1155" s="658">
        <f>D1153+D1154</f>
        <v>0</v>
      </c>
      <c r="E1155" s="658">
        <f>E1153+E1154</f>
        <v>0</v>
      </c>
    </row>
    <row r="1156" spans="1:5" x14ac:dyDescent="0.2">
      <c r="B1156" s="137"/>
      <c r="C1156" s="137"/>
      <c r="D1156" s="137"/>
      <c r="E1156" s="137"/>
    </row>
    <row r="1157" spans="1:5" s="345" customFormat="1" ht="20.399999999999999" x14ac:dyDescent="0.3">
      <c r="A1157" s="342"/>
      <c r="B1157" s="455" t="s">
        <v>3110</v>
      </c>
      <c r="C1157" s="344" t="str">
        <f t="shared" ref="C1157" si="16">C3</f>
        <v>BUSTO ARSIZIO</v>
      </c>
      <c r="D1157" s="344" t="str">
        <f t="shared" ref="D1157:E1157" si="17">D3</f>
        <v>FAGNANO OLONA</v>
      </c>
      <c r="E1157" s="344" t="str">
        <f t="shared" si="17"/>
        <v>VENEGONO SUPERIORE</v>
      </c>
    </row>
    <row r="1158" spans="1:5" x14ac:dyDescent="0.2">
      <c r="B1158" s="79">
        <v>2026</v>
      </c>
    </row>
    <row r="1159" spans="1:5" ht="11.4" x14ac:dyDescent="0.25">
      <c r="A1159" s="85" t="s">
        <v>3645</v>
      </c>
      <c r="B1159" s="209" t="s">
        <v>4976</v>
      </c>
      <c r="C1159" s="210">
        <f t="shared" ref="C1159:E1160" si="18">INDEX($A$3:$AAA$1155,MATCH($A1159,$A$3:$A$1155,0),MATCH(C$1157,$A$3:$AAA$3,0))</f>
        <v>0</v>
      </c>
      <c r="D1159" s="210">
        <f t="shared" si="18"/>
        <v>0</v>
      </c>
      <c r="E1159" s="210">
        <f t="shared" si="18"/>
        <v>0</v>
      </c>
    </row>
    <row r="1160" spans="1:5" ht="11.4" x14ac:dyDescent="0.25">
      <c r="A1160" s="85" t="s">
        <v>3646</v>
      </c>
      <c r="B1160" s="211" t="s">
        <v>4977</v>
      </c>
      <c r="C1160" s="212">
        <f t="shared" si="18"/>
        <v>0</v>
      </c>
      <c r="D1160" s="212">
        <f t="shared" si="18"/>
        <v>0</v>
      </c>
      <c r="E1160" s="212">
        <f t="shared" si="18"/>
        <v>0</v>
      </c>
    </row>
    <row r="1161" spans="1:5" ht="11.4" x14ac:dyDescent="0.25">
      <c r="A1161" s="85" t="s">
        <v>3647</v>
      </c>
      <c r="B1161" s="56" t="s">
        <v>4978</v>
      </c>
      <c r="C1161" s="81">
        <f>C1159+C1160</f>
        <v>0</v>
      </c>
      <c r="D1161" s="81">
        <f>D1159+D1160</f>
        <v>0</v>
      </c>
      <c r="E1161" s="81">
        <f>E1159+E1160</f>
        <v>0</v>
      </c>
    </row>
    <row r="1162" spans="1:5" ht="11.4" x14ac:dyDescent="0.25">
      <c r="A1162" s="85" t="s">
        <v>3642</v>
      </c>
      <c r="B1162" s="209" t="s">
        <v>4979</v>
      </c>
      <c r="C1162" s="210">
        <f t="shared" ref="C1162:E1163" si="19">INDEX($A$3:$AAA$1155,MATCH($A1162,$A$3:$A$1155,0),MATCH(C$1157,$A$3:$AAA$3,0))</f>
        <v>0</v>
      </c>
      <c r="D1162" s="210">
        <f t="shared" si="19"/>
        <v>0</v>
      </c>
      <c r="E1162" s="210">
        <f t="shared" si="19"/>
        <v>0</v>
      </c>
    </row>
    <row r="1163" spans="1:5" ht="11.4" x14ac:dyDescent="0.25">
      <c r="A1163" s="85" t="s">
        <v>3643</v>
      </c>
      <c r="B1163" s="211" t="s">
        <v>4980</v>
      </c>
      <c r="C1163" s="212">
        <f t="shared" si="19"/>
        <v>0</v>
      </c>
      <c r="D1163" s="212">
        <f t="shared" si="19"/>
        <v>0</v>
      </c>
      <c r="E1163" s="212">
        <f t="shared" si="19"/>
        <v>0</v>
      </c>
    </row>
    <row r="1164" spans="1:5" ht="11.4" x14ac:dyDescent="0.25">
      <c r="A1164" s="85" t="s">
        <v>3644</v>
      </c>
      <c r="B1164" s="56" t="s">
        <v>4981</v>
      </c>
      <c r="C1164" s="81">
        <f>C1162+C1163</f>
        <v>0</v>
      </c>
      <c r="D1164" s="81">
        <f>D1162+D1163</f>
        <v>0</v>
      </c>
      <c r="E1164" s="81">
        <f>E1162+E1163</f>
        <v>0</v>
      </c>
    </row>
    <row r="1165" spans="1:5" ht="11.4" x14ac:dyDescent="0.25">
      <c r="A1165" s="85" t="s">
        <v>3648</v>
      </c>
      <c r="B1165" s="56" t="s">
        <v>5000</v>
      </c>
      <c r="C1165" s="81">
        <f>C1161+C1164</f>
        <v>0</v>
      </c>
      <c r="D1165" s="81">
        <f>D1161+D1164</f>
        <v>0</v>
      </c>
      <c r="E1165" s="81">
        <f>E1161+E1164</f>
        <v>0</v>
      </c>
    </row>
    <row r="1166" spans="1:5" x14ac:dyDescent="0.2">
      <c r="B1166" s="137"/>
      <c r="C1166" s="137"/>
      <c r="D1166" s="137"/>
      <c r="E1166" s="137"/>
    </row>
    <row r="1167" spans="1:5" x14ac:dyDescent="0.2">
      <c r="B1167" s="79">
        <v>2027</v>
      </c>
    </row>
    <row r="1168" spans="1:5" ht="11.4" x14ac:dyDescent="0.25">
      <c r="A1168" s="85" t="s">
        <v>3649</v>
      </c>
      <c r="B1168" s="209" t="s">
        <v>4982</v>
      </c>
      <c r="C1168" s="210">
        <f t="shared" ref="C1168:E1169" si="20">INDEX($A$3:$AAA$1155,MATCH($A1168,$A$3:$A$1155,0),MATCH(C$1157,$A$3:$AAA$3,0))</f>
        <v>0</v>
      </c>
      <c r="D1168" s="210">
        <f t="shared" si="20"/>
        <v>0</v>
      </c>
      <c r="E1168" s="210">
        <f t="shared" si="20"/>
        <v>0</v>
      </c>
    </row>
    <row r="1169" spans="1:5" ht="11.4" x14ac:dyDescent="0.25">
      <c r="A1169" s="85" t="s">
        <v>3650</v>
      </c>
      <c r="B1169" s="211" t="s">
        <v>4983</v>
      </c>
      <c r="C1169" s="212">
        <f t="shared" si="20"/>
        <v>0</v>
      </c>
      <c r="D1169" s="212">
        <f t="shared" si="20"/>
        <v>0</v>
      </c>
      <c r="E1169" s="212">
        <f t="shared" si="20"/>
        <v>0</v>
      </c>
    </row>
    <row r="1170" spans="1:5" ht="11.4" x14ac:dyDescent="0.25">
      <c r="A1170" s="85" t="s">
        <v>3651</v>
      </c>
      <c r="B1170" s="56" t="s">
        <v>4984</v>
      </c>
      <c r="C1170" s="81">
        <f>C1168+C1169</f>
        <v>0</v>
      </c>
      <c r="D1170" s="81">
        <f>D1168+D1169</f>
        <v>0</v>
      </c>
      <c r="E1170" s="81">
        <f>E1168+E1169</f>
        <v>0</v>
      </c>
    </row>
    <row r="1171" spans="1:5" ht="11.4" x14ac:dyDescent="0.25">
      <c r="A1171" s="85" t="s">
        <v>3652</v>
      </c>
      <c r="B1171" s="209" t="s">
        <v>4985</v>
      </c>
      <c r="C1171" s="210">
        <f t="shared" ref="C1171:E1172" si="21">INDEX($A$3:$AAA$1155,MATCH($A1171,$A$3:$A$1155,0),MATCH(C$1157,$A$3:$AAA$3,0))</f>
        <v>0</v>
      </c>
      <c r="D1171" s="210">
        <f t="shared" si="21"/>
        <v>0</v>
      </c>
      <c r="E1171" s="210">
        <f t="shared" si="21"/>
        <v>0</v>
      </c>
    </row>
    <row r="1172" spans="1:5" ht="11.4" x14ac:dyDescent="0.25">
      <c r="A1172" s="85" t="s">
        <v>3653</v>
      </c>
      <c r="B1172" s="211" t="s">
        <v>4986</v>
      </c>
      <c r="C1172" s="212">
        <f t="shared" si="21"/>
        <v>0</v>
      </c>
      <c r="D1172" s="212">
        <f t="shared" si="21"/>
        <v>0</v>
      </c>
      <c r="E1172" s="212">
        <f t="shared" si="21"/>
        <v>0</v>
      </c>
    </row>
    <row r="1173" spans="1:5" ht="11.4" x14ac:dyDescent="0.25">
      <c r="A1173" s="85" t="s">
        <v>3654</v>
      </c>
      <c r="B1173" s="56" t="s">
        <v>4987</v>
      </c>
      <c r="C1173" s="81">
        <f>C1171+C1172</f>
        <v>0</v>
      </c>
      <c r="D1173" s="81">
        <f>D1171+D1172</f>
        <v>0</v>
      </c>
      <c r="E1173" s="81">
        <f>E1171+E1172</f>
        <v>0</v>
      </c>
    </row>
    <row r="1174" spans="1:5" ht="11.4" x14ac:dyDescent="0.25">
      <c r="A1174" s="85" t="s">
        <v>3655</v>
      </c>
      <c r="B1174" s="56" t="s">
        <v>5001</v>
      </c>
      <c r="C1174" s="81">
        <f>C1170+C1173</f>
        <v>0</v>
      </c>
      <c r="D1174" s="81">
        <f>D1170+D1173</f>
        <v>0</v>
      </c>
      <c r="E1174" s="81">
        <f>E1170+E1173</f>
        <v>0</v>
      </c>
    </row>
    <row r="1176" spans="1:5" x14ac:dyDescent="0.2">
      <c r="B1176" s="79">
        <v>2028</v>
      </c>
    </row>
    <row r="1177" spans="1:5" ht="11.4" x14ac:dyDescent="0.25">
      <c r="A1177" s="85" t="s">
        <v>4970</v>
      </c>
      <c r="B1177" s="209" t="s">
        <v>4988</v>
      </c>
      <c r="C1177" s="210">
        <f t="shared" ref="C1177:E1178" si="22">INDEX($A$3:$AAA$1155,MATCH($A1177,$A$3:$A$1155,0),MATCH(C$1157,$A$3:$AAA$3,0))</f>
        <v>0</v>
      </c>
      <c r="D1177" s="210">
        <f t="shared" si="22"/>
        <v>0</v>
      </c>
      <c r="E1177" s="210">
        <f t="shared" si="22"/>
        <v>0</v>
      </c>
    </row>
    <row r="1178" spans="1:5" ht="11.4" x14ac:dyDescent="0.25">
      <c r="A1178" s="85" t="s">
        <v>4971</v>
      </c>
      <c r="B1178" s="211" t="s">
        <v>4989</v>
      </c>
      <c r="C1178" s="212">
        <f t="shared" si="22"/>
        <v>0</v>
      </c>
      <c r="D1178" s="212">
        <f t="shared" si="22"/>
        <v>0</v>
      </c>
      <c r="E1178" s="212">
        <f t="shared" si="22"/>
        <v>0</v>
      </c>
    </row>
    <row r="1179" spans="1:5" ht="11.4" x14ac:dyDescent="0.25">
      <c r="A1179" s="85" t="s">
        <v>4972</v>
      </c>
      <c r="B1179" s="56" t="s">
        <v>4990</v>
      </c>
      <c r="C1179" s="81">
        <f>C1177+C1178</f>
        <v>0</v>
      </c>
      <c r="D1179" s="81">
        <f>D1177+D1178</f>
        <v>0</v>
      </c>
      <c r="E1179" s="81">
        <f>E1177+E1178</f>
        <v>0</v>
      </c>
    </row>
    <row r="1180" spans="1:5" ht="11.4" x14ac:dyDescent="0.25">
      <c r="A1180" s="85" t="s">
        <v>4254</v>
      </c>
      <c r="B1180" s="209" t="s">
        <v>4991</v>
      </c>
      <c r="C1180" s="210">
        <f t="shared" ref="C1180:E1181" si="23">INDEX($A$3:$AAA$1155,MATCH($A1180,$A$3:$A$1155,0),MATCH(C$1157,$A$3:$AAA$3,0))</f>
        <v>0</v>
      </c>
      <c r="D1180" s="210">
        <f t="shared" si="23"/>
        <v>0</v>
      </c>
      <c r="E1180" s="210">
        <f t="shared" si="23"/>
        <v>0</v>
      </c>
    </row>
    <row r="1181" spans="1:5" ht="11.4" x14ac:dyDescent="0.25">
      <c r="A1181" s="85" t="s">
        <v>4255</v>
      </c>
      <c r="B1181" s="211" t="s">
        <v>4992</v>
      </c>
      <c r="C1181" s="212">
        <f t="shared" si="23"/>
        <v>0</v>
      </c>
      <c r="D1181" s="212">
        <f t="shared" si="23"/>
        <v>0</v>
      </c>
      <c r="E1181" s="212">
        <f t="shared" si="23"/>
        <v>0</v>
      </c>
    </row>
    <row r="1182" spans="1:5" ht="11.4" x14ac:dyDescent="0.25">
      <c r="A1182" s="85" t="s">
        <v>4256</v>
      </c>
      <c r="B1182" s="56" t="s">
        <v>4993</v>
      </c>
      <c r="C1182" s="81">
        <f>C1180+C1181</f>
        <v>0</v>
      </c>
      <c r="D1182" s="81">
        <f>D1180+D1181</f>
        <v>0</v>
      </c>
      <c r="E1182" s="81">
        <f>E1180+E1181</f>
        <v>0</v>
      </c>
    </row>
    <row r="1183" spans="1:5" ht="11.4" x14ac:dyDescent="0.25">
      <c r="A1183" s="85" t="s">
        <v>5002</v>
      </c>
      <c r="B1183" s="56" t="s">
        <v>5004</v>
      </c>
      <c r="C1183" s="81">
        <f>C1179+C1182</f>
        <v>0</v>
      </c>
      <c r="D1183" s="81">
        <f>D1179+D1182</f>
        <v>0</v>
      </c>
      <c r="E1183" s="81">
        <f>E1179+E1182</f>
        <v>0</v>
      </c>
    </row>
    <row r="1184" spans="1:5" x14ac:dyDescent="0.2">
      <c r="B1184" s="137"/>
      <c r="C1184" s="137"/>
      <c r="D1184" s="137"/>
      <c r="E1184" s="137"/>
    </row>
    <row r="1185" spans="1:5" x14ac:dyDescent="0.2">
      <c r="B1185" s="79">
        <v>2029</v>
      </c>
    </row>
    <row r="1186" spans="1:5" ht="11.4" x14ac:dyDescent="0.25">
      <c r="A1186" s="85" t="s">
        <v>4973</v>
      </c>
      <c r="B1186" s="209" t="s">
        <v>4994</v>
      </c>
      <c r="C1186" s="210">
        <f t="shared" ref="C1186:E1187" si="24">INDEX($A$3:$AAA$1155,MATCH($A1186,$A$3:$A$1155,0),MATCH(C$1157,$A$3:$AAA$3,0))</f>
        <v>0</v>
      </c>
      <c r="D1186" s="210">
        <f t="shared" si="24"/>
        <v>0</v>
      </c>
      <c r="E1186" s="210">
        <f t="shared" si="24"/>
        <v>0</v>
      </c>
    </row>
    <row r="1187" spans="1:5" ht="11.4" x14ac:dyDescent="0.25">
      <c r="A1187" s="85" t="s">
        <v>4974</v>
      </c>
      <c r="B1187" s="211" t="s">
        <v>4995</v>
      </c>
      <c r="C1187" s="212">
        <f t="shared" si="24"/>
        <v>0</v>
      </c>
      <c r="D1187" s="212">
        <f t="shared" si="24"/>
        <v>0</v>
      </c>
      <c r="E1187" s="212">
        <f t="shared" si="24"/>
        <v>0</v>
      </c>
    </row>
    <row r="1188" spans="1:5" ht="11.4" x14ac:dyDescent="0.25">
      <c r="A1188" s="85" t="s">
        <v>4975</v>
      </c>
      <c r="B1188" s="56" t="s">
        <v>4996</v>
      </c>
      <c r="C1188" s="81">
        <f>C1186+C1187</f>
        <v>0</v>
      </c>
      <c r="D1188" s="81">
        <f>D1186+D1187</f>
        <v>0</v>
      </c>
      <c r="E1188" s="81">
        <f>E1186+E1187</f>
        <v>0</v>
      </c>
    </row>
    <row r="1189" spans="1:5" ht="11.4" x14ac:dyDescent="0.25">
      <c r="A1189" s="85" t="s">
        <v>4451</v>
      </c>
      <c r="B1189" s="209" t="s">
        <v>4997</v>
      </c>
      <c r="C1189" s="210">
        <f t="shared" ref="C1189:E1190" si="25">INDEX($A$3:$AAA$1155,MATCH($A1189,$A$3:$A$1155,0),MATCH(C$1157,$A$3:$AAA$3,0))</f>
        <v>0</v>
      </c>
      <c r="D1189" s="210">
        <f t="shared" si="25"/>
        <v>0</v>
      </c>
      <c r="E1189" s="210">
        <f t="shared" si="25"/>
        <v>0</v>
      </c>
    </row>
    <row r="1190" spans="1:5" ht="11.4" x14ac:dyDescent="0.25">
      <c r="A1190" s="85" t="s">
        <v>4452</v>
      </c>
      <c r="B1190" s="211" t="s">
        <v>4998</v>
      </c>
      <c r="C1190" s="212">
        <f t="shared" si="25"/>
        <v>0</v>
      </c>
      <c r="D1190" s="212">
        <f t="shared" si="25"/>
        <v>0</v>
      </c>
      <c r="E1190" s="212">
        <f t="shared" si="25"/>
        <v>0</v>
      </c>
    </row>
    <row r="1191" spans="1:5" ht="11.4" x14ac:dyDescent="0.25">
      <c r="A1191" s="85" t="s">
        <v>4453</v>
      </c>
      <c r="B1191" s="56" t="s">
        <v>4999</v>
      </c>
      <c r="C1191" s="81">
        <f>C1189+C1190</f>
        <v>0</v>
      </c>
      <c r="D1191" s="81">
        <f>D1189+D1190</f>
        <v>0</v>
      </c>
      <c r="E1191" s="81">
        <f>E1189+E1190</f>
        <v>0</v>
      </c>
    </row>
    <row r="1192" spans="1:5" ht="11.4" x14ac:dyDescent="0.25">
      <c r="A1192" s="85" t="s">
        <v>5003</v>
      </c>
      <c r="B1192" s="56" t="s">
        <v>5005</v>
      </c>
      <c r="C1192" s="81">
        <f>C1188+C1191</f>
        <v>0</v>
      </c>
      <c r="D1192" s="81">
        <f>D1188+D1191</f>
        <v>0</v>
      </c>
      <c r="E1192" s="81">
        <f>E1188+E1191</f>
        <v>0</v>
      </c>
    </row>
  </sheetData>
  <autoFilter ref="A3:E1192" xr:uid="{61801DF9-1CC6-4CDA-AD9E-DE24AD1EFAB3}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22B94-6FF8-4D7D-BA7D-D67796165B6F}">
  <sheetPr codeName="Foglio22">
    <tabColor rgb="FFFFFFCC"/>
  </sheetPr>
  <dimension ref="A1:E179"/>
  <sheetViews>
    <sheetView showGridLines="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26" sqref="C26"/>
    </sheetView>
  </sheetViews>
  <sheetFormatPr defaultColWidth="9.109375" defaultRowHeight="10.199999999999999" outlineLevelRow="1" x14ac:dyDescent="0.2"/>
  <cols>
    <col min="1" max="1" width="22.5546875" style="138" bestFit="1" customWidth="1"/>
    <col min="2" max="2" width="57.6640625" style="51" customWidth="1"/>
    <col min="3" max="5" width="15.44140625" style="51" bestFit="1" customWidth="1"/>
    <col min="6" max="16384" width="9.109375" style="51"/>
  </cols>
  <sheetData>
    <row r="1" spans="1:5" x14ac:dyDescent="0.2">
      <c r="B1" s="461" t="s">
        <v>720</v>
      </c>
      <c r="C1" s="61"/>
      <c r="D1" s="61"/>
      <c r="E1" s="61"/>
    </row>
    <row r="2" spans="1:5" x14ac:dyDescent="0.2">
      <c r="C2" s="61"/>
      <c r="D2" s="61"/>
      <c r="E2" s="61"/>
    </row>
    <row r="3" spans="1:5" ht="20.399999999999999" x14ac:dyDescent="0.2">
      <c r="A3" s="439"/>
      <c r="B3" s="461"/>
      <c r="C3" s="344" t="str">
        <f>Ambiti!B4</f>
        <v>BUSTO ARSIZIO</v>
      </c>
      <c r="D3" s="344" t="str">
        <f>Ambiti!C4</f>
        <v>FAGNANO OLONA</v>
      </c>
      <c r="E3" s="344" t="str">
        <f>Ambiti!D4</f>
        <v>VENEGONO SUPERIORE</v>
      </c>
    </row>
    <row r="4" spans="1:5" x14ac:dyDescent="0.2">
      <c r="A4" s="439"/>
      <c r="B4" s="665"/>
      <c r="C4" s="666"/>
      <c r="D4" s="666"/>
      <c r="E4" s="666"/>
    </row>
    <row r="5" spans="1:5" x14ac:dyDescent="0.2">
      <c r="B5" s="461" t="s">
        <v>580</v>
      </c>
      <c r="C5" s="484"/>
      <c r="D5" s="484"/>
      <c r="E5" s="484"/>
    </row>
    <row r="6" spans="1:5" s="482" customFormat="1" ht="21" customHeight="1" x14ac:dyDescent="0.3">
      <c r="A6" s="480" t="s">
        <v>5006</v>
      </c>
      <c r="B6" s="481" t="s">
        <v>580</v>
      </c>
      <c r="C6" s="561" t="s">
        <v>582</v>
      </c>
      <c r="D6" s="561" t="s">
        <v>105</v>
      </c>
      <c r="E6" s="561" t="s">
        <v>105</v>
      </c>
    </row>
    <row r="8" spans="1:5" x14ac:dyDescent="0.2">
      <c r="B8" s="461" t="s">
        <v>5011</v>
      </c>
      <c r="C8" s="484"/>
      <c r="D8" s="484"/>
      <c r="E8" s="484"/>
    </row>
    <row r="9" spans="1:5" ht="11.4" outlineLevel="1" x14ac:dyDescent="0.25">
      <c r="A9" s="85" t="s">
        <v>987</v>
      </c>
      <c r="B9" s="88" t="s">
        <v>5007</v>
      </c>
      <c r="C9" s="462">
        <f>INDEX(IN_PAR!$A$3:$YE$413,MATCH($A9,IN_PAR!$A$3:$A$413,0),MATCH(C$3,IN_PAR!$A$3:$YE$3,0))</f>
        <v>33673.17</v>
      </c>
      <c r="D9" s="462">
        <f>INDEX(IN_PAR!$A$3:$YE$413,MATCH($A9,IN_PAR!$A$3:$A$413,0),MATCH(D$3,IN_PAR!$A$3:$YE$3,0))</f>
        <v>5529.759</v>
      </c>
      <c r="E9" s="462">
        <f>INDEX(IN_PAR!$A$3:$YE$413,MATCH($A9,IN_PAR!$A$3:$A$413,0),MATCH(E$3,IN_PAR!$A$3:$YE$3,0))</f>
        <v>0</v>
      </c>
    </row>
    <row r="10" spans="1:5" outlineLevel="1" x14ac:dyDescent="0.2">
      <c r="A10" s="85" t="s">
        <v>245</v>
      </c>
      <c r="B10" s="88" t="s">
        <v>955</v>
      </c>
      <c r="C10" s="438">
        <f>INDEX(IN_PAR!$A$3:$YE$413,MATCH($A10,IN_PAR!$A$3:$A$413,0),MATCH(C$3,IN_PAR!$A$3:$YE$3,0))</f>
        <v>0.79210000000000003</v>
      </c>
      <c r="D10" s="438">
        <f>INDEX(IN_PAR!$A$3:$YE$413,MATCH($A10,IN_PAR!$A$3:$A$413,0),MATCH(D$3,IN_PAR!$A$3:$YE$3,0))</f>
        <v>0.76519999999999999</v>
      </c>
      <c r="E10" s="438">
        <f>INDEX(IN_PAR!$A$3:$YE$413,MATCH($A10,IN_PAR!$A$3:$A$413,0),MATCH(E$3,IN_PAR!$A$3:$YE$3,0))</f>
        <v>0.76219999999999999</v>
      </c>
    </row>
    <row r="11" spans="1:5" ht="11.4" outlineLevel="1" x14ac:dyDescent="0.25">
      <c r="A11" s="85" t="s">
        <v>5008</v>
      </c>
      <c r="B11" s="56" t="s">
        <v>562</v>
      </c>
      <c r="C11" s="477">
        <f t="shared" ref="C11" si="0">C9*C10</f>
        <v>26672.517957</v>
      </c>
      <c r="D11" s="477">
        <f t="shared" ref="D11:E11" si="1">D9*D10</f>
        <v>4231.3715867999999</v>
      </c>
      <c r="E11" s="477">
        <f t="shared" si="1"/>
        <v>0</v>
      </c>
    </row>
    <row r="12" spans="1:5" ht="11.4" outlineLevel="1" x14ac:dyDescent="0.25">
      <c r="A12" s="85" t="s">
        <v>5009</v>
      </c>
      <c r="B12" s="460" t="s">
        <v>564</v>
      </c>
      <c r="C12" s="562">
        <f>'R1-R2'!C8</f>
        <v>10681.81</v>
      </c>
      <c r="D12" s="562">
        <v>0</v>
      </c>
      <c r="E12" s="562">
        <v>0</v>
      </c>
    </row>
    <row r="13" spans="1:5" outlineLevel="1" x14ac:dyDescent="0.2">
      <c r="A13" s="85"/>
      <c r="B13" s="671"/>
      <c r="C13" s="672"/>
      <c r="D13" s="672"/>
      <c r="E13" s="672"/>
    </row>
    <row r="14" spans="1:5" ht="21" customHeight="1" outlineLevel="1" x14ac:dyDescent="0.2">
      <c r="A14" s="85" t="s">
        <v>5010</v>
      </c>
      <c r="B14" s="478" t="s">
        <v>563</v>
      </c>
      <c r="C14" s="479">
        <f>IFERROR(C12/C11,0)</f>
        <v>0.40048000032170339</v>
      </c>
      <c r="D14" s="479">
        <f t="shared" ref="D14:E14" si="2">IFERROR(D12/D11,0)</f>
        <v>0</v>
      </c>
      <c r="E14" s="479">
        <f t="shared" si="2"/>
        <v>0</v>
      </c>
    </row>
    <row r="16" spans="1:5" ht="11.4" x14ac:dyDescent="0.2">
      <c r="B16" s="461" t="s">
        <v>5218</v>
      </c>
      <c r="C16" s="448"/>
    </row>
    <row r="17" spans="1:5" ht="11.4" outlineLevel="1" x14ac:dyDescent="0.25">
      <c r="A17" s="85" t="s">
        <v>3254</v>
      </c>
      <c r="B17" s="209" t="s">
        <v>5012</v>
      </c>
      <c r="C17" s="467">
        <f>INDEX('Import CO_24'!$A$4:$E$134,MATCH($A17,'Import CO_24'!$A$4:$A$134,0),MATCH(C$3,'Import CO_24'!$A$4:$E$4,0))</f>
        <v>909953.94</v>
      </c>
      <c r="D17" s="467">
        <f>INDEX('Import CO_24'!$A$4:$E$134,MATCH($A17,'Import CO_24'!$A$4:$A$134,0),MATCH(D$3,'Import CO_24'!$A$4:$E$4,0))</f>
        <v>61018.43</v>
      </c>
      <c r="E17" s="467">
        <f>INDEX('Import CO_24'!$A$4:$E$134,MATCH($A17,'Import CO_24'!$A$4:$A$134,0),MATCH(E$3,'Import CO_24'!$A$4:$E$4,0))</f>
        <v>0</v>
      </c>
    </row>
    <row r="18" spans="1:5" ht="11.4" outlineLevel="1" x14ac:dyDescent="0.25">
      <c r="A18" s="85" t="s">
        <v>5207</v>
      </c>
      <c r="B18" s="443" t="s">
        <v>5217</v>
      </c>
      <c r="C18" s="1096">
        <f>+[2]BdV!$F$449</f>
        <v>615987.22</v>
      </c>
      <c r="D18" s="667">
        <v>0</v>
      </c>
      <c r="E18" s="667">
        <v>0</v>
      </c>
    </row>
    <row r="19" spans="1:5" ht="11.4" outlineLevel="1" x14ac:dyDescent="0.25">
      <c r="A19" s="85" t="s">
        <v>5208</v>
      </c>
      <c r="B19" s="209" t="s">
        <v>5013</v>
      </c>
      <c r="C19" s="467">
        <f>INDEX(Import_CO_Comuni!$A$4:$AAA$323,MATCH($A19,Import_CO_Comuni!$A$4:$A$323,0),MATCH(C$3,Import_CO_Comuni!$A$4:$AAA$4,0))</f>
        <v>0</v>
      </c>
      <c r="D19" s="467">
        <f>INDEX(Import_CO_Comuni!$A$4:$AAA$323,MATCH($A19,Import_CO_Comuni!$A$4:$A$323,0),MATCH(D$3,Import_CO_Comuni!$A$4:$AAA$4,0))</f>
        <v>0</v>
      </c>
      <c r="E19" s="467">
        <f>INDEX(Import_CO_Comuni!$A$4:$AAA$323,MATCH($A19,Import_CO_Comuni!$A$4:$A$323,0),MATCH(E$3,Import_CO_Comuni!$A$4:$AAA$4,0))</f>
        <v>0</v>
      </c>
    </row>
    <row r="20" spans="1:5" ht="11.4" outlineLevel="1" x14ac:dyDescent="0.25">
      <c r="A20" s="85" t="s">
        <v>5209</v>
      </c>
      <c r="B20" s="443" t="s">
        <v>5014</v>
      </c>
      <c r="C20" s="667">
        <v>0</v>
      </c>
      <c r="D20" s="667">
        <v>0</v>
      </c>
      <c r="E20" s="667">
        <v>0</v>
      </c>
    </row>
    <row r="21" spans="1:5" ht="11.4" outlineLevel="1" x14ac:dyDescent="0.25">
      <c r="A21" s="85" t="s">
        <v>5210</v>
      </c>
      <c r="B21" s="464" t="s">
        <v>5015</v>
      </c>
      <c r="C21" s="510">
        <f>C18+C20</f>
        <v>615987.22</v>
      </c>
      <c r="D21" s="510">
        <f t="shared" ref="D21:E21" si="3">D18+D20</f>
        <v>0</v>
      </c>
      <c r="E21" s="510">
        <f t="shared" si="3"/>
        <v>0</v>
      </c>
    </row>
    <row r="22" spans="1:5" ht="11.4" outlineLevel="1" x14ac:dyDescent="0.25">
      <c r="A22" s="85" t="s">
        <v>5211</v>
      </c>
      <c r="B22" s="465" t="s">
        <v>5303</v>
      </c>
      <c r="C22" s="511">
        <f>C21*(1+'Parametri MTR-3'!$I$6)*(1+'Parametri MTR-3'!$J$6)</f>
        <v>635846.64797279995</v>
      </c>
      <c r="D22" s="511">
        <f>D21*(1+'Parametri MTR-3'!$I$6)*(1+'Parametri MTR-3'!$J$6)</f>
        <v>0</v>
      </c>
      <c r="E22" s="511">
        <f>E21*(1+'Parametri MTR-3'!$I$6)*(1+'Parametri MTR-3'!$J$6)</f>
        <v>0</v>
      </c>
    </row>
    <row r="23" spans="1:5" outlineLevel="1" x14ac:dyDescent="0.2"/>
    <row r="24" spans="1:5" ht="11.4" outlineLevel="1" x14ac:dyDescent="0.25">
      <c r="A24" s="7" t="s">
        <v>3255</v>
      </c>
      <c r="B24" s="209" t="s">
        <v>5016</v>
      </c>
      <c r="C24" s="467">
        <f>INDEX('Import CO_24'!$A$4:$E$134,MATCH($A24,'Import CO_24'!$A$4:$A$134,0),MATCH(C$3,'Import CO_24'!$A$4:$E$4,0))</f>
        <v>737378.09</v>
      </c>
      <c r="D24" s="467">
        <f>INDEX('Import CO_24'!$A$4:$E$134,MATCH($A24,'Import CO_24'!$A$4:$A$134,0),MATCH(D$3,'Import CO_24'!$A$4:$E$4,0))</f>
        <v>79332.09</v>
      </c>
      <c r="E24" s="467">
        <f>INDEX('Import CO_24'!$A$4:$E$134,MATCH($A24,'Import CO_24'!$A$4:$A$134,0),MATCH(E$3,'Import CO_24'!$A$4:$E$4,0))</f>
        <v>0</v>
      </c>
    </row>
    <row r="25" spans="1:5" ht="11.4" outlineLevel="1" x14ac:dyDescent="0.25">
      <c r="A25" s="85" t="s">
        <v>5212</v>
      </c>
      <c r="B25" s="443" t="s">
        <v>5017</v>
      </c>
      <c r="C25" s="1096">
        <f>+[2]BdV!$F$450</f>
        <v>737378.09</v>
      </c>
      <c r="D25" s="667">
        <v>0</v>
      </c>
      <c r="E25" s="667">
        <v>0</v>
      </c>
    </row>
    <row r="26" spans="1:5" ht="11.4" outlineLevel="1" x14ac:dyDescent="0.25">
      <c r="A26" s="7" t="s">
        <v>5213</v>
      </c>
      <c r="B26" s="209" t="s">
        <v>5018</v>
      </c>
      <c r="C26" s="467">
        <f>INDEX(Import_CO_Comuni!$A$4:$AAA$323,MATCH($A26,Import_CO_Comuni!$A$4:$A$323,0),MATCH(C$3,Import_CO_Comuni!$A$4:$AAA$4,0))</f>
        <v>0</v>
      </c>
      <c r="D26" s="467">
        <f>INDEX(Import_CO_Comuni!$A$4:$AAA$323,MATCH($A26,Import_CO_Comuni!$A$4:$A$323,0),MATCH(D$3,Import_CO_Comuni!$A$4:$AAA$4,0))</f>
        <v>0</v>
      </c>
      <c r="E26" s="467">
        <f>INDEX(Import_CO_Comuni!$A$4:$AAA$323,MATCH($A26,Import_CO_Comuni!$A$4:$A$323,0),MATCH(E$3,Import_CO_Comuni!$A$4:$AAA$4,0))</f>
        <v>0</v>
      </c>
    </row>
    <row r="27" spans="1:5" ht="11.4" outlineLevel="1" x14ac:dyDescent="0.25">
      <c r="A27" s="85" t="s">
        <v>5214</v>
      </c>
      <c r="B27" s="443" t="s">
        <v>5019</v>
      </c>
      <c r="C27" s="667">
        <v>0</v>
      </c>
      <c r="D27" s="667">
        <v>0</v>
      </c>
      <c r="E27" s="667">
        <v>0</v>
      </c>
    </row>
    <row r="28" spans="1:5" ht="11.4" outlineLevel="1" x14ac:dyDescent="0.25">
      <c r="A28" s="85" t="s">
        <v>5215</v>
      </c>
      <c r="B28" s="466" t="s">
        <v>5020</v>
      </c>
      <c r="C28" s="510">
        <f>C25+C27</f>
        <v>737378.09</v>
      </c>
      <c r="D28" s="510">
        <f t="shared" ref="D28:E28" si="4">D25+D27</f>
        <v>0</v>
      </c>
      <c r="E28" s="510">
        <f t="shared" si="4"/>
        <v>0</v>
      </c>
    </row>
    <row r="29" spans="1:5" ht="11.4" outlineLevel="1" x14ac:dyDescent="0.25">
      <c r="A29" s="85" t="s">
        <v>5216</v>
      </c>
      <c r="B29" s="465" t="s">
        <v>5302</v>
      </c>
      <c r="C29" s="511">
        <f>C28*(1+'Parametri MTR-3'!$I$6)*(1+'Parametri MTR-3'!$J$6)</f>
        <v>761151.15962159995</v>
      </c>
      <c r="D29" s="511">
        <f>D28*(1+'Parametri MTR-3'!$I$6)*(1+'Parametri MTR-3'!$J$6)</f>
        <v>0</v>
      </c>
      <c r="E29" s="511">
        <f>E28*(1+'Parametri MTR-3'!$I$6)*(1+'Parametri MTR-3'!$J$6)</f>
        <v>0</v>
      </c>
    </row>
    <row r="31" spans="1:5" ht="11.4" x14ac:dyDescent="0.25">
      <c r="A31" s="85" t="s">
        <v>531</v>
      </c>
      <c r="B31" s="67" t="s">
        <v>565</v>
      </c>
      <c r="C31" s="463">
        <f t="shared" ref="C31:C32" si="5">C21+C28</f>
        <v>1353365.31</v>
      </c>
      <c r="D31" s="463">
        <f t="shared" ref="D31:E31" si="6">D21+D28</f>
        <v>0</v>
      </c>
      <c r="E31" s="463">
        <f t="shared" si="6"/>
        <v>0</v>
      </c>
    </row>
    <row r="32" spans="1:5" ht="11.4" x14ac:dyDescent="0.25">
      <c r="A32" s="85" t="s">
        <v>566</v>
      </c>
      <c r="B32" s="67" t="s">
        <v>5301</v>
      </c>
      <c r="C32" s="463">
        <f t="shared" si="5"/>
        <v>1396997.8075943999</v>
      </c>
      <c r="D32" s="463">
        <f t="shared" ref="D32:E32" si="7">D22+D29</f>
        <v>0</v>
      </c>
      <c r="E32" s="463">
        <f t="shared" si="7"/>
        <v>0</v>
      </c>
    </row>
    <row r="34" spans="1:5" ht="11.4" x14ac:dyDescent="0.2">
      <c r="B34" s="461" t="s">
        <v>5219</v>
      </c>
      <c r="C34" s="447" t="str">
        <f>IF(C$6='Parametri MTR-3'!$C$41,"Compilare",IF(C$6='Parametri MTR-3'!$C$42,"Compilare solo %","Indicare disponibilità"))</f>
        <v>Compilare solo %</v>
      </c>
      <c r="D34" s="447" t="str">
        <f>IF(D$6='Parametri MTR-3'!$C$41,"Compilare",IF(D$6='Parametri MTR-3'!$C$42,"Compilare solo %","Indicare disponibilità"))</f>
        <v>Indicare disponibilità</v>
      </c>
      <c r="E34" s="447" t="str">
        <f>IF(E$6='Parametri MTR-3'!$C$41,"Compilare",IF(E$6='Parametri MTR-3'!$C$42,"Compilare solo %","Indicare disponibilità"))</f>
        <v>Indicare disponibilità</v>
      </c>
    </row>
    <row r="35" spans="1:5" ht="11.4" outlineLevel="1" x14ac:dyDescent="0.25">
      <c r="A35" s="85" t="s">
        <v>3129</v>
      </c>
      <c r="B35" s="209" t="s">
        <v>5221</v>
      </c>
      <c r="C35" s="467">
        <f>INDEX('Import CO_24'!$A$4:$E$134,MATCH($A35,'Import CO_24'!$A$4:$A$134,0),MATCH(C$3,'Import CO_24'!$A$4:$E$4,0))</f>
        <v>4257735.419999999</v>
      </c>
      <c r="D35" s="467">
        <f>INDEX('Import CO_24'!$A$4:$E$134,MATCH($A35,'Import CO_24'!$A$4:$A$134,0),MATCH(D$3,'Import CO_24'!$A$4:$E$4,0))</f>
        <v>421352.4</v>
      </c>
      <c r="E35" s="467">
        <f>INDEX('Import CO_24'!$A$4:$E$134,MATCH($A35,'Import CO_24'!$A$4:$A$134,0),MATCH(E$3,'Import CO_24'!$A$4:$E$4,0))</f>
        <v>0</v>
      </c>
    </row>
    <row r="36" spans="1:5" ht="11.4" outlineLevel="1" x14ac:dyDescent="0.25">
      <c r="A36" s="85" t="s">
        <v>5220</v>
      </c>
      <c r="B36" s="443" t="s">
        <v>5222</v>
      </c>
      <c r="C36" s="667">
        <v>0</v>
      </c>
      <c r="D36" s="667">
        <v>0</v>
      </c>
      <c r="E36" s="667">
        <v>0</v>
      </c>
    </row>
    <row r="37" spans="1:5" outlineLevel="1" x14ac:dyDescent="0.2">
      <c r="A37" s="85"/>
      <c r="B37" s="616"/>
      <c r="C37" s="673"/>
      <c r="D37" s="673"/>
      <c r="E37" s="673"/>
    </row>
    <row r="38" spans="1:5" ht="12" outlineLevel="1" x14ac:dyDescent="0.25">
      <c r="A38" s="138" t="s">
        <v>5223</v>
      </c>
      <c r="B38" s="170" t="s">
        <v>5227</v>
      </c>
      <c r="C38" s="514">
        <f>INDEX(IN_RC_CO_INC!$A$3:$E$86,MATCH($A38,IN_RC_CO_INC!$A$3:$A$86,0),MATCH(C$3,IN_RC_CO_INC!$A$3:$E$3,0))</f>
        <v>0</v>
      </c>
      <c r="D38" s="514">
        <f>INDEX(IN_RC_CO_INC!$A$3:$E$86,MATCH($A38,IN_RC_CO_INC!$A$3:$A$86,0),MATCH(D$3,IN_RC_CO_INC!$A$3:$E$3,0))</f>
        <v>0</v>
      </c>
      <c r="E38" s="514">
        <f>INDEX(IN_RC_CO_INC!$A$3:$E$86,MATCH($A38,IN_RC_CO_INC!$A$3:$A$86,0),MATCH(E$3,IN_RC_CO_INC!$A$3:$E$3,0))</f>
        <v>0</v>
      </c>
    </row>
    <row r="39" spans="1:5" ht="12" outlineLevel="1" x14ac:dyDescent="0.25">
      <c r="B39" s="199" t="s">
        <v>5230</v>
      </c>
      <c r="C39" s="667">
        <v>0</v>
      </c>
      <c r="D39" s="667">
        <v>0</v>
      </c>
      <c r="E39" s="667">
        <v>0</v>
      </c>
    </row>
    <row r="40" spans="1:5" ht="12" outlineLevel="1" x14ac:dyDescent="0.25">
      <c r="A40" s="138" t="s">
        <v>5224</v>
      </c>
      <c r="B40" s="170" t="s">
        <v>5228</v>
      </c>
      <c r="C40" s="514">
        <f>INDEX(IN_RC_ANT!$A$3:$E$159,MATCH('IN_Calcolo H'!$A40,IN_RC_ANT!$A$3:$A$159,0),MATCH('IN_Calcolo H'!C$3,IN_RC_ANT!$A$3:$E$3,0))</f>
        <v>0</v>
      </c>
      <c r="D40" s="514">
        <f>INDEX(IN_RC_ANT!$A$3:$E$159,MATCH('IN_Calcolo H'!$A40,IN_RC_ANT!$A$3:$A$159,0),MATCH('IN_Calcolo H'!D$3,IN_RC_ANT!$A$3:$E$3,0))</f>
        <v>0</v>
      </c>
      <c r="E40" s="514">
        <f>INDEX(IN_RC_ANT!$A$3:$E$159,MATCH('IN_Calcolo H'!$A40,IN_RC_ANT!$A$3:$A$159,0),MATCH('IN_Calcolo H'!E$3,IN_RC_ANT!$A$3:$E$3,0))</f>
        <v>0</v>
      </c>
    </row>
    <row r="41" spans="1:5" ht="12" outlineLevel="1" x14ac:dyDescent="0.25">
      <c r="B41" s="199" t="s">
        <v>5231</v>
      </c>
      <c r="C41" s="667">
        <v>0</v>
      </c>
      <c r="D41" s="667">
        <v>0</v>
      </c>
      <c r="E41" s="667">
        <v>0</v>
      </c>
    </row>
    <row r="42" spans="1:5" ht="12" outlineLevel="1" x14ac:dyDescent="0.25">
      <c r="A42" s="138" t="s">
        <v>5225</v>
      </c>
      <c r="B42" s="170" t="s">
        <v>5229</v>
      </c>
      <c r="C42" s="514">
        <f>INDEX(IN_RC_ANT!$A$3:$E$159,MATCH('IN_Calcolo H'!$A42,IN_RC_ANT!$A$3:$A$159,0),MATCH('IN_Calcolo H'!C$3,IN_RC_ANT!$A$3:$E$3,0))</f>
        <v>0</v>
      </c>
      <c r="D42" s="514">
        <f>INDEX(IN_RC_ANT!$A$3:$E$159,MATCH('IN_Calcolo H'!$A42,IN_RC_ANT!$A$3:$A$159,0),MATCH('IN_Calcolo H'!D$3,IN_RC_ANT!$A$3:$E$3,0))</f>
        <v>0</v>
      </c>
      <c r="E42" s="514">
        <f>INDEX(IN_RC_ANT!$A$3:$E$159,MATCH('IN_Calcolo H'!$A42,IN_RC_ANT!$A$3:$A$159,0),MATCH('IN_Calcolo H'!E$3,IN_RC_ANT!$A$3:$E$3,0))</f>
        <v>0</v>
      </c>
    </row>
    <row r="43" spans="1:5" ht="12" outlineLevel="1" x14ac:dyDescent="0.25">
      <c r="B43" s="199" t="s">
        <v>5232</v>
      </c>
      <c r="C43" s="667">
        <v>0</v>
      </c>
      <c r="D43" s="667">
        <v>0</v>
      </c>
      <c r="E43" s="667">
        <v>0</v>
      </c>
    </row>
    <row r="44" spans="1:5" ht="11.4" outlineLevel="1" x14ac:dyDescent="0.25">
      <c r="A44" s="85" t="s">
        <v>593</v>
      </c>
      <c r="B44" s="469" t="s">
        <v>5226</v>
      </c>
      <c r="C44" s="470">
        <f>C39+C41+C43</f>
        <v>0</v>
      </c>
      <c r="D44" s="470">
        <f t="shared" ref="D44:E44" si="8">D39+D41+D43</f>
        <v>0</v>
      </c>
      <c r="E44" s="470">
        <f t="shared" si="8"/>
        <v>0</v>
      </c>
    </row>
    <row r="45" spans="1:5" outlineLevel="1" x14ac:dyDescent="0.2">
      <c r="A45" s="85"/>
      <c r="B45" s="674"/>
      <c r="C45" s="675"/>
      <c r="D45" s="675"/>
      <c r="E45" s="675"/>
    </row>
    <row r="46" spans="1:5" ht="21" customHeight="1" outlineLevel="1" x14ac:dyDescent="0.2">
      <c r="A46" s="85" t="s">
        <v>574</v>
      </c>
      <c r="B46" s="471" t="s">
        <v>573</v>
      </c>
      <c r="C46" s="472">
        <f>C35+C38+C40+C42</f>
        <v>4257735.419999999</v>
      </c>
      <c r="D46" s="472">
        <f t="shared" ref="D46:E46" si="9">D35+D38+D40+D42</f>
        <v>421352.4</v>
      </c>
      <c r="E46" s="472">
        <f t="shared" si="9"/>
        <v>0</v>
      </c>
    </row>
    <row r="47" spans="1:5" ht="22.5" customHeight="1" outlineLevel="1" x14ac:dyDescent="0.2">
      <c r="A47" s="85" t="s">
        <v>568</v>
      </c>
      <c r="B47" s="471" t="s">
        <v>5233</v>
      </c>
      <c r="C47" s="472">
        <f t="shared" ref="C47" si="10">C36+C44</f>
        <v>0</v>
      </c>
      <c r="D47" s="472">
        <f t="shared" ref="D47:E47" si="11">D36+D44</f>
        <v>0</v>
      </c>
      <c r="E47" s="472">
        <f t="shared" si="11"/>
        <v>0</v>
      </c>
    </row>
    <row r="48" spans="1:5" outlineLevel="1" x14ac:dyDescent="0.2">
      <c r="A48" s="85"/>
      <c r="B48" s="676"/>
      <c r="C48" s="677"/>
      <c r="D48" s="677"/>
      <c r="E48" s="677"/>
    </row>
    <row r="49" spans="1:5" ht="11.4" outlineLevel="1" x14ac:dyDescent="0.25">
      <c r="A49" s="85" t="s">
        <v>3132</v>
      </c>
      <c r="B49" s="209" t="s">
        <v>5238</v>
      </c>
      <c r="C49" s="467">
        <f>INDEX(Import_CO_Comuni!$A$4:$AAA$323,MATCH($A49,Import_CO_Comuni!$A$4:$A$323,0),MATCH(C$3,Import_CO_Comuni!$A$4:$AAA$4,0))</f>
        <v>0</v>
      </c>
      <c r="D49" s="467">
        <f>INDEX(Import_CO_Comuni!$A$4:$AAA$323,MATCH($A49,Import_CO_Comuni!$A$4:$A$323,0),MATCH(D$3,Import_CO_Comuni!$A$4:$AAA$4,0))</f>
        <v>0</v>
      </c>
      <c r="E49" s="467">
        <f>INDEX(Import_CO_Comuni!$A$4:$AAA$323,MATCH($A49,Import_CO_Comuni!$A$4:$A$323,0),MATCH(E$3,Import_CO_Comuni!$A$4:$AAA$4,0))</f>
        <v>0</v>
      </c>
    </row>
    <row r="50" spans="1:5" ht="11.4" outlineLevel="1" x14ac:dyDescent="0.25">
      <c r="A50" s="85" t="s">
        <v>5234</v>
      </c>
      <c r="B50" s="443" t="s">
        <v>5239</v>
      </c>
      <c r="C50" s="667">
        <v>0</v>
      </c>
      <c r="D50" s="667">
        <v>0</v>
      </c>
      <c r="E50" s="667">
        <v>0</v>
      </c>
    </row>
    <row r="51" spans="1:5" outlineLevel="1" x14ac:dyDescent="0.2">
      <c r="A51" s="85"/>
      <c r="B51" s="616"/>
      <c r="C51" s="673"/>
      <c r="D51" s="673"/>
      <c r="E51" s="673"/>
    </row>
    <row r="52" spans="1:5" ht="12" outlineLevel="1" x14ac:dyDescent="0.25">
      <c r="A52" s="138" t="s">
        <v>5235</v>
      </c>
      <c r="B52" s="170" t="s">
        <v>5240</v>
      </c>
      <c r="C52" s="514">
        <f>INDEX(IN_RC_CO_INC!$A$3:$E$86,MATCH($A52,IN_RC_CO_INC!$A$3:$A$86,0),MATCH(C$3,IN_RC_CO_INC!$A$3:$E$3,0))</f>
        <v>0</v>
      </c>
      <c r="D52" s="514">
        <f>INDEX(IN_RC_CO_INC!$A$3:$E$86,MATCH($A52,IN_RC_CO_INC!$A$3:$A$86,0),MATCH(D$3,IN_RC_CO_INC!$A$3:$E$3,0))</f>
        <v>0</v>
      </c>
      <c r="E52" s="514">
        <f>INDEX(IN_RC_CO_INC!$A$3:$E$86,MATCH($A52,IN_RC_CO_INC!$A$3:$A$86,0),MATCH(E$3,IN_RC_CO_INC!$A$3:$E$3,0))</f>
        <v>0</v>
      </c>
    </row>
    <row r="53" spans="1:5" ht="12" outlineLevel="1" x14ac:dyDescent="0.25">
      <c r="B53" s="199" t="s">
        <v>5241</v>
      </c>
      <c r="C53" s="667">
        <v>0</v>
      </c>
      <c r="D53" s="667">
        <v>0</v>
      </c>
      <c r="E53" s="667">
        <v>0</v>
      </c>
    </row>
    <row r="54" spans="1:5" ht="12" outlineLevel="1" x14ac:dyDescent="0.25">
      <c r="A54" s="138" t="s">
        <v>5236</v>
      </c>
      <c r="B54" s="170" t="s">
        <v>5242</v>
      </c>
      <c r="C54" s="514">
        <f>INDEX(IN_RC_ANT!$A$3:$E$159,MATCH('IN_Calcolo H'!$A54,IN_RC_ANT!$A$3:$A$159,0),MATCH('IN_Calcolo H'!C$3,IN_RC_ANT!$A$3:$E$3,0))</f>
        <v>0</v>
      </c>
      <c r="D54" s="514">
        <f>INDEX(IN_RC_ANT!$A$3:$E$159,MATCH('IN_Calcolo H'!$A54,IN_RC_ANT!$A$3:$A$159,0),MATCH('IN_Calcolo H'!D$3,IN_RC_ANT!$A$3:$E$3,0))</f>
        <v>0</v>
      </c>
      <c r="E54" s="514">
        <f>INDEX(IN_RC_ANT!$A$3:$E$159,MATCH('IN_Calcolo H'!$A54,IN_RC_ANT!$A$3:$A$159,0),MATCH('IN_Calcolo H'!E$3,IN_RC_ANT!$A$3:$E$3,0))</f>
        <v>0</v>
      </c>
    </row>
    <row r="55" spans="1:5" ht="12" outlineLevel="1" x14ac:dyDescent="0.25">
      <c r="B55" s="199" t="s">
        <v>5243</v>
      </c>
      <c r="C55" s="667">
        <v>0</v>
      </c>
      <c r="D55" s="667">
        <v>0</v>
      </c>
      <c r="E55" s="667">
        <v>0</v>
      </c>
    </row>
    <row r="56" spans="1:5" ht="12" outlineLevel="1" x14ac:dyDescent="0.25">
      <c r="A56" s="138" t="s">
        <v>5237</v>
      </c>
      <c r="B56" s="170" t="s">
        <v>5244</v>
      </c>
      <c r="C56" s="514">
        <f>INDEX(IN_RC_ANT!$A$3:$E$159,MATCH('IN_Calcolo H'!$A56,IN_RC_ANT!$A$3:$A$159,0),MATCH('IN_Calcolo H'!C$3,IN_RC_ANT!$A$3:$E$3,0))</f>
        <v>0</v>
      </c>
      <c r="D56" s="514">
        <f>INDEX(IN_RC_ANT!$A$3:$E$159,MATCH('IN_Calcolo H'!$A56,IN_RC_ANT!$A$3:$A$159,0),MATCH('IN_Calcolo H'!D$3,IN_RC_ANT!$A$3:$E$3,0))</f>
        <v>0</v>
      </c>
      <c r="E56" s="514">
        <f>INDEX(IN_RC_ANT!$A$3:$E$159,MATCH('IN_Calcolo H'!$A56,IN_RC_ANT!$A$3:$A$159,0),MATCH('IN_Calcolo H'!E$3,IN_RC_ANT!$A$3:$E$3,0))</f>
        <v>0</v>
      </c>
    </row>
    <row r="57" spans="1:5" ht="12" outlineLevel="1" x14ac:dyDescent="0.25">
      <c r="B57" s="199" t="s">
        <v>5245</v>
      </c>
      <c r="C57" s="667">
        <v>0</v>
      </c>
      <c r="D57" s="667">
        <v>0</v>
      </c>
      <c r="E57" s="667">
        <v>0</v>
      </c>
    </row>
    <row r="58" spans="1:5" ht="11.4" outlineLevel="1" x14ac:dyDescent="0.25">
      <c r="A58" s="85" t="s">
        <v>594</v>
      </c>
      <c r="B58" s="469" t="s">
        <v>5246</v>
      </c>
      <c r="C58" s="470">
        <f>C53+C55+C57</f>
        <v>0</v>
      </c>
      <c r="D58" s="470">
        <f t="shared" ref="D58:E58" si="12">D53+D55+D57</f>
        <v>0</v>
      </c>
      <c r="E58" s="470">
        <f t="shared" si="12"/>
        <v>0</v>
      </c>
    </row>
    <row r="59" spans="1:5" outlineLevel="1" x14ac:dyDescent="0.2">
      <c r="A59" s="85"/>
      <c r="B59" s="674"/>
      <c r="C59" s="675"/>
      <c r="D59" s="675"/>
      <c r="E59" s="675"/>
    </row>
    <row r="60" spans="1:5" ht="21" customHeight="1" outlineLevel="1" x14ac:dyDescent="0.2">
      <c r="A60" s="85" t="s">
        <v>575</v>
      </c>
      <c r="B60" s="471" t="s">
        <v>576</v>
      </c>
      <c r="C60" s="472">
        <f>C49+C52+C54+C56</f>
        <v>0</v>
      </c>
      <c r="D60" s="472">
        <f t="shared" ref="D60:E60" si="13">D49+D52+D54+D56</f>
        <v>0</v>
      </c>
      <c r="E60" s="472">
        <f t="shared" si="13"/>
        <v>0</v>
      </c>
    </row>
    <row r="61" spans="1:5" ht="22.5" customHeight="1" outlineLevel="1" x14ac:dyDescent="0.2">
      <c r="A61" s="85" t="s">
        <v>569</v>
      </c>
      <c r="B61" s="473" t="s">
        <v>5247</v>
      </c>
      <c r="C61" s="474">
        <f t="shared" ref="C61" si="14">C50+C58</f>
        <v>0</v>
      </c>
      <c r="D61" s="474">
        <f t="shared" ref="D61:E61" si="15">D50+D58</f>
        <v>0</v>
      </c>
      <c r="E61" s="474">
        <f t="shared" si="15"/>
        <v>0</v>
      </c>
    </row>
    <row r="62" spans="1:5" outlineLevel="1" x14ac:dyDescent="0.2"/>
    <row r="63" spans="1:5" outlineLevel="1" x14ac:dyDescent="0.2">
      <c r="A63" s="85" t="s">
        <v>578</v>
      </c>
      <c r="B63" s="475" t="s">
        <v>572</v>
      </c>
      <c r="C63" s="512">
        <f>C46+C60</f>
        <v>4257735.419999999</v>
      </c>
      <c r="D63" s="512">
        <f t="shared" ref="D63:E63" si="16">D46+D60</f>
        <v>421352.4</v>
      </c>
      <c r="E63" s="512">
        <f t="shared" si="16"/>
        <v>0</v>
      </c>
    </row>
    <row r="64" spans="1:5" ht="20.399999999999999" outlineLevel="1" x14ac:dyDescent="0.2">
      <c r="A64" s="85" t="s">
        <v>579</v>
      </c>
      <c r="B64" s="476" t="s">
        <v>577</v>
      </c>
      <c r="C64" s="513">
        <f>C63*(1+'Parametri MTR-3'!$I$6)*(1+'Parametri MTR-3'!$J$6)</f>
        <v>4395004.8099407991</v>
      </c>
      <c r="D64" s="513">
        <f>D63*(1+'Parametri MTR-3'!$I$6)*(1+'Parametri MTR-3'!$J$6)</f>
        <v>434936.80137600005</v>
      </c>
      <c r="E64" s="513">
        <f>E63*(1+'Parametri MTR-3'!$I$6)*(1+'Parametri MTR-3'!$J$6)</f>
        <v>0</v>
      </c>
    </row>
    <row r="66" spans="1:5" ht="11.4" x14ac:dyDescent="0.25">
      <c r="A66" s="85" t="s">
        <v>590</v>
      </c>
      <c r="B66" s="464" t="s">
        <v>5248</v>
      </c>
      <c r="C66" s="510">
        <f>C47+C61</f>
        <v>0</v>
      </c>
      <c r="D66" s="510">
        <f t="shared" ref="D66:E66" si="17">D47+D61</f>
        <v>0</v>
      </c>
      <c r="E66" s="510">
        <f t="shared" si="17"/>
        <v>0</v>
      </c>
    </row>
    <row r="67" spans="1:5" ht="11.4" x14ac:dyDescent="0.25">
      <c r="A67" s="85" t="s">
        <v>5300</v>
      </c>
      <c r="B67" s="465" t="s">
        <v>5249</v>
      </c>
      <c r="C67" s="511">
        <f>C66*(1+'Parametri MTR-3'!$I$6)*(1+'Parametri MTR-3'!$J$6)</f>
        <v>0</v>
      </c>
      <c r="D67" s="511">
        <f>D66*(1+'Parametri MTR-3'!$I$6)*(1+'Parametri MTR-3'!$J$6)</f>
        <v>0</v>
      </c>
      <c r="E67" s="511">
        <f>E66*(1+'Parametri MTR-3'!$I$6)*(1+'Parametri MTR-3'!$J$6)</f>
        <v>0</v>
      </c>
    </row>
    <row r="68" spans="1:5" ht="21" customHeight="1" x14ac:dyDescent="0.2">
      <c r="A68" s="85" t="s">
        <v>5251</v>
      </c>
      <c r="B68" s="478" t="s">
        <v>595</v>
      </c>
      <c r="C68" s="479">
        <f>IFERROR(C67/C64,0)</f>
        <v>0</v>
      </c>
      <c r="D68" s="479">
        <f t="shared" ref="D68:E68" si="18">IFERROR(D67/D64,0)</f>
        <v>0</v>
      </c>
      <c r="E68" s="479">
        <f t="shared" si="18"/>
        <v>0</v>
      </c>
    </row>
    <row r="69" spans="1:5" x14ac:dyDescent="0.2">
      <c r="A69" s="409"/>
    </row>
    <row r="70" spans="1:5" ht="11.4" x14ac:dyDescent="0.2">
      <c r="B70" s="461" t="s">
        <v>5252</v>
      </c>
      <c r="C70" s="369" t="str">
        <f>IF(C$6='Parametri MTR-3'!$C$41,"Non pertinente",IF(C$6='Parametri MTR-3'!$C$42,"Corretto","Indicare disponibilità"))</f>
        <v>Corretto</v>
      </c>
      <c r="D70" s="369" t="str">
        <f>IF(D$6='Parametri MTR-3'!$C$41,"Non pertinente",IF(D$6='Parametri MTR-3'!$C$42,"Corretto","Indicare disponibilità"))</f>
        <v>Indicare disponibilità</v>
      </c>
      <c r="E70" s="369" t="str">
        <f>IF(E$6='Parametri MTR-3'!$C$41,"Non pertinente",IF(E$6='Parametri MTR-3'!$C$42,"Corretto","Indicare disponibilità"))</f>
        <v>Indicare disponibilità</v>
      </c>
    </row>
    <row r="71" spans="1:5" outlineLevel="1" x14ac:dyDescent="0.2">
      <c r="A71" s="85" t="s">
        <v>578</v>
      </c>
      <c r="B71" s="475" t="s">
        <v>572</v>
      </c>
      <c r="C71" s="512">
        <f>C63</f>
        <v>4257735.419999999</v>
      </c>
      <c r="D71" s="512">
        <f t="shared" ref="D71:E71" si="19">D63</f>
        <v>421352.4</v>
      </c>
      <c r="E71" s="512">
        <f t="shared" si="19"/>
        <v>0</v>
      </c>
    </row>
    <row r="72" spans="1:5" ht="20.399999999999999" outlineLevel="1" x14ac:dyDescent="0.2">
      <c r="A72" s="85" t="s">
        <v>5250</v>
      </c>
      <c r="B72" s="476" t="s">
        <v>577</v>
      </c>
      <c r="C72" s="513">
        <f>C71*(1+'Parametri MTR-3'!$I$6)*(1+'Parametri MTR-3'!$J$6)</f>
        <v>4395004.8099407991</v>
      </c>
      <c r="D72" s="513">
        <f>D71*(1+'Parametri MTR-3'!$I$6)*(1+'Parametri MTR-3'!$J$6)</f>
        <v>434936.80137600005</v>
      </c>
      <c r="E72" s="513">
        <f>E71*(1+'Parametri MTR-3'!$I$6)*(1+'Parametri MTR-3'!$J$6)</f>
        <v>0</v>
      </c>
    </row>
    <row r="73" spans="1:5" ht="21" customHeight="1" outlineLevel="1" x14ac:dyDescent="0.2">
      <c r="A73" s="85" t="s">
        <v>5010</v>
      </c>
      <c r="B73" s="478" t="s">
        <v>563</v>
      </c>
      <c r="C73" s="479">
        <f>C14</f>
        <v>0.40048000032170339</v>
      </c>
      <c r="D73" s="479">
        <f t="shared" ref="D73:E73" si="20">D14</f>
        <v>0</v>
      </c>
      <c r="E73" s="479">
        <f t="shared" si="20"/>
        <v>0</v>
      </c>
    </row>
    <row r="74" spans="1:5" outlineLevel="1" x14ac:dyDescent="0.2"/>
    <row r="75" spans="1:5" ht="11.4" outlineLevel="1" x14ac:dyDescent="0.25">
      <c r="A75" s="85" t="s">
        <v>966</v>
      </c>
      <c r="B75" s="449" t="s">
        <v>959</v>
      </c>
      <c r="C75" s="206">
        <f>INDEX(IN_PAR!$A$3:$YE$413,MATCH('IN_Calcolo H'!$A75,IN_PAR!$A$3:$A$413,0),MATCH('IN_Calcolo H'!C$3,IN_PAR!$A$3:$YE$3,0))</f>
        <v>0</v>
      </c>
      <c r="D75" s="206">
        <f>INDEX(IN_PAR!$A$3:$YE$413,MATCH('IN_Calcolo H'!$A75,IN_PAR!$A$3:$A$413,0),MATCH('IN_Calcolo H'!D$3,IN_PAR!$A$3:$YE$3,0))</f>
        <v>0</v>
      </c>
      <c r="E75" s="206">
        <f>INDEX(IN_PAR!$A$3:$YE$413,MATCH('IN_Calcolo H'!$A75,IN_PAR!$A$3:$A$413,0),MATCH('IN_Calcolo H'!E$3,IN_PAR!$A$3:$YE$3,0))</f>
        <v>0</v>
      </c>
    </row>
    <row r="76" spans="1:5" ht="11.4" outlineLevel="1" x14ac:dyDescent="0.25">
      <c r="A76" s="85" t="s">
        <v>5254</v>
      </c>
      <c r="B76" s="483" t="s">
        <v>5253</v>
      </c>
      <c r="C76" s="207">
        <f>ABS(C75)/10</f>
        <v>0</v>
      </c>
      <c r="D76" s="207">
        <f t="shared" ref="D76:E76" si="21">ABS(D75)/10</f>
        <v>0</v>
      </c>
      <c r="E76" s="207">
        <f t="shared" si="21"/>
        <v>0</v>
      </c>
    </row>
    <row r="77" spans="1:5" outlineLevel="1" x14ac:dyDescent="0.2">
      <c r="A77" s="85" t="s">
        <v>585</v>
      </c>
      <c r="B77" s="483" t="s">
        <v>583</v>
      </c>
      <c r="C77" s="207">
        <f>IFERROR(1/C10,0)</f>
        <v>1.2624668602449185</v>
      </c>
      <c r="D77" s="207">
        <f t="shared" ref="D77:E77" si="22">IFERROR(1/D10,0)</f>
        <v>1.3068478829064296</v>
      </c>
      <c r="E77" s="207">
        <f t="shared" si="22"/>
        <v>1.3119916032537391</v>
      </c>
    </row>
    <row r="78" spans="1:5" outlineLevel="1" x14ac:dyDescent="0.2">
      <c r="A78" s="85" t="s">
        <v>1372</v>
      </c>
      <c r="B78" s="445" t="s">
        <v>584</v>
      </c>
      <c r="C78" s="208">
        <f>MIN(2*C76,C77*C76)</f>
        <v>0</v>
      </c>
      <c r="D78" s="208">
        <f t="shared" ref="D78:E78" si="23">MIN(2*D76,D77*D76)</f>
        <v>0</v>
      </c>
      <c r="E78" s="208">
        <f t="shared" si="23"/>
        <v>0</v>
      </c>
    </row>
    <row r="79" spans="1:5" outlineLevel="1" x14ac:dyDescent="0.2">
      <c r="A79" s="85" t="s">
        <v>587</v>
      </c>
      <c r="B79" s="56" t="s">
        <v>586</v>
      </c>
      <c r="C79" s="81">
        <f>1+C78</f>
        <v>1</v>
      </c>
      <c r="D79" s="81">
        <f t="shared" ref="D79:E79" si="24">1+D78</f>
        <v>1</v>
      </c>
      <c r="E79" s="81">
        <f t="shared" si="24"/>
        <v>1</v>
      </c>
    </row>
    <row r="81" spans="1:5" ht="11.4" x14ac:dyDescent="0.25">
      <c r="A81" s="85" t="s">
        <v>588</v>
      </c>
      <c r="B81" s="464" t="s">
        <v>5255</v>
      </c>
      <c r="C81" s="510">
        <f>C71*C73*C79</f>
        <v>1705137.8823713276</v>
      </c>
      <c r="D81" s="510">
        <f t="shared" ref="D81:E81" si="25">D71*D73*D79</f>
        <v>0</v>
      </c>
      <c r="E81" s="510">
        <f t="shared" si="25"/>
        <v>0</v>
      </c>
    </row>
    <row r="82" spans="1:5" ht="11.4" x14ac:dyDescent="0.25">
      <c r="A82" s="85" t="s">
        <v>589</v>
      </c>
      <c r="B82" s="465" t="s">
        <v>5256</v>
      </c>
      <c r="C82" s="511">
        <f>C81*(1+'Parametri MTR-3'!$I$6)*(1+'Parametri MTR-3'!$J$6)</f>
        <v>1760111.5276989792</v>
      </c>
      <c r="D82" s="511">
        <f>D81*(1+'Parametri MTR-3'!$I$6)*(1+'Parametri MTR-3'!$J$6)</f>
        <v>0</v>
      </c>
      <c r="E82" s="511">
        <f>E81*(1+'Parametri MTR-3'!$I$6)*(1+'Parametri MTR-3'!$J$6)</f>
        <v>0</v>
      </c>
    </row>
    <row r="83" spans="1:5" ht="21" customHeight="1" x14ac:dyDescent="0.2">
      <c r="A83" s="85" t="s">
        <v>5304</v>
      </c>
      <c r="B83" s="478" t="s">
        <v>596</v>
      </c>
      <c r="C83" s="479">
        <f>IFERROR(C82/C72,0)</f>
        <v>0.40048000032170339</v>
      </c>
      <c r="D83" s="479">
        <f t="shared" ref="D83:E83" si="26">IFERROR(D82/D72,0)</f>
        <v>0</v>
      </c>
      <c r="E83" s="479">
        <f t="shared" si="26"/>
        <v>0</v>
      </c>
    </row>
    <row r="85" spans="1:5" ht="11.4" x14ac:dyDescent="0.2">
      <c r="B85" s="461" t="s">
        <v>5259</v>
      </c>
    </row>
    <row r="86" spans="1:5" ht="11.4" x14ac:dyDescent="0.25">
      <c r="A86" s="85" t="s">
        <v>570</v>
      </c>
      <c r="B86" s="464" t="s">
        <v>5257</v>
      </c>
      <c r="C86" s="510">
        <f>IF(C$6='Parametri MTR-3'!$C$41,'IN_Calcolo H'!C66,IF('IN_Calcolo H'!C$6='Parametri MTR-3'!$C$42,'IN_Calcolo H'!C81,"-"))</f>
        <v>1705137.8823713276</v>
      </c>
      <c r="D86" s="510" t="str">
        <f>IF(D$6='Parametri MTR-3'!$C$41,'IN_Calcolo H'!D66,IF('IN_Calcolo H'!D$6='Parametri MTR-3'!$C$42,'IN_Calcolo H'!D81,"-"))</f>
        <v>-</v>
      </c>
      <c r="E86" s="510" t="str">
        <f>IF(E$6='Parametri MTR-3'!$C$41,'IN_Calcolo H'!E66,IF('IN_Calcolo H'!E$6='Parametri MTR-3'!$C$42,'IN_Calcolo H'!E81,"-"))</f>
        <v>-</v>
      </c>
    </row>
    <row r="87" spans="1:5" ht="11.4" x14ac:dyDescent="0.25">
      <c r="A87" s="85" t="s">
        <v>571</v>
      </c>
      <c r="B87" s="465" t="s">
        <v>5258</v>
      </c>
      <c r="C87" s="511">
        <f>IF(C86="-","-",C86*(1+'Parametri MTR-3'!$I$6)*(1+'Parametri MTR-3'!$J$6))</f>
        <v>1760111.5276989792</v>
      </c>
      <c r="D87" s="511" t="str">
        <f>IF(D86="-","-",D86*(1+'Parametri MTR-3'!$I$6)*(1+'Parametri MTR-3'!$J$6))</f>
        <v>-</v>
      </c>
      <c r="E87" s="511" t="str">
        <f>IF(E86="-","-",E86*(1+'Parametri MTR-3'!$I$6)*(1+'Parametri MTR-3'!$J$6))</f>
        <v>-</v>
      </c>
    </row>
    <row r="89" spans="1:5" ht="11.4" x14ac:dyDescent="0.2">
      <c r="B89" s="461" t="s">
        <v>5260</v>
      </c>
    </row>
    <row r="90" spans="1:5" ht="11.4" outlineLevel="1" x14ac:dyDescent="0.2">
      <c r="A90" s="7" t="s">
        <v>3258</v>
      </c>
      <c r="B90" s="486" t="s">
        <v>5306</v>
      </c>
      <c r="C90" s="514">
        <f>INDEX(PEF_GEST_26!$A$3:$AAA$102,MATCH($A90,PEF_GEST_26!$A$3:$A$102,0),MATCH(C$3,PEF_GEST_26!$A$3:$AAA$3,0))</f>
        <v>2041520.3605104</v>
      </c>
      <c r="D90" s="514">
        <f>INDEX(PEF_GEST_26!$A$3:$AAA$102,MATCH($A90,PEF_GEST_26!$A$3:$A$102,0),MATCH(D$3,PEF_GEST_26!$A$3:$AAA$3,0))</f>
        <v>52656.265595999997</v>
      </c>
      <c r="E90" s="514">
        <f>INDEX(PEF_GEST_26!$A$3:$AAA$102,MATCH($A90,PEF_GEST_26!$A$3:$A$102,0),MATCH(E$3,PEF_GEST_26!$A$3:$AAA$3,0))</f>
        <v>0</v>
      </c>
    </row>
    <row r="91" spans="1:5" ht="11.4" outlineLevel="1" x14ac:dyDescent="0.2">
      <c r="A91" s="7" t="s">
        <v>5261</v>
      </c>
      <c r="B91" s="485" t="s">
        <v>5311</v>
      </c>
      <c r="C91" s="468">
        <f>INDEX(PEF_COM_26!$A$3:$AAA$102,MATCH($A91,PEF_COM_26!$A$3:$A$102,0),MATCH(C$3,PEF_COM_26!$A$3:$AAA$3,0))</f>
        <v>0</v>
      </c>
      <c r="D91" s="468">
        <f>INDEX(PEF_COM_26!$A$3:$AAA$102,MATCH($A91,PEF_COM_26!$A$3:$A$102,0),MATCH(D$3,PEF_COM_26!$A$3:$AAA$3,0))</f>
        <v>0</v>
      </c>
      <c r="E91" s="468">
        <f>INDEX(PEF_COM_26!$A$3:$AAA$102,MATCH($A91,PEF_COM_26!$A$3:$A$102,0),MATCH(E$3,PEF_COM_26!$A$3:$AAA$3,0))</f>
        <v>0</v>
      </c>
    </row>
    <row r="92" spans="1:5" ht="11.4" outlineLevel="1" x14ac:dyDescent="0.2">
      <c r="A92" s="7" t="s">
        <v>5305</v>
      </c>
      <c r="B92" s="487" t="s">
        <v>5312</v>
      </c>
      <c r="C92" s="515">
        <f>C90+C91</f>
        <v>2041520.3605104</v>
      </c>
      <c r="D92" s="515">
        <f t="shared" ref="D92:E92" si="27">D90+D91</f>
        <v>52656.265595999997</v>
      </c>
      <c r="E92" s="515">
        <f t="shared" si="27"/>
        <v>0</v>
      </c>
    </row>
    <row r="93" spans="1:5" outlineLevel="1" x14ac:dyDescent="0.2">
      <c r="A93" s="7"/>
      <c r="B93" s="678"/>
      <c r="C93" s="679"/>
      <c r="D93" s="679"/>
      <c r="E93" s="679"/>
    </row>
    <row r="94" spans="1:5" ht="21" customHeight="1" outlineLevel="1" x14ac:dyDescent="0.2">
      <c r="A94" s="31" t="s">
        <v>3261</v>
      </c>
      <c r="B94" s="488" t="s">
        <v>5262</v>
      </c>
      <c r="C94" s="852">
        <f>INDEX(PEF_GEST_26!$A$3:$AAA$102,MATCH($A94,PEF_GEST_26!$A$3:$A$102,0),MATCH(C$3,PEF_GEST_26!$A$3:$AAA$3,0))</f>
        <v>15445901.47535269</v>
      </c>
      <c r="D94" s="852">
        <f>INDEX(PEF_GEST_26!$A$3:$AAA$102,MATCH($A94,PEF_GEST_26!$A$3:$A$102,0),MATCH(D$3,PEF_GEST_26!$A$3:$AAA$3,0))</f>
        <v>1256451.1339875134</v>
      </c>
      <c r="E94" s="852">
        <f>INDEX(PEF_GEST_26!$A$3:$AAA$102,MATCH($A94,PEF_GEST_26!$A$3:$A$102,0),MATCH(E$3,PEF_GEST_26!$A$3:$AAA$3,0))</f>
        <v>0</v>
      </c>
    </row>
    <row r="95" spans="1:5" ht="21.6" outlineLevel="1" x14ac:dyDescent="0.2">
      <c r="A95" s="31" t="s">
        <v>5263</v>
      </c>
      <c r="B95" s="489" t="s">
        <v>5264</v>
      </c>
      <c r="C95" s="853">
        <f>INDEX(PEF_COM_26!$A$3:$AAA$102,MATCH($A95,PEF_COM_26!$A$3:$A$102,0),MATCH(C$3,PEF_COM_26!$A$3:$AAA$3,0))</f>
        <v>0</v>
      </c>
      <c r="D95" s="853">
        <f>INDEX(PEF_COM_26!$A$3:$AAA$102,MATCH($A95,PEF_COM_26!$A$3:$A$102,0),MATCH(D$3,PEF_COM_26!$A$3:$AAA$3,0))</f>
        <v>0</v>
      </c>
      <c r="E95" s="853">
        <f>INDEX(PEF_COM_26!$A$3:$AAA$102,MATCH($A95,PEF_COM_26!$A$3:$A$102,0),MATCH(E$3,PEF_COM_26!$A$3:$AAA$3,0))</f>
        <v>54149.194963047281</v>
      </c>
    </row>
    <row r="96" spans="1:5" ht="21.6" outlineLevel="1" x14ac:dyDescent="0.2">
      <c r="A96" s="31" t="s">
        <v>5265</v>
      </c>
      <c r="B96" s="490" t="s">
        <v>5266</v>
      </c>
      <c r="C96" s="516">
        <f>C94+C95</f>
        <v>15445901.47535269</v>
      </c>
      <c r="D96" s="516">
        <f t="shared" ref="D96:E96" si="28">D94+D95</f>
        <v>1256451.1339875134</v>
      </c>
      <c r="E96" s="516">
        <f t="shared" si="28"/>
        <v>54149.194963047281</v>
      </c>
    </row>
    <row r="97" spans="1:5" outlineLevel="1" x14ac:dyDescent="0.2">
      <c r="A97" s="7"/>
      <c r="B97" s="678"/>
      <c r="C97" s="679"/>
      <c r="D97" s="679"/>
      <c r="E97" s="679"/>
    </row>
    <row r="98" spans="1:5" ht="11.4" outlineLevel="1" x14ac:dyDescent="0.2">
      <c r="A98" s="7" t="s">
        <v>5267</v>
      </c>
      <c r="B98" s="486" t="s">
        <v>5307</v>
      </c>
      <c r="C98" s="514">
        <f>INDEX(PEF_GEST_26!$A$3:$AAA$102,MATCH($A98,PEF_GEST_26!$A$3:$A$102,0),MATCH(C$3,PEF_GEST_26!$A$3:$AAA$3,0))</f>
        <v>1190309.4102530398</v>
      </c>
      <c r="D98" s="514">
        <f>INDEX(PEF_GEST_26!$A$3:$AAA$102,MATCH($A98,PEF_GEST_26!$A$3:$A$102,0),MATCH(D$3,PEF_GEST_26!$A$3:$AAA$3,0))</f>
        <v>0</v>
      </c>
      <c r="E98" s="514">
        <f>INDEX(PEF_GEST_26!$A$3:$AAA$102,MATCH($A98,PEF_GEST_26!$A$3:$A$102,0),MATCH(E$3,PEF_GEST_26!$A$3:$AAA$3,0))</f>
        <v>0</v>
      </c>
    </row>
    <row r="99" spans="1:5" ht="11.4" outlineLevel="1" x14ac:dyDescent="0.2">
      <c r="A99" s="7" t="s">
        <v>5268</v>
      </c>
      <c r="B99" s="485" t="s">
        <v>5308</v>
      </c>
      <c r="C99" s="468">
        <f>INDEX(PEF_COM_26!$A$3:$AAA$102,MATCH($A99,PEF_COM_26!$A$3:$A$102,0),MATCH(C$3,PEF_COM_26!$A$3:$AAA$3,0))</f>
        <v>0</v>
      </c>
      <c r="D99" s="468">
        <f>INDEX(PEF_COM_26!$A$3:$AAA$102,MATCH($A99,PEF_COM_26!$A$3:$A$102,0),MATCH(D$3,PEF_COM_26!$A$3:$AAA$3,0))</f>
        <v>0</v>
      </c>
      <c r="E99" s="468">
        <f>INDEX(PEF_COM_26!$A$3:$AAA$102,MATCH($A99,PEF_COM_26!$A$3:$A$102,0),MATCH(E$3,PEF_COM_26!$A$3:$AAA$3,0))</f>
        <v>0</v>
      </c>
    </row>
    <row r="100" spans="1:5" ht="11.4" outlineLevel="1" x14ac:dyDescent="0.2">
      <c r="A100" s="7" t="s">
        <v>5269</v>
      </c>
      <c r="B100" s="492" t="s">
        <v>5313</v>
      </c>
      <c r="C100" s="515">
        <f>C98+C99</f>
        <v>1190309.4102530398</v>
      </c>
      <c r="D100" s="515">
        <f t="shared" ref="D100:E100" si="29">D98+D99</f>
        <v>0</v>
      </c>
      <c r="E100" s="515">
        <f t="shared" si="29"/>
        <v>0</v>
      </c>
    </row>
    <row r="101" spans="1:5" outlineLevel="1" x14ac:dyDescent="0.2">
      <c r="A101" s="7"/>
      <c r="B101" s="678"/>
      <c r="C101" s="679"/>
      <c r="D101" s="679"/>
      <c r="E101" s="679"/>
    </row>
    <row r="102" spans="1:5" outlineLevel="1" x14ac:dyDescent="0.2">
      <c r="A102" s="7" t="s">
        <v>5270</v>
      </c>
      <c r="B102" s="486" t="s">
        <v>5309</v>
      </c>
      <c r="C102" s="514">
        <f t="shared" ref="C102:C103" si="30">C94+C98</f>
        <v>16636210.88560573</v>
      </c>
      <c r="D102" s="514">
        <f t="shared" ref="D102:E102" si="31">D94+D98</f>
        <v>1256451.1339875134</v>
      </c>
      <c r="E102" s="514">
        <f t="shared" si="31"/>
        <v>0</v>
      </c>
    </row>
    <row r="103" spans="1:5" outlineLevel="1" x14ac:dyDescent="0.2">
      <c r="A103" s="7" t="s">
        <v>5271</v>
      </c>
      <c r="B103" s="485" t="s">
        <v>5310</v>
      </c>
      <c r="C103" s="468">
        <f t="shared" si="30"/>
        <v>0</v>
      </c>
      <c r="D103" s="468">
        <f t="shared" ref="D103:E103" si="32">D95+D99</f>
        <v>0</v>
      </c>
      <c r="E103" s="468">
        <f t="shared" si="32"/>
        <v>54149.194963047281</v>
      </c>
    </row>
    <row r="104" spans="1:5" ht="11.4" outlineLevel="1" x14ac:dyDescent="0.2">
      <c r="A104" s="7" t="s">
        <v>5272</v>
      </c>
      <c r="B104" s="487" t="s">
        <v>5314</v>
      </c>
      <c r="C104" s="515">
        <f>C102+C103</f>
        <v>16636210.88560573</v>
      </c>
      <c r="D104" s="515">
        <f t="shared" ref="D104:E104" si="33">D102+D103</f>
        <v>1256451.1339875134</v>
      </c>
      <c r="E104" s="515">
        <f t="shared" si="33"/>
        <v>54149.194963047281</v>
      </c>
    </row>
    <row r="105" spans="1:5" x14ac:dyDescent="0.2">
      <c r="A105" s="7"/>
      <c r="B105" s="678"/>
      <c r="C105" s="679"/>
      <c r="D105" s="679"/>
      <c r="E105" s="679"/>
    </row>
    <row r="106" spans="1:5" ht="11.4" x14ac:dyDescent="0.2">
      <c r="A106" s="7" t="s">
        <v>5332</v>
      </c>
      <c r="B106" s="493" t="s">
        <v>5315</v>
      </c>
      <c r="C106" s="463">
        <f>IF(C$6='Parametri MTR-3'!$C$41,C92*(C67/(C104-C92)),IF(C$6='Parametri MTR-3'!$C$42,C92*(C82/(C104-C92)),"-"))</f>
        <v>246206.2154992533</v>
      </c>
      <c r="D106" s="463" t="str">
        <f>IF(D$6='Parametri MTR-3'!$C$41,D92*(D67/(D104-D92)),IF(D$6='Parametri MTR-3'!$C$42,D92*(D82/(D104-D92)),"-"))</f>
        <v>-</v>
      </c>
      <c r="E106" s="463" t="str">
        <f>IF(E$6='Parametri MTR-3'!$C$41,E92*(E67/(E104-E92)),IF(E$6='Parametri MTR-3'!$C$42,E92*(E82/(E104-E92)),"-"))</f>
        <v>-</v>
      </c>
    </row>
    <row r="108" spans="1:5" ht="11.4" x14ac:dyDescent="0.2">
      <c r="B108" s="461" t="s">
        <v>5289</v>
      </c>
    </row>
    <row r="109" spans="1:5" ht="11.4" outlineLevel="1" x14ac:dyDescent="0.2">
      <c r="A109" s="7" t="s">
        <v>5273</v>
      </c>
      <c r="B109" s="491" t="s">
        <v>5316</v>
      </c>
      <c r="C109" s="514">
        <f>CK_GEST!E153</f>
        <v>319271.90858040837</v>
      </c>
      <c r="D109" s="514">
        <f>CK_GEST!F153</f>
        <v>17729.019605537935</v>
      </c>
      <c r="E109" s="514">
        <f>CK_GEST!G153</f>
        <v>0</v>
      </c>
    </row>
    <row r="110" spans="1:5" ht="11.4" outlineLevel="1" x14ac:dyDescent="0.2">
      <c r="A110" s="7" t="s">
        <v>5274</v>
      </c>
      <c r="B110" s="485" t="s">
        <v>5317</v>
      </c>
      <c r="C110" s="468">
        <f>CK_COM!E153</f>
        <v>0</v>
      </c>
      <c r="D110" s="468">
        <f>CK_COM!F153</f>
        <v>0</v>
      </c>
      <c r="E110" s="468">
        <f>CK_COM!G153</f>
        <v>2417.7561109055255</v>
      </c>
    </row>
    <row r="111" spans="1:5" ht="11.4" outlineLevel="1" x14ac:dyDescent="0.2">
      <c r="A111" s="7" t="s">
        <v>5275</v>
      </c>
      <c r="B111" s="492" t="s">
        <v>5318</v>
      </c>
      <c r="C111" s="515">
        <f>C109+C110</f>
        <v>319271.90858040837</v>
      </c>
      <c r="D111" s="515">
        <f t="shared" ref="D111:E111" si="34">D109+D110</f>
        <v>17729.019605537935</v>
      </c>
      <c r="E111" s="515">
        <f t="shared" si="34"/>
        <v>2417.7561109055255</v>
      </c>
    </row>
    <row r="112" spans="1:5" ht="11.4" outlineLevel="1" x14ac:dyDescent="0.2">
      <c r="A112" s="7" t="s">
        <v>5276</v>
      </c>
      <c r="B112" s="491" t="s">
        <v>5319</v>
      </c>
      <c r="C112" s="514">
        <f>CK_GEST!E154</f>
        <v>320264.59024354455</v>
      </c>
      <c r="D112" s="514">
        <f>CK_GEST!F154</f>
        <v>0</v>
      </c>
      <c r="E112" s="514">
        <f>CK_GEST!G154</f>
        <v>0</v>
      </c>
    </row>
    <row r="113" spans="1:5" ht="11.4" outlineLevel="1" x14ac:dyDescent="0.2">
      <c r="A113" s="7" t="s">
        <v>5277</v>
      </c>
      <c r="B113" s="485" t="s">
        <v>5320</v>
      </c>
      <c r="C113" s="468">
        <f>CK_COM!E154</f>
        <v>0</v>
      </c>
      <c r="D113" s="468">
        <f>CK_COM!F154</f>
        <v>0</v>
      </c>
      <c r="E113" s="468">
        <f>CK_COM!G154</f>
        <v>0</v>
      </c>
    </row>
    <row r="114" spans="1:5" ht="11.4" outlineLevel="1" x14ac:dyDescent="0.2">
      <c r="A114" s="7" t="s">
        <v>5278</v>
      </c>
      <c r="B114" s="492" t="s">
        <v>5321</v>
      </c>
      <c r="C114" s="515">
        <f>C112+C113</f>
        <v>320264.59024354455</v>
      </c>
      <c r="D114" s="515">
        <f t="shared" ref="D114:E114" si="35">D112+D113</f>
        <v>0</v>
      </c>
      <c r="E114" s="515">
        <f t="shared" si="35"/>
        <v>0</v>
      </c>
    </row>
    <row r="115" spans="1:5" ht="11.4" outlineLevel="1" x14ac:dyDescent="0.2">
      <c r="A115" s="7" t="s">
        <v>5279</v>
      </c>
      <c r="B115" s="491" t="s">
        <v>5322</v>
      </c>
      <c r="C115" s="514">
        <f>CK_GEST!E155</f>
        <v>197278.34480201761</v>
      </c>
      <c r="D115" s="514">
        <f>CK_GEST!F155</f>
        <v>13000.380055068088</v>
      </c>
      <c r="E115" s="514">
        <f>CK_GEST!G155</f>
        <v>0</v>
      </c>
    </row>
    <row r="116" spans="1:5" ht="11.4" outlineLevel="1" x14ac:dyDescent="0.2">
      <c r="A116" s="7" t="s">
        <v>5280</v>
      </c>
      <c r="B116" s="485" t="s">
        <v>5323</v>
      </c>
      <c r="C116" s="468">
        <f>CK_COM!E155</f>
        <v>0</v>
      </c>
      <c r="D116" s="468">
        <f>CK_COM!F155</f>
        <v>0</v>
      </c>
      <c r="E116" s="468">
        <f>CK_COM!G155</f>
        <v>549.32222752528457</v>
      </c>
    </row>
    <row r="117" spans="1:5" ht="11.4" outlineLevel="1" x14ac:dyDescent="0.2">
      <c r="A117" s="7" t="s">
        <v>5281</v>
      </c>
      <c r="B117" s="492" t="s">
        <v>5324</v>
      </c>
      <c r="C117" s="515">
        <f>C115+C116</f>
        <v>197278.34480201761</v>
      </c>
      <c r="D117" s="515">
        <f t="shared" ref="D117:E117" si="36">D115+D116</f>
        <v>13000.380055068088</v>
      </c>
      <c r="E117" s="515">
        <f t="shared" si="36"/>
        <v>549.32222752528457</v>
      </c>
    </row>
    <row r="118" spans="1:5" ht="11.4" outlineLevel="1" x14ac:dyDescent="0.2">
      <c r="A118" s="7" t="s">
        <v>5282</v>
      </c>
      <c r="B118" s="491" t="s">
        <v>5325</v>
      </c>
      <c r="C118" s="514">
        <f>CK_GEST!E156</f>
        <v>1651.6967105094366</v>
      </c>
      <c r="D118" s="514">
        <f>CK_GEST!F156</f>
        <v>0</v>
      </c>
      <c r="E118" s="514">
        <f>CK_GEST!G156</f>
        <v>0</v>
      </c>
    </row>
    <row r="119" spans="1:5" ht="11.4" outlineLevel="1" x14ac:dyDescent="0.2">
      <c r="A119" s="7" t="s">
        <v>5283</v>
      </c>
      <c r="B119" s="485" t="s">
        <v>5326</v>
      </c>
      <c r="C119" s="468">
        <f>CK_COM!E156</f>
        <v>0</v>
      </c>
      <c r="D119" s="468">
        <f>CK_COM!F156</f>
        <v>0</v>
      </c>
      <c r="E119" s="468">
        <f>CK_COM!G156</f>
        <v>0</v>
      </c>
    </row>
    <row r="120" spans="1:5" ht="11.4" outlineLevel="1" x14ac:dyDescent="0.2">
      <c r="A120" s="7" t="s">
        <v>5284</v>
      </c>
      <c r="B120" s="492" t="s">
        <v>5327</v>
      </c>
      <c r="C120" s="515">
        <f>C118+C119</f>
        <v>1651.6967105094366</v>
      </c>
      <c r="D120" s="515">
        <f t="shared" ref="D120:E120" si="37">D118+D119</f>
        <v>0</v>
      </c>
      <c r="E120" s="515">
        <f t="shared" si="37"/>
        <v>0</v>
      </c>
    </row>
    <row r="121" spans="1:5" ht="11.4" outlineLevel="1" x14ac:dyDescent="0.2">
      <c r="A121" s="7" t="s">
        <v>5285</v>
      </c>
      <c r="B121" s="491" t="s">
        <v>5328</v>
      </c>
      <c r="C121" s="514">
        <f>CK_GEST!E157</f>
        <v>0</v>
      </c>
      <c r="D121" s="514">
        <f>CK_GEST!F157</f>
        <v>0</v>
      </c>
      <c r="E121" s="514">
        <f>CK_GEST!G157</f>
        <v>0</v>
      </c>
    </row>
    <row r="122" spans="1:5" ht="11.4" outlineLevel="1" x14ac:dyDescent="0.2">
      <c r="A122" s="7" t="s">
        <v>5286</v>
      </c>
      <c r="B122" s="485" t="s">
        <v>5329</v>
      </c>
      <c r="C122" s="468">
        <f>CK_COM!E157</f>
        <v>0</v>
      </c>
      <c r="D122" s="468">
        <f>CK_COM!F157</f>
        <v>0</v>
      </c>
      <c r="E122" s="468">
        <f>CK_COM!G157</f>
        <v>0</v>
      </c>
    </row>
    <row r="123" spans="1:5" ht="11.4" outlineLevel="1" x14ac:dyDescent="0.2">
      <c r="A123" s="7" t="s">
        <v>5287</v>
      </c>
      <c r="B123" s="487" t="s">
        <v>5330</v>
      </c>
      <c r="C123" s="515">
        <f>C121+C122</f>
        <v>0</v>
      </c>
      <c r="D123" s="515">
        <f t="shared" ref="D123:E123" si="38">D121+D122</f>
        <v>0</v>
      </c>
      <c r="E123" s="515">
        <f t="shared" si="38"/>
        <v>0</v>
      </c>
    </row>
    <row r="124" spans="1:5" x14ac:dyDescent="0.2">
      <c r="A124" s="7"/>
      <c r="B124" s="678"/>
      <c r="C124" s="679"/>
      <c r="D124" s="679"/>
      <c r="E124" s="679"/>
    </row>
    <row r="125" spans="1:5" ht="11.4" x14ac:dyDescent="0.2">
      <c r="A125" s="7" t="s">
        <v>5288</v>
      </c>
      <c r="B125" s="493" t="s">
        <v>5331</v>
      </c>
      <c r="C125" s="463">
        <f t="shared" ref="C125" si="39">C111+C114+C117+C120+C123</f>
        <v>838466.5403364799</v>
      </c>
      <c r="D125" s="463">
        <f t="shared" ref="D125:E125" si="40">D111+D114+D117+D120+D123</f>
        <v>30729.399660606025</v>
      </c>
      <c r="E125" s="463">
        <f t="shared" si="40"/>
        <v>2967.0783384308102</v>
      </c>
    </row>
    <row r="126" spans="1:5" ht="11.4" x14ac:dyDescent="0.2">
      <c r="A126" s="7" t="s">
        <v>5333</v>
      </c>
      <c r="B126" s="493" t="s">
        <v>597</v>
      </c>
      <c r="C126" s="463">
        <f>IF(C$6='Parametri MTR-3'!$C$41,(C125*C68),IF(C$6='Parametri MTR-3'!$C$42,(C125*C83),"-"))</f>
        <v>335789.08034369099</v>
      </c>
      <c r="D126" s="463" t="str">
        <f>IF(D$6='Parametri MTR-3'!$C$41,(D125*D68),IF(D$6='Parametri MTR-3'!$C$42,(D125*D83),"-"))</f>
        <v>-</v>
      </c>
      <c r="E126" s="463" t="str">
        <f>IF(E$6='Parametri MTR-3'!$C$41,(E125*E68),IF(E$6='Parametri MTR-3'!$C$42,(E125*E83),"-"))</f>
        <v>-</v>
      </c>
    </row>
    <row r="128" spans="1:5" ht="11.4" x14ac:dyDescent="0.2">
      <c r="B128" s="461" t="s">
        <v>591</v>
      </c>
    </row>
    <row r="129" spans="1:5" ht="11.4" x14ac:dyDescent="0.25">
      <c r="A129" s="85" t="s">
        <v>571</v>
      </c>
      <c r="B129" s="494" t="s">
        <v>5258</v>
      </c>
      <c r="C129" s="517">
        <f>C87</f>
        <v>1760111.5276989792</v>
      </c>
      <c r="D129" s="517" t="str">
        <f t="shared" ref="D129:E129" si="41">D87</f>
        <v>-</v>
      </c>
      <c r="E129" s="517" t="str">
        <f t="shared" si="41"/>
        <v>-</v>
      </c>
    </row>
    <row r="130" spans="1:5" ht="11.4" x14ac:dyDescent="0.2">
      <c r="A130" s="7" t="s">
        <v>5332</v>
      </c>
      <c r="B130" s="495" t="s">
        <v>592</v>
      </c>
      <c r="C130" s="518">
        <f>C106</f>
        <v>246206.2154992533</v>
      </c>
      <c r="D130" s="518" t="str">
        <f t="shared" ref="D130:E130" si="42">D106</f>
        <v>-</v>
      </c>
      <c r="E130" s="518" t="str">
        <f t="shared" si="42"/>
        <v>-</v>
      </c>
    </row>
    <row r="131" spans="1:5" ht="11.4" x14ac:dyDescent="0.2">
      <c r="A131" s="7" t="s">
        <v>5333</v>
      </c>
      <c r="B131" s="487" t="s">
        <v>597</v>
      </c>
      <c r="C131" s="519">
        <f>C126</f>
        <v>335789.08034369099</v>
      </c>
      <c r="D131" s="519" t="str">
        <f t="shared" ref="D131:E131" si="43">D126</f>
        <v>-</v>
      </c>
      <c r="E131" s="519" t="str">
        <f t="shared" si="43"/>
        <v>-</v>
      </c>
    </row>
    <row r="132" spans="1:5" ht="11.4" x14ac:dyDescent="0.2">
      <c r="A132" s="85" t="s">
        <v>598</v>
      </c>
      <c r="B132" s="493" t="s">
        <v>599</v>
      </c>
      <c r="C132" s="463">
        <f>SUM(C129:C131)</f>
        <v>2342106.8235419234</v>
      </c>
      <c r="D132" s="463">
        <f t="shared" ref="D132:E132" si="44">SUM(D129:D131)</f>
        <v>0</v>
      </c>
      <c r="E132" s="463">
        <f t="shared" si="44"/>
        <v>0</v>
      </c>
    </row>
    <row r="134" spans="1:5" ht="11.4" x14ac:dyDescent="0.2">
      <c r="B134" s="461" t="s">
        <v>5334</v>
      </c>
    </row>
    <row r="135" spans="1:5" ht="11.4" outlineLevel="1" x14ac:dyDescent="0.25">
      <c r="A135" s="85" t="s">
        <v>566</v>
      </c>
      <c r="B135" s="494" t="s">
        <v>567</v>
      </c>
      <c r="C135" s="514">
        <f>C32</f>
        <v>1396997.8075943999</v>
      </c>
      <c r="D135" s="514">
        <f t="shared" ref="D135:E135" si="45">D32</f>
        <v>0</v>
      </c>
      <c r="E135" s="514">
        <f t="shared" si="45"/>
        <v>0</v>
      </c>
    </row>
    <row r="136" spans="1:5" ht="11.4" outlineLevel="1" x14ac:dyDescent="0.2">
      <c r="A136" s="85" t="s">
        <v>598</v>
      </c>
      <c r="B136" s="487" t="s">
        <v>599</v>
      </c>
      <c r="C136" s="468">
        <f>C132</f>
        <v>2342106.8235419234</v>
      </c>
      <c r="D136" s="468">
        <f t="shared" ref="D136:E136" si="46">D132</f>
        <v>0</v>
      </c>
      <c r="E136" s="468">
        <f t="shared" si="46"/>
        <v>0</v>
      </c>
    </row>
    <row r="137" spans="1:5" ht="11.4" x14ac:dyDescent="0.25">
      <c r="A137" s="85" t="s">
        <v>5336</v>
      </c>
      <c r="B137" s="56" t="s">
        <v>5335</v>
      </c>
      <c r="C137" s="497">
        <f>IFERROR(C135/C136,0)</f>
        <v>0.59647057664165237</v>
      </c>
      <c r="D137" s="497">
        <f t="shared" ref="D137:E137" si="47">IFERROR(D135/D136,0)</f>
        <v>0</v>
      </c>
      <c r="E137" s="497">
        <f t="shared" si="47"/>
        <v>0</v>
      </c>
    </row>
    <row r="138" spans="1:5" ht="11.4" x14ac:dyDescent="0.25">
      <c r="A138" s="85" t="s">
        <v>5337</v>
      </c>
      <c r="B138" s="56" t="s">
        <v>5338</v>
      </c>
      <c r="C138" s="60" t="str">
        <f>IF(AND(C137&gt;='Parametri MTR-3'!$V4,C137&lt;='Parametri MTR-3'!$W4),'Parametri MTR-3'!$X4,
IF(AND(C137&gt;='Parametri MTR-3'!$V5,C137&lt;'Parametri MTR-3'!$W5),'Parametri MTR-3'!$X5,
IF(AND(C137&gt;='Parametri MTR-3'!$V6,C137&lt;'Parametri MTR-3'!$W6),'Parametri MTR-3'!$X6,
IF(AND(C137&gt;='Parametri MTR-3'!$V7,C137&lt;'Parametri MTR-3'!$W7),'Parametri MTR-3'!$X7,
IF(AND(C137&gt;='Parametri MTR-3'!$V8,C137&lt;'Parametri MTR-3'!$W8),'Parametri MTR-3'!$X8,
IF(AND(C137&gt;='Parametri MTR-3'!$V9,C137&lt;'Parametri MTR-3'!$W9),'Parametri MTR-3'!$X9,
IF(AND(C137&gt;='Parametri MTR-3'!$V10,C137&lt;'Parametri MTR-3'!$W10),'Parametri MTR-3'!$X10,
IF(AND(C137&gt;='Parametri MTR-3'!$V11,C137&lt;'Parametri MTR-3'!$W11),'Parametri MTR-3'!$X11,
IF(AND(C137&gt;='Parametri MTR-3'!$V12,C137&lt;'Parametri MTR-3'!$W12),'Parametri MTR-3'!$X12)))))))))</f>
        <v>D</v>
      </c>
      <c r="D138" s="60" t="str">
        <f>IF(AND(D137&gt;='Parametri MTR-3'!$V4,D137&lt;='Parametri MTR-3'!$W4),'Parametri MTR-3'!$X4,
IF(AND(D137&gt;='Parametri MTR-3'!$V5,D137&lt;'Parametri MTR-3'!$W5),'Parametri MTR-3'!$X5,
IF(AND(D137&gt;='Parametri MTR-3'!$V6,D137&lt;'Parametri MTR-3'!$W6),'Parametri MTR-3'!$X6,
IF(AND(D137&gt;='Parametri MTR-3'!$V7,D137&lt;'Parametri MTR-3'!$W7),'Parametri MTR-3'!$X7,
IF(AND(D137&gt;='Parametri MTR-3'!$V8,D137&lt;'Parametri MTR-3'!$W8),'Parametri MTR-3'!$X8,
IF(AND(D137&gt;='Parametri MTR-3'!$V9,D137&lt;'Parametri MTR-3'!$W9),'Parametri MTR-3'!$X9,
IF(AND(D137&gt;='Parametri MTR-3'!$V10,D137&lt;'Parametri MTR-3'!$W10),'Parametri MTR-3'!$X10,
IF(AND(D137&gt;='Parametri MTR-3'!$V11,D137&lt;'Parametri MTR-3'!$W11),'Parametri MTR-3'!$X11,
IF(AND(D137&gt;='Parametri MTR-3'!$V12,D137&lt;'Parametri MTR-3'!$W12),'Parametri MTR-3'!$X12)))))))))</f>
        <v>I</v>
      </c>
      <c r="E138" s="60" t="str">
        <f>IF(AND(E137&gt;='Parametri MTR-3'!$V4,E137&lt;='Parametri MTR-3'!$W4),'Parametri MTR-3'!$X4,
IF(AND(E137&gt;='Parametri MTR-3'!$V5,E137&lt;'Parametri MTR-3'!$W5),'Parametri MTR-3'!$X5,
IF(AND(E137&gt;='Parametri MTR-3'!$V6,E137&lt;'Parametri MTR-3'!$W6),'Parametri MTR-3'!$X6,
IF(AND(E137&gt;='Parametri MTR-3'!$V7,E137&lt;'Parametri MTR-3'!$W7),'Parametri MTR-3'!$X7,
IF(AND(E137&gt;='Parametri MTR-3'!$V8,E137&lt;'Parametri MTR-3'!$W8),'Parametri MTR-3'!$X8,
IF(AND(E137&gt;='Parametri MTR-3'!$V9,E137&lt;'Parametri MTR-3'!$W9),'Parametri MTR-3'!$X9,
IF(AND(E137&gt;='Parametri MTR-3'!$V10,E137&lt;'Parametri MTR-3'!$W10),'Parametri MTR-3'!$X10,
IF(AND(E137&gt;='Parametri MTR-3'!$V11,E137&lt;'Parametri MTR-3'!$W11),'Parametri MTR-3'!$X11,
IF(AND(E137&gt;='Parametri MTR-3'!$V12,E137&lt;'Parametri MTR-3'!$W12),'Parametri MTR-3'!$X12)))))))))</f>
        <v>I</v>
      </c>
    </row>
    <row r="139" spans="1:5" x14ac:dyDescent="0.2">
      <c r="B139" s="56" t="s">
        <v>5290</v>
      </c>
      <c r="C139" s="66" t="str">
        <f>VLOOKUP(C138,'Parametri MTR-3'!$X$4:$Z$12,3,FALSE)</f>
        <v>Ha+1 = Ha + 0,020</v>
      </c>
      <c r="D139" s="66" t="str">
        <f>VLOOKUP(D138,'Parametri MTR-3'!$X$4:$Z$12,3,FALSE)</f>
        <v>Ha+1 = Ha + 0,050</v>
      </c>
      <c r="E139" s="66" t="str">
        <f>VLOOKUP(E138,'Parametri MTR-3'!$X$4:$Z$12,3,FALSE)</f>
        <v>Ha+1 = Ha + 0,050</v>
      </c>
    </row>
    <row r="140" spans="1:5" ht="11.4" x14ac:dyDescent="0.25">
      <c r="A140" s="85" t="s">
        <v>5291</v>
      </c>
      <c r="B140" s="56" t="s">
        <v>5339</v>
      </c>
      <c r="C140" s="497">
        <f>C137+VLOOKUP(C138,'Parametri MTR-3'!$X$3:$AA$12,4,FALSE)+VLOOKUP(C138,'Parametri MTR-3'!$X$3:$AA$12,4,FALSE)</f>
        <v>0.63647057664165241</v>
      </c>
      <c r="D140" s="497">
        <f>D137+VLOOKUP(D138,'Parametri MTR-3'!$X$3:$AA$12,4,FALSE)+VLOOKUP(D138,'Parametri MTR-3'!$X$3:$AA$12,4,FALSE)</f>
        <v>0.1</v>
      </c>
      <c r="E140" s="497">
        <f>E137+VLOOKUP(E138,'Parametri MTR-3'!$X$3:$AA$12,4,FALSE)+VLOOKUP(E138,'Parametri MTR-3'!$X$3:$AA$12,4,FALSE)</f>
        <v>0.1</v>
      </c>
    </row>
    <row r="141" spans="1:5" ht="11.4" x14ac:dyDescent="0.25">
      <c r="A141" s="85" t="s">
        <v>5292</v>
      </c>
      <c r="B141" s="56" t="s">
        <v>5293</v>
      </c>
      <c r="C141" s="60" t="str">
        <f>IF(AND(C140&gt;='Parametri MTR-3'!$V4,C140&lt;='Parametri MTR-3'!$W4),'Parametri MTR-3'!$X4,
IF(AND(C140&gt;='Parametri MTR-3'!$V5,C140&lt;'Parametri MTR-3'!$W5),'Parametri MTR-3'!$X5,
IF(AND(C140&gt;='Parametri MTR-3'!$V6,C140&lt;'Parametri MTR-3'!$W6),'Parametri MTR-3'!$X6,
IF(AND(C140&gt;='Parametri MTR-3'!$V7,C140&lt;'Parametri MTR-3'!$W7),'Parametri MTR-3'!$X7,
IF(AND(C140&gt;='Parametri MTR-3'!$V8,C140&lt;'Parametri MTR-3'!$W8),'Parametri MTR-3'!$X8,
IF(AND(C140&gt;='Parametri MTR-3'!$V9,C140&lt;'Parametri MTR-3'!$W9),'Parametri MTR-3'!$X9,
IF(AND(C140&gt;='Parametri MTR-3'!$V10,C140&lt;'Parametri MTR-3'!$W10),'Parametri MTR-3'!$X10,
IF(AND(C140&gt;='Parametri MTR-3'!$V11,C140&lt;'Parametri MTR-3'!$W11),'Parametri MTR-3'!$X11,
IF(AND(C140&gt;='Parametri MTR-3'!$V12,C140&lt;'Parametri MTR-3'!$W12),'Parametri MTR-3'!$X12)))))))))</f>
        <v>C</v>
      </c>
      <c r="D141" s="60" t="str">
        <f>IF(AND(D140&gt;='Parametri MTR-3'!$V4,D140&lt;='Parametri MTR-3'!$W4),'Parametri MTR-3'!$X4,
IF(AND(D140&gt;='Parametri MTR-3'!$V5,D140&lt;'Parametri MTR-3'!$W5),'Parametri MTR-3'!$X5,
IF(AND(D140&gt;='Parametri MTR-3'!$V6,D140&lt;'Parametri MTR-3'!$W6),'Parametri MTR-3'!$X6,
IF(AND(D140&gt;='Parametri MTR-3'!$V7,D140&lt;'Parametri MTR-3'!$W7),'Parametri MTR-3'!$X7,
IF(AND(D140&gt;='Parametri MTR-3'!$V8,D140&lt;'Parametri MTR-3'!$W8),'Parametri MTR-3'!$X8,
IF(AND(D140&gt;='Parametri MTR-3'!$V9,D140&lt;'Parametri MTR-3'!$W9),'Parametri MTR-3'!$X9,
IF(AND(D140&gt;='Parametri MTR-3'!$V10,D140&lt;'Parametri MTR-3'!$W10),'Parametri MTR-3'!$X10,
IF(AND(D140&gt;='Parametri MTR-3'!$V11,D140&lt;'Parametri MTR-3'!$W11),'Parametri MTR-3'!$X11,
IF(AND(D140&gt;='Parametri MTR-3'!$V12,D140&lt;'Parametri MTR-3'!$W12),'Parametri MTR-3'!$X12)))))))))</f>
        <v>H</v>
      </c>
      <c r="E141" s="60" t="str">
        <f>IF(AND(E140&gt;='Parametri MTR-3'!$V4,E140&lt;='Parametri MTR-3'!$W4),'Parametri MTR-3'!$X4,
IF(AND(E140&gt;='Parametri MTR-3'!$V5,E140&lt;'Parametri MTR-3'!$W5),'Parametri MTR-3'!$X5,
IF(AND(E140&gt;='Parametri MTR-3'!$V6,E140&lt;'Parametri MTR-3'!$W6),'Parametri MTR-3'!$X6,
IF(AND(E140&gt;='Parametri MTR-3'!$V7,E140&lt;'Parametri MTR-3'!$W7),'Parametri MTR-3'!$X7,
IF(AND(E140&gt;='Parametri MTR-3'!$V8,E140&lt;'Parametri MTR-3'!$W8),'Parametri MTR-3'!$X8,
IF(AND(E140&gt;='Parametri MTR-3'!$V9,E140&lt;'Parametri MTR-3'!$W9),'Parametri MTR-3'!$X9,
IF(AND(E140&gt;='Parametri MTR-3'!$V10,E140&lt;'Parametri MTR-3'!$W10),'Parametri MTR-3'!$X10,
IF(AND(E140&gt;='Parametri MTR-3'!$V11,E140&lt;'Parametri MTR-3'!$W11),'Parametri MTR-3'!$X11,
IF(AND(E140&gt;='Parametri MTR-3'!$V12,E140&lt;'Parametri MTR-3'!$W12),'Parametri MTR-3'!$X12)))))))))</f>
        <v>H</v>
      </c>
    </row>
    <row r="143" spans="1:5" ht="11.4" x14ac:dyDescent="0.2">
      <c r="B143" s="461" t="s">
        <v>5340</v>
      </c>
    </row>
    <row r="144" spans="1:5" ht="11.4" outlineLevel="1" x14ac:dyDescent="0.25">
      <c r="A144" s="85" t="s">
        <v>5341</v>
      </c>
      <c r="B144" s="442" t="s">
        <v>5343</v>
      </c>
      <c r="C144" s="668">
        <v>847964.97177920002</v>
      </c>
      <c r="D144" s="668">
        <v>0</v>
      </c>
      <c r="E144" s="668">
        <v>0</v>
      </c>
    </row>
    <row r="145" spans="1:5" ht="11.4" outlineLevel="1" x14ac:dyDescent="0.2">
      <c r="A145" s="85" t="s">
        <v>5342</v>
      </c>
      <c r="B145" s="669" t="s">
        <v>5344</v>
      </c>
      <c r="C145" s="670">
        <v>2449669.01782641</v>
      </c>
      <c r="D145" s="670">
        <v>0</v>
      </c>
      <c r="E145" s="670">
        <v>0</v>
      </c>
    </row>
    <row r="146" spans="1:5" ht="11.4" x14ac:dyDescent="0.25">
      <c r="A146" s="85" t="s">
        <v>5345</v>
      </c>
      <c r="B146" s="56" t="s">
        <v>5346</v>
      </c>
      <c r="C146" s="497">
        <f>IFERROR(C144/C145,0)</f>
        <v>0.34615491546347715</v>
      </c>
      <c r="D146" s="497">
        <f t="shared" ref="D146:E146" si="48">IFERROR(D144/D145,0)</f>
        <v>0</v>
      </c>
      <c r="E146" s="497">
        <f t="shared" si="48"/>
        <v>0</v>
      </c>
    </row>
    <row r="147" spans="1:5" ht="11.4" x14ac:dyDescent="0.25">
      <c r="A147" s="85" t="s">
        <v>5348</v>
      </c>
      <c r="B147" s="56" t="s">
        <v>5347</v>
      </c>
      <c r="C147" s="60" t="str">
        <f>IF(AND(C146&gt;='Parametri MTR-3'!$V4,C146&lt;='Parametri MTR-3'!$W4),'Parametri MTR-3'!$X4,
IF(AND(C146&gt;='Parametri MTR-3'!$V5,C146&lt;'Parametri MTR-3'!$W5),'Parametri MTR-3'!$X5,
IF(AND(C146&gt;='Parametri MTR-3'!$V6,C146&lt;'Parametri MTR-3'!$W6),'Parametri MTR-3'!$X6,
IF(AND(C146&gt;='Parametri MTR-3'!$V7,C146&lt;'Parametri MTR-3'!$W7),'Parametri MTR-3'!$X7,
IF(AND(C146&gt;='Parametri MTR-3'!$V8,C146&lt;'Parametri MTR-3'!$W8),'Parametri MTR-3'!$X8,
IF(AND(C146&gt;='Parametri MTR-3'!$V9,C146&lt;'Parametri MTR-3'!$W9),'Parametri MTR-3'!$X9,
IF(AND(C146&gt;='Parametri MTR-3'!$V10,C146&lt;'Parametri MTR-3'!$W10),'Parametri MTR-3'!$X10,
IF(AND(C146&gt;='Parametri MTR-3'!$V11,C146&lt;'Parametri MTR-3'!$W11),'Parametri MTR-3'!$X11,
IF(AND(C146&gt;='Parametri MTR-3'!$V12,C146&lt;'Parametri MTR-3'!$W12),'Parametri MTR-3'!$X12)))))))))</f>
        <v>F</v>
      </c>
      <c r="D147" s="60" t="str">
        <f>IF(AND(D146&gt;='Parametri MTR-3'!$V4,D146&lt;='Parametri MTR-3'!$W4),'Parametri MTR-3'!$X4,
IF(AND(D146&gt;='Parametri MTR-3'!$V5,D146&lt;'Parametri MTR-3'!$W5),'Parametri MTR-3'!$X5,
IF(AND(D146&gt;='Parametri MTR-3'!$V6,D146&lt;'Parametri MTR-3'!$W6),'Parametri MTR-3'!$X6,
IF(AND(D146&gt;='Parametri MTR-3'!$V7,D146&lt;'Parametri MTR-3'!$W7),'Parametri MTR-3'!$X7,
IF(AND(D146&gt;='Parametri MTR-3'!$V8,D146&lt;'Parametri MTR-3'!$W8),'Parametri MTR-3'!$X8,
IF(AND(D146&gt;='Parametri MTR-3'!$V9,D146&lt;'Parametri MTR-3'!$W9),'Parametri MTR-3'!$X9,
IF(AND(D146&gt;='Parametri MTR-3'!$V10,D146&lt;'Parametri MTR-3'!$W10),'Parametri MTR-3'!$X10,
IF(AND(D146&gt;='Parametri MTR-3'!$V11,D146&lt;'Parametri MTR-3'!$W11),'Parametri MTR-3'!$X11,
IF(AND(D146&gt;='Parametri MTR-3'!$V12,D146&lt;'Parametri MTR-3'!$W12),'Parametri MTR-3'!$X12)))))))))</f>
        <v>I</v>
      </c>
      <c r="E147" s="60" t="str">
        <f>IF(AND(E146&gt;='Parametri MTR-3'!$V4,E146&lt;='Parametri MTR-3'!$W4),'Parametri MTR-3'!$X4,
IF(AND(E146&gt;='Parametri MTR-3'!$V5,E146&lt;'Parametri MTR-3'!$W5),'Parametri MTR-3'!$X5,
IF(AND(E146&gt;='Parametri MTR-3'!$V6,E146&lt;'Parametri MTR-3'!$W6),'Parametri MTR-3'!$X6,
IF(AND(E146&gt;='Parametri MTR-3'!$V7,E146&lt;'Parametri MTR-3'!$W7),'Parametri MTR-3'!$X7,
IF(AND(E146&gt;='Parametri MTR-3'!$V8,E146&lt;'Parametri MTR-3'!$W8),'Parametri MTR-3'!$X8,
IF(AND(E146&gt;='Parametri MTR-3'!$V9,E146&lt;'Parametri MTR-3'!$W9),'Parametri MTR-3'!$X9,
IF(AND(E146&gt;='Parametri MTR-3'!$V10,E146&lt;'Parametri MTR-3'!$W10),'Parametri MTR-3'!$X10,
IF(AND(E146&gt;='Parametri MTR-3'!$V11,E146&lt;'Parametri MTR-3'!$W11),'Parametri MTR-3'!$X11,
IF(AND(E146&gt;='Parametri MTR-3'!$V12,E146&lt;'Parametri MTR-3'!$W12),'Parametri MTR-3'!$X12)))))))))</f>
        <v>I</v>
      </c>
    </row>
    <row r="148" spans="1:5" x14ac:dyDescent="0.2">
      <c r="B148" s="56" t="s">
        <v>601</v>
      </c>
      <c r="C148" s="66" t="str">
        <f>VLOOKUP(C147,'Parametri MTR-3'!$X$4:$Z$12,3,FALSE)</f>
        <v>Ha+1 = Ha + 0,030</v>
      </c>
      <c r="D148" s="66" t="str">
        <f>VLOOKUP(D147,'Parametri MTR-3'!$X$4:$Z$12,3,FALSE)</f>
        <v>Ha+1 = Ha + 0,050</v>
      </c>
      <c r="E148" s="66" t="str">
        <f>VLOOKUP(E147,'Parametri MTR-3'!$X$4:$Z$12,3,FALSE)</f>
        <v>Ha+1 = Ha + 0,050</v>
      </c>
    </row>
    <row r="149" spans="1:5" ht="11.4" x14ac:dyDescent="0.25">
      <c r="A149" s="85" t="s">
        <v>603</v>
      </c>
      <c r="B149" s="56" t="s">
        <v>5294</v>
      </c>
      <c r="C149" s="497">
        <f>C146+VLOOKUP(C147,'Parametri MTR-3'!$X$3:$AA$12,4,FALSE)</f>
        <v>0.37615491546347712</v>
      </c>
      <c r="D149" s="497">
        <f>D146+VLOOKUP(D147,'Parametri MTR-3'!$X$3:$AA$12,4,FALSE)</f>
        <v>0.05</v>
      </c>
      <c r="E149" s="497">
        <f>E146+VLOOKUP(E147,'Parametri MTR-3'!$X$3:$AA$12,4,FALSE)</f>
        <v>0.05</v>
      </c>
    </row>
    <row r="150" spans="1:5" ht="11.4" x14ac:dyDescent="0.25">
      <c r="A150" s="85" t="s">
        <v>5295</v>
      </c>
      <c r="B150" s="56" t="s">
        <v>5296</v>
      </c>
      <c r="C150" s="60" t="str">
        <f>IF(AND(C149&gt;='Parametri MTR-3'!$V4,C149&lt;='Parametri MTR-3'!$W4),'Parametri MTR-3'!$X4,
IF(AND(C149&gt;='Parametri MTR-3'!$V5,C149&lt;'Parametri MTR-3'!$W5),'Parametri MTR-3'!$X5,
IF(AND(C149&gt;='Parametri MTR-3'!$V6,C149&lt;'Parametri MTR-3'!$W6),'Parametri MTR-3'!$X6,
IF(AND(C149&gt;='Parametri MTR-3'!$V7,C149&lt;'Parametri MTR-3'!$W7),'Parametri MTR-3'!$X7,
IF(AND(C149&gt;='Parametri MTR-3'!$V8,C149&lt;'Parametri MTR-3'!$W8),'Parametri MTR-3'!$X8,
IF(AND(C149&gt;='Parametri MTR-3'!$V9,C149&lt;'Parametri MTR-3'!$W9),'Parametri MTR-3'!$X9,
IF(AND(C149&gt;='Parametri MTR-3'!$V10,C149&lt;'Parametri MTR-3'!$W10),'Parametri MTR-3'!$X10,
IF(AND(C149&gt;='Parametri MTR-3'!$V11,C149&lt;'Parametri MTR-3'!$W11),'Parametri MTR-3'!$X11,
IF(AND(C149&gt;='Parametri MTR-3'!$V12,C149&lt;'Parametri MTR-3'!$W12),'Parametri MTR-3'!$X12)))))))))</f>
        <v>F</v>
      </c>
      <c r="D150" s="60" t="str">
        <f>IF(AND(D149&gt;='Parametri MTR-3'!$V4,D149&lt;='Parametri MTR-3'!$W4),'Parametri MTR-3'!$X4,
IF(AND(D149&gt;='Parametri MTR-3'!$V5,D149&lt;'Parametri MTR-3'!$W5),'Parametri MTR-3'!$X5,
IF(AND(D149&gt;='Parametri MTR-3'!$V6,D149&lt;'Parametri MTR-3'!$W6),'Parametri MTR-3'!$X6,
IF(AND(D149&gt;='Parametri MTR-3'!$V7,D149&lt;'Parametri MTR-3'!$W7),'Parametri MTR-3'!$X7,
IF(AND(D149&gt;='Parametri MTR-3'!$V8,D149&lt;'Parametri MTR-3'!$W8),'Parametri MTR-3'!$X8,
IF(AND(D149&gt;='Parametri MTR-3'!$V9,D149&lt;'Parametri MTR-3'!$W9),'Parametri MTR-3'!$X9,
IF(AND(D149&gt;='Parametri MTR-3'!$V10,D149&lt;'Parametri MTR-3'!$W10),'Parametri MTR-3'!$X10,
IF(AND(D149&gt;='Parametri MTR-3'!$V11,D149&lt;'Parametri MTR-3'!$W11),'Parametri MTR-3'!$X11,
IF(AND(D149&gt;='Parametri MTR-3'!$V12,D149&lt;'Parametri MTR-3'!$W12),'Parametri MTR-3'!$X12)))))))))</f>
        <v>I</v>
      </c>
      <c r="E150" s="60" t="str">
        <f>IF(AND(E149&gt;='Parametri MTR-3'!$V4,E149&lt;='Parametri MTR-3'!$W4),'Parametri MTR-3'!$X4,
IF(AND(E149&gt;='Parametri MTR-3'!$V5,E149&lt;'Parametri MTR-3'!$W5),'Parametri MTR-3'!$X5,
IF(AND(E149&gt;='Parametri MTR-3'!$V6,E149&lt;'Parametri MTR-3'!$W6),'Parametri MTR-3'!$X6,
IF(AND(E149&gt;='Parametri MTR-3'!$V7,E149&lt;'Parametri MTR-3'!$W7),'Parametri MTR-3'!$X7,
IF(AND(E149&gt;='Parametri MTR-3'!$V8,E149&lt;'Parametri MTR-3'!$W8),'Parametri MTR-3'!$X8,
IF(AND(E149&gt;='Parametri MTR-3'!$V9,E149&lt;'Parametri MTR-3'!$W9),'Parametri MTR-3'!$X9,
IF(AND(E149&gt;='Parametri MTR-3'!$V10,E149&lt;'Parametri MTR-3'!$W10),'Parametri MTR-3'!$X10,
IF(AND(E149&gt;='Parametri MTR-3'!$V11,E149&lt;'Parametri MTR-3'!$W11),'Parametri MTR-3'!$X11,
IF(AND(E149&gt;='Parametri MTR-3'!$V12,E149&lt;'Parametri MTR-3'!$W12),'Parametri MTR-3'!$X12)))))))))</f>
        <v>I</v>
      </c>
    </row>
    <row r="152" spans="1:5" ht="11.4" x14ac:dyDescent="0.2">
      <c r="B152" s="461" t="s">
        <v>5297</v>
      </c>
    </row>
    <row r="153" spans="1:5" ht="11.4" x14ac:dyDescent="0.25">
      <c r="A153" s="85" t="s">
        <v>5298</v>
      </c>
      <c r="B153" s="56" t="s">
        <v>5299</v>
      </c>
      <c r="C153" s="1026">
        <f>+IF(C137&gt;=C149,0,C136-C156)</f>
        <v>0</v>
      </c>
      <c r="D153" s="1026">
        <f t="shared" ref="D153:E153" si="49">+IF(D137&gt;=D149,0,D136-D156)</f>
        <v>0</v>
      </c>
      <c r="E153" s="1026">
        <f t="shared" si="49"/>
        <v>0</v>
      </c>
    </row>
    <row r="155" spans="1:5" ht="11.4" x14ac:dyDescent="0.25">
      <c r="A155" s="85" t="s">
        <v>5349</v>
      </c>
      <c r="B155" s="494" t="s">
        <v>5351</v>
      </c>
      <c r="C155" s="514">
        <f>IF(C137&gt;=C149,0,C135)</f>
        <v>0</v>
      </c>
      <c r="D155" s="514">
        <f t="shared" ref="D155:E155" si="50">IF(D137&gt;=D149,0,D135)</f>
        <v>0</v>
      </c>
      <c r="E155" s="514">
        <f t="shared" si="50"/>
        <v>0</v>
      </c>
    </row>
    <row r="156" spans="1:5" ht="11.4" x14ac:dyDescent="0.2">
      <c r="A156" s="85" t="s">
        <v>5350</v>
      </c>
      <c r="B156" s="487" t="s">
        <v>5352</v>
      </c>
      <c r="C156" s="468">
        <f>IF(C137&gt;=C149,0,(C135/C149))</f>
        <v>0</v>
      </c>
      <c r="D156" s="468">
        <f t="shared" ref="D156:E156" si="51">IF(D137&gt;=D149,0,(D135/D149))</f>
        <v>0</v>
      </c>
      <c r="E156" s="468">
        <f t="shared" si="51"/>
        <v>0</v>
      </c>
    </row>
    <row r="157" spans="1:5" ht="11.4" x14ac:dyDescent="0.25">
      <c r="A157" s="85" t="s">
        <v>5353</v>
      </c>
      <c r="B157" s="56" t="s">
        <v>5355</v>
      </c>
      <c r="C157" s="497">
        <f>IFERROR(C155/C156,0)</f>
        <v>0</v>
      </c>
      <c r="D157" s="497">
        <f t="shared" ref="D157:E157" si="52">IFERROR(D155/D156,0)</f>
        <v>0</v>
      </c>
      <c r="E157" s="497">
        <f t="shared" si="52"/>
        <v>0</v>
      </c>
    </row>
    <row r="158" spans="1:5" ht="11.4" x14ac:dyDescent="0.25">
      <c r="A158" s="85" t="s">
        <v>5354</v>
      </c>
      <c r="B158" s="56" t="s">
        <v>5356</v>
      </c>
      <c r="C158" s="60" t="str">
        <f>IF(AND(C157&gt;='Parametri MTR-3'!$V4,C157&lt;='Parametri MTR-3'!$W4),'Parametri MTR-3'!$X4,
IF(AND(C157&gt;='Parametri MTR-3'!$V5,C157&lt;'Parametri MTR-3'!$W5),'Parametri MTR-3'!$X5,
IF(AND(C157&gt;='Parametri MTR-3'!$V6,C157&lt;'Parametri MTR-3'!$W6),'Parametri MTR-3'!$X6,
IF(AND(C157&gt;='Parametri MTR-3'!$V7,C157&lt;'Parametri MTR-3'!$W7),'Parametri MTR-3'!$X7,
IF(AND(C157&gt;='Parametri MTR-3'!$V8,C157&lt;'Parametri MTR-3'!$W8),'Parametri MTR-3'!$X8,
IF(AND(C157&gt;='Parametri MTR-3'!$V9,C157&lt;'Parametri MTR-3'!$W9),'Parametri MTR-3'!$X9,
IF(AND(C157&gt;='Parametri MTR-3'!$V10,C157&lt;'Parametri MTR-3'!$W10),'Parametri MTR-3'!$X10,
IF(AND(C157&gt;='Parametri MTR-3'!$V11,C157&lt;'Parametri MTR-3'!$W11),'Parametri MTR-3'!$X11,
IF(AND(C157&gt;='Parametri MTR-3'!$V12,C157&lt;'Parametri MTR-3'!$W12),'Parametri MTR-3'!$X12)))))))))</f>
        <v>I</v>
      </c>
      <c r="D158" s="60" t="str">
        <f>IF(AND(D157&gt;='Parametri MTR-3'!$V4,D157&lt;='Parametri MTR-3'!$W4),'Parametri MTR-3'!$X4,
IF(AND(D157&gt;='Parametri MTR-3'!$V5,D157&lt;'Parametri MTR-3'!$W5),'Parametri MTR-3'!$X5,
IF(AND(D157&gt;='Parametri MTR-3'!$V6,D157&lt;'Parametri MTR-3'!$W6),'Parametri MTR-3'!$X6,
IF(AND(D157&gt;='Parametri MTR-3'!$V7,D157&lt;'Parametri MTR-3'!$W7),'Parametri MTR-3'!$X7,
IF(AND(D157&gt;='Parametri MTR-3'!$V8,D157&lt;'Parametri MTR-3'!$W8),'Parametri MTR-3'!$X8,
IF(AND(D157&gt;='Parametri MTR-3'!$V9,D157&lt;'Parametri MTR-3'!$W9),'Parametri MTR-3'!$X9,
IF(AND(D157&gt;='Parametri MTR-3'!$V10,D157&lt;'Parametri MTR-3'!$W10),'Parametri MTR-3'!$X10,
IF(AND(D157&gt;='Parametri MTR-3'!$V11,D157&lt;'Parametri MTR-3'!$W11),'Parametri MTR-3'!$X11,
IF(AND(D157&gt;='Parametri MTR-3'!$V12,D157&lt;'Parametri MTR-3'!$W12),'Parametri MTR-3'!$X12)))))))))</f>
        <v>I</v>
      </c>
      <c r="E158" s="60" t="str">
        <f>IF(AND(E157&gt;='Parametri MTR-3'!$V4,E157&lt;='Parametri MTR-3'!$W4),'Parametri MTR-3'!$X4,
IF(AND(E157&gt;='Parametri MTR-3'!$V5,E157&lt;'Parametri MTR-3'!$W5),'Parametri MTR-3'!$X5,
IF(AND(E157&gt;='Parametri MTR-3'!$V6,E157&lt;'Parametri MTR-3'!$W6),'Parametri MTR-3'!$X6,
IF(AND(E157&gt;='Parametri MTR-3'!$V7,E157&lt;'Parametri MTR-3'!$W7),'Parametri MTR-3'!$X7,
IF(AND(E157&gt;='Parametri MTR-3'!$V8,E157&lt;'Parametri MTR-3'!$W8),'Parametri MTR-3'!$X8,
IF(AND(E157&gt;='Parametri MTR-3'!$V9,E157&lt;'Parametri MTR-3'!$W9),'Parametri MTR-3'!$X9,
IF(AND(E157&gt;='Parametri MTR-3'!$V10,E157&lt;'Parametri MTR-3'!$W10),'Parametri MTR-3'!$X10,
IF(AND(E157&gt;='Parametri MTR-3'!$V11,E157&lt;'Parametri MTR-3'!$W11),'Parametri MTR-3'!$X11,
IF(AND(E157&gt;='Parametri MTR-3'!$V12,E157&lt;'Parametri MTR-3'!$W12),'Parametri MTR-3'!$X12)))))))))</f>
        <v>I</v>
      </c>
    </row>
    <row r="161" spans="1:5" x14ac:dyDescent="0.2">
      <c r="B161" s="461" t="s">
        <v>767</v>
      </c>
    </row>
    <row r="162" spans="1:5" ht="11.4" x14ac:dyDescent="0.25">
      <c r="B162" s="466" t="s">
        <v>6486</v>
      </c>
      <c r="C162" s="520">
        <f>C104</f>
        <v>16636210.88560573</v>
      </c>
      <c r="D162" s="520">
        <f t="shared" ref="D162:E162" si="53">D104</f>
        <v>1256451.1339875134</v>
      </c>
      <c r="E162" s="520">
        <f t="shared" si="53"/>
        <v>54149.194963047281</v>
      </c>
    </row>
    <row r="163" spans="1:5" x14ac:dyDescent="0.2">
      <c r="A163" s="85"/>
      <c r="B163" s="542" t="s">
        <v>768</v>
      </c>
      <c r="C163" s="543">
        <f>IFERROR((PEF_GEST_26!E9+PEF_COM_26!E9)/(C162-(PEF_GEST_26!E30+PEF_COM_26!E30)),0)</f>
        <v>0.30113723907907886</v>
      </c>
      <c r="D163" s="543">
        <f>IFERROR((PEF_GEST_26!F9+PEF_COM_26!F9)/(D162-(PEF_GEST_26!F30+PEF_COM_26!F30)),0)</f>
        <v>0.36130474784059674</v>
      </c>
      <c r="E163" s="543">
        <f>IFERROR((PEF_GEST_26!G9+PEF_COM_26!G9)/(E162-(PEF_GEST_26!G30+PEF_COM_26!G30)),0)</f>
        <v>0</v>
      </c>
    </row>
    <row r="164" spans="1:5" x14ac:dyDescent="0.2">
      <c r="A164" s="85"/>
      <c r="B164" s="542" t="s">
        <v>769</v>
      </c>
      <c r="C164" s="544">
        <f>PEF_GEST_26!E6+PEF_GEST_26!E9+PEF_COM_26!E6+PEF_COM_26!E9</f>
        <v>5572710.5997287994</v>
      </c>
      <c r="D164" s="544">
        <f>PEF_GEST_26!F6+PEF_GEST_26!F9+PEF_COM_26!F6+PEF_COM_26!F9</f>
        <v>556498.41078480007</v>
      </c>
      <c r="E164" s="544">
        <f>PEF_GEST_26!G6+PEF_GEST_26!G9+PEF_COM_26!G6+PEF_COM_26!G9</f>
        <v>0</v>
      </c>
    </row>
    <row r="165" spans="1:5" x14ac:dyDescent="0.2">
      <c r="A165" s="85"/>
      <c r="B165" s="542" t="s">
        <v>770</v>
      </c>
      <c r="C165" s="543">
        <f>IFERROR((PEF_GEST_26!E9+PEF_COM_26!E9)/'IN_Calcolo H'!C164,0)</f>
        <v>0.78866553920002336</v>
      </c>
      <c r="D165" s="543">
        <f>IFERROR((PEF_GEST_26!F9+PEF_COM_26!F9)/'IN_Calcolo H'!D164,0)</f>
        <v>0.78155982649192446</v>
      </c>
      <c r="E165" s="543">
        <f>IFERROR((PEF_GEST_26!G9+PEF_COM_26!G9)/'IN_Calcolo H'!E164,0)</f>
        <v>0</v>
      </c>
    </row>
    <row r="166" spans="1:5" x14ac:dyDescent="0.2">
      <c r="A166" s="85"/>
      <c r="B166" s="542" t="s">
        <v>771</v>
      </c>
      <c r="C166" s="544">
        <f>C164+PEF_GEST_26!E25+PEF_COM_26!E25</f>
        <v>8029278.1793663995</v>
      </c>
      <c r="D166" s="544">
        <f>D164+PEF_GEST_26!F25+PEF_COM_26!F25</f>
        <v>556498.41078480007</v>
      </c>
      <c r="E166" s="544">
        <f>E164+PEF_GEST_26!G25+PEF_COM_26!G25</f>
        <v>0</v>
      </c>
    </row>
    <row r="167" spans="1:5" x14ac:dyDescent="0.2">
      <c r="A167" s="85"/>
      <c r="B167" s="496" t="s">
        <v>772</v>
      </c>
      <c r="C167" s="545">
        <f>IFERROR((PEF_GEST_26!E9+PEF_COM_26!E9)/'IN_Calcolo H'!C166,0)</f>
        <v>0.54737234303764204</v>
      </c>
      <c r="D167" s="545">
        <f>IFERROR((PEF_GEST_26!F9+PEF_COM_26!F9)/'IN_Calcolo H'!D166,0)</f>
        <v>0.78155982649192446</v>
      </c>
      <c r="E167" s="545">
        <f>IFERROR((PEF_GEST_26!G9+PEF_COM_26!G9)/'IN_Calcolo H'!E166,0)</f>
        <v>0</v>
      </c>
    </row>
    <row r="171" spans="1:5" x14ac:dyDescent="0.2">
      <c r="B171" s="82" t="s">
        <v>776</v>
      </c>
    </row>
    <row r="172" spans="1:5" x14ac:dyDescent="0.2">
      <c r="B172" s="86" t="s">
        <v>777</v>
      </c>
      <c r="C172" s="447" t="str">
        <f>IF(C12&lt;=C11,"ok","no")</f>
        <v>ok</v>
      </c>
      <c r="D172" s="447" t="str">
        <f t="shared" ref="D172:E172" si="54">IF(D12&lt;=D11,"ok","no")</f>
        <v>ok</v>
      </c>
      <c r="E172" s="447" t="str">
        <f t="shared" si="54"/>
        <v>ok</v>
      </c>
    </row>
    <row r="173" spans="1:5" x14ac:dyDescent="0.2">
      <c r="B173" s="209" t="s">
        <v>778</v>
      </c>
      <c r="C173" s="558" t="str">
        <f>IF(C18&lt;=C17,"ok","no")</f>
        <v>ok</v>
      </c>
      <c r="D173" s="558" t="str">
        <f t="shared" ref="D173:E173" si="55">IF(D18&lt;=D17,"ok","no")</f>
        <v>ok</v>
      </c>
      <c r="E173" s="558" t="str">
        <f t="shared" si="55"/>
        <v>ok</v>
      </c>
    </row>
    <row r="174" spans="1:5" x14ac:dyDescent="0.2">
      <c r="B174" s="211" t="s">
        <v>779</v>
      </c>
      <c r="C174" s="559" t="str">
        <f>IF(C20&lt;=C19,"ok","no")</f>
        <v>ok</v>
      </c>
      <c r="D174" s="559" t="str">
        <f t="shared" ref="D174:E174" si="56">IF(D20&lt;=D19,"ok","no")</f>
        <v>ok</v>
      </c>
      <c r="E174" s="559" t="str">
        <f t="shared" si="56"/>
        <v>ok</v>
      </c>
    </row>
    <row r="175" spans="1:5" x14ac:dyDescent="0.2">
      <c r="B175" s="209" t="s">
        <v>780</v>
      </c>
      <c r="C175" s="558" t="str">
        <f>IF(C25&lt;=C24,"ok","no")</f>
        <v>ok</v>
      </c>
      <c r="D175" s="558" t="str">
        <f t="shared" ref="D175:E175" si="57">IF(D25&lt;=D24,"ok","no")</f>
        <v>ok</v>
      </c>
      <c r="E175" s="558" t="str">
        <f t="shared" si="57"/>
        <v>ok</v>
      </c>
    </row>
    <row r="176" spans="1:5" x14ac:dyDescent="0.2">
      <c r="B176" s="211" t="s">
        <v>781</v>
      </c>
      <c r="C176" s="559" t="str">
        <f>IF(C27&lt;=C26,"ok","no")</f>
        <v>ok</v>
      </c>
      <c r="D176" s="559" t="str">
        <f t="shared" ref="D176:E176" si="58">IF(D27&lt;=D26,"ok","no")</f>
        <v>ok</v>
      </c>
      <c r="E176" s="559" t="str">
        <f t="shared" si="58"/>
        <v>ok</v>
      </c>
    </row>
    <row r="177" spans="2:5" x14ac:dyDescent="0.2">
      <c r="B177" s="209" t="s">
        <v>782</v>
      </c>
      <c r="C177" s="558" t="str">
        <f>IF(C36&lt;=C35,"ok","no")</f>
        <v>ok</v>
      </c>
      <c r="D177" s="558" t="str">
        <f t="shared" ref="D177:E177" si="59">IF(D36&lt;=D35,"ok","no")</f>
        <v>ok</v>
      </c>
      <c r="E177" s="558" t="str">
        <f t="shared" si="59"/>
        <v>ok</v>
      </c>
    </row>
    <row r="178" spans="2:5" x14ac:dyDescent="0.2">
      <c r="B178" s="211" t="s">
        <v>783</v>
      </c>
      <c r="C178" s="559" t="str">
        <f>IF(C50&lt;=C49,"ok","no")</f>
        <v>ok</v>
      </c>
      <c r="D178" s="559" t="str">
        <f t="shared" ref="D178:E178" si="60">IF(D50&lt;=D49,"ok","no")</f>
        <v>ok</v>
      </c>
      <c r="E178" s="559" t="str">
        <f t="shared" si="60"/>
        <v>ok</v>
      </c>
    </row>
    <row r="179" spans="2:5" x14ac:dyDescent="0.2">
      <c r="B179" s="82" t="s">
        <v>784</v>
      </c>
      <c r="C179" s="378" t="str">
        <f>IF(AND(C172="ok",C173="ok",C174="ok",C175="ok",C176="ok",C177="ok",C178="ok"),"Congruenza OK","NO Congruenza")</f>
        <v>Congruenza OK</v>
      </c>
      <c r="D179" s="378" t="str">
        <f t="shared" ref="D179:E179" si="61">IF(AND(D172="ok",D173="ok",D174="ok",D175="ok",D176="ok",D177="ok",D178="ok"),"Congruenza OK","NO Congruenza")</f>
        <v>Congruenza OK</v>
      </c>
      <c r="E179" s="378" t="str">
        <f t="shared" si="61"/>
        <v>Congruenza OK</v>
      </c>
    </row>
  </sheetData>
  <autoFilter ref="A3:E179" xr:uid="{B1C22B94-6FF8-4D7D-BA7D-D67796165B6F}"/>
  <conditionalFormatting sqref="C2:E2">
    <cfRule type="cellIs" dxfId="70" priority="15" operator="equal">
      <formula>"Congruenza OK"</formula>
    </cfRule>
    <cfRule type="cellIs" dxfId="69" priority="16" operator="equal">
      <formula>"NO Congruenza"</formula>
    </cfRule>
  </conditionalFormatting>
  <conditionalFormatting sqref="C34:E34">
    <cfRule type="cellIs" dxfId="68" priority="26" operator="equal">
      <formula>"Compilare solo %"</formula>
    </cfRule>
    <cfRule type="cellIs" dxfId="67" priority="27" operator="equal">
      <formula>"Indicare disponibilità"</formula>
    </cfRule>
    <cfRule type="cellIs" dxfId="66" priority="28" operator="equal">
      <formula>"Non compilare"</formula>
    </cfRule>
    <cfRule type="cellIs" dxfId="65" priority="29" operator="equal">
      <formula>"compilare"</formula>
    </cfRule>
  </conditionalFormatting>
  <conditionalFormatting sqref="C70:E70">
    <cfRule type="cellIs" dxfId="63" priority="30" operator="equal">
      <formula>"Indicare disponibilità"</formula>
    </cfRule>
    <cfRule type="cellIs" dxfId="62" priority="31" operator="equal">
      <formula>"Non pertinente"</formula>
    </cfRule>
    <cfRule type="cellIs" dxfId="61" priority="32" operator="equal">
      <formula>"Corretto"</formula>
    </cfRule>
  </conditionalFormatting>
  <conditionalFormatting sqref="C86:E87">
    <cfRule type="cellIs" dxfId="59" priority="11" operator="equal">
      <formula>"-"</formula>
    </cfRule>
  </conditionalFormatting>
  <conditionalFormatting sqref="C172:E178">
    <cfRule type="cellIs" dxfId="58" priority="9" operator="equal">
      <formula>"no"</formula>
    </cfRule>
    <cfRule type="cellIs" dxfId="57" priority="10" operator="equal">
      <formula>"ok"</formula>
    </cfRule>
  </conditionalFormatting>
  <conditionalFormatting sqref="C179:E179">
    <cfRule type="cellIs" dxfId="56" priority="17" operator="equal">
      <formula>"Congruenza OK"</formula>
    </cfRule>
    <cfRule type="cellIs" dxfId="55" priority="18" operator="equal">
      <formula>"NO Congruenza"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" id="{6D098C0D-40AB-4C66-8020-48E651D610C1}">
            <xm:f>C$6='Parametri MTR-3'!$C$42</xm:f>
            <x14:dxf>
              <fill>
                <patternFill>
                  <bgColor theme="0" tint="-0.499984740745262"/>
                </patternFill>
              </fill>
            </x14:dxf>
          </x14:cfRule>
          <xm:sqref>C36:E37 C39:E39 C41:E41 C43:E43 C50:E51 C53:E53 C55:E55 C57:E57</xm:sqref>
        </x14:conditionalFormatting>
        <x14:conditionalFormatting xmlns:xm="http://schemas.microsoft.com/office/excel/2006/main">
          <x14:cfRule type="expression" priority="12" id="{71C36476-7579-47A2-811D-41108E18C73B}">
            <xm:f>C$6='Parametri MTR-3'!$C$41</xm:f>
            <x14:dxf>
              <fill>
                <patternFill>
                  <bgColor theme="0" tint="-0.499984740745262"/>
                </patternFill>
              </fill>
            </x14:dxf>
          </x14:cfRule>
          <xm:sqref>C71:E73 C75:E79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B2FF9D8-A398-4E13-8295-C78AD08F5375}">
          <x14:formula1>
            <xm:f>'Parametri MTR-3'!$C$41:$C$43</xm:f>
          </x14:formula1>
          <xm:sqref>C6:E6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F71A3-22A1-477B-8F9D-C4431335BF76}">
  <sheetPr codeName="Foglio24">
    <tabColor theme="4" tint="-0.499984740745262"/>
    <pageSetUpPr fitToPage="1"/>
  </sheetPr>
  <dimension ref="A1:G160"/>
  <sheetViews>
    <sheetView showGridLines="0" zoomScaleNormal="100" workbookViewId="0">
      <pane xSplit="4" ySplit="3" topLeftCell="E85" activePane="bottomRight" state="frozen"/>
      <selection activeCell="F129" sqref="F129"/>
      <selection pane="topRight" activeCell="F129" sqref="F129"/>
      <selection pane="bottomLeft" activeCell="F129" sqref="F129"/>
      <selection pane="bottomRight" activeCell="F140" sqref="F140:F143"/>
    </sheetView>
  </sheetViews>
  <sheetFormatPr defaultColWidth="17.6640625" defaultRowHeight="10.199999999999999" outlineLevelRow="1" x14ac:dyDescent="0.2"/>
  <cols>
    <col min="1" max="1" width="17.33203125" style="122" customWidth="1"/>
    <col min="2" max="2" width="57.44140625" style="90" customWidth="1"/>
    <col min="3" max="3" width="15" style="89" bestFit="1" customWidth="1"/>
    <col min="4" max="4" width="2.5546875" style="89" customWidth="1"/>
    <col min="5" max="5" width="11.5546875" style="89" bestFit="1" customWidth="1"/>
    <col min="6" max="6" width="12.5546875" style="89" bestFit="1" customWidth="1"/>
    <col min="7" max="7" width="8.5546875" style="89" bestFit="1" customWidth="1"/>
    <col min="8" max="16384" width="17.6640625" style="89"/>
  </cols>
  <sheetData>
    <row r="1" spans="1:7" ht="12" customHeight="1" x14ac:dyDescent="0.2">
      <c r="B1" s="1135" t="s">
        <v>5357</v>
      </c>
      <c r="C1" s="1136"/>
    </row>
    <row r="2" spans="1:7" ht="12" customHeight="1" x14ac:dyDescent="0.2"/>
    <row r="3" spans="1:7" s="365" customFormat="1" ht="20.399999999999999" x14ac:dyDescent="0.2">
      <c r="A3" s="364"/>
      <c r="B3" s="1142"/>
      <c r="C3" s="1142"/>
      <c r="E3" s="366" t="str">
        <f>Ambiti!B4</f>
        <v>BUSTO ARSIZIO</v>
      </c>
      <c r="F3" s="366" t="str">
        <f>Ambiti!C4</f>
        <v>FAGNANO OLONA</v>
      </c>
      <c r="G3" s="366" t="str">
        <f>Ambiti!D4</f>
        <v>VENEGONO SUPERIORE</v>
      </c>
    </row>
    <row r="4" spans="1:7" x14ac:dyDescent="0.2">
      <c r="B4" s="1128">
        <v>2026</v>
      </c>
      <c r="C4" s="1128"/>
      <c r="E4" s="120"/>
      <c r="F4" s="120"/>
      <c r="G4" s="120"/>
    </row>
    <row r="5" spans="1:7" ht="11.4" x14ac:dyDescent="0.2">
      <c r="A5" s="85" t="s">
        <v>3220</v>
      </c>
      <c r="B5" s="91" t="s">
        <v>5363</v>
      </c>
      <c r="C5" s="92">
        <f>SUM(E5:G5)</f>
        <v>600479.58791425324</v>
      </c>
      <c r="D5" s="93"/>
      <c r="E5" s="94">
        <f t="shared" ref="E5" si="0">+MAX((E15+E18-E16)*E12+E30*(E11-E12),0)</f>
        <v>564685.85927193251</v>
      </c>
      <c r="F5" s="94">
        <f t="shared" ref="F5:G5" si="1">+MAX((F15+F18-F16)*F12+F30*(F11-F12),0)</f>
        <v>35793.728642320726</v>
      </c>
      <c r="G5" s="94">
        <f t="shared" si="1"/>
        <v>0</v>
      </c>
    </row>
    <row r="6" spans="1:7" ht="11.4" x14ac:dyDescent="0.2">
      <c r="A6" s="85" t="s">
        <v>3226</v>
      </c>
      <c r="B6" s="91" t="s">
        <v>5364</v>
      </c>
      <c r="C6" s="92">
        <f>SUM(E6:G6)</f>
        <v>4787.5776740000001</v>
      </c>
      <c r="D6" s="93"/>
      <c r="E6" s="94">
        <f>E33</f>
        <v>4787.5776740000001</v>
      </c>
      <c r="F6" s="94">
        <f>F33</f>
        <v>0</v>
      </c>
      <c r="G6" s="94">
        <f>G33</f>
        <v>0</v>
      </c>
    </row>
    <row r="7" spans="1:7" ht="11.4" x14ac:dyDescent="0.2">
      <c r="A7" s="85" t="s">
        <v>3184</v>
      </c>
      <c r="B7" s="91" t="s">
        <v>5365</v>
      </c>
      <c r="C7" s="92">
        <f>SUM(E7:G7)</f>
        <v>823551.54593182099</v>
      </c>
      <c r="D7" s="93"/>
      <c r="E7" s="94">
        <f>E32</f>
        <v>776842.25678022834</v>
      </c>
      <c r="F7" s="94">
        <f>F32</f>
        <v>46709.289151592602</v>
      </c>
      <c r="G7" s="94">
        <f>G32</f>
        <v>0</v>
      </c>
    </row>
    <row r="8" spans="1:7" ht="11.4" x14ac:dyDescent="0.2">
      <c r="A8" s="85" t="s">
        <v>3232</v>
      </c>
      <c r="B8" s="91" t="s">
        <v>5366</v>
      </c>
      <c r="C8" s="92">
        <f>SUM(E8:G8)</f>
        <v>0</v>
      </c>
      <c r="D8" s="93"/>
      <c r="E8" s="94">
        <f>E34</f>
        <v>0</v>
      </c>
      <c r="F8" s="94">
        <f>F34</f>
        <v>0</v>
      </c>
      <c r="G8" s="94">
        <f>G34</f>
        <v>0</v>
      </c>
    </row>
    <row r="9" spans="1:7" x14ac:dyDescent="0.2">
      <c r="C9" s="90"/>
    </row>
    <row r="10" spans="1:7" ht="11.4" outlineLevel="1" x14ac:dyDescent="0.2">
      <c r="B10" s="95" t="s">
        <v>171</v>
      </c>
      <c r="C10" s="92">
        <f>SUM(E10:G10)</f>
        <v>9650831.4825732615</v>
      </c>
      <c r="E10" s="96">
        <f>E14</f>
        <v>9069630.7925439347</v>
      </c>
      <c r="F10" s="96">
        <f>F14</f>
        <v>581200.69002932752</v>
      </c>
      <c r="G10" s="96">
        <f>G14</f>
        <v>0</v>
      </c>
    </row>
    <row r="11" spans="1:7" ht="11.4" outlineLevel="1" x14ac:dyDescent="0.2">
      <c r="B11" s="97" t="s">
        <v>5367</v>
      </c>
      <c r="C11" s="98">
        <f>'Parametri MTR-3'!$J$8</f>
        <v>6.9000000000000006E-2</v>
      </c>
      <c r="E11" s="99">
        <f>$C$11</f>
        <v>6.9000000000000006E-2</v>
      </c>
      <c r="F11" s="99">
        <f>$C$11</f>
        <v>6.9000000000000006E-2</v>
      </c>
      <c r="G11" s="99">
        <f>$C$11</f>
        <v>6.9000000000000006E-2</v>
      </c>
    </row>
    <row r="12" spans="1:7" ht="11.4" outlineLevel="1" x14ac:dyDescent="0.2">
      <c r="B12" s="97" t="s">
        <v>5368</v>
      </c>
      <c r="C12" s="98">
        <f>'Parametri MTR-3'!$J$9</f>
        <v>5.8999999999999997E-2</v>
      </c>
      <c r="E12" s="99">
        <f>$C$12</f>
        <v>5.8999999999999997E-2</v>
      </c>
      <c r="F12" s="99">
        <f>$C$12</f>
        <v>5.8999999999999997E-2</v>
      </c>
      <c r="G12" s="99">
        <f>$C$12</f>
        <v>5.8999999999999997E-2</v>
      </c>
    </row>
    <row r="13" spans="1:7" outlineLevel="1" x14ac:dyDescent="0.2">
      <c r="C13" s="90"/>
    </row>
    <row r="14" spans="1:7" ht="11.4" outlineLevel="1" x14ac:dyDescent="0.2">
      <c r="B14" s="95" t="s">
        <v>5369</v>
      </c>
      <c r="C14" s="92">
        <f>SUM(E14:G14)</f>
        <v>9650831.4825732615</v>
      </c>
      <c r="E14" s="101">
        <f>MAX((E15+E18-E16),0)</f>
        <v>9069630.7925439347</v>
      </c>
      <c r="F14" s="101">
        <f>MAX((F15+F18-F16),0)</f>
        <v>581200.69002932752</v>
      </c>
      <c r="G14" s="101">
        <f>MAX((G15+G18-G16),0)</f>
        <v>0</v>
      </c>
    </row>
    <row r="15" spans="1:7" ht="11.4" outlineLevel="1" x14ac:dyDescent="0.2">
      <c r="B15" s="95" t="s">
        <v>5370</v>
      </c>
      <c r="C15" s="92">
        <f>SUM(E15:G15)</f>
        <v>9384223.1673373822</v>
      </c>
      <c r="E15" s="102">
        <f>E29</f>
        <v>8575294.9675056878</v>
      </c>
      <c r="F15" s="102">
        <f>F29</f>
        <v>808928.1998316946</v>
      </c>
      <c r="G15" s="102">
        <f>G29</f>
        <v>0</v>
      </c>
    </row>
    <row r="16" spans="1:7" ht="11.4" outlineLevel="1" x14ac:dyDescent="0.2">
      <c r="A16" s="122" t="s">
        <v>5109</v>
      </c>
      <c r="B16" s="100" t="s">
        <v>5371</v>
      </c>
      <c r="C16" s="92">
        <f>SUM(E16:G16)</f>
        <v>3001453.96</v>
      </c>
      <c r="E16" s="102">
        <f>INDEX('Import CO_24'!$A$4:$E$134,MATCH($A16,'Import CO_24'!$A$4:$A$134,0),MATCH(E$3,'Import CO_24'!$A$4:$E$4,0))</f>
        <v>2578084.6487835948</v>
      </c>
      <c r="F16" s="102">
        <f>INDEX('Import CO_24'!$A$4:$E$134,MATCH($A16,'Import CO_24'!$A$4:$A$134,0),MATCH(F$3,'Import CO_24'!$A$4:$E$4,0))</f>
        <v>423369.3112164053</v>
      </c>
      <c r="G16" s="102">
        <f>INDEX('Import CO_24'!$A$4:$E$134,MATCH($A16,'Import CO_24'!$A$4:$A$134,0),MATCH(G$3,'Import CO_24'!$A$4:$E$4,0))</f>
        <v>0</v>
      </c>
    </row>
    <row r="17" spans="1:7" outlineLevel="1" x14ac:dyDescent="0.2">
      <c r="C17" s="90"/>
      <c r="E17" s="103"/>
      <c r="F17" s="103"/>
      <c r="G17" s="103"/>
    </row>
    <row r="18" spans="1:7" ht="11.4" outlineLevel="1" x14ac:dyDescent="0.2">
      <c r="B18" s="100" t="s">
        <v>5372</v>
      </c>
      <c r="C18" s="92">
        <f>SUM(E18:G18)</f>
        <v>3268062.2752358792</v>
      </c>
      <c r="E18" s="104">
        <f>(((90/365)*E20)-((45/365)*E22))*((1+$C$25)*(1+$C$26))</f>
        <v>3072420.4738218407</v>
      </c>
      <c r="F18" s="104">
        <f>(((90/365)*F20)-((45/365)*F22))*((1+$C$25)*(1+$C$26))</f>
        <v>195641.80141403835</v>
      </c>
      <c r="G18" s="104">
        <f>(((90/365)*G20)-((45/365)*G22))*((1+$C$25)*(1+$C$26))</f>
        <v>0</v>
      </c>
    </row>
    <row r="19" spans="1:7" outlineLevel="1" x14ac:dyDescent="0.2">
      <c r="C19" s="90"/>
      <c r="E19" s="103"/>
      <c r="F19" s="103"/>
      <c r="G19" s="103"/>
    </row>
    <row r="20" spans="1:7" ht="11.4" outlineLevel="1" x14ac:dyDescent="0.2">
      <c r="A20" s="123" t="s">
        <v>5108</v>
      </c>
      <c r="B20" s="105" t="s">
        <v>5373</v>
      </c>
      <c r="C20" s="92">
        <f>SUM(E20:G20)</f>
        <v>16760910.85</v>
      </c>
      <c r="E20" s="102">
        <f>INDEX('Import CO_24'!$A$4:$E$134,MATCH($A20,'Import CO_24'!$A$4:$A$134,0),MATCH(E$3,'Import CO_24'!$A$4:$E$4,0))</f>
        <v>15631576.09</v>
      </c>
      <c r="F20" s="102">
        <f>INDEX('Import CO_24'!$A$4:$E$134,MATCH($A20,'Import CO_24'!$A$4:$A$134,0),MATCH(F$3,'Import CO_24'!$A$4:$E$4,0))</f>
        <v>1129334.76</v>
      </c>
      <c r="G20" s="102">
        <f>INDEX('Import CO_24'!$A$4:$E$134,MATCH($A20,'Import CO_24'!$A$4:$A$134,0),MATCH(G$3,'Import CO_24'!$A$4:$E$4,0))</f>
        <v>0</v>
      </c>
    </row>
    <row r="21" spans="1:7" outlineLevel="1" x14ac:dyDescent="0.2">
      <c r="C21" s="106"/>
      <c r="E21" s="103"/>
      <c r="F21" s="103"/>
      <c r="G21" s="103"/>
    </row>
    <row r="22" spans="1:7" ht="11.4" outlineLevel="1" x14ac:dyDescent="0.2">
      <c r="A22" s="122" t="s">
        <v>5107</v>
      </c>
      <c r="B22" s="105" t="s">
        <v>5374</v>
      </c>
      <c r="C22" s="92">
        <f>SUM(E22:G22)</f>
        <v>7842119.0800000001</v>
      </c>
      <c r="E22" s="102">
        <f>INDEX('Import CO_24'!$A$4:$E$134,MATCH($A22,'Import CO_24'!$A$4:$A$134,0),MATCH(E$3,'Import CO_24'!$A$4:$E$4,0))</f>
        <v>7120759.0899999999</v>
      </c>
      <c r="F22" s="102">
        <f>INDEX('Import CO_24'!$A$4:$E$134,MATCH($A22,'Import CO_24'!$A$4:$A$134,0),MATCH(F$3,'Import CO_24'!$A$4:$E$4,0))</f>
        <v>721359.98999999987</v>
      </c>
      <c r="G22" s="102">
        <f>INDEX('Import CO_24'!$A$4:$E$134,MATCH($A22,'Import CO_24'!$A$4:$A$134,0),MATCH(G$3,'Import CO_24'!$A$4:$E$4,0))</f>
        <v>0</v>
      </c>
    </row>
    <row r="23" spans="1:7" outlineLevel="1" x14ac:dyDescent="0.2">
      <c r="C23" s="106"/>
    </row>
    <row r="24" spans="1:7" outlineLevel="1" x14ac:dyDescent="0.2">
      <c r="C24" s="106"/>
    </row>
    <row r="25" spans="1:7" ht="11.4" outlineLevel="1" x14ac:dyDescent="0.2">
      <c r="B25" s="107" t="s">
        <v>512</v>
      </c>
      <c r="C25" s="108">
        <f>'Parametri MTR-3'!$I$6</f>
        <v>0.02</v>
      </c>
    </row>
    <row r="26" spans="1:7" ht="11.4" outlineLevel="1" x14ac:dyDescent="0.2">
      <c r="B26" s="107" t="s">
        <v>5388</v>
      </c>
      <c r="C26" s="108">
        <f>'Parametri MTR-3'!$J$6</f>
        <v>1.2E-2</v>
      </c>
    </row>
    <row r="27" spans="1:7" outlineLevel="1" x14ac:dyDescent="0.2">
      <c r="E27" s="387"/>
      <c r="F27" s="387"/>
      <c r="G27" s="387"/>
    </row>
    <row r="28" spans="1:7" s="365" customFormat="1" ht="20.399999999999999" outlineLevel="1" x14ac:dyDescent="0.2">
      <c r="A28" s="364"/>
      <c r="B28" s="388" t="s">
        <v>465</v>
      </c>
      <c r="C28" s="121"/>
      <c r="D28" s="367"/>
      <c r="E28" s="368" t="str">
        <f>E$3</f>
        <v>BUSTO ARSIZIO</v>
      </c>
      <c r="F28" s="368" t="str">
        <f>F$3</f>
        <v>FAGNANO OLONA</v>
      </c>
      <c r="G28" s="368" t="str">
        <f>G$3</f>
        <v>VENEGONO SUPERIORE</v>
      </c>
    </row>
    <row r="29" spans="1:7" ht="11.4" outlineLevel="1" x14ac:dyDescent="0.2">
      <c r="B29" s="95" t="s">
        <v>5370</v>
      </c>
      <c r="C29" s="109">
        <f t="shared" ref="C29:C34" si="2">SUM(E29:G29)</f>
        <v>9384223.1673373822</v>
      </c>
      <c r="E29" s="110">
        <f>SUM(E30:E31)</f>
        <v>8575294.9675056878</v>
      </c>
      <c r="F29" s="110">
        <f>SUM(F30:F31)</f>
        <v>808928.1998316946</v>
      </c>
      <c r="G29" s="110">
        <f>SUM(G30:G31)</f>
        <v>0</v>
      </c>
    </row>
    <row r="30" spans="1:7" outlineLevel="1" x14ac:dyDescent="0.2">
      <c r="A30" s="122" t="s">
        <v>461</v>
      </c>
      <c r="B30" s="111" t="s">
        <v>150</v>
      </c>
      <c r="C30" s="112">
        <f t="shared" si="2"/>
        <v>3108053.0442430805</v>
      </c>
      <c r="E30" s="113">
        <f>INDEX([4]CK_26_GEST!$A$8:$ZZ$98,MATCH($A30,[4]CK_26_GEST!$A$8:$A$98,0),MATCH(E$3,[4]CK_26_GEST!$A$8:$ZZ$8,0))</f>
        <v>2957764.2511840402</v>
      </c>
      <c r="F30" s="113">
        <f>INDEX([4]CK_26_GEST!$A$8:$ZZ$98,MATCH($A30,[4]CK_26_GEST!$A$8:$A$98,0),MATCH(F$3,[4]CK_26_GEST!$A$8:$ZZ$8,0))</f>
        <v>150288.79305904027</v>
      </c>
      <c r="G30" s="113">
        <f>INDEX([4]CK_26_GEST!$A$8:$ZZ$98,MATCH($A30,[4]CK_26_GEST!$A$8:$A$98,0),MATCH(G$3,[4]CK_26_GEST!$A$8:$ZZ$8,0))</f>
        <v>0</v>
      </c>
    </row>
    <row r="31" spans="1:7" outlineLevel="1" x14ac:dyDescent="0.2">
      <c r="A31" s="122" t="s">
        <v>462</v>
      </c>
      <c r="B31" s="114" t="s">
        <v>151</v>
      </c>
      <c r="C31" s="115">
        <f t="shared" si="2"/>
        <v>6276170.1230943017</v>
      </c>
      <c r="E31" s="116">
        <f>INDEX([4]CK_26_GEST!$A$8:$ZZ$98,MATCH($A31,[4]CK_26_GEST!$A$8:$A$98,0),MATCH(E$3,[4]CK_26_GEST!$A$8:$ZZ$8,0))</f>
        <v>5617530.7163216472</v>
      </c>
      <c r="F31" s="116">
        <f>INDEX([4]CK_26_GEST!$A$8:$ZZ$98,MATCH($A31,[4]CK_26_GEST!$A$8:$A$98,0),MATCH(F$3,[4]CK_26_GEST!$A$8:$ZZ$8,0))</f>
        <v>658639.40677265439</v>
      </c>
      <c r="G31" s="116">
        <f>INDEX([4]CK_26_GEST!$A$8:$ZZ$98,MATCH($A31,[4]CK_26_GEST!$A$8:$A$98,0),MATCH(G$3,[4]CK_26_GEST!$A$8:$ZZ$8,0))</f>
        <v>0</v>
      </c>
    </row>
    <row r="32" spans="1:7" ht="11.4" outlineLevel="1" x14ac:dyDescent="0.2">
      <c r="A32" s="122" t="s">
        <v>450</v>
      </c>
      <c r="B32" s="95" t="s">
        <v>5375</v>
      </c>
      <c r="C32" s="109">
        <f t="shared" si="2"/>
        <v>823551.54593182099</v>
      </c>
      <c r="E32" s="110">
        <f>INDEX([4]CK_26_GEST!$A$8:$ZZ$98,MATCH($A32,[4]CK_26_GEST!$A$8:$A$98,0),MATCH(E$3,[4]CK_26_GEST!$A$8:$ZZ$8,0))</f>
        <v>776842.25678022834</v>
      </c>
      <c r="F32" s="110">
        <f>INDEX([4]CK_26_GEST!$A$8:$ZZ$98,MATCH($A32,[4]CK_26_GEST!$A$8:$A$98,0),MATCH(F$3,[4]CK_26_GEST!$A$8:$ZZ$8,0))</f>
        <v>46709.289151592602</v>
      </c>
      <c r="G32" s="110">
        <f>INDEX([4]CK_26_GEST!$A$8:$ZZ$98,MATCH($A32,[4]CK_26_GEST!$A$8:$A$98,0),MATCH(G$3,[4]CK_26_GEST!$A$8:$ZZ$8,0))</f>
        <v>0</v>
      </c>
    </row>
    <row r="33" spans="1:7" ht="11.4" outlineLevel="1" x14ac:dyDescent="0.2">
      <c r="A33" s="122" t="s">
        <v>464</v>
      </c>
      <c r="B33" s="117" t="s">
        <v>5376</v>
      </c>
      <c r="C33" s="118">
        <f t="shared" si="2"/>
        <v>4787.5776740000001</v>
      </c>
      <c r="E33" s="110">
        <f>INDEX([4]CK_26_GEST!$A$8:$ZZ$98,MATCH($A33,[4]CK_26_GEST!$A$8:$A$98,0),MATCH(E$3,[4]CK_26_GEST!$A$8:$ZZ$8,0))</f>
        <v>4787.5776740000001</v>
      </c>
      <c r="F33" s="110">
        <f>INDEX([4]CK_26_GEST!$A$8:$ZZ$98,MATCH($A33,[4]CK_26_GEST!$A$8:$A$98,0),MATCH(F$3,[4]CK_26_GEST!$A$8:$ZZ$8,0))</f>
        <v>0</v>
      </c>
      <c r="G33" s="110">
        <f>INDEX([4]CK_26_GEST!$A$8:$ZZ$98,MATCH($A33,[4]CK_26_GEST!$A$8:$A$98,0),MATCH(G$3,[4]CK_26_GEST!$A$8:$ZZ$8,0))</f>
        <v>0</v>
      </c>
    </row>
    <row r="34" spans="1:7" ht="11.4" outlineLevel="1" x14ac:dyDescent="0.2">
      <c r="A34" s="122" t="s">
        <v>463</v>
      </c>
      <c r="B34" s="95" t="s">
        <v>5377</v>
      </c>
      <c r="C34" s="109">
        <f t="shared" si="2"/>
        <v>0</v>
      </c>
      <c r="E34" s="389">
        <f>INDEX([4]CK_26_GEST!$A$8:$ZZ$98,MATCH($A34,[4]CK_26_GEST!$A$8:$A$98,0),MATCH(E$3,[4]CK_26_GEST!$A$8:$ZZ$8,0))</f>
        <v>0</v>
      </c>
      <c r="F34" s="389">
        <f>INDEX([4]CK_26_GEST!$A$8:$ZZ$98,MATCH($A34,[4]CK_26_GEST!$A$8:$A$98,0),MATCH(F$3,[4]CK_26_GEST!$A$8:$ZZ$8,0))</f>
        <v>0</v>
      </c>
      <c r="G34" s="389">
        <f>INDEX([4]CK_26_GEST!$A$8:$ZZ$98,MATCH($A34,[4]CK_26_GEST!$A$8:$A$98,0),MATCH(G$3,[4]CK_26_GEST!$A$8:$ZZ$8,0))</f>
        <v>0</v>
      </c>
    </row>
    <row r="35" spans="1:7" outlineLevel="1" x14ac:dyDescent="0.2"/>
    <row r="36" spans="1:7" outlineLevel="1" x14ac:dyDescent="0.2">
      <c r="A36" s="122" t="s">
        <v>5358</v>
      </c>
      <c r="B36" s="549" t="s">
        <v>5362</v>
      </c>
      <c r="C36" s="546">
        <f>SUM(E36:G36)</f>
        <v>0</v>
      </c>
      <c r="E36" s="552">
        <f>[4]IN_LIC_Export!I5</f>
        <v>0</v>
      </c>
      <c r="F36" s="552">
        <f>[4]IN_LIC_Export!J5</f>
        <v>0</v>
      </c>
      <c r="G36" s="552">
        <f>[4]IN_LIC_Export!K5</f>
        <v>0</v>
      </c>
    </row>
    <row r="37" spans="1:7" outlineLevel="1" x14ac:dyDescent="0.2">
      <c r="A37" s="122" t="s">
        <v>5359</v>
      </c>
      <c r="B37" s="550" t="s">
        <v>775</v>
      </c>
      <c r="C37" s="547">
        <f>SUM(E37:G37)</f>
        <v>56545.7</v>
      </c>
      <c r="E37" s="553">
        <f>[4]IN_LIC_Export!I6</f>
        <v>56545.7</v>
      </c>
      <c r="F37" s="553">
        <f>[4]IN_LIC_Export!J6</f>
        <v>0</v>
      </c>
      <c r="G37" s="553">
        <f>[4]IN_LIC_Export!K6</f>
        <v>0</v>
      </c>
    </row>
    <row r="38" spans="1:7" outlineLevel="1" x14ac:dyDescent="0.2">
      <c r="A38" s="122" t="s">
        <v>5360</v>
      </c>
      <c r="B38" s="550" t="s">
        <v>773</v>
      </c>
      <c r="C38" s="547">
        <f>SUM(E38:G38)</f>
        <v>116588.39</v>
      </c>
      <c r="E38" s="553">
        <f>[4]IN_LIC_Export!I7</f>
        <v>116588.39</v>
      </c>
      <c r="F38" s="553">
        <f>[4]IN_LIC_Export!J7</f>
        <v>0</v>
      </c>
      <c r="G38" s="553">
        <f>[4]IN_LIC_Export!K7</f>
        <v>0</v>
      </c>
    </row>
    <row r="39" spans="1:7" outlineLevel="1" x14ac:dyDescent="0.2">
      <c r="A39" s="122" t="s">
        <v>5361</v>
      </c>
      <c r="B39" s="551" t="s">
        <v>774</v>
      </c>
      <c r="C39" s="548">
        <f>SUM(E39:G39)</f>
        <v>0</v>
      </c>
      <c r="E39" s="554">
        <f>[4]IN_LIC_Export!I8</f>
        <v>0</v>
      </c>
      <c r="F39" s="554">
        <f>[4]IN_LIC_Export!J8</f>
        <v>0</v>
      </c>
      <c r="G39" s="554">
        <f>[4]IN_LIC_Export!K8</f>
        <v>0</v>
      </c>
    </row>
    <row r="40" spans="1:7" outlineLevel="1" x14ac:dyDescent="0.2"/>
    <row r="41" spans="1:7" x14ac:dyDescent="0.2">
      <c r="B41" s="1128">
        <v>2027</v>
      </c>
      <c r="C41" s="1128"/>
      <c r="E41" s="120"/>
      <c r="F41" s="120"/>
      <c r="G41" s="120"/>
    </row>
    <row r="42" spans="1:7" ht="11.4" x14ac:dyDescent="0.2">
      <c r="A42" s="85" t="s">
        <v>3377</v>
      </c>
      <c r="B42" s="91" t="s">
        <v>5378</v>
      </c>
      <c r="C42" s="92">
        <f>SUM(E42:G42)</f>
        <v>636502.06287353288</v>
      </c>
      <c r="D42" s="93"/>
      <c r="E42" s="94">
        <f t="shared" ref="E42" si="3">+MAX((E52+E55-E53)*E49+E67*(E48-E49),0)</f>
        <v>585677.75297643547</v>
      </c>
      <c r="F42" s="94">
        <f t="shared" ref="F42:G42" si="4">+MAX((F52+F55-F53)*F49+F67*(F48-F49),0)</f>
        <v>32263.733564466515</v>
      </c>
      <c r="G42" s="94">
        <f t="shared" si="4"/>
        <v>18560.576332630921</v>
      </c>
    </row>
    <row r="43" spans="1:7" ht="11.4" x14ac:dyDescent="0.2">
      <c r="A43" s="85" t="s">
        <v>3383</v>
      </c>
      <c r="B43" s="91" t="s">
        <v>5379</v>
      </c>
      <c r="C43" s="92">
        <f>SUM(E43:G43)</f>
        <v>0</v>
      </c>
      <c r="D43" s="93"/>
      <c r="E43" s="94">
        <f>E70</f>
        <v>0</v>
      </c>
      <c r="F43" s="94">
        <f>F70</f>
        <v>0</v>
      </c>
      <c r="G43" s="94">
        <f>G70</f>
        <v>0</v>
      </c>
    </row>
    <row r="44" spans="1:7" ht="11.4" x14ac:dyDescent="0.2">
      <c r="A44" s="85" t="s">
        <v>3341</v>
      </c>
      <c r="B44" s="91" t="s">
        <v>5380</v>
      </c>
      <c r="C44" s="92">
        <f>SUM(E44:G44)</f>
        <v>814002.5713115395</v>
      </c>
      <c r="D44" s="93"/>
      <c r="E44" s="94">
        <f>E69</f>
        <v>769215.86820567632</v>
      </c>
      <c r="F44" s="94">
        <f>F69</f>
        <v>44786.703105863213</v>
      </c>
      <c r="G44" s="94">
        <f>G69</f>
        <v>0</v>
      </c>
    </row>
    <row r="45" spans="1:7" ht="11.4" x14ac:dyDescent="0.2">
      <c r="A45" s="85" t="s">
        <v>3389</v>
      </c>
      <c r="B45" s="91" t="s">
        <v>5381</v>
      </c>
      <c r="C45" s="92">
        <f>SUM(E45:G45)</f>
        <v>0</v>
      </c>
      <c r="D45" s="93"/>
      <c r="E45" s="94">
        <f>E71</f>
        <v>0</v>
      </c>
      <c r="F45" s="94">
        <f>F71</f>
        <v>0</v>
      </c>
      <c r="G45" s="94">
        <f>G71</f>
        <v>0</v>
      </c>
    </row>
    <row r="46" spans="1:7" x14ac:dyDescent="0.2">
      <c r="C46" s="90"/>
    </row>
    <row r="47" spans="1:7" ht="11.4" outlineLevel="1" x14ac:dyDescent="0.2">
      <c r="B47" s="95" t="s">
        <v>5382</v>
      </c>
      <c r="C47" s="92">
        <f>SUM(E47:G47)</f>
        <v>10367058.804131713</v>
      </c>
      <c r="E47" s="96">
        <f>E51</f>
        <v>9526448.7499421891</v>
      </c>
      <c r="F47" s="96">
        <f>F51</f>
        <v>526024.0146534068</v>
      </c>
      <c r="G47" s="96">
        <f>G51</f>
        <v>314586.03953611734</v>
      </c>
    </row>
    <row r="48" spans="1:7" ht="11.4" outlineLevel="1" x14ac:dyDescent="0.2">
      <c r="B48" s="97" t="s">
        <v>181</v>
      </c>
      <c r="C48" s="98">
        <f>'Parametri MTR-3'!$K$8</f>
        <v>6.9000000000000006E-2</v>
      </c>
      <c r="E48" s="99">
        <f>$C$48</f>
        <v>6.9000000000000006E-2</v>
      </c>
      <c r="F48" s="99">
        <f>$C$48</f>
        <v>6.9000000000000006E-2</v>
      </c>
      <c r="G48" s="99">
        <f>$C$48</f>
        <v>6.9000000000000006E-2</v>
      </c>
    </row>
    <row r="49" spans="1:7" ht="11.4" outlineLevel="1" x14ac:dyDescent="0.2">
      <c r="B49" s="97" t="s">
        <v>182</v>
      </c>
      <c r="C49" s="98">
        <f>'Parametri MTR-3'!$K$9</f>
        <v>5.8999999999999997E-2</v>
      </c>
      <c r="E49" s="99">
        <f>$C$49</f>
        <v>5.8999999999999997E-2</v>
      </c>
      <c r="F49" s="99">
        <f>$C$49</f>
        <v>5.8999999999999997E-2</v>
      </c>
      <c r="G49" s="99">
        <f>$C$49</f>
        <v>5.8999999999999997E-2</v>
      </c>
    </row>
    <row r="50" spans="1:7" outlineLevel="1" x14ac:dyDescent="0.2">
      <c r="C50" s="90"/>
    </row>
    <row r="51" spans="1:7" ht="11.4" outlineLevel="1" x14ac:dyDescent="0.2">
      <c r="B51" s="95" t="s">
        <v>5382</v>
      </c>
      <c r="C51" s="92">
        <f>SUM(E51:G51)</f>
        <v>10367058.804131713</v>
      </c>
      <c r="E51" s="101">
        <f>MAX((E52+E55-E53),0)</f>
        <v>9526448.7499421891</v>
      </c>
      <c r="F51" s="101">
        <f>MAX((F52+F55-F53),0)</f>
        <v>526024.0146534068</v>
      </c>
      <c r="G51" s="101">
        <f>MAX((G52+G55-G53),0)</f>
        <v>314586.03953611734</v>
      </c>
    </row>
    <row r="52" spans="1:7" ht="11.4" outlineLevel="1" x14ac:dyDescent="0.2">
      <c r="B52" s="95" t="s">
        <v>5383</v>
      </c>
      <c r="C52" s="92">
        <f>SUM(E52:G52)</f>
        <v>8560671.6214055605</v>
      </c>
      <c r="E52" s="102">
        <f>E66</f>
        <v>7798452.7107254593</v>
      </c>
      <c r="F52" s="102">
        <f>F66</f>
        <v>762218.91068010195</v>
      </c>
      <c r="G52" s="102">
        <f>G66</f>
        <v>0</v>
      </c>
    </row>
    <row r="53" spans="1:7" ht="11.4" outlineLevel="1" x14ac:dyDescent="0.2">
      <c r="A53" s="122" t="s">
        <v>5203</v>
      </c>
      <c r="B53" s="100" t="s">
        <v>5384</v>
      </c>
      <c r="C53" s="92">
        <f>SUM(E53:G53)</f>
        <v>1520429.8320922696</v>
      </c>
      <c r="E53" s="102">
        <f>INDEX('Import CO_25'!$A$4:$E$134,MATCH($A53,'Import CO_25'!$A$4:$A$134,0),MATCH(E$3,'Import CO_25'!$A$4:$E$4,0))</f>
        <v>988341.67339806445</v>
      </c>
      <c r="F53" s="102">
        <f>INDEX('Import CO_25'!$A$4:$E$134,MATCH($A53,'Import CO_25'!$A$4:$A$134,0),MATCH(F$3,'Import CO_25'!$A$4:$E$4,0))</f>
        <v>431836.69744073343</v>
      </c>
      <c r="G53" s="102">
        <f>INDEX('Import CO_25'!$A$4:$E$134,MATCH($A53,'Import CO_25'!$A$4:$A$134,0),MATCH(G$3,'Import CO_25'!$A$4:$E$4,0))</f>
        <v>100251.46125347161</v>
      </c>
    </row>
    <row r="54" spans="1:7" outlineLevel="1" x14ac:dyDescent="0.2">
      <c r="C54" s="90"/>
      <c r="E54" s="103"/>
      <c r="F54" s="103"/>
      <c r="G54" s="103"/>
    </row>
    <row r="55" spans="1:7" ht="11.4" outlineLevel="1" x14ac:dyDescent="0.2">
      <c r="B55" s="100" t="s">
        <v>5385</v>
      </c>
      <c r="C55" s="92">
        <f>SUM(E55:G55)</f>
        <v>3326817.0148184216</v>
      </c>
      <c r="E55" s="104">
        <f>(((90/365)*E57)-((45/365)*E59))*((1+$C$62)*(1+$C$63))</f>
        <v>2716337.7126147943</v>
      </c>
      <c r="F55" s="104">
        <f>(((90/365)*F57)-((45/365)*F59))*((1+$C$62)*(1+$C$63))</f>
        <v>195641.80141403832</v>
      </c>
      <c r="G55" s="104">
        <f>(((90/365)*G57)-((45/365)*G59))*((1+$C$62)*(1+$C$63))</f>
        <v>414837.50078958896</v>
      </c>
    </row>
    <row r="56" spans="1:7" outlineLevel="1" x14ac:dyDescent="0.2">
      <c r="C56" s="90"/>
      <c r="E56" s="103"/>
      <c r="F56" s="103"/>
      <c r="G56" s="103"/>
    </row>
    <row r="57" spans="1:7" ht="11.4" outlineLevel="1" x14ac:dyDescent="0.2">
      <c r="A57" s="123" t="s">
        <v>5202</v>
      </c>
      <c r="B57" s="105" t="s">
        <v>5386</v>
      </c>
      <c r="C57" s="92">
        <f>SUM(E57:G57)</f>
        <v>17591948.415199999</v>
      </c>
      <c r="E57" s="102">
        <f>INDEX('Import CO_25'!$A$4:$E$134,MATCH($A57,'Import CO_25'!$A$4:$A$134,0),MATCH(E$3,'Import CO_25'!$A$4:$E$4,0))</f>
        <v>14504625.279999999</v>
      </c>
      <c r="F57" s="102">
        <f>INDEX('Import CO_25'!$A$4:$E$134,MATCH($A57,'Import CO_25'!$A$4:$A$134,0),MATCH(F$3,'Import CO_25'!$A$4:$E$4,0))</f>
        <v>1151921.4552</v>
      </c>
      <c r="G57" s="102">
        <f>INDEX('Import CO_25'!$A$4:$E$134,MATCH($A57,'Import CO_25'!$A$4:$A$134,0),MATCH(G$3,'Import CO_25'!$A$4:$E$4,0))</f>
        <v>1935401.68</v>
      </c>
    </row>
    <row r="58" spans="1:7" outlineLevel="1" x14ac:dyDescent="0.2">
      <c r="C58" s="106"/>
      <c r="E58" s="103"/>
      <c r="F58" s="103"/>
      <c r="G58" s="103"/>
    </row>
    <row r="59" spans="1:7" ht="11.4" outlineLevel="1" x14ac:dyDescent="0.2">
      <c r="A59" s="122" t="s">
        <v>5201</v>
      </c>
      <c r="B59" s="105" t="s">
        <v>5387</v>
      </c>
      <c r="C59" s="92">
        <f>SUM(E59:G59)</f>
        <v>8519684.9198000003</v>
      </c>
      <c r="E59" s="102">
        <f>INDEX('Import CO_25'!$A$4:$E$134,MATCH($A59,'Import CO_25'!$A$4:$A$134,0),MATCH(E$3,'Import CO_25'!$A$4:$E$4,0))</f>
        <v>7237988.7000000011</v>
      </c>
      <c r="F59" s="102">
        <f>INDEX('Import CO_25'!$A$4:$E$134,MATCH($A59,'Import CO_25'!$A$4:$A$134,0),MATCH(F$3,'Import CO_25'!$A$4:$E$4,0))</f>
        <v>735787.18980000005</v>
      </c>
      <c r="G59" s="102">
        <f>INDEX('Import CO_25'!$A$4:$E$134,MATCH($A59,'Import CO_25'!$A$4:$A$134,0),MATCH(G$3,'Import CO_25'!$A$4:$E$4,0))</f>
        <v>545909.03</v>
      </c>
    </row>
    <row r="60" spans="1:7" outlineLevel="1" x14ac:dyDescent="0.2">
      <c r="C60" s="106"/>
    </row>
    <row r="61" spans="1:7" outlineLevel="1" x14ac:dyDescent="0.2">
      <c r="C61" s="106"/>
    </row>
    <row r="62" spans="1:7" ht="11.4" outlineLevel="1" x14ac:dyDescent="0.2">
      <c r="B62" s="107" t="s">
        <v>5388</v>
      </c>
      <c r="C62" s="108">
        <f>'Parametri MTR-3'!$J$6</f>
        <v>1.2E-2</v>
      </c>
    </row>
    <row r="63" spans="1:7" ht="11.4" outlineLevel="1" x14ac:dyDescent="0.2">
      <c r="B63" s="107" t="s">
        <v>5389</v>
      </c>
      <c r="C63" s="108">
        <f>'Parametri MTR-3'!$K$6</f>
        <v>0</v>
      </c>
    </row>
    <row r="64" spans="1:7" outlineLevel="1" x14ac:dyDescent="0.2">
      <c r="E64" s="387"/>
      <c r="F64" s="387"/>
      <c r="G64" s="387"/>
    </row>
    <row r="65" spans="1:7" s="365" customFormat="1" ht="20.399999999999999" outlineLevel="1" x14ac:dyDescent="0.2">
      <c r="A65" s="364"/>
      <c r="B65" s="388" t="s">
        <v>465</v>
      </c>
      <c r="C65" s="121"/>
      <c r="D65" s="367"/>
      <c r="E65" s="368" t="str">
        <f>E$3</f>
        <v>BUSTO ARSIZIO</v>
      </c>
      <c r="F65" s="368" t="str">
        <f>F$3</f>
        <v>FAGNANO OLONA</v>
      </c>
      <c r="G65" s="368" t="str">
        <f>G$3</f>
        <v>VENEGONO SUPERIORE</v>
      </c>
    </row>
    <row r="66" spans="1:7" ht="11.4" outlineLevel="1" x14ac:dyDescent="0.2">
      <c r="B66" s="95" t="s">
        <v>5383</v>
      </c>
      <c r="C66" s="109">
        <f t="shared" ref="C66:C71" si="5">SUM(E66:G66)</f>
        <v>8560671.6214055605</v>
      </c>
      <c r="E66" s="110">
        <f>SUM(E67:E68)</f>
        <v>7798452.7107254593</v>
      </c>
      <c r="F66" s="110">
        <f>SUM(F67:F68)</f>
        <v>762218.91068010195</v>
      </c>
      <c r="G66" s="110">
        <f>SUM(G67:G68)</f>
        <v>0</v>
      </c>
    </row>
    <row r="67" spans="1:7" outlineLevel="1" x14ac:dyDescent="0.2">
      <c r="A67" s="122" t="s">
        <v>461</v>
      </c>
      <c r="B67" s="111" t="s">
        <v>150</v>
      </c>
      <c r="C67" s="112">
        <f t="shared" si="5"/>
        <v>2484559.342976186</v>
      </c>
      <c r="E67" s="113">
        <f>INDEX([4]CK_27_GEST!$A$8:$ZZ$98,MATCH($A67,[4]CK_27_GEST!$A$8:$A$98,0),MATCH(E$3,[4]CK_27_GEST!$A$8:$ZZ$8,0))</f>
        <v>2361727.6729846345</v>
      </c>
      <c r="F67" s="113">
        <f>INDEX([4]CK_27_GEST!$A$8:$ZZ$98,MATCH($A67,[4]CK_27_GEST!$A$8:$A$98,0),MATCH(F$3,[4]CK_27_GEST!$A$8:$ZZ$8,0))</f>
        <v>122831.66999155136</v>
      </c>
      <c r="G67" s="113">
        <f>INDEX([4]CK_27_GEST!$A$8:$ZZ$98,MATCH($A67,[4]CK_27_GEST!$A$8:$A$98,0),MATCH(G$3,[4]CK_27_GEST!$A$8:$ZZ$8,0))</f>
        <v>0</v>
      </c>
    </row>
    <row r="68" spans="1:7" outlineLevel="1" x14ac:dyDescent="0.2">
      <c r="A68" s="122" t="s">
        <v>462</v>
      </c>
      <c r="B68" s="114" t="s">
        <v>151</v>
      </c>
      <c r="C68" s="115">
        <f t="shared" si="5"/>
        <v>6076112.278429375</v>
      </c>
      <c r="E68" s="116">
        <f>INDEX([4]CK_27_GEST!$A$8:$ZZ$98,MATCH($A68,[4]CK_27_GEST!$A$8:$A$98,0),MATCH(E$3,[4]CK_27_GEST!$A$8:$ZZ$8,0))</f>
        <v>5436725.0377408247</v>
      </c>
      <c r="F68" s="116">
        <f>INDEX([4]CK_27_GEST!$A$8:$ZZ$98,MATCH($A68,[4]CK_27_GEST!$A$8:$A$98,0),MATCH(F$3,[4]CK_27_GEST!$A$8:$ZZ$8,0))</f>
        <v>639387.24068855064</v>
      </c>
      <c r="G68" s="116">
        <f>INDEX([4]CK_27_GEST!$A$8:$ZZ$98,MATCH($A68,[4]CK_27_GEST!$A$8:$A$98,0),MATCH(G$3,[4]CK_27_GEST!$A$8:$ZZ$8,0))</f>
        <v>0</v>
      </c>
    </row>
    <row r="69" spans="1:7" ht="11.4" outlineLevel="1" x14ac:dyDescent="0.2">
      <c r="A69" s="122" t="s">
        <v>450</v>
      </c>
      <c r="B69" s="95" t="s">
        <v>5390</v>
      </c>
      <c r="C69" s="109">
        <f t="shared" si="5"/>
        <v>814002.5713115395</v>
      </c>
      <c r="E69" s="110">
        <f>INDEX([4]CK_27_GEST!$A$8:$ZZ$98,MATCH($A69,[4]CK_27_GEST!$A$8:$A$98,0),MATCH(E$3,[4]CK_27_GEST!$A$8:$ZZ$8,0))</f>
        <v>769215.86820567632</v>
      </c>
      <c r="F69" s="110">
        <f>INDEX([4]CK_27_GEST!$A$8:$ZZ$98,MATCH($A69,[4]CK_27_GEST!$A$8:$A$98,0),MATCH(F$3,[4]CK_27_GEST!$A$8:$ZZ$8,0))</f>
        <v>44786.703105863213</v>
      </c>
      <c r="G69" s="110">
        <f>INDEX([4]CK_27_GEST!$A$8:$ZZ$98,MATCH($A69,[4]CK_27_GEST!$A$8:$A$98,0),MATCH(G$3,[4]CK_27_GEST!$A$8:$ZZ$8,0))</f>
        <v>0</v>
      </c>
    </row>
    <row r="70" spans="1:7" ht="11.4" outlineLevel="1" x14ac:dyDescent="0.2">
      <c r="A70" s="122" t="s">
        <v>464</v>
      </c>
      <c r="B70" s="117" t="s">
        <v>5391</v>
      </c>
      <c r="C70" s="118">
        <f t="shared" si="5"/>
        <v>0</v>
      </c>
      <c r="E70" s="110">
        <f>INDEX([4]CK_27_GEST!$A$8:$ZZ$98,MATCH($A70,[4]CK_27_GEST!$A$8:$A$98,0),MATCH(E$3,[4]CK_27_GEST!$A$8:$ZZ$8,0))</f>
        <v>0</v>
      </c>
      <c r="F70" s="110">
        <f>INDEX([4]CK_27_GEST!$A$8:$ZZ$98,MATCH($A70,[4]CK_27_GEST!$A$8:$A$98,0),MATCH(F$3,[4]CK_27_GEST!$A$8:$ZZ$8,0))</f>
        <v>0</v>
      </c>
      <c r="G70" s="110">
        <f>INDEX([4]CK_27_GEST!$A$8:$ZZ$98,MATCH($A70,[4]CK_27_GEST!$A$8:$A$98,0),MATCH(G$3,[4]CK_27_GEST!$A$8:$ZZ$8,0))</f>
        <v>0</v>
      </c>
    </row>
    <row r="71" spans="1:7" ht="11.4" outlineLevel="1" x14ac:dyDescent="0.2">
      <c r="A71" s="122" t="s">
        <v>463</v>
      </c>
      <c r="B71" s="95" t="s">
        <v>5392</v>
      </c>
      <c r="C71" s="109">
        <f t="shared" si="5"/>
        <v>0</v>
      </c>
      <c r="E71" s="389">
        <f>INDEX([4]CK_27_GEST!$A$8:$ZZ$98,MATCH($A71,[4]CK_27_GEST!$A$8:$A$98,0),MATCH(E$3,[4]CK_27_GEST!$A$8:$ZZ$8,0))</f>
        <v>0</v>
      </c>
      <c r="F71" s="389">
        <f>INDEX([4]CK_27_GEST!$A$8:$ZZ$98,MATCH($A71,[4]CK_27_GEST!$A$8:$A$98,0),MATCH(F$3,[4]CK_27_GEST!$A$8:$ZZ$8,0))</f>
        <v>0</v>
      </c>
      <c r="G71" s="389">
        <f>INDEX([4]CK_27_GEST!$A$8:$ZZ$98,MATCH($A71,[4]CK_27_GEST!$A$8:$A$98,0),MATCH(G$3,[4]CK_27_GEST!$A$8:$ZZ$8,0))</f>
        <v>0</v>
      </c>
    </row>
    <row r="72" spans="1:7" outlineLevel="1" x14ac:dyDescent="0.2"/>
    <row r="73" spans="1:7" outlineLevel="1" x14ac:dyDescent="0.2">
      <c r="A73" s="122" t="s">
        <v>5393</v>
      </c>
      <c r="B73" s="430" t="s">
        <v>5397</v>
      </c>
      <c r="C73" s="555">
        <f>SUM(E73:G73)</f>
        <v>0</v>
      </c>
      <c r="E73" s="552">
        <f>[4]IN_LIC_Export!I10</f>
        <v>0</v>
      </c>
      <c r="F73" s="552">
        <f>[4]IN_LIC_Export!J10</f>
        <v>0</v>
      </c>
      <c r="G73" s="552">
        <f>[4]IN_LIC_Export!K10</f>
        <v>0</v>
      </c>
    </row>
    <row r="74" spans="1:7" outlineLevel="1" x14ac:dyDescent="0.2">
      <c r="A74" s="122" t="s">
        <v>5395</v>
      </c>
      <c r="B74" s="431" t="s">
        <v>5362</v>
      </c>
      <c r="C74" s="556">
        <f>SUM(E74:G74)</f>
        <v>0</v>
      </c>
      <c r="E74" s="553">
        <f>[4]IN_LIC_Export!I11</f>
        <v>0</v>
      </c>
      <c r="F74" s="553">
        <f>[4]IN_LIC_Export!J11</f>
        <v>0</v>
      </c>
      <c r="G74" s="553">
        <f>[4]IN_LIC_Export!K11</f>
        <v>0</v>
      </c>
    </row>
    <row r="75" spans="1:7" outlineLevel="1" x14ac:dyDescent="0.2">
      <c r="A75" s="122" t="s">
        <v>5396</v>
      </c>
      <c r="B75" s="431" t="s">
        <v>775</v>
      </c>
      <c r="C75" s="556">
        <f>SUM(E75:G75)</f>
        <v>0</v>
      </c>
      <c r="E75" s="553">
        <f>[4]IN_LIC_Export!I12</f>
        <v>0</v>
      </c>
      <c r="F75" s="553">
        <f>[4]IN_LIC_Export!J12</f>
        <v>0</v>
      </c>
      <c r="G75" s="553">
        <f>[4]IN_LIC_Export!K12</f>
        <v>0</v>
      </c>
    </row>
    <row r="76" spans="1:7" outlineLevel="1" x14ac:dyDescent="0.2">
      <c r="A76" s="122" t="s">
        <v>5394</v>
      </c>
      <c r="B76" s="432" t="s">
        <v>773</v>
      </c>
      <c r="C76" s="557">
        <f>SUM(E76:G76)</f>
        <v>0</v>
      </c>
      <c r="E76" s="554">
        <f>[4]IN_LIC_Export!I13</f>
        <v>0</v>
      </c>
      <c r="F76" s="554">
        <f>[4]IN_LIC_Export!J13</f>
        <v>0</v>
      </c>
      <c r="G76" s="554">
        <f>[4]IN_LIC_Export!K13</f>
        <v>0</v>
      </c>
    </row>
    <row r="78" spans="1:7" x14ac:dyDescent="0.2">
      <c r="B78" s="1128">
        <v>2028</v>
      </c>
      <c r="C78" s="1128"/>
      <c r="E78" s="120"/>
      <c r="F78" s="120"/>
      <c r="G78" s="120"/>
    </row>
    <row r="79" spans="1:7" ht="11.4" x14ac:dyDescent="0.2">
      <c r="A79" s="85" t="s">
        <v>4193</v>
      </c>
      <c r="B79" s="91" t="s">
        <v>5400</v>
      </c>
      <c r="C79" s="92">
        <f>SUM(E79:G79)</f>
        <v>582336.46389968612</v>
      </c>
      <c r="D79" s="93"/>
      <c r="E79" s="94">
        <f t="shared" ref="E79" si="6">+MAX((E89+E92-E90)*E86+E104*(E85-E86),0)</f>
        <v>534409.91485605214</v>
      </c>
      <c r="F79" s="94">
        <f t="shared" ref="F79:G79" si="7">+MAX((F89+F92-F90)*F86+F104*(F85-F86),0)</f>
        <v>29365.972711002989</v>
      </c>
      <c r="G79" s="94">
        <f t="shared" si="7"/>
        <v>18560.576332630921</v>
      </c>
    </row>
    <row r="80" spans="1:7" ht="11.4" x14ac:dyDescent="0.2">
      <c r="A80" s="85" t="s">
        <v>4199</v>
      </c>
      <c r="B80" s="91" t="s">
        <v>5401</v>
      </c>
      <c r="C80" s="92">
        <f>SUM(E80:G80)</f>
        <v>0</v>
      </c>
      <c r="D80" s="93"/>
      <c r="E80" s="94">
        <f>E107</f>
        <v>0</v>
      </c>
      <c r="F80" s="94">
        <f>F107</f>
        <v>0</v>
      </c>
      <c r="G80" s="94">
        <f>G107</f>
        <v>0</v>
      </c>
    </row>
    <row r="81" spans="1:7" ht="11.4" x14ac:dyDescent="0.2">
      <c r="A81" s="85" t="s">
        <v>4157</v>
      </c>
      <c r="B81" s="91" t="s">
        <v>5402</v>
      </c>
      <c r="C81" s="92">
        <f>SUM(E81:G81)</f>
        <v>680849.52973762178</v>
      </c>
      <c r="D81" s="93"/>
      <c r="E81" s="94">
        <f>E106</f>
        <v>639718.63503260689</v>
      </c>
      <c r="F81" s="94">
        <f>F106</f>
        <v>41130.894705014922</v>
      </c>
      <c r="G81" s="94">
        <f>G106</f>
        <v>0</v>
      </c>
    </row>
    <row r="82" spans="1:7" ht="11.4" x14ac:dyDescent="0.2">
      <c r="A82" s="85" t="s">
        <v>4205</v>
      </c>
      <c r="B82" s="91" t="s">
        <v>5403</v>
      </c>
      <c r="C82" s="92">
        <f>SUM(E82:G82)</f>
        <v>0</v>
      </c>
      <c r="D82" s="93"/>
      <c r="E82" s="94">
        <f>E108</f>
        <v>0</v>
      </c>
      <c r="F82" s="94">
        <f>F108</f>
        <v>0</v>
      </c>
      <c r="G82" s="94">
        <f>G108</f>
        <v>0</v>
      </c>
    </row>
    <row r="83" spans="1:7" x14ac:dyDescent="0.2">
      <c r="C83" s="90"/>
    </row>
    <row r="84" spans="1:7" ht="11.4" outlineLevel="1" x14ac:dyDescent="0.2">
      <c r="B84" s="95" t="s">
        <v>5404</v>
      </c>
      <c r="C84" s="92">
        <f>SUM(E84:G84)</f>
        <v>9553056.2328201756</v>
      </c>
      <c r="E84" s="96">
        <f>E88</f>
        <v>8757232.8817365151</v>
      </c>
      <c r="F84" s="96">
        <f>F88</f>
        <v>481237.31154754362</v>
      </c>
      <c r="G84" s="96">
        <f>G88</f>
        <v>314586.03953611734</v>
      </c>
    </row>
    <row r="85" spans="1:7" ht="11.4" outlineLevel="1" x14ac:dyDescent="0.2">
      <c r="B85" s="97" t="s">
        <v>5367</v>
      </c>
      <c r="C85" s="98">
        <f>'Parametri MTR-3'!$L$8</f>
        <v>6.9000000000000006E-2</v>
      </c>
      <c r="E85" s="99">
        <f>$C$11</f>
        <v>6.9000000000000006E-2</v>
      </c>
      <c r="F85" s="99">
        <f>$C$11</f>
        <v>6.9000000000000006E-2</v>
      </c>
      <c r="G85" s="99">
        <f>$C$11</f>
        <v>6.9000000000000006E-2</v>
      </c>
    </row>
    <row r="86" spans="1:7" ht="11.4" outlineLevel="1" x14ac:dyDescent="0.2">
      <c r="B86" s="97" t="s">
        <v>5368</v>
      </c>
      <c r="C86" s="98">
        <f>'Parametri MTR-3'!$L$9</f>
        <v>5.8999999999999997E-2</v>
      </c>
      <c r="E86" s="99">
        <f>$C$12</f>
        <v>5.8999999999999997E-2</v>
      </c>
      <c r="F86" s="99">
        <f>$C$12</f>
        <v>5.8999999999999997E-2</v>
      </c>
      <c r="G86" s="99">
        <f>$C$12</f>
        <v>5.8999999999999997E-2</v>
      </c>
    </row>
    <row r="87" spans="1:7" outlineLevel="1" x14ac:dyDescent="0.2">
      <c r="C87" s="90"/>
    </row>
    <row r="88" spans="1:7" ht="11.4" outlineLevel="1" x14ac:dyDescent="0.2">
      <c r="B88" s="95" t="s">
        <v>5405</v>
      </c>
      <c r="C88" s="92">
        <f>SUM(E88:G88)</f>
        <v>9553056.2328201756</v>
      </c>
      <c r="E88" s="101">
        <f>MAX((E89+E92-E90),0)</f>
        <v>8757232.8817365151</v>
      </c>
      <c r="F88" s="101">
        <f>MAX((F89+F92-F90),0)</f>
        <v>481237.31154754362</v>
      </c>
      <c r="G88" s="101">
        <f>MAX((G89+G92-G90),0)</f>
        <v>314586.03953611734</v>
      </c>
    </row>
    <row r="89" spans="1:7" ht="11.4" outlineLevel="1" x14ac:dyDescent="0.2">
      <c r="B89" s="95" t="s">
        <v>5406</v>
      </c>
      <c r="C89" s="92">
        <f>SUM(E89:G89)</f>
        <v>7746669.0500940233</v>
      </c>
      <c r="E89" s="102">
        <f>E103</f>
        <v>7029236.8425197843</v>
      </c>
      <c r="F89" s="102">
        <f>F103</f>
        <v>717432.20757423877</v>
      </c>
      <c r="G89" s="102">
        <f>G103</f>
        <v>0</v>
      </c>
    </row>
    <row r="90" spans="1:7" ht="11.4" outlineLevel="1" x14ac:dyDescent="0.2">
      <c r="A90" s="122" t="s">
        <v>5685</v>
      </c>
      <c r="B90" s="100" t="s">
        <v>5407</v>
      </c>
      <c r="C90" s="92">
        <f>SUM(E90:G90)</f>
        <v>1520429.8320922696</v>
      </c>
      <c r="E90" s="102">
        <f>E53</f>
        <v>988341.67339806445</v>
      </c>
      <c r="F90" s="102">
        <f>F53</f>
        <v>431836.69744073343</v>
      </c>
      <c r="G90" s="102">
        <f>G53</f>
        <v>100251.46125347161</v>
      </c>
    </row>
    <row r="91" spans="1:7" outlineLevel="1" x14ac:dyDescent="0.2">
      <c r="C91" s="90"/>
      <c r="E91" s="103"/>
      <c r="F91" s="103"/>
      <c r="G91" s="103"/>
    </row>
    <row r="92" spans="1:7" ht="11.4" outlineLevel="1" x14ac:dyDescent="0.2">
      <c r="B92" s="100" t="s">
        <v>5408</v>
      </c>
      <c r="C92" s="92">
        <f>SUM(E92:G92)</f>
        <v>3326817.0148184216</v>
      </c>
      <c r="E92" s="104">
        <f>(((90/365)*E94)-((45/365)*E96))*((1+$C$99)*(1+$C$100))</f>
        <v>2716337.7126147943</v>
      </c>
      <c r="F92" s="104">
        <f>(((90/365)*F94)-((45/365)*F96))*((1+$C$99)*(1+$C$100))</f>
        <v>195641.80141403832</v>
      </c>
      <c r="G92" s="104">
        <f>(((90/365)*G94)-((45/365)*G96))*((1+$C$99)*(1+$C$100))</f>
        <v>414837.50078958896</v>
      </c>
    </row>
    <row r="93" spans="1:7" outlineLevel="1" x14ac:dyDescent="0.2">
      <c r="C93" s="90"/>
      <c r="E93" s="103"/>
      <c r="F93" s="103"/>
      <c r="G93" s="103"/>
    </row>
    <row r="94" spans="1:7" ht="11.4" outlineLevel="1" x14ac:dyDescent="0.2">
      <c r="A94" s="123" t="s">
        <v>5686</v>
      </c>
      <c r="B94" s="105" t="s">
        <v>5409</v>
      </c>
      <c r="C94" s="92">
        <f>SUM(E94:G94)</f>
        <v>17591948.415199999</v>
      </c>
      <c r="E94" s="102">
        <f>E57</f>
        <v>14504625.279999999</v>
      </c>
      <c r="F94" s="102">
        <f>F57</f>
        <v>1151921.4552</v>
      </c>
      <c r="G94" s="102">
        <f>G57</f>
        <v>1935401.68</v>
      </c>
    </row>
    <row r="95" spans="1:7" outlineLevel="1" x14ac:dyDescent="0.2">
      <c r="C95" s="106"/>
      <c r="E95" s="103"/>
      <c r="F95" s="103"/>
      <c r="G95" s="103"/>
    </row>
    <row r="96" spans="1:7" ht="11.4" outlineLevel="1" x14ac:dyDescent="0.2">
      <c r="A96" s="122" t="s">
        <v>5687</v>
      </c>
      <c r="B96" s="105" t="s">
        <v>5410</v>
      </c>
      <c r="C96" s="92">
        <f>SUM(E96:G96)</f>
        <v>8519684.9198000003</v>
      </c>
      <c r="E96" s="102">
        <f>E59</f>
        <v>7237988.7000000011</v>
      </c>
      <c r="F96" s="102">
        <f>F59</f>
        <v>735787.18980000005</v>
      </c>
      <c r="G96" s="102">
        <f>G59</f>
        <v>545909.03</v>
      </c>
    </row>
    <row r="97" spans="1:7" outlineLevel="1" x14ac:dyDescent="0.2">
      <c r="C97" s="106"/>
    </row>
    <row r="98" spans="1:7" outlineLevel="1" x14ac:dyDescent="0.2">
      <c r="C98" s="106"/>
    </row>
    <row r="99" spans="1:7" ht="11.4" outlineLevel="1" x14ac:dyDescent="0.2">
      <c r="B99" s="107" t="s">
        <v>5389</v>
      </c>
      <c r="C99" s="1068">
        <f>C62</f>
        <v>1.2E-2</v>
      </c>
    </row>
    <row r="100" spans="1:7" ht="11.4" outlineLevel="1" x14ac:dyDescent="0.2">
      <c r="B100" s="107" t="s">
        <v>5398</v>
      </c>
      <c r="C100" s="1068">
        <f>C63</f>
        <v>0</v>
      </c>
    </row>
    <row r="101" spans="1:7" outlineLevel="1" x14ac:dyDescent="0.2">
      <c r="E101" s="387"/>
      <c r="F101" s="387"/>
      <c r="G101" s="387"/>
    </row>
    <row r="102" spans="1:7" s="365" customFormat="1" ht="20.399999999999999" outlineLevel="1" x14ac:dyDescent="0.2">
      <c r="A102" s="364"/>
      <c r="B102" s="388" t="s">
        <v>465</v>
      </c>
      <c r="C102" s="121"/>
      <c r="D102" s="367"/>
      <c r="E102" s="368" t="str">
        <f>E$3</f>
        <v>BUSTO ARSIZIO</v>
      </c>
      <c r="F102" s="368" t="str">
        <f>F$3</f>
        <v>FAGNANO OLONA</v>
      </c>
      <c r="G102" s="368" t="str">
        <f>G$3</f>
        <v>VENEGONO SUPERIORE</v>
      </c>
    </row>
    <row r="103" spans="1:7" ht="11.4" outlineLevel="1" x14ac:dyDescent="0.2">
      <c r="B103" s="95" t="s">
        <v>5406</v>
      </c>
      <c r="C103" s="109">
        <f t="shared" ref="C103:C108" si="8">SUM(E103:G103)</f>
        <v>7746669.0500940233</v>
      </c>
      <c r="E103" s="110">
        <f>SUM(E104:E105)</f>
        <v>7029236.8425197843</v>
      </c>
      <c r="F103" s="110">
        <f>SUM(F104:F105)</f>
        <v>717432.20757423877</v>
      </c>
      <c r="G103" s="110">
        <f>SUM(G104:G105)</f>
        <v>0</v>
      </c>
    </row>
    <row r="104" spans="1:7" outlineLevel="1" x14ac:dyDescent="0.2">
      <c r="A104" s="122" t="s">
        <v>461</v>
      </c>
      <c r="B104" s="111" t="s">
        <v>150</v>
      </c>
      <c r="C104" s="112">
        <f t="shared" si="8"/>
        <v>1870614.6163295722</v>
      </c>
      <c r="E104" s="113">
        <f>INDEX([4]CK_28_GEST!$A$8:$ZZ$98,MATCH($A104,[4]CK_28_GEST!$A$8:$A$98,0),MATCH(E$3,[4]CK_28_GEST!$A$8:$ZZ$8,0))</f>
        <v>1773317.4833597804</v>
      </c>
      <c r="F104" s="113">
        <f>INDEX([4]CK_28_GEST!$A$8:$ZZ$98,MATCH($A104,[4]CK_28_GEST!$A$8:$A$98,0),MATCH(F$3,[4]CK_28_GEST!$A$8:$ZZ$8,0))</f>
        <v>97297.132969791768</v>
      </c>
      <c r="G104" s="113">
        <f>INDEX([4]CK_28_GEST!$A$8:$ZZ$98,MATCH($A104,[4]CK_28_GEST!$A$8:$A$98,0),MATCH(G$3,[4]CK_28_GEST!$A$8:$ZZ$8,0))</f>
        <v>0</v>
      </c>
    </row>
    <row r="105" spans="1:7" outlineLevel="1" x14ac:dyDescent="0.2">
      <c r="A105" s="122" t="s">
        <v>462</v>
      </c>
      <c r="B105" s="114" t="s">
        <v>151</v>
      </c>
      <c r="C105" s="115">
        <f t="shared" si="8"/>
        <v>5876054.4337644512</v>
      </c>
      <c r="E105" s="116">
        <f>INDEX([4]CK_28_GEST!$A$8:$ZZ$98,MATCH($A105,[4]CK_28_GEST!$A$8:$A$98,0),MATCH(E$3,[4]CK_28_GEST!$A$8:$ZZ$8,0))</f>
        <v>5255919.3591600042</v>
      </c>
      <c r="F105" s="116">
        <f>INDEX([4]CK_28_GEST!$A$8:$ZZ$98,MATCH($A105,[4]CK_28_GEST!$A$8:$A$98,0),MATCH(F$3,[4]CK_28_GEST!$A$8:$ZZ$8,0))</f>
        <v>620135.074604447</v>
      </c>
      <c r="G105" s="116">
        <f>INDEX([4]CK_28_GEST!$A$8:$ZZ$98,MATCH($A105,[4]CK_28_GEST!$A$8:$A$98,0),MATCH(G$3,[4]CK_28_GEST!$A$8:$ZZ$8,0))</f>
        <v>0</v>
      </c>
    </row>
    <row r="106" spans="1:7" ht="11.4" outlineLevel="1" x14ac:dyDescent="0.2">
      <c r="A106" s="122" t="s">
        <v>450</v>
      </c>
      <c r="B106" s="95" t="s">
        <v>5411</v>
      </c>
      <c r="C106" s="109">
        <f t="shared" si="8"/>
        <v>680849.52973762178</v>
      </c>
      <c r="E106" s="110">
        <f>INDEX([4]CK_28_GEST!$A$8:$ZZ$98,MATCH($A106,[4]CK_28_GEST!$A$8:$A$98,0),MATCH(E$3,[4]CK_28_GEST!$A$8:$ZZ$8,0))</f>
        <v>639718.63503260689</v>
      </c>
      <c r="F106" s="110">
        <f>INDEX([4]CK_28_GEST!$A$8:$ZZ$98,MATCH($A106,[4]CK_28_GEST!$A$8:$A$98,0),MATCH(F$3,[4]CK_28_GEST!$A$8:$ZZ$8,0))</f>
        <v>41130.894705014922</v>
      </c>
      <c r="G106" s="110">
        <f>INDEX([4]CK_28_GEST!$A$8:$ZZ$98,MATCH($A106,[4]CK_28_GEST!$A$8:$A$98,0),MATCH(G$3,[4]CK_28_GEST!$A$8:$ZZ$8,0))</f>
        <v>0</v>
      </c>
    </row>
    <row r="107" spans="1:7" ht="11.4" outlineLevel="1" x14ac:dyDescent="0.2">
      <c r="A107" s="122" t="s">
        <v>464</v>
      </c>
      <c r="B107" s="117" t="s">
        <v>5412</v>
      </c>
      <c r="C107" s="118">
        <f t="shared" si="8"/>
        <v>0</v>
      </c>
      <c r="E107" s="110">
        <f>INDEX([4]CK_28_GEST!$A$8:$ZZ$98,MATCH($A107,[4]CK_28_GEST!$A$8:$A$98,0),MATCH(E$3,[4]CK_28_GEST!$A$8:$ZZ$8,0))</f>
        <v>0</v>
      </c>
      <c r="F107" s="110">
        <f>INDEX([4]CK_28_GEST!$A$8:$ZZ$98,MATCH($A107,[4]CK_28_GEST!$A$8:$A$98,0),MATCH(F$3,[4]CK_28_GEST!$A$8:$ZZ$8,0))</f>
        <v>0</v>
      </c>
      <c r="G107" s="110">
        <f>INDEX([4]CK_28_GEST!$A$8:$ZZ$98,MATCH($A107,[4]CK_28_GEST!$A$8:$A$98,0),MATCH(G$3,[4]CK_28_GEST!$A$8:$ZZ$8,0))</f>
        <v>0</v>
      </c>
    </row>
    <row r="108" spans="1:7" ht="11.4" outlineLevel="1" x14ac:dyDescent="0.2">
      <c r="A108" s="122" t="s">
        <v>463</v>
      </c>
      <c r="B108" s="95" t="s">
        <v>5413</v>
      </c>
      <c r="C108" s="109">
        <f t="shared" si="8"/>
        <v>0</v>
      </c>
      <c r="E108" s="389">
        <f>INDEX([4]CK_28_GEST!$A$8:$ZZ$98,MATCH($A108,[4]CK_28_GEST!$A$8:$A$98,0),MATCH(E$3,[4]CK_28_GEST!$A$8:$ZZ$8,0))</f>
        <v>0</v>
      </c>
      <c r="F108" s="389">
        <f>INDEX([4]CK_28_GEST!$A$8:$ZZ$98,MATCH($A108,[4]CK_28_GEST!$A$8:$A$98,0),MATCH(F$3,[4]CK_28_GEST!$A$8:$ZZ$8,0))</f>
        <v>0</v>
      </c>
      <c r="G108" s="389">
        <f>INDEX([4]CK_28_GEST!$A$8:$ZZ$98,MATCH($A108,[4]CK_28_GEST!$A$8:$A$98,0),MATCH(G$3,[4]CK_28_GEST!$A$8:$ZZ$8,0))</f>
        <v>0</v>
      </c>
    </row>
    <row r="109" spans="1:7" outlineLevel="1" x14ac:dyDescent="0.2"/>
    <row r="110" spans="1:7" outlineLevel="1" x14ac:dyDescent="0.2">
      <c r="A110" s="122" t="s">
        <v>7011</v>
      </c>
      <c r="B110" s="549" t="s">
        <v>5425</v>
      </c>
      <c r="C110" s="546">
        <f>SUM(E110:G110)</f>
        <v>0</v>
      </c>
      <c r="E110" s="552">
        <f>[4]IN_LIC_Export!I15</f>
        <v>0</v>
      </c>
      <c r="F110" s="552">
        <f>[4]IN_LIC_Export!J15</f>
        <v>0</v>
      </c>
      <c r="G110" s="552">
        <f>[4]IN_LIC_Export!K15</f>
        <v>0</v>
      </c>
    </row>
    <row r="111" spans="1:7" outlineLevel="1" x14ac:dyDescent="0.2">
      <c r="A111" s="122" t="s">
        <v>7012</v>
      </c>
      <c r="B111" s="550" t="s">
        <v>5397</v>
      </c>
      <c r="C111" s="547">
        <f>SUM(E111:G111)</f>
        <v>0</v>
      </c>
      <c r="E111" s="553">
        <f>[4]IN_LIC_Export!I16</f>
        <v>0</v>
      </c>
      <c r="F111" s="553">
        <f>[4]IN_LIC_Export!J16</f>
        <v>0</v>
      </c>
      <c r="G111" s="553">
        <f>[4]IN_LIC_Export!K16</f>
        <v>0</v>
      </c>
    </row>
    <row r="112" spans="1:7" outlineLevel="1" x14ac:dyDescent="0.2">
      <c r="A112" s="122" t="s">
        <v>7013</v>
      </c>
      <c r="B112" s="550" t="s">
        <v>5362</v>
      </c>
      <c r="C112" s="547">
        <f>SUM(E112:G112)</f>
        <v>0</v>
      </c>
      <c r="E112" s="553">
        <f>[4]IN_LIC_Export!I17</f>
        <v>0</v>
      </c>
      <c r="F112" s="553">
        <f>[4]IN_LIC_Export!J17</f>
        <v>0</v>
      </c>
      <c r="G112" s="553">
        <f>[4]IN_LIC_Export!K17</f>
        <v>0</v>
      </c>
    </row>
    <row r="113" spans="1:7" outlineLevel="1" x14ac:dyDescent="0.2">
      <c r="A113" s="122" t="s">
        <v>7014</v>
      </c>
      <c r="B113" s="551" t="s">
        <v>775</v>
      </c>
      <c r="C113" s="548">
        <f>SUM(E113:G113)</f>
        <v>0</v>
      </c>
      <c r="E113" s="554">
        <f>[4]IN_LIC_Export!I18</f>
        <v>0</v>
      </c>
      <c r="F113" s="554">
        <f>[4]IN_LIC_Export!J18</f>
        <v>0</v>
      </c>
      <c r="G113" s="554">
        <f>[4]IN_LIC_Export!K18</f>
        <v>0</v>
      </c>
    </row>
    <row r="114" spans="1:7" outlineLevel="1" x14ac:dyDescent="0.2"/>
    <row r="115" spans="1:7" x14ac:dyDescent="0.2">
      <c r="B115" s="1128">
        <v>2029</v>
      </c>
      <c r="C115" s="1128"/>
      <c r="E115" s="120"/>
      <c r="F115" s="120"/>
      <c r="G115" s="120"/>
    </row>
    <row r="116" spans="1:7" ht="11.4" x14ac:dyDescent="0.2">
      <c r="A116" s="85" t="s">
        <v>4394</v>
      </c>
      <c r="B116" s="91" t="s">
        <v>5414</v>
      </c>
      <c r="C116" s="92">
        <f>SUM(E116:G116)</f>
        <v>537313.33194454387</v>
      </c>
      <c r="D116" s="93"/>
      <c r="E116" s="94">
        <f t="shared" ref="E116" si="9">+MAX((E126+E129-E127)*E123+E141*(E122-E123),0)</f>
        <v>492038.4513588674</v>
      </c>
      <c r="F116" s="94">
        <f t="shared" ref="F116:G116" si="10">+MAX((F126+F129-F127)*F123+F141*(F122-F123),0)</f>
        <v>26714.304253045604</v>
      </c>
      <c r="G116" s="94">
        <f t="shared" si="10"/>
        <v>18560.576332630921</v>
      </c>
    </row>
    <row r="117" spans="1:7" ht="11.4" x14ac:dyDescent="0.2">
      <c r="A117" s="85" t="s">
        <v>4400</v>
      </c>
      <c r="B117" s="91" t="s">
        <v>5415</v>
      </c>
      <c r="C117" s="92">
        <f>SUM(E117:G117)</f>
        <v>0</v>
      </c>
      <c r="D117" s="93"/>
      <c r="E117" s="94">
        <f>E144</f>
        <v>0</v>
      </c>
      <c r="F117" s="94">
        <f>F144</f>
        <v>0</v>
      </c>
      <c r="G117" s="94">
        <f>G144</f>
        <v>0</v>
      </c>
    </row>
    <row r="118" spans="1:7" ht="11.4" x14ac:dyDescent="0.2">
      <c r="A118" s="85" t="s">
        <v>4358</v>
      </c>
      <c r="B118" s="91" t="s">
        <v>5416</v>
      </c>
      <c r="C118" s="92">
        <f>SUM(E118:G118)</f>
        <v>544021.66856343171</v>
      </c>
      <c r="D118" s="93"/>
      <c r="E118" s="94">
        <f>E143</f>
        <v>510556.06046451128</v>
      </c>
      <c r="F118" s="94">
        <f>F143</f>
        <v>33465.608098920478</v>
      </c>
      <c r="G118" s="94">
        <f>G143</f>
        <v>0</v>
      </c>
    </row>
    <row r="119" spans="1:7" ht="11.4" x14ac:dyDescent="0.2">
      <c r="A119" s="85" t="s">
        <v>4406</v>
      </c>
      <c r="B119" s="91" t="s">
        <v>5417</v>
      </c>
      <c r="C119" s="92">
        <f>SUM(E119:G119)</f>
        <v>0</v>
      </c>
      <c r="D119" s="93"/>
      <c r="E119" s="94">
        <f>E145</f>
        <v>0</v>
      </c>
      <c r="F119" s="94">
        <f>F145</f>
        <v>0</v>
      </c>
      <c r="G119" s="94">
        <f>G145</f>
        <v>0</v>
      </c>
    </row>
    <row r="120" spans="1:7" x14ac:dyDescent="0.2">
      <c r="C120" s="90"/>
    </row>
    <row r="121" spans="1:7" ht="11.4" outlineLevel="1" x14ac:dyDescent="0.2">
      <c r="B121" s="95" t="s">
        <v>5418</v>
      </c>
      <c r="C121" s="92">
        <f>SUM(E121:G121)</f>
        <v>8872206.7030825522</v>
      </c>
      <c r="E121" s="96">
        <f>E125</f>
        <v>8117514.246703906</v>
      </c>
      <c r="F121" s="96">
        <f>F125</f>
        <v>440106.41684252874</v>
      </c>
      <c r="G121" s="96">
        <f>G125</f>
        <v>314586.03953611734</v>
      </c>
    </row>
    <row r="122" spans="1:7" ht="11.4" outlineLevel="1" x14ac:dyDescent="0.2">
      <c r="B122" s="97" t="s">
        <v>181</v>
      </c>
      <c r="C122" s="98">
        <f>'Parametri MTR-3'!$M$8</f>
        <v>6.9000000000000006E-2</v>
      </c>
      <c r="E122" s="99">
        <f>$C$48</f>
        <v>6.9000000000000006E-2</v>
      </c>
      <c r="F122" s="99">
        <f>$C$48</f>
        <v>6.9000000000000006E-2</v>
      </c>
      <c r="G122" s="99">
        <f>$C$48</f>
        <v>6.9000000000000006E-2</v>
      </c>
    </row>
    <row r="123" spans="1:7" ht="11.4" outlineLevel="1" x14ac:dyDescent="0.2">
      <c r="B123" s="97" t="s">
        <v>182</v>
      </c>
      <c r="C123" s="98">
        <f>'Parametri MTR-3'!$M$9</f>
        <v>5.8999999999999997E-2</v>
      </c>
      <c r="E123" s="99">
        <f>$C$49</f>
        <v>5.8999999999999997E-2</v>
      </c>
      <c r="F123" s="99">
        <f>$C$49</f>
        <v>5.8999999999999997E-2</v>
      </c>
      <c r="G123" s="99">
        <f>$C$49</f>
        <v>5.8999999999999997E-2</v>
      </c>
    </row>
    <row r="124" spans="1:7" outlineLevel="1" x14ac:dyDescent="0.2">
      <c r="C124" s="90"/>
    </row>
    <row r="125" spans="1:7" ht="11.4" outlineLevel="1" x14ac:dyDescent="0.2">
      <c r="B125" s="95" t="s">
        <v>5418</v>
      </c>
      <c r="C125" s="92">
        <f>SUM(E125:G125)</f>
        <v>8872206.7030825522</v>
      </c>
      <c r="E125" s="101">
        <f>MAX((E126+E129-E127),0)</f>
        <v>8117514.246703906</v>
      </c>
      <c r="F125" s="101">
        <f>MAX((F126+F129-F127),0)</f>
        <v>440106.41684252874</v>
      </c>
      <c r="G125" s="101">
        <f>MAX((G126+G129-G127),0)</f>
        <v>314586.03953611734</v>
      </c>
    </row>
    <row r="126" spans="1:7" ht="11.4" outlineLevel="1" x14ac:dyDescent="0.2">
      <c r="B126" s="95" t="s">
        <v>5419</v>
      </c>
      <c r="C126" s="92">
        <f>SUM(E126:G126)</f>
        <v>7065819.5203564009</v>
      </c>
      <c r="E126" s="102">
        <f>E140</f>
        <v>6389518.2074871771</v>
      </c>
      <c r="F126" s="102">
        <f>F140</f>
        <v>676301.31286922388</v>
      </c>
      <c r="G126" s="102">
        <f>G140</f>
        <v>0</v>
      </c>
    </row>
    <row r="127" spans="1:7" ht="11.4" outlineLevel="1" x14ac:dyDescent="0.2">
      <c r="A127" s="122" t="s">
        <v>5688</v>
      </c>
      <c r="B127" s="100" t="s">
        <v>5420</v>
      </c>
      <c r="C127" s="92">
        <f>SUM(E127:G127)</f>
        <v>1520429.8320922696</v>
      </c>
      <c r="E127" s="102">
        <f>E90</f>
        <v>988341.67339806445</v>
      </c>
      <c r="F127" s="102">
        <f>F90</f>
        <v>431836.69744073343</v>
      </c>
      <c r="G127" s="102">
        <f>G90</f>
        <v>100251.46125347161</v>
      </c>
    </row>
    <row r="128" spans="1:7" outlineLevel="1" x14ac:dyDescent="0.2">
      <c r="C128" s="90"/>
      <c r="E128" s="103"/>
      <c r="F128" s="103"/>
      <c r="G128" s="103"/>
    </row>
    <row r="129" spans="1:7" ht="11.4" outlineLevel="1" x14ac:dyDescent="0.2">
      <c r="B129" s="100" t="s">
        <v>5421</v>
      </c>
      <c r="C129" s="92">
        <f>SUM(E129:G129)</f>
        <v>3326817.0148184216</v>
      </c>
      <c r="E129" s="104">
        <f>(((90/365)*E131)-((45/365)*E133))*((1+$C$136)*(1+$C$137))</f>
        <v>2716337.7126147943</v>
      </c>
      <c r="F129" s="104">
        <f>(((90/365)*F131)-((45/365)*F133))*((1+$C$136)*(1+$C$137))</f>
        <v>195641.80141403832</v>
      </c>
      <c r="G129" s="104">
        <f>(((90/365)*G131)-((45/365)*G133))*((1+$C$136)*(1+$C$137))</f>
        <v>414837.50078958896</v>
      </c>
    </row>
    <row r="130" spans="1:7" outlineLevel="1" x14ac:dyDescent="0.2">
      <c r="C130" s="90"/>
      <c r="E130" s="103"/>
      <c r="F130" s="103"/>
      <c r="G130" s="103"/>
    </row>
    <row r="131" spans="1:7" ht="11.4" outlineLevel="1" x14ac:dyDescent="0.2">
      <c r="A131" s="123" t="s">
        <v>5689</v>
      </c>
      <c r="B131" s="105" t="s">
        <v>5422</v>
      </c>
      <c r="C131" s="92">
        <f>SUM(E131:G131)</f>
        <v>17591948.415199999</v>
      </c>
      <c r="E131" s="101">
        <f>E94</f>
        <v>14504625.279999999</v>
      </c>
      <c r="F131" s="101">
        <f>F94</f>
        <v>1151921.4552</v>
      </c>
      <c r="G131" s="101">
        <f>G94</f>
        <v>1935401.68</v>
      </c>
    </row>
    <row r="132" spans="1:7" outlineLevel="1" x14ac:dyDescent="0.2">
      <c r="C132" s="106"/>
      <c r="E132" s="103"/>
      <c r="F132" s="103"/>
      <c r="G132" s="103"/>
    </row>
    <row r="133" spans="1:7" ht="11.4" outlineLevel="1" x14ac:dyDescent="0.2">
      <c r="A133" s="122" t="s">
        <v>5690</v>
      </c>
      <c r="B133" s="105" t="s">
        <v>5423</v>
      </c>
      <c r="C133" s="92">
        <f>SUM(E133:G133)</f>
        <v>8519684.9198000003</v>
      </c>
      <c r="E133" s="101">
        <f>E96</f>
        <v>7237988.7000000011</v>
      </c>
      <c r="F133" s="101">
        <f>F96</f>
        <v>735787.18980000005</v>
      </c>
      <c r="G133" s="101">
        <f>G96</f>
        <v>545909.03</v>
      </c>
    </row>
    <row r="134" spans="1:7" outlineLevel="1" x14ac:dyDescent="0.2">
      <c r="C134" s="106"/>
    </row>
    <row r="135" spans="1:7" outlineLevel="1" x14ac:dyDescent="0.2">
      <c r="C135" s="106"/>
    </row>
    <row r="136" spans="1:7" ht="11.4" outlineLevel="1" x14ac:dyDescent="0.2">
      <c r="B136" s="107" t="s">
        <v>5398</v>
      </c>
      <c r="C136" s="1068">
        <f>C99</f>
        <v>1.2E-2</v>
      </c>
    </row>
    <row r="137" spans="1:7" ht="11.4" outlineLevel="1" x14ac:dyDescent="0.2">
      <c r="B137" s="107" t="s">
        <v>5399</v>
      </c>
      <c r="C137" s="1068">
        <f>C100</f>
        <v>0</v>
      </c>
    </row>
    <row r="138" spans="1:7" outlineLevel="1" x14ac:dyDescent="0.2">
      <c r="E138" s="387"/>
      <c r="F138" s="387"/>
      <c r="G138" s="387"/>
    </row>
    <row r="139" spans="1:7" s="365" customFormat="1" ht="20.399999999999999" outlineLevel="1" x14ac:dyDescent="0.2">
      <c r="A139" s="364"/>
      <c r="B139" s="388" t="s">
        <v>465</v>
      </c>
      <c r="C139" s="121"/>
      <c r="D139" s="367"/>
      <c r="E139" s="368" t="str">
        <f>E$3</f>
        <v>BUSTO ARSIZIO</v>
      </c>
      <c r="F139" s="368" t="str">
        <f>F$3</f>
        <v>FAGNANO OLONA</v>
      </c>
      <c r="G139" s="368" t="str">
        <f>G$3</f>
        <v>VENEGONO SUPERIORE</v>
      </c>
    </row>
    <row r="140" spans="1:7" ht="11.4" outlineLevel="1" x14ac:dyDescent="0.2">
      <c r="B140" s="95" t="s">
        <v>5419</v>
      </c>
      <c r="C140" s="109">
        <f t="shared" ref="C140:C145" si="11">SUM(E140:G140)</f>
        <v>7065819.5203564009</v>
      </c>
      <c r="E140" s="110">
        <f>SUM(E141:E142)</f>
        <v>6389518.2074871771</v>
      </c>
      <c r="F140" s="110">
        <f>SUM(F141:F142)</f>
        <v>676301.31286922388</v>
      </c>
      <c r="G140" s="110">
        <f>SUM(G141:G142)</f>
        <v>0</v>
      </c>
    </row>
    <row r="141" spans="1:7" outlineLevel="1" x14ac:dyDescent="0.2">
      <c r="A141" s="122" t="s">
        <v>461</v>
      </c>
      <c r="B141" s="111" t="s">
        <v>150</v>
      </c>
      <c r="C141" s="112">
        <f t="shared" si="11"/>
        <v>1385313.6462673321</v>
      </c>
      <c r="E141" s="113">
        <f>INDEX([4]CK_29_GEST!$A$8:$ZZ$98,MATCH($A141,[4]CK_29_GEST!$A$8:$A$98,0),MATCH(E$3,[4]CK_29_GEST!$A$8:$ZZ$8,0))</f>
        <v>1310511.0803336913</v>
      </c>
      <c r="F141" s="113">
        <f>INDEX([4]CK_29_GEST!$A$8:$ZZ$98,MATCH($A141,[4]CK_29_GEST!$A$8:$A$98,0),MATCH(F$3,[4]CK_29_GEST!$A$8:$ZZ$8,0))</f>
        <v>74802.565933640843</v>
      </c>
      <c r="G141" s="113">
        <f>INDEX([4]CK_29_GEST!$A$8:$ZZ$98,MATCH($A141,[4]CK_29_GEST!$A$8:$A$98,0),MATCH(G$3,[4]CK_29_GEST!$A$8:$ZZ$8,0))</f>
        <v>0</v>
      </c>
    </row>
    <row r="142" spans="1:7" outlineLevel="1" x14ac:dyDescent="0.2">
      <c r="A142" s="122" t="s">
        <v>462</v>
      </c>
      <c r="B142" s="114" t="s">
        <v>151</v>
      </c>
      <c r="C142" s="115">
        <f t="shared" si="11"/>
        <v>5680505.8740890687</v>
      </c>
      <c r="E142" s="116">
        <f>INDEX([4]CK_29_GEST!$A$8:$ZZ$98,MATCH($A142,[4]CK_29_GEST!$A$8:$A$98,0),MATCH(E$3,[4]CK_29_GEST!$A$8:$ZZ$8,0))</f>
        <v>5079007.127153486</v>
      </c>
      <c r="F142" s="116">
        <f>INDEX([4]CK_29_GEST!$A$8:$ZZ$98,MATCH($A142,[4]CK_29_GEST!$A$8:$A$98,0),MATCH(F$3,[4]CK_29_GEST!$A$8:$ZZ$8,0))</f>
        <v>601498.74693558307</v>
      </c>
      <c r="G142" s="116">
        <f>INDEX([4]CK_29_GEST!$A$8:$ZZ$98,MATCH($A142,[4]CK_29_GEST!$A$8:$A$98,0),MATCH(G$3,[4]CK_29_GEST!$A$8:$ZZ$8,0))</f>
        <v>0</v>
      </c>
    </row>
    <row r="143" spans="1:7" ht="11.4" outlineLevel="1" x14ac:dyDescent="0.2">
      <c r="A143" s="122" t="s">
        <v>450</v>
      </c>
      <c r="B143" s="95" t="s">
        <v>8756</v>
      </c>
      <c r="C143" s="109">
        <f t="shared" si="11"/>
        <v>544021.66856343171</v>
      </c>
      <c r="E143" s="110">
        <f>INDEX([4]CK_29_GEST!$A$8:$ZZ$98,MATCH($A143,[4]CK_29_GEST!$A$8:$A$98,0),MATCH(E$3,[4]CK_29_GEST!$A$8:$ZZ$8,0))</f>
        <v>510556.06046451128</v>
      </c>
      <c r="F143" s="110">
        <f>INDEX([4]CK_29_GEST!$A$8:$ZZ$98,MATCH($A143,[4]CK_29_GEST!$A$8:$A$98,0),MATCH(F$3,[4]CK_29_GEST!$A$8:$ZZ$8,0))</f>
        <v>33465.608098920478</v>
      </c>
      <c r="G143" s="110">
        <f>INDEX([4]CK_29_GEST!$A$8:$ZZ$98,MATCH($A143,[4]CK_29_GEST!$A$8:$A$98,0),MATCH(G$3,[4]CK_29_GEST!$A$8:$ZZ$8,0))</f>
        <v>0</v>
      </c>
    </row>
    <row r="144" spans="1:7" ht="11.4" outlineLevel="1" x14ac:dyDescent="0.2">
      <c r="A144" s="122" t="s">
        <v>464</v>
      </c>
      <c r="B144" s="117" t="s">
        <v>8757</v>
      </c>
      <c r="C144" s="118">
        <f t="shared" si="11"/>
        <v>0</v>
      </c>
      <c r="E144" s="110">
        <f>INDEX([4]CK_29_GEST!$A$8:$ZZ$98,MATCH($A144,[4]CK_29_GEST!$A$8:$A$98,0),MATCH(E$3,[4]CK_29_GEST!$A$8:$ZZ$8,0))</f>
        <v>0</v>
      </c>
      <c r="F144" s="110">
        <f>INDEX([4]CK_29_GEST!$A$8:$ZZ$98,MATCH($A144,[4]CK_29_GEST!$A$8:$A$98,0),MATCH(F$3,[4]CK_29_GEST!$A$8:$ZZ$8,0))</f>
        <v>0</v>
      </c>
      <c r="G144" s="110">
        <f>INDEX([4]CK_29_GEST!$A$8:$ZZ$98,MATCH($A144,[4]CK_29_GEST!$A$8:$A$98,0),MATCH(G$3,[4]CK_29_GEST!$A$8:$ZZ$8,0))</f>
        <v>0</v>
      </c>
    </row>
    <row r="145" spans="1:7" ht="11.4" outlineLevel="1" x14ac:dyDescent="0.2">
      <c r="A145" s="122" t="s">
        <v>463</v>
      </c>
      <c r="B145" s="95" t="s">
        <v>8758</v>
      </c>
      <c r="C145" s="109">
        <f t="shared" si="11"/>
        <v>0</v>
      </c>
      <c r="E145" s="389">
        <f>INDEX([4]CK_29_GEST!$A$8:$ZZ$98,MATCH($A145,[4]CK_29_GEST!$A$8:$A$98,0),MATCH(E$3,[4]CK_29_GEST!$A$8:$ZZ$8,0))</f>
        <v>0</v>
      </c>
      <c r="F145" s="389">
        <f>INDEX([4]CK_29_GEST!$A$8:$ZZ$98,MATCH($A145,[4]CK_29_GEST!$A$8:$A$98,0),MATCH(F$3,[4]CK_29_GEST!$A$8:$ZZ$8,0))</f>
        <v>0</v>
      </c>
      <c r="G145" s="389">
        <f>INDEX([4]CK_29_GEST!$A$8:$ZZ$98,MATCH($A145,[4]CK_29_GEST!$A$8:$A$98,0),MATCH(G$3,[4]CK_29_GEST!$A$8:$ZZ$8,0))</f>
        <v>0</v>
      </c>
    </row>
    <row r="146" spans="1:7" outlineLevel="1" x14ac:dyDescent="0.2"/>
    <row r="147" spans="1:7" outlineLevel="1" x14ac:dyDescent="0.2">
      <c r="A147" s="122" t="s">
        <v>7015</v>
      </c>
      <c r="B147" s="430" t="s">
        <v>5424</v>
      </c>
      <c r="C147" s="555">
        <f>SUM(E147:G147)</f>
        <v>0</v>
      </c>
      <c r="E147" s="552">
        <f>[4]IN_LIC_Export!I20</f>
        <v>0</v>
      </c>
      <c r="F147" s="552">
        <f>[4]IN_LIC_Export!J20</f>
        <v>0</v>
      </c>
      <c r="G147" s="552">
        <f>[4]IN_LIC_Export!K20</f>
        <v>0</v>
      </c>
    </row>
    <row r="148" spans="1:7" outlineLevel="1" x14ac:dyDescent="0.2">
      <c r="A148" s="122" t="s">
        <v>7016</v>
      </c>
      <c r="B148" s="431" t="s">
        <v>5425</v>
      </c>
      <c r="C148" s="556">
        <f>SUM(E148:G148)</f>
        <v>0</v>
      </c>
      <c r="E148" s="553">
        <f>[4]IN_LIC_Export!I21</f>
        <v>0</v>
      </c>
      <c r="F148" s="553">
        <f>[4]IN_LIC_Export!J21</f>
        <v>0</v>
      </c>
      <c r="G148" s="553">
        <f>[4]IN_LIC_Export!K21</f>
        <v>0</v>
      </c>
    </row>
    <row r="149" spans="1:7" outlineLevel="1" x14ac:dyDescent="0.2">
      <c r="A149" s="122" t="s">
        <v>7017</v>
      </c>
      <c r="B149" s="431" t="s">
        <v>5397</v>
      </c>
      <c r="C149" s="556">
        <f>SUM(E149:G149)</f>
        <v>0</v>
      </c>
      <c r="E149" s="553">
        <f>[4]IN_LIC_Export!I22</f>
        <v>0</v>
      </c>
      <c r="F149" s="553">
        <f>[4]IN_LIC_Export!J22</f>
        <v>0</v>
      </c>
      <c r="G149" s="553">
        <f>[4]IN_LIC_Export!K22</f>
        <v>0</v>
      </c>
    </row>
    <row r="150" spans="1:7" outlineLevel="1" x14ac:dyDescent="0.2">
      <c r="A150" s="122" t="s">
        <v>7018</v>
      </c>
      <c r="B150" s="432" t="s">
        <v>5362</v>
      </c>
      <c r="C150" s="557">
        <f>SUM(E150:G150)</f>
        <v>0</v>
      </c>
      <c r="E150" s="554">
        <f>[4]IN_LIC_Export!I23</f>
        <v>0</v>
      </c>
      <c r="F150" s="554">
        <f>[4]IN_LIC_Export!J23</f>
        <v>0</v>
      </c>
      <c r="G150" s="554">
        <f>[4]IN_LIC_Export!K23</f>
        <v>0</v>
      </c>
    </row>
    <row r="152" spans="1:7" x14ac:dyDescent="0.2">
      <c r="B152" s="1128" t="s">
        <v>609</v>
      </c>
      <c r="C152" s="1128"/>
      <c r="E152" s="387"/>
      <c r="F152" s="387"/>
      <c r="G152" s="387"/>
    </row>
    <row r="153" spans="1:7" x14ac:dyDescent="0.2">
      <c r="A153" s="7" t="s">
        <v>5275</v>
      </c>
      <c r="B153" s="498" t="s">
        <v>604</v>
      </c>
      <c r="C153" s="118">
        <f t="shared" ref="C153:C158" si="12">SUM(E153:G153)</f>
        <v>337000.92818594631</v>
      </c>
      <c r="E153" s="113">
        <f>INDEX([4]CK_26_RD_GEST!$A$8:$ZZ$14,MATCH($A153,[4]CK_26_RD_GEST!$A$8:$A$14,0),MATCH(E$3,[4]CK_26_RD_GEST!$A$8:$ZZ$8,0))</f>
        <v>319271.90858040837</v>
      </c>
      <c r="F153" s="113">
        <f>INDEX([4]CK_26_RD_GEST!$A$8:$ZZ$14,MATCH($A153,[4]CK_26_RD_GEST!$A$8:$A$14,0),MATCH(F$3,[4]CK_26_RD_GEST!$A$8:$ZZ$8,0))</f>
        <v>17729.019605537935</v>
      </c>
      <c r="G153" s="113">
        <f>INDEX([4]CK_26_RD_GEST!$A$8:$ZZ$14,MATCH($A153,[4]CK_26_RD_GEST!$A$8:$A$14,0),MATCH(G$3,[4]CK_26_RD_GEST!$A$8:$ZZ$8,0))</f>
        <v>0</v>
      </c>
    </row>
    <row r="154" spans="1:7" x14ac:dyDescent="0.2">
      <c r="A154" s="7" t="s">
        <v>5278</v>
      </c>
      <c r="B154" s="499" t="s">
        <v>605</v>
      </c>
      <c r="C154" s="501">
        <f t="shared" si="12"/>
        <v>320264.59024354455</v>
      </c>
      <c r="E154" s="503">
        <f>INDEX([4]CK_26_RD_GEST!$A$8:$ZZ$14,MATCH($A154,[4]CK_26_RD_GEST!$A$8:$A$14,0),MATCH(E$3,[4]CK_26_RD_GEST!$A$8:$ZZ$8,0))</f>
        <v>320264.59024354455</v>
      </c>
      <c r="F154" s="503">
        <f>INDEX([4]CK_26_RD_GEST!$A$8:$ZZ$14,MATCH($A154,[4]CK_26_RD_GEST!$A$8:$A$14,0),MATCH(F$3,[4]CK_26_RD_GEST!$A$8:$ZZ$8,0))</f>
        <v>0</v>
      </c>
      <c r="G154" s="503">
        <f>INDEX([4]CK_26_RD_GEST!$A$8:$ZZ$14,MATCH($A154,[4]CK_26_RD_GEST!$A$8:$A$14,0),MATCH(G$3,[4]CK_26_RD_GEST!$A$8:$ZZ$8,0))</f>
        <v>0</v>
      </c>
    </row>
    <row r="155" spans="1:7" x14ac:dyDescent="0.2">
      <c r="A155" s="7" t="s">
        <v>5281</v>
      </c>
      <c r="B155" s="499" t="s">
        <v>606</v>
      </c>
      <c r="C155" s="501">
        <f t="shared" si="12"/>
        <v>210278.7248570857</v>
      </c>
      <c r="E155" s="503">
        <f>INDEX([4]CK_26_RD_GEST!$A$8:$ZZ$14,MATCH($A155,[4]CK_26_RD_GEST!$A$8:$A$14,0),MATCH(E$3,[4]CK_26_RD_GEST!$A$8:$ZZ$8,0))</f>
        <v>197278.34480201761</v>
      </c>
      <c r="F155" s="503">
        <f>INDEX([4]CK_26_RD_GEST!$A$8:$ZZ$14,MATCH($A155,[4]CK_26_RD_GEST!$A$8:$A$14,0),MATCH(F$3,[4]CK_26_RD_GEST!$A$8:$ZZ$8,0))</f>
        <v>13000.380055068088</v>
      </c>
      <c r="G155" s="503">
        <f>INDEX([4]CK_26_RD_GEST!$A$8:$ZZ$14,MATCH($A155,[4]CK_26_RD_GEST!$A$8:$A$14,0),MATCH(G$3,[4]CK_26_RD_GEST!$A$8:$ZZ$8,0))</f>
        <v>0</v>
      </c>
    </row>
    <row r="156" spans="1:7" x14ac:dyDescent="0.2">
      <c r="A156" s="7" t="s">
        <v>5284</v>
      </c>
      <c r="B156" s="499" t="s">
        <v>607</v>
      </c>
      <c r="C156" s="501">
        <f t="shared" si="12"/>
        <v>1651.6967105094366</v>
      </c>
      <c r="E156" s="503">
        <f>INDEX([4]CK_26_RD_GEST!$A$8:$ZZ$14,MATCH($A156,[4]CK_26_RD_GEST!$A$8:$A$14,0),MATCH(E$3,[4]CK_26_RD_GEST!$A$8:$ZZ$8,0))</f>
        <v>1651.6967105094366</v>
      </c>
      <c r="F156" s="503">
        <f>INDEX([4]CK_26_RD_GEST!$A$8:$ZZ$14,MATCH($A156,[4]CK_26_RD_GEST!$A$8:$A$14,0),MATCH(F$3,[4]CK_26_RD_GEST!$A$8:$ZZ$8,0))</f>
        <v>0</v>
      </c>
      <c r="G156" s="503">
        <f>INDEX([4]CK_26_RD_GEST!$A$8:$ZZ$14,MATCH($A156,[4]CK_26_RD_GEST!$A$8:$A$14,0),MATCH(G$3,[4]CK_26_RD_GEST!$A$8:$ZZ$8,0))</f>
        <v>0</v>
      </c>
    </row>
    <row r="157" spans="1:7" x14ac:dyDescent="0.2">
      <c r="A157" s="7" t="s">
        <v>5287</v>
      </c>
      <c r="B157" s="500" t="s">
        <v>608</v>
      </c>
      <c r="C157" s="502">
        <f t="shared" si="12"/>
        <v>0</v>
      </c>
      <c r="E157" s="116">
        <f>INDEX([4]CK_26_RD_GEST!$A$8:$ZZ$14,MATCH($A157,[4]CK_26_RD_GEST!$A$8:$A$14,0),MATCH(E$3,[4]CK_26_RD_GEST!$A$8:$ZZ$8,0))</f>
        <v>0</v>
      </c>
      <c r="F157" s="116">
        <f>INDEX([4]CK_26_RD_GEST!$A$8:$ZZ$14,MATCH($A157,[4]CK_26_RD_GEST!$A$8:$A$14,0),MATCH(F$3,[4]CK_26_RD_GEST!$A$8:$ZZ$8,0))</f>
        <v>0</v>
      </c>
      <c r="G157" s="116">
        <f>INDEX([4]CK_26_RD_GEST!$A$8:$ZZ$14,MATCH($A157,[4]CK_26_RD_GEST!$A$8:$A$14,0),MATCH(G$3,[4]CK_26_RD_GEST!$A$8:$ZZ$8,0))</f>
        <v>0</v>
      </c>
    </row>
    <row r="158" spans="1:7" x14ac:dyDescent="0.2">
      <c r="A158" s="7" t="s">
        <v>5426</v>
      </c>
      <c r="B158" s="413" t="s">
        <v>610</v>
      </c>
      <c r="C158" s="412">
        <f t="shared" si="12"/>
        <v>869195.93999708595</v>
      </c>
      <c r="E158" s="428">
        <f t="shared" ref="E158:F158" si="13">SUM(E153:E157)</f>
        <v>838466.5403364799</v>
      </c>
      <c r="F158" s="428">
        <f t="shared" si="13"/>
        <v>30729.399660606025</v>
      </c>
      <c r="G158" s="428">
        <f t="shared" ref="G158" si="14">SUM(G153:G157)</f>
        <v>0</v>
      </c>
    </row>
    <row r="160" spans="1:7" x14ac:dyDescent="0.2">
      <c r="B160" s="388"/>
    </row>
  </sheetData>
  <sheetProtection formatColumns="0" formatRows="0"/>
  <mergeCells count="7">
    <mergeCell ref="B4:C4"/>
    <mergeCell ref="B41:C41"/>
    <mergeCell ref="B1:C1"/>
    <mergeCell ref="B3:C3"/>
    <mergeCell ref="B152:C152"/>
    <mergeCell ref="B78:C78"/>
    <mergeCell ref="B115:C115"/>
  </mergeCells>
  <pageMargins left="0.70866141732283472" right="0.70866141732283472" top="0.74803149606299213" bottom="0.74803149606299213" header="0.31496062992125984" footer="0.31496062992125984"/>
  <pageSetup paperSize="9" scale="26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4E6E0E-B905-457D-AAC8-2F7165B03872}">
  <sheetPr codeName="Foglio23">
    <tabColor rgb="FF92D050"/>
    <pageSetUpPr fitToPage="1"/>
  </sheetPr>
  <dimension ref="A1:G160"/>
  <sheetViews>
    <sheetView showGridLines="0" zoomScaleNormal="100" workbookViewId="0">
      <pane xSplit="4" ySplit="3" topLeftCell="E64" activePane="bottomRight" state="frozen"/>
      <selection activeCell="F129" sqref="F129"/>
      <selection pane="topRight" activeCell="F129" sqref="F129"/>
      <selection pane="bottomLeft" activeCell="F129" sqref="F129"/>
      <selection pane="bottomRight" activeCell="G1" sqref="G1:G1048576"/>
    </sheetView>
  </sheetViews>
  <sheetFormatPr defaultColWidth="17.6640625" defaultRowHeight="10.199999999999999" outlineLevelRow="1" x14ac:dyDescent="0.2"/>
  <cols>
    <col min="1" max="1" width="17.33203125" style="122" customWidth="1"/>
    <col min="2" max="2" width="57.44140625" style="90" customWidth="1"/>
    <col min="3" max="3" width="15" style="89" bestFit="1" customWidth="1"/>
    <col min="4" max="4" width="2.5546875" style="89" customWidth="1"/>
    <col min="5" max="7" width="13.6640625" style="89" customWidth="1"/>
    <col min="8" max="16384" width="17.6640625" style="89"/>
  </cols>
  <sheetData>
    <row r="1" spans="1:7" ht="12" customHeight="1" x14ac:dyDescent="0.2">
      <c r="B1" s="1143" t="s">
        <v>5427</v>
      </c>
      <c r="C1" s="1143"/>
    </row>
    <row r="2" spans="1:7" ht="12" customHeight="1" x14ac:dyDescent="0.2"/>
    <row r="3" spans="1:7" s="365" customFormat="1" ht="20.399999999999999" x14ac:dyDescent="0.2">
      <c r="A3" s="364"/>
      <c r="B3" s="1144"/>
      <c r="C3" s="1144"/>
      <c r="E3" s="366" t="str">
        <f>Ambiti!B4</f>
        <v>BUSTO ARSIZIO</v>
      </c>
      <c r="F3" s="366" t="str">
        <f>Ambiti!C4</f>
        <v>FAGNANO OLONA</v>
      </c>
      <c r="G3" s="366" t="str">
        <f>Ambiti!D4</f>
        <v>VENEGONO SUPERIORE</v>
      </c>
    </row>
    <row r="4" spans="1:7" x14ac:dyDescent="0.2">
      <c r="B4" s="1138">
        <v>2026</v>
      </c>
      <c r="C4" s="1138"/>
      <c r="E4" s="120"/>
      <c r="F4" s="120"/>
      <c r="G4" s="120"/>
    </row>
    <row r="5" spans="1:7" ht="11.4" x14ac:dyDescent="0.2">
      <c r="A5" s="85" t="s">
        <v>3223</v>
      </c>
      <c r="B5" s="91" t="s">
        <v>5363</v>
      </c>
      <c r="C5" s="92">
        <f>SUM(E5:G5)</f>
        <v>30235.202642371227</v>
      </c>
      <c r="D5" s="93"/>
      <c r="E5" s="94">
        <f t="shared" ref="E5" si="0">+MAX((E15+E18-E16)*E12+E30*(E11-E12),0)</f>
        <v>0</v>
      </c>
      <c r="F5" s="94">
        <f t="shared" ref="F5:G5" si="1">+MAX((F15+F18-F16)*F12+F30*(F11-F12),0)</f>
        <v>0</v>
      </c>
      <c r="G5" s="94">
        <f t="shared" si="1"/>
        <v>30235.202642371227</v>
      </c>
    </row>
    <row r="6" spans="1:7" ht="11.4" x14ac:dyDescent="0.2">
      <c r="A6" s="85" t="s">
        <v>3229</v>
      </c>
      <c r="B6" s="91" t="s">
        <v>5364</v>
      </c>
      <c r="C6" s="92">
        <f>SUM(E6:G6)</f>
        <v>0</v>
      </c>
      <c r="D6" s="93"/>
      <c r="E6" s="94">
        <f>E33</f>
        <v>0</v>
      </c>
      <c r="F6" s="94">
        <f>F33</f>
        <v>0</v>
      </c>
      <c r="G6" s="94">
        <f>G33</f>
        <v>0</v>
      </c>
    </row>
    <row r="7" spans="1:7" ht="11.4" x14ac:dyDescent="0.2">
      <c r="A7" s="85" t="s">
        <v>3187</v>
      </c>
      <c r="B7" s="91" t="s">
        <v>5365</v>
      </c>
      <c r="C7" s="92">
        <f>SUM(E7:G7)</f>
        <v>23913.992320676058</v>
      </c>
      <c r="D7" s="93"/>
      <c r="E7" s="94">
        <f>E32</f>
        <v>0</v>
      </c>
      <c r="F7" s="94">
        <f>F32</f>
        <v>0</v>
      </c>
      <c r="G7" s="94">
        <f>G32</f>
        <v>23913.992320676058</v>
      </c>
    </row>
    <row r="8" spans="1:7" ht="11.4" x14ac:dyDescent="0.2">
      <c r="A8" s="85" t="s">
        <v>3235</v>
      </c>
      <c r="B8" s="91" t="s">
        <v>5366</v>
      </c>
      <c r="C8" s="92">
        <f>SUM(E8:G8)</f>
        <v>0</v>
      </c>
      <c r="D8" s="93"/>
      <c r="E8" s="94">
        <f>E34</f>
        <v>0</v>
      </c>
      <c r="F8" s="94">
        <f>F34</f>
        <v>0</v>
      </c>
      <c r="G8" s="94">
        <f>G34</f>
        <v>0</v>
      </c>
    </row>
    <row r="9" spans="1:7" x14ac:dyDescent="0.2">
      <c r="C9" s="90"/>
    </row>
    <row r="10" spans="1:7" ht="11.4" outlineLevel="1" x14ac:dyDescent="0.2">
      <c r="B10" s="95" t="s">
        <v>171</v>
      </c>
      <c r="C10" s="92">
        <f>SUM(E10:G10)</f>
        <v>438191.34264306125</v>
      </c>
      <c r="E10" s="96">
        <f>E14</f>
        <v>0</v>
      </c>
      <c r="F10" s="96">
        <f>F14</f>
        <v>0</v>
      </c>
      <c r="G10" s="96">
        <f>G14</f>
        <v>438191.34264306125</v>
      </c>
    </row>
    <row r="11" spans="1:7" ht="11.4" outlineLevel="1" x14ac:dyDescent="0.2">
      <c r="B11" s="97" t="s">
        <v>5367</v>
      </c>
      <c r="C11" s="98">
        <f>'Parametri MTR-3'!$J$8</f>
        <v>6.9000000000000006E-2</v>
      </c>
      <c r="E11" s="99">
        <f>$C$11</f>
        <v>6.9000000000000006E-2</v>
      </c>
      <c r="F11" s="99">
        <f>$C$11</f>
        <v>6.9000000000000006E-2</v>
      </c>
      <c r="G11" s="99">
        <f>$C$11</f>
        <v>6.9000000000000006E-2</v>
      </c>
    </row>
    <row r="12" spans="1:7" ht="11.4" outlineLevel="1" x14ac:dyDescent="0.2">
      <c r="B12" s="97" t="s">
        <v>5368</v>
      </c>
      <c r="C12" s="98">
        <f>'Parametri MTR-3'!$J$9</f>
        <v>5.8999999999999997E-2</v>
      </c>
      <c r="E12" s="99">
        <f>$C$12</f>
        <v>5.8999999999999997E-2</v>
      </c>
      <c r="F12" s="99">
        <f>$C$12</f>
        <v>5.8999999999999997E-2</v>
      </c>
      <c r="G12" s="99">
        <f>$C$12</f>
        <v>5.8999999999999997E-2</v>
      </c>
    </row>
    <row r="13" spans="1:7" outlineLevel="1" x14ac:dyDescent="0.2">
      <c r="C13" s="90"/>
    </row>
    <row r="14" spans="1:7" ht="11.4" outlineLevel="1" x14ac:dyDescent="0.2">
      <c r="B14" s="95" t="s">
        <v>5369</v>
      </c>
      <c r="C14" s="92">
        <f>SUM(E14:G14)</f>
        <v>438191.34264306125</v>
      </c>
      <c r="E14" s="101">
        <f>MAX((E15+E18-E16),0)</f>
        <v>0</v>
      </c>
      <c r="F14" s="101">
        <f>MAX((F15+F18-F16),0)</f>
        <v>0</v>
      </c>
      <c r="G14" s="101">
        <f>MAX((G15+G18-G16),0)</f>
        <v>438191.34264306125</v>
      </c>
    </row>
    <row r="15" spans="1:7" ht="11.4" outlineLevel="1" x14ac:dyDescent="0.2">
      <c r="B15" s="95" t="s">
        <v>5370</v>
      </c>
      <c r="C15" s="92">
        <f>SUM(E15:G15)</f>
        <v>438191.34264306125</v>
      </c>
      <c r="E15" s="102">
        <f>E29</f>
        <v>0</v>
      </c>
      <c r="F15" s="102">
        <f>F29</f>
        <v>0</v>
      </c>
      <c r="G15" s="102">
        <f>G29</f>
        <v>438191.34264306125</v>
      </c>
    </row>
    <row r="16" spans="1:7" ht="11.4" outlineLevel="1" x14ac:dyDescent="0.2">
      <c r="A16" s="35" t="s">
        <v>5803</v>
      </c>
      <c r="B16" s="100" t="s">
        <v>5371</v>
      </c>
      <c r="C16" s="92">
        <f>SUM(E16:G16)</f>
        <v>0</v>
      </c>
      <c r="E16" s="16">
        <f>INDEX(Import_CO_Comuni!$A$4:$AAA$323,MATCH($A16,Import_CO_Comuni!$A$4:$A$323,0),MATCH(E$3,Import_CO_Comuni!$A$4:$AAA$4,0))</f>
        <v>0</v>
      </c>
      <c r="F16" s="16">
        <f>INDEX(Import_CO_Comuni!$A$4:$AAA$323,MATCH($A16,Import_CO_Comuni!$A$4:$A$323,0),MATCH(F$3,Import_CO_Comuni!$A$4:$AAA$4,0))</f>
        <v>0</v>
      </c>
      <c r="G16" s="16">
        <f>INDEX(Import_CO_Comuni!$A$4:$AAA$323,MATCH($A16,Import_CO_Comuni!$A$4:$A$323,0),MATCH(G$3,Import_CO_Comuni!$A$4:$AAA$4,0))</f>
        <v>0</v>
      </c>
    </row>
    <row r="17" spans="1:7" outlineLevel="1" x14ac:dyDescent="0.2">
      <c r="C17" s="90"/>
      <c r="E17" s="103"/>
      <c r="F17" s="103"/>
      <c r="G17" s="103"/>
    </row>
    <row r="18" spans="1:7" ht="11.4" outlineLevel="1" x14ac:dyDescent="0.2">
      <c r="B18" s="100" t="s">
        <v>5372</v>
      </c>
      <c r="C18" s="92">
        <f>SUM(E18:G18)</f>
        <v>0</v>
      </c>
      <c r="E18" s="104">
        <f>(((90/365)*E20)-((45/365)*E22))*((1+$C$25)*(1+$C$26))</f>
        <v>0</v>
      </c>
      <c r="F18" s="104">
        <f>(((90/365)*F20)-((45/365)*F22))*((1+$C$25)*(1+$C$26))</f>
        <v>0</v>
      </c>
      <c r="G18" s="104">
        <f>(((90/365)*G20)-((45/365)*G22))*((1+$C$25)*(1+$C$26))</f>
        <v>0</v>
      </c>
    </row>
    <row r="19" spans="1:7" outlineLevel="1" x14ac:dyDescent="0.2">
      <c r="C19" s="90"/>
      <c r="E19" s="103"/>
      <c r="F19" s="103"/>
      <c r="G19" s="103"/>
    </row>
    <row r="20" spans="1:7" ht="11.4" outlineLevel="1" x14ac:dyDescent="0.2">
      <c r="A20" s="123" t="s">
        <v>5719</v>
      </c>
      <c r="B20" s="105" t="s">
        <v>5373</v>
      </c>
      <c r="C20" s="92">
        <f>SUM(E20:G20)</f>
        <v>0</v>
      </c>
      <c r="E20" s="16">
        <f>INDEX(Import_CO_Comuni!$A$4:$AAA$323,MATCH($A20,Import_CO_Comuni!$A$4:$A$323,0),MATCH(E$3,Import_CO_Comuni!$A$4:$AAA$4,0))</f>
        <v>0</v>
      </c>
      <c r="F20" s="16">
        <f>INDEX(Import_CO_Comuni!$A$4:$AAA$323,MATCH($A20,Import_CO_Comuni!$A$4:$A$323,0),MATCH(F$3,Import_CO_Comuni!$A$4:$AAA$4,0))</f>
        <v>0</v>
      </c>
      <c r="G20" s="16">
        <f>INDEX(Import_CO_Comuni!$A$4:$AAA$323,MATCH($A20,Import_CO_Comuni!$A$4:$A$323,0),MATCH(G$3,Import_CO_Comuni!$A$4:$AAA$4,0))</f>
        <v>0</v>
      </c>
    </row>
    <row r="21" spans="1:7" outlineLevel="1" x14ac:dyDescent="0.2">
      <c r="C21" s="106"/>
      <c r="E21" s="103"/>
      <c r="F21" s="103"/>
      <c r="G21" s="103"/>
    </row>
    <row r="22" spans="1:7" ht="11.4" outlineLevel="1" x14ac:dyDescent="0.2">
      <c r="A22" s="123" t="s">
        <v>5718</v>
      </c>
      <c r="B22" s="105" t="s">
        <v>5374</v>
      </c>
      <c r="C22" s="92">
        <f>SUM(E22:G22)</f>
        <v>0</v>
      </c>
      <c r="E22" s="16">
        <f>INDEX(Import_CO_Comuni!$A$4:$AAA$323,MATCH($A22,Import_CO_Comuni!$A$4:$A$323,0),MATCH(E$3,Import_CO_Comuni!$A$4:$AAA$4,0))</f>
        <v>0</v>
      </c>
      <c r="F22" s="16">
        <f>INDEX(Import_CO_Comuni!$A$4:$AAA$323,MATCH($A22,Import_CO_Comuni!$A$4:$A$323,0),MATCH(F$3,Import_CO_Comuni!$A$4:$AAA$4,0))</f>
        <v>0</v>
      </c>
      <c r="G22" s="16">
        <f>INDEX(Import_CO_Comuni!$A$4:$AAA$323,MATCH($A22,Import_CO_Comuni!$A$4:$A$323,0),MATCH(G$3,Import_CO_Comuni!$A$4:$AAA$4,0))</f>
        <v>0</v>
      </c>
    </row>
    <row r="23" spans="1:7" outlineLevel="1" x14ac:dyDescent="0.2">
      <c r="C23" s="106"/>
    </row>
    <row r="24" spans="1:7" outlineLevel="1" x14ac:dyDescent="0.2">
      <c r="C24" s="106"/>
    </row>
    <row r="25" spans="1:7" ht="11.4" outlineLevel="1" x14ac:dyDescent="0.2">
      <c r="B25" s="107" t="s">
        <v>512</v>
      </c>
      <c r="C25" s="108">
        <f>'Parametri MTR-3'!$I$6</f>
        <v>0.02</v>
      </c>
    </row>
    <row r="26" spans="1:7" ht="11.4" outlineLevel="1" x14ac:dyDescent="0.2">
      <c r="B26" s="107" t="s">
        <v>5388</v>
      </c>
      <c r="C26" s="108">
        <f>'Parametri MTR-3'!$J$6</f>
        <v>1.2E-2</v>
      </c>
    </row>
    <row r="27" spans="1:7" outlineLevel="1" x14ac:dyDescent="0.2">
      <c r="E27" s="387"/>
      <c r="F27" s="387"/>
      <c r="G27" s="387"/>
    </row>
    <row r="28" spans="1:7" s="365" customFormat="1" ht="20.399999999999999" outlineLevel="1" x14ac:dyDescent="0.2">
      <c r="A28" s="364"/>
      <c r="B28" s="388" t="s">
        <v>465</v>
      </c>
      <c r="C28" s="121"/>
      <c r="D28" s="367"/>
      <c r="E28" s="368" t="str">
        <f>E$3</f>
        <v>BUSTO ARSIZIO</v>
      </c>
      <c r="F28" s="368" t="str">
        <f>F$3</f>
        <v>FAGNANO OLONA</v>
      </c>
      <c r="G28" s="368" t="str">
        <f>G$3</f>
        <v>VENEGONO SUPERIORE</v>
      </c>
    </row>
    <row r="29" spans="1:7" ht="11.4" outlineLevel="1" x14ac:dyDescent="0.2">
      <c r="B29" s="95" t="s">
        <v>5370</v>
      </c>
      <c r="C29" s="109">
        <f t="shared" ref="C29:C34" si="2">SUM(E29:G29)</f>
        <v>438191.34264306125</v>
      </c>
      <c r="E29" s="110">
        <f>SUM(E30:E31)</f>
        <v>0</v>
      </c>
      <c r="F29" s="110">
        <f>SUM(F30:F31)</f>
        <v>0</v>
      </c>
      <c r="G29" s="110">
        <f>SUM(G30:G31)</f>
        <v>438191.34264306125</v>
      </c>
    </row>
    <row r="30" spans="1:7" outlineLevel="1" x14ac:dyDescent="0.2">
      <c r="A30" s="122" t="s">
        <v>461</v>
      </c>
      <c r="B30" s="111" t="s">
        <v>150</v>
      </c>
      <c r="C30" s="112">
        <f t="shared" si="2"/>
        <v>438191.34264306125</v>
      </c>
      <c r="E30" s="113">
        <f>INDEX([4]CK_26_COM!$A$8:$ZZ$98,MATCH($A30,[4]CK_26_COM!$A$8:$A$98,0),MATCH(E$3,[4]CK_26_COM!$A$8:$ZZ$8,0))</f>
        <v>0</v>
      </c>
      <c r="F30" s="113">
        <f>INDEX([4]CK_26_COM!$A$8:$ZZ$98,MATCH($A30,[4]CK_26_COM!$A$8:$A$98,0),MATCH(F$3,[4]CK_26_COM!$A$8:$ZZ$8,0))</f>
        <v>0</v>
      </c>
      <c r="G30" s="113">
        <f>INDEX([4]CK_26_COM!$A$8:$ZZ$98,MATCH($A30,[4]CK_26_COM!$A$8:$A$98,0),MATCH(G$3,[4]CK_26_COM!$A$8:$ZZ$8,0))</f>
        <v>438191.34264306125</v>
      </c>
    </row>
    <row r="31" spans="1:7" outlineLevel="1" x14ac:dyDescent="0.2">
      <c r="A31" s="122" t="s">
        <v>462</v>
      </c>
      <c r="B31" s="114" t="s">
        <v>151</v>
      </c>
      <c r="C31" s="115">
        <f t="shared" si="2"/>
        <v>0</v>
      </c>
      <c r="E31" s="116">
        <f>INDEX([4]CK_26_COM!$A$8:$ZZ$98,MATCH($A31,[4]CK_26_COM!$A$8:$A$98,0),MATCH(E$3,[4]CK_26_COM!$A$8:$ZZ$8,0))</f>
        <v>0</v>
      </c>
      <c r="F31" s="116">
        <f>INDEX([4]CK_26_COM!$A$8:$ZZ$98,MATCH($A31,[4]CK_26_COM!$A$8:$A$98,0),MATCH(F$3,[4]CK_26_COM!$A$8:$ZZ$8,0))</f>
        <v>0</v>
      </c>
      <c r="G31" s="116">
        <f>INDEX([4]CK_26_COM!$A$8:$ZZ$98,MATCH($A31,[4]CK_26_COM!$A$8:$A$98,0),MATCH(G$3,[4]CK_26_COM!$A$8:$ZZ$8,0))</f>
        <v>0</v>
      </c>
    </row>
    <row r="32" spans="1:7" ht="11.4" outlineLevel="1" x14ac:dyDescent="0.2">
      <c r="A32" s="122" t="s">
        <v>450</v>
      </c>
      <c r="B32" s="95" t="s">
        <v>5375</v>
      </c>
      <c r="C32" s="109">
        <f t="shared" si="2"/>
        <v>23913.992320676058</v>
      </c>
      <c r="E32" s="110">
        <f>INDEX([4]CK_26_COM!$A$8:$ZZ$98,MATCH($A32,[4]CK_26_COM!$A$8:$A$98,0),MATCH(E$3,[4]CK_26_COM!$A$8:$ZZ$8,0))</f>
        <v>0</v>
      </c>
      <c r="F32" s="110">
        <f>INDEX([4]CK_26_COM!$A$8:$ZZ$98,MATCH($A32,[4]CK_26_COM!$A$8:$A$98,0),MATCH(F$3,[4]CK_26_COM!$A$8:$ZZ$8,0))</f>
        <v>0</v>
      </c>
      <c r="G32" s="110">
        <f>INDEX([4]CK_26_COM!$A$8:$ZZ$98,MATCH($A32,[4]CK_26_COM!$A$8:$A$98,0),MATCH(G$3,[4]CK_26_COM!$A$8:$ZZ$8,0))</f>
        <v>23913.992320676058</v>
      </c>
    </row>
    <row r="33" spans="1:7" ht="11.4" outlineLevel="1" x14ac:dyDescent="0.2">
      <c r="A33" s="122" t="s">
        <v>464</v>
      </c>
      <c r="B33" s="117" t="s">
        <v>5376</v>
      </c>
      <c r="C33" s="118">
        <f t="shared" si="2"/>
        <v>0</v>
      </c>
      <c r="E33" s="110">
        <f>INDEX([4]CK_26_COM!$A$8:$ZZ$98,MATCH($A33,[4]CK_26_COM!$A$8:$A$98,0),MATCH(E$3,[4]CK_26_COM!$A$8:$ZZ$8,0))</f>
        <v>0</v>
      </c>
      <c r="F33" s="110">
        <f>INDEX([4]CK_26_COM!$A$8:$ZZ$98,MATCH($A33,[4]CK_26_COM!$A$8:$A$98,0),MATCH(F$3,[4]CK_26_COM!$A$8:$ZZ$8,0))</f>
        <v>0</v>
      </c>
      <c r="G33" s="110">
        <f>INDEX([4]CK_26_COM!$A$8:$ZZ$98,MATCH($A33,[4]CK_26_COM!$A$8:$A$98,0),MATCH(G$3,[4]CK_26_COM!$A$8:$ZZ$8,0))</f>
        <v>0</v>
      </c>
    </row>
    <row r="34" spans="1:7" ht="11.4" outlineLevel="1" x14ac:dyDescent="0.2">
      <c r="A34" s="122" t="s">
        <v>463</v>
      </c>
      <c r="B34" s="95" t="s">
        <v>5377</v>
      </c>
      <c r="C34" s="109">
        <f t="shared" si="2"/>
        <v>0</v>
      </c>
      <c r="E34" s="389">
        <f>INDEX([4]CK_26_COM!$A$8:$ZZ$98,MATCH($A34,[4]CK_26_COM!$A$8:$A$98,0),MATCH(E$3,[4]CK_26_COM!$A$8:$ZZ$8,0))</f>
        <v>0</v>
      </c>
      <c r="F34" s="389">
        <f>INDEX([4]CK_26_COM!$A$8:$ZZ$98,MATCH($A34,[4]CK_26_COM!$A$8:$A$98,0),MATCH(F$3,[4]CK_26_COM!$A$8:$ZZ$8,0))</f>
        <v>0</v>
      </c>
      <c r="G34" s="389">
        <f>INDEX([4]CK_26_COM!$A$8:$ZZ$98,MATCH($A34,[4]CK_26_COM!$A$8:$A$98,0),MATCH(G$3,[4]CK_26_COM!$A$8:$ZZ$8,0))</f>
        <v>0</v>
      </c>
    </row>
    <row r="35" spans="1:7" outlineLevel="1" x14ac:dyDescent="0.2"/>
    <row r="36" spans="1:7" outlineLevel="1" x14ac:dyDescent="0.2">
      <c r="A36" s="122" t="s">
        <v>5428</v>
      </c>
      <c r="B36" s="549" t="s">
        <v>5362</v>
      </c>
      <c r="C36" s="546">
        <f>SUM(E36:G36)</f>
        <v>0</v>
      </c>
      <c r="E36" s="552">
        <f>[4]IN_LIC_Export!I27</f>
        <v>0</v>
      </c>
      <c r="F36" s="552">
        <f>[4]IN_LIC_Export!J27</f>
        <v>0</v>
      </c>
      <c r="G36" s="552">
        <f>[4]IN_LIC_Export!K27</f>
        <v>0</v>
      </c>
    </row>
    <row r="37" spans="1:7" outlineLevel="1" x14ac:dyDescent="0.2">
      <c r="A37" s="122" t="s">
        <v>5429</v>
      </c>
      <c r="B37" s="550" t="s">
        <v>775</v>
      </c>
      <c r="C37" s="547">
        <f>SUM(E37:G37)</f>
        <v>0</v>
      </c>
      <c r="E37" s="553">
        <f>[4]IN_LIC_Export!I28</f>
        <v>0</v>
      </c>
      <c r="F37" s="553">
        <f>[4]IN_LIC_Export!J28</f>
        <v>0</v>
      </c>
      <c r="G37" s="553">
        <f>[4]IN_LIC_Export!K28</f>
        <v>0</v>
      </c>
    </row>
    <row r="38" spans="1:7" outlineLevel="1" x14ac:dyDescent="0.2">
      <c r="A38" s="122" t="s">
        <v>5430</v>
      </c>
      <c r="B38" s="550" t="s">
        <v>773</v>
      </c>
      <c r="C38" s="547">
        <f>SUM(E38:G38)</f>
        <v>0</v>
      </c>
      <c r="E38" s="553">
        <f>[4]IN_LIC_Export!I29</f>
        <v>0</v>
      </c>
      <c r="F38" s="553">
        <f>[4]IN_LIC_Export!J29</f>
        <v>0</v>
      </c>
      <c r="G38" s="553">
        <f>[4]IN_LIC_Export!K29</f>
        <v>0</v>
      </c>
    </row>
    <row r="39" spans="1:7" outlineLevel="1" x14ac:dyDescent="0.2">
      <c r="A39" s="122" t="s">
        <v>5431</v>
      </c>
      <c r="B39" s="551" t="s">
        <v>774</v>
      </c>
      <c r="C39" s="548">
        <f>SUM(E39:G39)</f>
        <v>0</v>
      </c>
      <c r="E39" s="554">
        <f>[4]IN_LIC_Export!I30</f>
        <v>0</v>
      </c>
      <c r="F39" s="554">
        <f>[4]IN_LIC_Export!J30</f>
        <v>0</v>
      </c>
      <c r="G39" s="554">
        <f>[4]IN_LIC_Export!K30</f>
        <v>0</v>
      </c>
    </row>
    <row r="40" spans="1:7" outlineLevel="1" x14ac:dyDescent="0.2"/>
    <row r="41" spans="1:7" x14ac:dyDescent="0.2">
      <c r="B41" s="1138">
        <v>2027</v>
      </c>
      <c r="C41" s="1138"/>
      <c r="E41" s="120"/>
      <c r="F41" s="120"/>
      <c r="G41" s="120"/>
    </row>
    <row r="42" spans="1:7" ht="11.4" x14ac:dyDescent="0.2">
      <c r="A42" s="85" t="s">
        <v>3380</v>
      </c>
      <c r="B42" s="91" t="s">
        <v>5378</v>
      </c>
      <c r="C42" s="92">
        <f>SUM(E42:G42)</f>
        <v>28716.367581554587</v>
      </c>
      <c r="D42" s="93"/>
      <c r="E42" s="94">
        <f t="shared" ref="E42" si="3">+MAX((E52+E55-E53)*E49+E67*(E48-E49),0)</f>
        <v>0</v>
      </c>
      <c r="F42" s="94">
        <f t="shared" ref="F42:G42" si="4">+MAX((F52+F55-F53)*F49+F67*(F48-F49),0)</f>
        <v>0</v>
      </c>
      <c r="G42" s="94">
        <f t="shared" si="4"/>
        <v>28716.367581554587</v>
      </c>
    </row>
    <row r="43" spans="1:7" ht="11.4" x14ac:dyDescent="0.2">
      <c r="A43" s="85" t="s">
        <v>3386</v>
      </c>
      <c r="B43" s="91" t="s">
        <v>5379</v>
      </c>
      <c r="C43" s="92">
        <f>SUM(E43:G43)</f>
        <v>0</v>
      </c>
      <c r="D43" s="93"/>
      <c r="E43" s="94">
        <f>E70</f>
        <v>0</v>
      </c>
      <c r="F43" s="94">
        <f>F70</f>
        <v>0</v>
      </c>
      <c r="G43" s="94">
        <f>G70</f>
        <v>0</v>
      </c>
    </row>
    <row r="44" spans="1:7" ht="11.4" x14ac:dyDescent="0.2">
      <c r="A44" s="85" t="s">
        <v>3344</v>
      </c>
      <c r="B44" s="91" t="s">
        <v>5380</v>
      </c>
      <c r="C44" s="92">
        <f>SUM(E44:G44)</f>
        <v>24185.690890676058</v>
      </c>
      <c r="D44" s="93"/>
      <c r="E44" s="94">
        <f>E69</f>
        <v>0</v>
      </c>
      <c r="F44" s="94">
        <f>F69</f>
        <v>0</v>
      </c>
      <c r="G44" s="94">
        <f>G69</f>
        <v>24185.690890676058</v>
      </c>
    </row>
    <row r="45" spans="1:7" ht="11.4" x14ac:dyDescent="0.2">
      <c r="A45" s="85" t="s">
        <v>3392</v>
      </c>
      <c r="B45" s="91" t="s">
        <v>5381</v>
      </c>
      <c r="C45" s="92">
        <f>SUM(E45:G45)</f>
        <v>0</v>
      </c>
      <c r="D45" s="93"/>
      <c r="E45" s="94">
        <f>E71</f>
        <v>0</v>
      </c>
      <c r="F45" s="94">
        <f>F71</f>
        <v>0</v>
      </c>
      <c r="G45" s="94">
        <f>G71</f>
        <v>0</v>
      </c>
    </row>
    <row r="46" spans="1:7" x14ac:dyDescent="0.2">
      <c r="C46" s="90"/>
    </row>
    <row r="47" spans="1:7" ht="11.4" outlineLevel="1" x14ac:dyDescent="0.2">
      <c r="B47" s="95" t="s">
        <v>5382</v>
      </c>
      <c r="C47" s="92">
        <f>SUM(E47:G47)</f>
        <v>416179.24031238526</v>
      </c>
      <c r="E47" s="96">
        <f>E51</f>
        <v>0</v>
      </c>
      <c r="F47" s="96">
        <f>F51</f>
        <v>0</v>
      </c>
      <c r="G47" s="96">
        <f>G51</f>
        <v>416179.24031238526</v>
      </c>
    </row>
    <row r="48" spans="1:7" ht="11.4" outlineLevel="1" x14ac:dyDescent="0.2">
      <c r="B48" s="97" t="s">
        <v>181</v>
      </c>
      <c r="C48" s="98">
        <f>'Parametri MTR-3'!$K$8</f>
        <v>6.9000000000000006E-2</v>
      </c>
      <c r="E48" s="99">
        <f>$C$48</f>
        <v>6.9000000000000006E-2</v>
      </c>
      <c r="F48" s="99">
        <f>$C$48</f>
        <v>6.9000000000000006E-2</v>
      </c>
      <c r="G48" s="99">
        <f>$C$48</f>
        <v>6.9000000000000006E-2</v>
      </c>
    </row>
    <row r="49" spans="1:7" ht="11.4" outlineLevel="1" x14ac:dyDescent="0.2">
      <c r="B49" s="97" t="s">
        <v>182</v>
      </c>
      <c r="C49" s="98">
        <f>'Parametri MTR-3'!$K$9</f>
        <v>5.8999999999999997E-2</v>
      </c>
      <c r="E49" s="99">
        <f>$C$49</f>
        <v>5.8999999999999997E-2</v>
      </c>
      <c r="F49" s="99">
        <f>$C$49</f>
        <v>5.8999999999999997E-2</v>
      </c>
      <c r="G49" s="99">
        <f>$C$49</f>
        <v>5.8999999999999997E-2</v>
      </c>
    </row>
    <row r="50" spans="1:7" outlineLevel="1" x14ac:dyDescent="0.2">
      <c r="C50" s="90"/>
    </row>
    <row r="51" spans="1:7" ht="11.4" outlineLevel="1" x14ac:dyDescent="0.2">
      <c r="B51" s="95" t="s">
        <v>5382</v>
      </c>
      <c r="C51" s="92">
        <f>SUM(E51:G51)</f>
        <v>416179.24031238526</v>
      </c>
      <c r="E51" s="101">
        <f>MAX((E52+E55-E53),0)</f>
        <v>0</v>
      </c>
      <c r="F51" s="101">
        <f>MAX((F52+F55-F53),0)</f>
        <v>0</v>
      </c>
      <c r="G51" s="101">
        <f>MAX((G52+G55-G53),0)</f>
        <v>416179.24031238526</v>
      </c>
    </row>
    <row r="52" spans="1:7" ht="11.4" outlineLevel="1" x14ac:dyDescent="0.2">
      <c r="B52" s="95" t="s">
        <v>5383</v>
      </c>
      <c r="C52" s="92">
        <f>SUM(E52:G52)</f>
        <v>416179.24031238526</v>
      </c>
      <c r="E52" s="102">
        <f>E66</f>
        <v>0</v>
      </c>
      <c r="F52" s="102">
        <f>F66</f>
        <v>0</v>
      </c>
      <c r="G52" s="102">
        <f>G66</f>
        <v>416179.24031238526</v>
      </c>
    </row>
    <row r="53" spans="1:7" ht="11.4" outlineLevel="1" x14ac:dyDescent="0.2">
      <c r="A53" s="35" t="s">
        <v>5891</v>
      </c>
      <c r="B53" s="100" t="s">
        <v>5384</v>
      </c>
      <c r="C53" s="92">
        <f>SUM(E53:G53)</f>
        <v>0</v>
      </c>
      <c r="E53" s="16">
        <f>INDEX(Import_CO_Comuni!$A$4:$AAA$323,MATCH($A53,Import_CO_Comuni!$A$4:$A$323,0),MATCH(E$3,Import_CO_Comuni!$A$4:$AAA$4,0))</f>
        <v>0</v>
      </c>
      <c r="F53" s="16">
        <f>INDEX(Import_CO_Comuni!$A$4:$AAA$323,MATCH($A53,Import_CO_Comuni!$A$4:$A$323,0),MATCH(F$3,Import_CO_Comuni!$A$4:$AAA$4,0))</f>
        <v>0</v>
      </c>
      <c r="G53" s="16">
        <f>INDEX(Import_CO_Comuni!$A$4:$AAA$323,MATCH($A53,Import_CO_Comuni!$A$4:$A$323,0),MATCH(G$3,Import_CO_Comuni!$A$4:$AAA$4,0))</f>
        <v>0</v>
      </c>
    </row>
    <row r="54" spans="1:7" outlineLevel="1" x14ac:dyDescent="0.2">
      <c r="C54" s="90"/>
      <c r="E54" s="103"/>
      <c r="F54" s="103"/>
      <c r="G54" s="103"/>
    </row>
    <row r="55" spans="1:7" ht="11.4" outlineLevel="1" x14ac:dyDescent="0.2">
      <c r="B55" s="100" t="s">
        <v>5385</v>
      </c>
      <c r="C55" s="92">
        <f>SUM(E55:G55)</f>
        <v>0</v>
      </c>
      <c r="E55" s="104">
        <f>(((90/365)*E57)-((45/365)*E59))*((1+$C$62)*(1+$C$63))</f>
        <v>0</v>
      </c>
      <c r="F55" s="104">
        <f>(((90/365)*F57)-((45/365)*F59))*((1+$C$62)*(1+$C$63))</f>
        <v>0</v>
      </c>
      <c r="G55" s="104">
        <f>(((90/365)*G57)-((45/365)*G59))*((1+$C$62)*(1+$C$63))</f>
        <v>0</v>
      </c>
    </row>
    <row r="56" spans="1:7" outlineLevel="1" x14ac:dyDescent="0.2">
      <c r="C56" s="90"/>
      <c r="E56" s="103"/>
      <c r="F56" s="103"/>
      <c r="G56" s="103"/>
    </row>
    <row r="57" spans="1:7" ht="11.4" outlineLevel="1" x14ac:dyDescent="0.2">
      <c r="A57" s="123" t="s">
        <v>5807</v>
      </c>
      <c r="B57" s="105" t="s">
        <v>5386</v>
      </c>
      <c r="C57" s="92">
        <f>SUM(E57:G57)</f>
        <v>0</v>
      </c>
      <c r="E57" s="16">
        <f>INDEX(Import_CO_Comuni!$A$4:$AAA$323,MATCH($A57,Import_CO_Comuni!$A$4:$A$323,0),MATCH(E$3,Import_CO_Comuni!$A$4:$AAA$4,0))</f>
        <v>0</v>
      </c>
      <c r="F57" s="16">
        <f>INDEX(Import_CO_Comuni!$A$4:$AAA$323,MATCH($A57,Import_CO_Comuni!$A$4:$A$323,0),MATCH(F$3,Import_CO_Comuni!$A$4:$AAA$4,0))</f>
        <v>0</v>
      </c>
      <c r="G57" s="16">
        <f>INDEX(Import_CO_Comuni!$A$4:$AAA$323,MATCH($A57,Import_CO_Comuni!$A$4:$A$323,0),MATCH(G$3,Import_CO_Comuni!$A$4:$AAA$4,0))</f>
        <v>0</v>
      </c>
    </row>
    <row r="58" spans="1:7" outlineLevel="1" x14ac:dyDescent="0.2">
      <c r="C58" s="106"/>
      <c r="E58" s="103"/>
      <c r="F58" s="103"/>
      <c r="G58" s="103"/>
    </row>
    <row r="59" spans="1:7" ht="11.4" outlineLevel="1" x14ac:dyDescent="0.2">
      <c r="A59" s="123" t="s">
        <v>5715</v>
      </c>
      <c r="B59" s="105" t="s">
        <v>5387</v>
      </c>
      <c r="C59" s="92">
        <f>SUM(E59:G59)</f>
        <v>0</v>
      </c>
      <c r="E59" s="16">
        <f>INDEX(Import_CO_Comuni!$A$4:$AAA$323,MATCH($A59,Import_CO_Comuni!$A$4:$A$323,0),MATCH(E$3,Import_CO_Comuni!$A$4:$AAA$4,0))</f>
        <v>0</v>
      </c>
      <c r="F59" s="16">
        <f>INDEX(Import_CO_Comuni!$A$4:$AAA$323,MATCH($A59,Import_CO_Comuni!$A$4:$A$323,0),MATCH(F$3,Import_CO_Comuni!$A$4:$AAA$4,0))</f>
        <v>0</v>
      </c>
      <c r="G59" s="16">
        <f>INDEX(Import_CO_Comuni!$A$4:$AAA$323,MATCH($A59,Import_CO_Comuni!$A$4:$A$323,0),MATCH(G$3,Import_CO_Comuni!$A$4:$AAA$4,0))</f>
        <v>0</v>
      </c>
    </row>
    <row r="60" spans="1:7" outlineLevel="1" x14ac:dyDescent="0.2">
      <c r="C60" s="106"/>
    </row>
    <row r="61" spans="1:7" outlineLevel="1" x14ac:dyDescent="0.2">
      <c r="C61" s="106"/>
    </row>
    <row r="62" spans="1:7" ht="11.4" outlineLevel="1" x14ac:dyDescent="0.2">
      <c r="B62" s="107" t="s">
        <v>5388</v>
      </c>
      <c r="C62" s="108">
        <f>'Parametri MTR-3'!$J$6</f>
        <v>1.2E-2</v>
      </c>
    </row>
    <row r="63" spans="1:7" ht="11.4" outlineLevel="1" x14ac:dyDescent="0.2">
      <c r="B63" s="107" t="s">
        <v>5389</v>
      </c>
      <c r="C63" s="108">
        <f>'Parametri MTR-3'!$K$6</f>
        <v>0</v>
      </c>
    </row>
    <row r="64" spans="1:7" outlineLevel="1" x14ac:dyDescent="0.2">
      <c r="E64" s="387"/>
      <c r="F64" s="387"/>
      <c r="G64" s="387"/>
    </row>
    <row r="65" spans="1:7" s="365" customFormat="1" ht="20.399999999999999" outlineLevel="1" x14ac:dyDescent="0.2">
      <c r="A65" s="364"/>
      <c r="B65" s="388" t="s">
        <v>465</v>
      </c>
      <c r="C65" s="121"/>
      <c r="D65" s="367"/>
      <c r="E65" s="368" t="str">
        <f>E$3</f>
        <v>BUSTO ARSIZIO</v>
      </c>
      <c r="F65" s="368" t="str">
        <f>F$3</f>
        <v>FAGNANO OLONA</v>
      </c>
      <c r="G65" s="368" t="str">
        <f>G$3</f>
        <v>VENEGONO SUPERIORE</v>
      </c>
    </row>
    <row r="66" spans="1:7" ht="11.4" outlineLevel="1" x14ac:dyDescent="0.2">
      <c r="B66" s="95" t="s">
        <v>5383</v>
      </c>
      <c r="C66" s="109">
        <f t="shared" ref="C66:C71" si="5">SUM(E66:G66)</f>
        <v>416179.24031238526</v>
      </c>
      <c r="E66" s="110">
        <f>SUM(E67:E68)</f>
        <v>0</v>
      </c>
      <c r="F66" s="110">
        <f>SUM(F67:F68)</f>
        <v>0</v>
      </c>
      <c r="G66" s="110">
        <f>SUM(G67:G68)</f>
        <v>416179.24031238526</v>
      </c>
    </row>
    <row r="67" spans="1:7" outlineLevel="1" x14ac:dyDescent="0.2">
      <c r="A67" s="122" t="s">
        <v>461</v>
      </c>
      <c r="B67" s="111" t="s">
        <v>150</v>
      </c>
      <c r="C67" s="112">
        <f t="shared" si="5"/>
        <v>416179.24031238526</v>
      </c>
      <c r="E67" s="113">
        <f>INDEX([4]CK_27_COM!$A$8:$ZZ$98,MATCH($A67,[4]CK_27_COM!$A$8:$A$98,0),MATCH(E$3,[4]CK_27_COM!$A$8:$ZZ$8,0))</f>
        <v>0</v>
      </c>
      <c r="F67" s="113">
        <f>INDEX([4]CK_27_COM!$A$8:$ZZ$98,MATCH($A67,[4]CK_27_COM!$A$8:$A$98,0),MATCH(F$3,[4]CK_27_COM!$A$8:$ZZ$8,0))</f>
        <v>0</v>
      </c>
      <c r="G67" s="113">
        <f>INDEX([4]CK_27_COM!$A$8:$ZZ$98,MATCH($A67,[4]CK_27_COM!$A$8:$A$98,0),MATCH(G$3,[4]CK_27_COM!$A$8:$ZZ$8,0))</f>
        <v>416179.24031238526</v>
      </c>
    </row>
    <row r="68" spans="1:7" outlineLevel="1" x14ac:dyDescent="0.2">
      <c r="A68" s="122" t="s">
        <v>462</v>
      </c>
      <c r="B68" s="114" t="s">
        <v>151</v>
      </c>
      <c r="C68" s="115">
        <f t="shared" si="5"/>
        <v>0</v>
      </c>
      <c r="E68" s="116">
        <f>INDEX([4]CK_27_COM!$A$8:$ZZ$98,MATCH($A68,[4]CK_27_COM!$A$8:$A$98,0),MATCH(E$3,[4]CK_27_COM!$A$8:$ZZ$8,0))</f>
        <v>0</v>
      </c>
      <c r="F68" s="116">
        <f>INDEX([4]CK_27_COM!$A$8:$ZZ$98,MATCH($A68,[4]CK_27_COM!$A$8:$A$98,0),MATCH(F$3,[4]CK_27_COM!$A$8:$ZZ$8,0))</f>
        <v>0</v>
      </c>
      <c r="G68" s="116">
        <f>INDEX([4]CK_27_COM!$A$8:$ZZ$98,MATCH($A68,[4]CK_27_COM!$A$8:$A$98,0),MATCH(G$3,[4]CK_27_COM!$A$8:$ZZ$8,0))</f>
        <v>0</v>
      </c>
    </row>
    <row r="69" spans="1:7" ht="11.4" outlineLevel="1" x14ac:dyDescent="0.2">
      <c r="A69" s="122" t="s">
        <v>450</v>
      </c>
      <c r="B69" s="95" t="s">
        <v>5390</v>
      </c>
      <c r="C69" s="109">
        <f t="shared" si="5"/>
        <v>24185.690890676058</v>
      </c>
      <c r="E69" s="110">
        <f>INDEX([4]CK_27_COM!$A$8:$ZZ$98,MATCH($A69,[4]CK_27_COM!$A$8:$A$98,0),MATCH(E$3,[4]CK_27_COM!$A$8:$ZZ$8,0))</f>
        <v>0</v>
      </c>
      <c r="F69" s="110">
        <f>INDEX([4]CK_27_COM!$A$8:$ZZ$98,MATCH($A69,[4]CK_27_COM!$A$8:$A$98,0),MATCH(F$3,[4]CK_27_COM!$A$8:$ZZ$8,0))</f>
        <v>0</v>
      </c>
      <c r="G69" s="110">
        <f>INDEX([4]CK_27_COM!$A$8:$ZZ$98,MATCH($A69,[4]CK_27_COM!$A$8:$A$98,0),MATCH(G$3,[4]CK_27_COM!$A$8:$ZZ$8,0))</f>
        <v>24185.690890676058</v>
      </c>
    </row>
    <row r="70" spans="1:7" ht="11.4" outlineLevel="1" x14ac:dyDescent="0.2">
      <c r="A70" s="122" t="s">
        <v>464</v>
      </c>
      <c r="B70" s="117" t="s">
        <v>5391</v>
      </c>
      <c r="C70" s="118">
        <f t="shared" si="5"/>
        <v>0</v>
      </c>
      <c r="E70" s="110">
        <f>INDEX([4]CK_27_COM!$A$8:$ZZ$98,MATCH($A70,[4]CK_27_COM!$A$8:$A$98,0),MATCH(E$3,[4]CK_27_COM!$A$8:$ZZ$8,0))</f>
        <v>0</v>
      </c>
      <c r="F70" s="110">
        <f>INDEX([4]CK_27_COM!$A$8:$ZZ$98,MATCH($A70,[4]CK_27_COM!$A$8:$A$98,0),MATCH(F$3,[4]CK_27_COM!$A$8:$ZZ$8,0))</f>
        <v>0</v>
      </c>
      <c r="G70" s="110">
        <f>INDEX([4]CK_27_COM!$A$8:$ZZ$98,MATCH($A70,[4]CK_27_COM!$A$8:$A$98,0),MATCH(G$3,[4]CK_27_COM!$A$8:$ZZ$8,0))</f>
        <v>0</v>
      </c>
    </row>
    <row r="71" spans="1:7" ht="11.4" outlineLevel="1" x14ac:dyDescent="0.2">
      <c r="A71" s="122" t="s">
        <v>463</v>
      </c>
      <c r="B71" s="95" t="s">
        <v>5392</v>
      </c>
      <c r="C71" s="109">
        <f t="shared" si="5"/>
        <v>0</v>
      </c>
      <c r="E71" s="389">
        <f>INDEX([4]CK_27_COM!$A$8:$ZZ$98,MATCH($A71,[4]CK_27_COM!$A$8:$A$98,0),MATCH(E$3,[4]CK_27_COM!$A$8:$ZZ$8,0))</f>
        <v>0</v>
      </c>
      <c r="F71" s="389">
        <f>INDEX([4]CK_27_COM!$A$8:$ZZ$98,MATCH($A71,[4]CK_27_COM!$A$8:$A$98,0),MATCH(F$3,[4]CK_27_COM!$A$8:$ZZ$8,0))</f>
        <v>0</v>
      </c>
      <c r="G71" s="389">
        <f>INDEX([4]CK_27_COM!$A$8:$ZZ$98,MATCH($A71,[4]CK_27_COM!$A$8:$A$98,0),MATCH(G$3,[4]CK_27_COM!$A$8:$ZZ$8,0))</f>
        <v>0</v>
      </c>
    </row>
    <row r="72" spans="1:7" outlineLevel="1" x14ac:dyDescent="0.2"/>
    <row r="73" spans="1:7" outlineLevel="1" x14ac:dyDescent="0.2">
      <c r="A73" s="122" t="s">
        <v>5432</v>
      </c>
      <c r="B73" s="430" t="s">
        <v>5397</v>
      </c>
      <c r="C73" s="555">
        <f>SUM(E73:G73)</f>
        <v>0</v>
      </c>
      <c r="E73" s="552">
        <f>[4]IN_LIC_Export!I32</f>
        <v>0</v>
      </c>
      <c r="F73" s="552">
        <f>[4]IN_LIC_Export!J32</f>
        <v>0</v>
      </c>
      <c r="G73" s="552">
        <f>[4]IN_LIC_Export!K32</f>
        <v>0</v>
      </c>
    </row>
    <row r="74" spans="1:7" outlineLevel="1" x14ac:dyDescent="0.2">
      <c r="A74" s="122" t="s">
        <v>5433</v>
      </c>
      <c r="B74" s="431" t="s">
        <v>5362</v>
      </c>
      <c r="C74" s="556">
        <f>SUM(E74:G74)</f>
        <v>0</v>
      </c>
      <c r="E74" s="553">
        <f>[4]IN_LIC_Export!I33</f>
        <v>0</v>
      </c>
      <c r="F74" s="553">
        <f>[4]IN_LIC_Export!J33</f>
        <v>0</v>
      </c>
      <c r="G74" s="553">
        <f>[4]IN_LIC_Export!K33</f>
        <v>0</v>
      </c>
    </row>
    <row r="75" spans="1:7" outlineLevel="1" x14ac:dyDescent="0.2">
      <c r="A75" s="122" t="s">
        <v>5434</v>
      </c>
      <c r="B75" s="431" t="s">
        <v>775</v>
      </c>
      <c r="C75" s="556">
        <f>SUM(E75:G75)</f>
        <v>0</v>
      </c>
      <c r="E75" s="553">
        <f>[4]IN_LIC_Export!I34</f>
        <v>0</v>
      </c>
      <c r="F75" s="553">
        <f>[4]IN_LIC_Export!J34</f>
        <v>0</v>
      </c>
      <c r="G75" s="553">
        <f>[4]IN_LIC_Export!K34</f>
        <v>0</v>
      </c>
    </row>
    <row r="76" spans="1:7" outlineLevel="1" x14ac:dyDescent="0.2">
      <c r="A76" s="122" t="s">
        <v>5435</v>
      </c>
      <c r="B76" s="432" t="s">
        <v>773</v>
      </c>
      <c r="C76" s="557">
        <f>SUM(E76:G76)</f>
        <v>0</v>
      </c>
      <c r="E76" s="554">
        <f>[4]IN_LIC_Export!I35</f>
        <v>0</v>
      </c>
      <c r="F76" s="554">
        <f>[4]IN_LIC_Export!J35</f>
        <v>0</v>
      </c>
      <c r="G76" s="554">
        <f>[4]IN_LIC_Export!K35</f>
        <v>0</v>
      </c>
    </row>
    <row r="78" spans="1:7" x14ac:dyDescent="0.2">
      <c r="B78" s="1138">
        <v>2028</v>
      </c>
      <c r="C78" s="1138"/>
      <c r="E78" s="120"/>
      <c r="F78" s="120"/>
      <c r="G78" s="120"/>
    </row>
    <row r="79" spans="1:7" ht="11.4" x14ac:dyDescent="0.2">
      <c r="A79" s="85" t="s">
        <v>4196</v>
      </c>
      <c r="B79" s="91" t="s">
        <v>5400</v>
      </c>
      <c r="C79" s="92">
        <f>SUM(E79:G79)</f>
        <v>27047.554910097933</v>
      </c>
      <c r="D79" s="93"/>
      <c r="E79" s="94">
        <f t="shared" ref="E79" si="6">+MAX((E89+E92-E90)*E86+E104*(E85-E86),0)</f>
        <v>0</v>
      </c>
      <c r="F79" s="94">
        <f t="shared" ref="F79:G79" si="7">+MAX((F89+F92-F90)*F86+F104*(F85-F86),0)</f>
        <v>0</v>
      </c>
      <c r="G79" s="94">
        <f t="shared" si="7"/>
        <v>27047.554910097933</v>
      </c>
    </row>
    <row r="80" spans="1:7" ht="11.4" x14ac:dyDescent="0.2">
      <c r="A80" s="85" t="s">
        <v>4202</v>
      </c>
      <c r="B80" s="91" t="s">
        <v>5401</v>
      </c>
      <c r="C80" s="92">
        <f>SUM(E80:G80)</f>
        <v>0</v>
      </c>
      <c r="D80" s="93"/>
      <c r="E80" s="94">
        <f>E107</f>
        <v>0</v>
      </c>
      <c r="F80" s="94">
        <f>F107</f>
        <v>0</v>
      </c>
      <c r="G80" s="94">
        <f>G107</f>
        <v>0</v>
      </c>
    </row>
    <row r="81" spans="1:7" ht="11.4" x14ac:dyDescent="0.2">
      <c r="A81" s="85" t="s">
        <v>4160</v>
      </c>
      <c r="B81" s="91" t="s">
        <v>5402</v>
      </c>
      <c r="C81" s="92">
        <f>SUM(E81:G81)</f>
        <v>21576.013896481796</v>
      </c>
      <c r="D81" s="93"/>
      <c r="E81" s="94">
        <f>E106</f>
        <v>0</v>
      </c>
      <c r="F81" s="94">
        <f>F106</f>
        <v>0</v>
      </c>
      <c r="G81" s="94">
        <f>G106</f>
        <v>21576.013896481796</v>
      </c>
    </row>
    <row r="82" spans="1:7" ht="11.4" x14ac:dyDescent="0.2">
      <c r="A82" s="85" t="s">
        <v>4208</v>
      </c>
      <c r="B82" s="91" t="s">
        <v>5403</v>
      </c>
      <c r="C82" s="92">
        <f>SUM(E82:G82)</f>
        <v>0</v>
      </c>
      <c r="D82" s="93"/>
      <c r="E82" s="94">
        <f>E108</f>
        <v>0</v>
      </c>
      <c r="F82" s="94">
        <f>F108</f>
        <v>0</v>
      </c>
      <c r="G82" s="94">
        <f>G108</f>
        <v>0</v>
      </c>
    </row>
    <row r="83" spans="1:7" x14ac:dyDescent="0.2">
      <c r="C83" s="90"/>
    </row>
    <row r="84" spans="1:7" ht="11.4" outlineLevel="1" x14ac:dyDescent="0.2">
      <c r="B84" s="95" t="s">
        <v>5404</v>
      </c>
      <c r="C84" s="92">
        <f>SUM(E84:G84)</f>
        <v>391993.54942170915</v>
      </c>
      <c r="E84" s="96">
        <f>E88</f>
        <v>0</v>
      </c>
      <c r="F84" s="96">
        <f>F88</f>
        <v>0</v>
      </c>
      <c r="G84" s="96">
        <f>G88</f>
        <v>391993.54942170915</v>
      </c>
    </row>
    <row r="85" spans="1:7" ht="11.4" outlineLevel="1" x14ac:dyDescent="0.2">
      <c r="B85" s="97" t="s">
        <v>5367</v>
      </c>
      <c r="C85" s="98">
        <f>'Parametri MTR-3'!$L$8</f>
        <v>6.9000000000000006E-2</v>
      </c>
      <c r="E85" s="99">
        <f>$C$11</f>
        <v>6.9000000000000006E-2</v>
      </c>
      <c r="F85" s="99">
        <f>$C$11</f>
        <v>6.9000000000000006E-2</v>
      </c>
      <c r="G85" s="99">
        <f>$C$11</f>
        <v>6.9000000000000006E-2</v>
      </c>
    </row>
    <row r="86" spans="1:7" ht="11.4" outlineLevel="1" x14ac:dyDescent="0.2">
      <c r="B86" s="97" t="s">
        <v>5368</v>
      </c>
      <c r="C86" s="98">
        <f>'Parametri MTR-3'!$L$9</f>
        <v>5.8999999999999997E-2</v>
      </c>
      <c r="E86" s="99">
        <f>$C$12</f>
        <v>5.8999999999999997E-2</v>
      </c>
      <c r="F86" s="99">
        <f>$C$12</f>
        <v>5.8999999999999997E-2</v>
      </c>
      <c r="G86" s="99">
        <f>$C$12</f>
        <v>5.8999999999999997E-2</v>
      </c>
    </row>
    <row r="87" spans="1:7" outlineLevel="1" x14ac:dyDescent="0.2">
      <c r="C87" s="90"/>
    </row>
    <row r="88" spans="1:7" ht="11.4" outlineLevel="1" x14ac:dyDescent="0.2">
      <c r="B88" s="95" t="s">
        <v>5405</v>
      </c>
      <c r="C88" s="92">
        <f>SUM(E88:G88)</f>
        <v>391993.54942170915</v>
      </c>
      <c r="E88" s="101">
        <f>MAX((E89+E92-E90),0)</f>
        <v>0</v>
      </c>
      <c r="F88" s="101">
        <f>MAX((F89+F92-F90),0)</f>
        <v>0</v>
      </c>
      <c r="G88" s="101">
        <f>MAX((G89+G92-G90),0)</f>
        <v>391993.54942170915</v>
      </c>
    </row>
    <row r="89" spans="1:7" ht="11.4" outlineLevel="1" x14ac:dyDescent="0.2">
      <c r="B89" s="95" t="s">
        <v>5406</v>
      </c>
      <c r="C89" s="92">
        <f>SUM(E89:G89)</f>
        <v>391993.54942170915</v>
      </c>
      <c r="E89" s="102">
        <f>E103</f>
        <v>0</v>
      </c>
      <c r="F89" s="102">
        <f>F103</f>
        <v>0</v>
      </c>
      <c r="G89" s="102">
        <f>G103</f>
        <v>391993.54942170915</v>
      </c>
    </row>
    <row r="90" spans="1:7" ht="11.4" outlineLevel="1" x14ac:dyDescent="0.2">
      <c r="B90" s="100" t="s">
        <v>5407</v>
      </c>
      <c r="C90" s="92">
        <f>SUM(E90:G90)</f>
        <v>0</v>
      </c>
      <c r="E90" s="102">
        <f>E53</f>
        <v>0</v>
      </c>
      <c r="F90" s="102">
        <f>F53</f>
        <v>0</v>
      </c>
      <c r="G90" s="102">
        <f>G53</f>
        <v>0</v>
      </c>
    </row>
    <row r="91" spans="1:7" outlineLevel="1" x14ac:dyDescent="0.2">
      <c r="C91" s="90"/>
      <c r="E91" s="103"/>
      <c r="F91" s="103"/>
      <c r="G91" s="103"/>
    </row>
    <row r="92" spans="1:7" ht="11.4" outlineLevel="1" x14ac:dyDescent="0.2">
      <c r="B92" s="100" t="s">
        <v>5408</v>
      </c>
      <c r="C92" s="92">
        <f>SUM(E92:G92)</f>
        <v>0</v>
      </c>
      <c r="E92" s="104">
        <f>(((90/365)*E94)-((45/365)*E96))*((1+$C$99)*(1+$C$100))</f>
        <v>0</v>
      </c>
      <c r="F92" s="104">
        <f>(((90/365)*F94)-((45/365)*F96))*((1+$C$99)*(1+$C$100))</f>
        <v>0</v>
      </c>
      <c r="G92" s="104">
        <f>(((90/365)*G94)-((45/365)*G96))*((1+$C$99)*(1+$C$100))</f>
        <v>0</v>
      </c>
    </row>
    <row r="93" spans="1:7" outlineLevel="1" x14ac:dyDescent="0.2">
      <c r="C93" s="90"/>
      <c r="E93" s="103"/>
      <c r="F93" s="103"/>
      <c r="G93" s="103"/>
    </row>
    <row r="94" spans="1:7" ht="11.4" outlineLevel="1" x14ac:dyDescent="0.2">
      <c r="B94" s="105" t="s">
        <v>5409</v>
      </c>
      <c r="C94" s="92">
        <f>SUM(E94:G94)</f>
        <v>0</v>
      </c>
      <c r="E94" s="102">
        <f>E57</f>
        <v>0</v>
      </c>
      <c r="F94" s="102">
        <f>F57</f>
        <v>0</v>
      </c>
      <c r="G94" s="102">
        <f>G57</f>
        <v>0</v>
      </c>
    </row>
    <row r="95" spans="1:7" outlineLevel="1" x14ac:dyDescent="0.2">
      <c r="C95" s="106"/>
      <c r="E95" s="103"/>
      <c r="F95" s="103"/>
      <c r="G95" s="103"/>
    </row>
    <row r="96" spans="1:7" ht="11.4" outlineLevel="1" x14ac:dyDescent="0.2">
      <c r="B96" s="105" t="s">
        <v>5410</v>
      </c>
      <c r="C96" s="92">
        <f>SUM(E96:G96)</f>
        <v>0</v>
      </c>
      <c r="E96" s="102">
        <f>E59</f>
        <v>0</v>
      </c>
      <c r="F96" s="102">
        <f>F59</f>
        <v>0</v>
      </c>
      <c r="G96" s="102">
        <f>G59</f>
        <v>0</v>
      </c>
    </row>
    <row r="97" spans="1:7" outlineLevel="1" x14ac:dyDescent="0.2">
      <c r="C97" s="106"/>
    </row>
    <row r="98" spans="1:7" outlineLevel="1" x14ac:dyDescent="0.2">
      <c r="C98" s="106"/>
    </row>
    <row r="99" spans="1:7" ht="11.4" outlineLevel="1" x14ac:dyDescent="0.2">
      <c r="B99" s="107" t="s">
        <v>5389</v>
      </c>
      <c r="C99" s="1068">
        <f>C62</f>
        <v>1.2E-2</v>
      </c>
    </row>
    <row r="100" spans="1:7" ht="11.4" outlineLevel="1" x14ac:dyDescent="0.2">
      <c r="B100" s="107" t="s">
        <v>5398</v>
      </c>
      <c r="C100" s="1068">
        <f>C63</f>
        <v>0</v>
      </c>
    </row>
    <row r="101" spans="1:7" outlineLevel="1" x14ac:dyDescent="0.2">
      <c r="E101" s="387"/>
      <c r="F101" s="387"/>
      <c r="G101" s="387"/>
    </row>
    <row r="102" spans="1:7" s="365" customFormat="1" ht="20.399999999999999" outlineLevel="1" x14ac:dyDescent="0.2">
      <c r="A102" s="364"/>
      <c r="B102" s="388" t="s">
        <v>465</v>
      </c>
      <c r="C102" s="121"/>
      <c r="D102" s="367"/>
      <c r="E102" s="368" t="str">
        <f>E$3</f>
        <v>BUSTO ARSIZIO</v>
      </c>
      <c r="F102" s="368" t="str">
        <f>F$3</f>
        <v>FAGNANO OLONA</v>
      </c>
      <c r="G102" s="368" t="str">
        <f>G$3</f>
        <v>VENEGONO SUPERIORE</v>
      </c>
    </row>
    <row r="103" spans="1:7" ht="11.4" outlineLevel="1" x14ac:dyDescent="0.2">
      <c r="B103" s="95" t="s">
        <v>5406</v>
      </c>
      <c r="C103" s="109">
        <f t="shared" ref="C103:C108" si="8">SUM(E103:G103)</f>
        <v>391993.54942170915</v>
      </c>
      <c r="E103" s="110">
        <f>SUM(E104:E105)</f>
        <v>0</v>
      </c>
      <c r="F103" s="110">
        <f>SUM(F104:F105)</f>
        <v>0</v>
      </c>
      <c r="G103" s="110">
        <f>SUM(G104:G105)</f>
        <v>391993.54942170915</v>
      </c>
    </row>
    <row r="104" spans="1:7" outlineLevel="1" x14ac:dyDescent="0.2">
      <c r="A104" s="122" t="s">
        <v>461</v>
      </c>
      <c r="B104" s="111" t="s">
        <v>150</v>
      </c>
      <c r="C104" s="112">
        <f t="shared" si="8"/>
        <v>391993.54942170915</v>
      </c>
      <c r="E104" s="113">
        <f>INDEX([4]CK_28_COM!$A$8:$ZZ$98,MATCH($A104,[4]CK_28_COM!$A$8:$A$98,0),MATCH(E$3,[4]CK_28_COM!$A$8:$ZZ$8,0))</f>
        <v>0</v>
      </c>
      <c r="F104" s="113">
        <f>INDEX([4]CK_28_COM!$A$8:$ZZ$98,MATCH($A104,[4]CK_28_COM!$A$8:$A$98,0),MATCH(F$3,[4]CK_28_COM!$A$8:$ZZ$8,0))</f>
        <v>0</v>
      </c>
      <c r="G104" s="113">
        <f>INDEX([4]CK_28_COM!$A$8:$ZZ$98,MATCH($A104,[4]CK_28_COM!$A$8:$A$98,0),MATCH(G$3,[4]CK_28_COM!$A$8:$ZZ$8,0))</f>
        <v>391993.54942170915</v>
      </c>
    </row>
    <row r="105" spans="1:7" outlineLevel="1" x14ac:dyDescent="0.2">
      <c r="A105" s="122" t="s">
        <v>462</v>
      </c>
      <c r="B105" s="114" t="s">
        <v>151</v>
      </c>
      <c r="C105" s="115">
        <f t="shared" si="8"/>
        <v>0</v>
      </c>
      <c r="E105" s="116">
        <f>INDEX([4]CK_28_COM!$A$8:$ZZ$98,MATCH($A105,[4]CK_28_COM!$A$8:$A$98,0),MATCH(E$3,[4]CK_28_COM!$A$8:$ZZ$8,0))</f>
        <v>0</v>
      </c>
      <c r="F105" s="116">
        <f>INDEX([4]CK_28_COM!$A$8:$ZZ$98,MATCH($A105,[4]CK_28_COM!$A$8:$A$98,0),MATCH(F$3,[4]CK_28_COM!$A$8:$ZZ$8,0))</f>
        <v>0</v>
      </c>
      <c r="G105" s="116">
        <f>INDEX([4]CK_28_COM!$A$8:$ZZ$98,MATCH($A105,[4]CK_28_COM!$A$8:$A$98,0),MATCH(G$3,[4]CK_28_COM!$A$8:$ZZ$8,0))</f>
        <v>0</v>
      </c>
    </row>
    <row r="106" spans="1:7" ht="11.4" outlineLevel="1" x14ac:dyDescent="0.2">
      <c r="A106" s="122" t="s">
        <v>450</v>
      </c>
      <c r="B106" s="95" t="s">
        <v>5411</v>
      </c>
      <c r="C106" s="109">
        <f t="shared" si="8"/>
        <v>21576.013896481796</v>
      </c>
      <c r="E106" s="110">
        <f>INDEX([4]CK_28_COM!$A$8:$ZZ$98,MATCH($A106,[4]CK_28_COM!$A$8:$A$98,0),MATCH(E$3,[4]CK_28_COM!$A$8:$ZZ$8,0))</f>
        <v>0</v>
      </c>
      <c r="F106" s="110">
        <f>INDEX([4]CK_28_COM!$A$8:$ZZ$98,MATCH($A106,[4]CK_28_COM!$A$8:$A$98,0),MATCH(F$3,[4]CK_28_COM!$A$8:$ZZ$8,0))</f>
        <v>0</v>
      </c>
      <c r="G106" s="110">
        <f>INDEX([4]CK_28_COM!$A$8:$ZZ$98,MATCH($A106,[4]CK_28_COM!$A$8:$A$98,0),MATCH(G$3,[4]CK_28_COM!$A$8:$ZZ$8,0))</f>
        <v>21576.013896481796</v>
      </c>
    </row>
    <row r="107" spans="1:7" ht="11.4" outlineLevel="1" x14ac:dyDescent="0.2">
      <c r="A107" s="122" t="s">
        <v>464</v>
      </c>
      <c r="B107" s="117" t="s">
        <v>5412</v>
      </c>
      <c r="C107" s="118">
        <f t="shared" si="8"/>
        <v>0</v>
      </c>
      <c r="E107" s="110">
        <f>INDEX([4]CK_28_COM!$A$8:$ZZ$98,MATCH($A107,[4]CK_28_COM!$A$8:$A$98,0),MATCH(E$3,[4]CK_28_COM!$A$8:$ZZ$8,0))</f>
        <v>0</v>
      </c>
      <c r="F107" s="110">
        <f>INDEX([4]CK_28_COM!$A$8:$ZZ$98,MATCH($A107,[4]CK_28_COM!$A$8:$A$98,0),MATCH(F$3,[4]CK_28_COM!$A$8:$ZZ$8,0))</f>
        <v>0</v>
      </c>
      <c r="G107" s="110">
        <f>INDEX([4]CK_28_COM!$A$8:$ZZ$98,MATCH($A107,[4]CK_28_COM!$A$8:$A$98,0),MATCH(G$3,[4]CK_28_COM!$A$8:$ZZ$8,0))</f>
        <v>0</v>
      </c>
    </row>
    <row r="108" spans="1:7" ht="11.4" outlineLevel="1" x14ac:dyDescent="0.2">
      <c r="A108" s="122" t="s">
        <v>463</v>
      </c>
      <c r="B108" s="95" t="s">
        <v>5413</v>
      </c>
      <c r="C108" s="109">
        <f t="shared" si="8"/>
        <v>0</v>
      </c>
      <c r="E108" s="389">
        <f>INDEX([4]CK_28_COM!$A$8:$ZZ$98,MATCH($A108,[4]CK_28_COM!$A$8:$A$98,0),MATCH(E$3,[4]CK_28_COM!$A$8:$ZZ$8,0))</f>
        <v>0</v>
      </c>
      <c r="F108" s="389">
        <f>INDEX([4]CK_28_COM!$A$8:$ZZ$98,MATCH($A108,[4]CK_28_COM!$A$8:$A$98,0),MATCH(F$3,[4]CK_28_COM!$A$8:$ZZ$8,0))</f>
        <v>0</v>
      </c>
      <c r="G108" s="389">
        <f>INDEX([4]CK_28_COM!$A$8:$ZZ$98,MATCH($A108,[4]CK_28_COM!$A$8:$A$98,0),MATCH(G$3,[4]CK_28_COM!$A$8:$ZZ$8,0))</f>
        <v>0</v>
      </c>
    </row>
    <row r="109" spans="1:7" outlineLevel="1" x14ac:dyDescent="0.2"/>
    <row r="110" spans="1:7" outlineLevel="1" x14ac:dyDescent="0.2">
      <c r="A110" s="122" t="s">
        <v>7019</v>
      </c>
      <c r="B110" s="549" t="s">
        <v>5425</v>
      </c>
      <c r="C110" s="546">
        <f>SUM(E110:G110)</f>
        <v>0</v>
      </c>
      <c r="E110" s="552">
        <f>[4]IN_LIC_Export!I37</f>
        <v>0</v>
      </c>
      <c r="F110" s="552">
        <f>[4]IN_LIC_Export!J37</f>
        <v>0</v>
      </c>
      <c r="G110" s="552">
        <f>[4]IN_LIC_Export!K37</f>
        <v>0</v>
      </c>
    </row>
    <row r="111" spans="1:7" outlineLevel="1" x14ac:dyDescent="0.2">
      <c r="A111" s="122" t="s">
        <v>7020</v>
      </c>
      <c r="B111" s="550" t="s">
        <v>5397</v>
      </c>
      <c r="C111" s="547">
        <f>SUM(E111:G111)</f>
        <v>0</v>
      </c>
      <c r="E111" s="553">
        <f>[4]IN_LIC_Export!I38</f>
        <v>0</v>
      </c>
      <c r="F111" s="553">
        <f>[4]IN_LIC_Export!J38</f>
        <v>0</v>
      </c>
      <c r="G111" s="553">
        <f>[4]IN_LIC_Export!K38</f>
        <v>0</v>
      </c>
    </row>
    <row r="112" spans="1:7" outlineLevel="1" x14ac:dyDescent="0.2">
      <c r="A112" s="122" t="s">
        <v>7021</v>
      </c>
      <c r="B112" s="550" t="s">
        <v>5362</v>
      </c>
      <c r="C112" s="547">
        <f>SUM(E112:G112)</f>
        <v>0</v>
      </c>
      <c r="E112" s="553">
        <f>[4]IN_LIC_Export!I39</f>
        <v>0</v>
      </c>
      <c r="F112" s="553">
        <f>[4]IN_LIC_Export!J39</f>
        <v>0</v>
      </c>
      <c r="G112" s="553">
        <f>[4]IN_LIC_Export!K39</f>
        <v>0</v>
      </c>
    </row>
    <row r="113" spans="1:7" outlineLevel="1" x14ac:dyDescent="0.2">
      <c r="A113" s="122" t="s">
        <v>7022</v>
      </c>
      <c r="B113" s="551" t="s">
        <v>775</v>
      </c>
      <c r="C113" s="548">
        <f>SUM(E113:G113)</f>
        <v>0</v>
      </c>
      <c r="E113" s="554">
        <f>[4]IN_LIC_Export!I40</f>
        <v>0</v>
      </c>
      <c r="F113" s="554">
        <f>[4]IN_LIC_Export!J40</f>
        <v>0</v>
      </c>
      <c r="G113" s="554">
        <f>[4]IN_LIC_Export!K40</f>
        <v>0</v>
      </c>
    </row>
    <row r="114" spans="1:7" outlineLevel="1" x14ac:dyDescent="0.2"/>
    <row r="115" spans="1:7" x14ac:dyDescent="0.2">
      <c r="B115" s="1138">
        <v>2029</v>
      </c>
      <c r="C115" s="1138"/>
      <c r="E115" s="120"/>
      <c r="F115" s="120"/>
      <c r="G115" s="120"/>
    </row>
    <row r="116" spans="1:7" ht="11.4" x14ac:dyDescent="0.2">
      <c r="A116" s="85" t="s">
        <v>4397</v>
      </c>
      <c r="B116" s="91" t="s">
        <v>5414</v>
      </c>
      <c r="C116" s="92">
        <f>SUM(E116:G116)</f>
        <v>25558.809951240684</v>
      </c>
      <c r="D116" s="93"/>
      <c r="E116" s="94">
        <f t="shared" ref="E116" si="9">+MAX((E126+E129-E127)*E123+E141*(E122-E123),0)</f>
        <v>0</v>
      </c>
      <c r="F116" s="94">
        <f t="shared" ref="F116:G116" si="10">+MAX((F126+F129-F127)*F123+F141*(F122-F123),0)</f>
        <v>0</v>
      </c>
      <c r="G116" s="94">
        <f t="shared" si="10"/>
        <v>25558.809951240684</v>
      </c>
    </row>
    <row r="117" spans="1:7" ht="11.4" x14ac:dyDescent="0.2">
      <c r="A117" s="85" t="s">
        <v>4403</v>
      </c>
      <c r="B117" s="91" t="s">
        <v>5415</v>
      </c>
      <c r="C117" s="92">
        <f>SUM(E117:G117)</f>
        <v>0</v>
      </c>
      <c r="D117" s="93"/>
      <c r="E117" s="94">
        <f>E144</f>
        <v>0</v>
      </c>
      <c r="F117" s="94">
        <f>F144</f>
        <v>0</v>
      </c>
      <c r="G117" s="94">
        <f>G144</f>
        <v>0</v>
      </c>
    </row>
    <row r="118" spans="1:7" ht="11.4" x14ac:dyDescent="0.2">
      <c r="A118" s="85" t="s">
        <v>4361</v>
      </c>
      <c r="B118" s="91" t="s">
        <v>5416</v>
      </c>
      <c r="C118" s="92">
        <f>SUM(E118:G118)</f>
        <v>20354.085815461956</v>
      </c>
      <c r="D118" s="93"/>
      <c r="E118" s="94">
        <f>E143</f>
        <v>0</v>
      </c>
      <c r="F118" s="94">
        <f>F143</f>
        <v>0</v>
      </c>
      <c r="G118" s="94">
        <f>G143</f>
        <v>20354.085815461956</v>
      </c>
    </row>
    <row r="119" spans="1:7" ht="11.4" x14ac:dyDescent="0.2">
      <c r="A119" s="85" t="s">
        <v>4409</v>
      </c>
      <c r="B119" s="91" t="s">
        <v>5417</v>
      </c>
      <c r="C119" s="92">
        <f>SUM(E119:G119)</f>
        <v>0</v>
      </c>
      <c r="D119" s="93"/>
      <c r="E119" s="94">
        <f>E145</f>
        <v>0</v>
      </c>
      <c r="F119" s="94">
        <f>F145</f>
        <v>0</v>
      </c>
      <c r="G119" s="94">
        <f>G145</f>
        <v>0</v>
      </c>
    </row>
    <row r="120" spans="1:7" x14ac:dyDescent="0.2">
      <c r="C120" s="90"/>
    </row>
    <row r="121" spans="1:7" ht="11.4" outlineLevel="1" x14ac:dyDescent="0.2">
      <c r="B121" s="95" t="s">
        <v>5418</v>
      </c>
      <c r="C121" s="92">
        <f>SUM(E121:G121)</f>
        <v>370417.53552522731</v>
      </c>
      <c r="E121" s="96">
        <f>E125</f>
        <v>0</v>
      </c>
      <c r="F121" s="96">
        <f>F125</f>
        <v>0</v>
      </c>
      <c r="G121" s="96">
        <f>G125</f>
        <v>370417.53552522731</v>
      </c>
    </row>
    <row r="122" spans="1:7" ht="11.4" outlineLevel="1" x14ac:dyDescent="0.2">
      <c r="B122" s="97" t="s">
        <v>181</v>
      </c>
      <c r="C122" s="98">
        <f>'Parametri MTR-3'!$M$8</f>
        <v>6.9000000000000006E-2</v>
      </c>
      <c r="E122" s="99">
        <f>$C$48</f>
        <v>6.9000000000000006E-2</v>
      </c>
      <c r="F122" s="99">
        <f>$C$48</f>
        <v>6.9000000000000006E-2</v>
      </c>
      <c r="G122" s="99">
        <f>$C$48</f>
        <v>6.9000000000000006E-2</v>
      </c>
    </row>
    <row r="123" spans="1:7" ht="11.4" outlineLevel="1" x14ac:dyDescent="0.2">
      <c r="B123" s="97" t="s">
        <v>182</v>
      </c>
      <c r="C123" s="98">
        <f>'Parametri MTR-3'!$M$9</f>
        <v>5.8999999999999997E-2</v>
      </c>
      <c r="E123" s="99">
        <f>$C$49</f>
        <v>5.8999999999999997E-2</v>
      </c>
      <c r="F123" s="99">
        <f>$C$49</f>
        <v>5.8999999999999997E-2</v>
      </c>
      <c r="G123" s="99">
        <f>$C$49</f>
        <v>5.8999999999999997E-2</v>
      </c>
    </row>
    <row r="124" spans="1:7" outlineLevel="1" x14ac:dyDescent="0.2">
      <c r="C124" s="90"/>
    </row>
    <row r="125" spans="1:7" ht="11.4" outlineLevel="1" x14ac:dyDescent="0.2">
      <c r="B125" s="95" t="s">
        <v>5418</v>
      </c>
      <c r="C125" s="92">
        <f>SUM(E125:G125)</f>
        <v>370417.53552522731</v>
      </c>
      <c r="E125" s="101">
        <f>MAX((E126+E129-E127),0)</f>
        <v>0</v>
      </c>
      <c r="F125" s="101">
        <f>MAX((F126+F129-F127),0)</f>
        <v>0</v>
      </c>
      <c r="G125" s="101">
        <f>MAX((G126+G129-G127),0)</f>
        <v>370417.53552522731</v>
      </c>
    </row>
    <row r="126" spans="1:7" ht="11.4" outlineLevel="1" x14ac:dyDescent="0.2">
      <c r="B126" s="95" t="s">
        <v>5419</v>
      </c>
      <c r="C126" s="92">
        <f>SUM(E126:G126)</f>
        <v>370417.53552522731</v>
      </c>
      <c r="E126" s="102">
        <f>E140</f>
        <v>0</v>
      </c>
      <c r="F126" s="102">
        <f>F140</f>
        <v>0</v>
      </c>
      <c r="G126" s="102">
        <f>G140</f>
        <v>370417.53552522731</v>
      </c>
    </row>
    <row r="127" spans="1:7" ht="11.4" outlineLevel="1" x14ac:dyDescent="0.2">
      <c r="B127" s="100" t="s">
        <v>5420</v>
      </c>
      <c r="C127" s="92">
        <f>SUM(E127:G127)</f>
        <v>0</v>
      </c>
      <c r="E127" s="102">
        <f>E90</f>
        <v>0</v>
      </c>
      <c r="F127" s="102">
        <f>F90</f>
        <v>0</v>
      </c>
      <c r="G127" s="102">
        <f>G90</f>
        <v>0</v>
      </c>
    </row>
    <row r="128" spans="1:7" outlineLevel="1" x14ac:dyDescent="0.2">
      <c r="C128" s="90"/>
      <c r="E128" s="103"/>
      <c r="F128" s="103"/>
      <c r="G128" s="103"/>
    </row>
    <row r="129" spans="1:7" ht="11.4" outlineLevel="1" x14ac:dyDescent="0.2">
      <c r="B129" s="100" t="s">
        <v>5421</v>
      </c>
      <c r="C129" s="92">
        <f>SUM(E129:G129)</f>
        <v>0</v>
      </c>
      <c r="E129" s="104">
        <f>(((90/365)*E131)-((45/365)*E133))*((1+$C$136)*(1+$C$137))</f>
        <v>0</v>
      </c>
      <c r="F129" s="104">
        <f>(((90/365)*F131)-((45/365)*F133))*((1+$C$136)*(1+$C$137))</f>
        <v>0</v>
      </c>
      <c r="G129" s="104">
        <f>(((90/365)*G131)-((45/365)*G133))*((1+$C$136)*(1+$C$137))</f>
        <v>0</v>
      </c>
    </row>
    <row r="130" spans="1:7" outlineLevel="1" x14ac:dyDescent="0.2">
      <c r="C130" s="90"/>
      <c r="E130" s="103"/>
      <c r="F130" s="103"/>
      <c r="G130" s="103"/>
    </row>
    <row r="131" spans="1:7" ht="11.4" outlineLevel="1" x14ac:dyDescent="0.2">
      <c r="B131" s="105" t="s">
        <v>5422</v>
      </c>
      <c r="C131" s="92">
        <f>SUM(E131:G131)</f>
        <v>0</v>
      </c>
      <c r="E131" s="101">
        <f>E94</f>
        <v>0</v>
      </c>
      <c r="F131" s="101">
        <f>F94</f>
        <v>0</v>
      </c>
      <c r="G131" s="101">
        <f>G94</f>
        <v>0</v>
      </c>
    </row>
    <row r="132" spans="1:7" outlineLevel="1" x14ac:dyDescent="0.2">
      <c r="C132" s="106"/>
      <c r="E132" s="103"/>
      <c r="F132" s="103"/>
      <c r="G132" s="103"/>
    </row>
    <row r="133" spans="1:7" ht="11.4" outlineLevel="1" x14ac:dyDescent="0.2">
      <c r="B133" s="105" t="s">
        <v>5423</v>
      </c>
      <c r="C133" s="92">
        <f>SUM(E133:G133)</f>
        <v>0</v>
      </c>
      <c r="E133" s="101">
        <f>E96</f>
        <v>0</v>
      </c>
      <c r="F133" s="101">
        <f>F96</f>
        <v>0</v>
      </c>
      <c r="G133" s="101">
        <f>G96</f>
        <v>0</v>
      </c>
    </row>
    <row r="134" spans="1:7" outlineLevel="1" x14ac:dyDescent="0.2">
      <c r="C134" s="106"/>
    </row>
    <row r="135" spans="1:7" outlineLevel="1" x14ac:dyDescent="0.2">
      <c r="C135" s="106"/>
    </row>
    <row r="136" spans="1:7" ht="11.4" outlineLevel="1" x14ac:dyDescent="0.2">
      <c r="B136" s="107" t="s">
        <v>5398</v>
      </c>
      <c r="C136" s="1068">
        <f>C99</f>
        <v>1.2E-2</v>
      </c>
    </row>
    <row r="137" spans="1:7" ht="11.4" outlineLevel="1" x14ac:dyDescent="0.2">
      <c r="B137" s="107" t="s">
        <v>5399</v>
      </c>
      <c r="C137" s="1068">
        <f>C100</f>
        <v>0</v>
      </c>
    </row>
    <row r="138" spans="1:7" outlineLevel="1" x14ac:dyDescent="0.2">
      <c r="E138" s="387"/>
      <c r="F138" s="387"/>
      <c r="G138" s="387"/>
    </row>
    <row r="139" spans="1:7" s="365" customFormat="1" ht="20.399999999999999" outlineLevel="1" x14ac:dyDescent="0.2">
      <c r="A139" s="364"/>
      <c r="B139" s="388" t="s">
        <v>465</v>
      </c>
      <c r="C139" s="121"/>
      <c r="D139" s="367"/>
      <c r="E139" s="368" t="str">
        <f>E$3</f>
        <v>BUSTO ARSIZIO</v>
      </c>
      <c r="F139" s="368" t="str">
        <f>F$3</f>
        <v>FAGNANO OLONA</v>
      </c>
      <c r="G139" s="368" t="str">
        <f>G$3</f>
        <v>VENEGONO SUPERIORE</v>
      </c>
    </row>
    <row r="140" spans="1:7" ht="11.4" outlineLevel="1" x14ac:dyDescent="0.2">
      <c r="B140" s="95" t="s">
        <v>5419</v>
      </c>
      <c r="C140" s="109">
        <f t="shared" ref="C140:C145" si="11">SUM(E140:G140)</f>
        <v>370417.53552522731</v>
      </c>
      <c r="E140" s="110">
        <f>SUM(E141:E142)</f>
        <v>0</v>
      </c>
      <c r="F140" s="110">
        <f>SUM(F141:F142)</f>
        <v>0</v>
      </c>
      <c r="G140" s="110">
        <f>SUM(G141:G142)</f>
        <v>370417.53552522731</v>
      </c>
    </row>
    <row r="141" spans="1:7" outlineLevel="1" x14ac:dyDescent="0.2">
      <c r="A141" s="122" t="s">
        <v>461</v>
      </c>
      <c r="B141" s="111" t="s">
        <v>150</v>
      </c>
      <c r="C141" s="112">
        <f t="shared" si="11"/>
        <v>370417.53552522731</v>
      </c>
      <c r="E141" s="113">
        <f>INDEX([4]CK_29_COM!$A$8:$ZZ$98,MATCH($A141,[4]CK_29_COM!$A$8:$A$98,0),MATCH(E$3,[4]CK_29_COM!$A$8:$ZZ$8,0))</f>
        <v>0</v>
      </c>
      <c r="F141" s="113">
        <f>INDEX([4]CK_29_COM!$A$8:$ZZ$98,MATCH($A141,[4]CK_29_COM!$A$8:$A$98,0),MATCH(F$3,[4]CK_29_COM!$A$8:$ZZ$8,0))</f>
        <v>0</v>
      </c>
      <c r="G141" s="113">
        <f>INDEX([4]CK_29_COM!$A$8:$ZZ$98,MATCH($A141,[4]CK_29_COM!$A$8:$A$98,0),MATCH(G$3,[4]CK_29_COM!$A$8:$ZZ$8,0))</f>
        <v>370417.53552522731</v>
      </c>
    </row>
    <row r="142" spans="1:7" outlineLevel="1" x14ac:dyDescent="0.2">
      <c r="A142" s="122" t="s">
        <v>462</v>
      </c>
      <c r="B142" s="114" t="s">
        <v>151</v>
      </c>
      <c r="C142" s="115">
        <f t="shared" si="11"/>
        <v>0</v>
      </c>
      <c r="E142" s="116">
        <f>INDEX([4]CK_29_COM!$A$8:$ZZ$98,MATCH($A142,[4]CK_29_COM!$A$8:$A$98,0),MATCH(E$3,[4]CK_29_COM!$A$8:$ZZ$8,0))</f>
        <v>0</v>
      </c>
      <c r="F142" s="116">
        <f>INDEX([4]CK_29_COM!$A$8:$ZZ$98,MATCH($A142,[4]CK_29_COM!$A$8:$A$98,0),MATCH(F$3,[4]CK_29_COM!$A$8:$ZZ$8,0))</f>
        <v>0</v>
      </c>
      <c r="G142" s="116">
        <f>INDEX([4]CK_29_COM!$A$8:$ZZ$98,MATCH($A142,[4]CK_29_COM!$A$8:$A$98,0),MATCH(G$3,[4]CK_29_COM!$A$8:$ZZ$8,0))</f>
        <v>0</v>
      </c>
    </row>
    <row r="143" spans="1:7" ht="11.4" outlineLevel="1" x14ac:dyDescent="0.2">
      <c r="A143" s="122" t="s">
        <v>450</v>
      </c>
      <c r="B143" s="95" t="s">
        <v>8756</v>
      </c>
      <c r="C143" s="109">
        <f t="shared" si="11"/>
        <v>20354.085815461956</v>
      </c>
      <c r="E143" s="110">
        <f>INDEX([4]CK_29_COM!$A$8:$ZZ$98,MATCH($A143,[4]CK_29_COM!$A$8:$A$98,0),MATCH(E$3,[4]CK_29_COM!$A$8:$ZZ$8,0))</f>
        <v>0</v>
      </c>
      <c r="F143" s="110">
        <f>INDEX([4]CK_29_COM!$A$8:$ZZ$98,MATCH($A143,[4]CK_29_COM!$A$8:$A$98,0),MATCH(F$3,[4]CK_29_COM!$A$8:$ZZ$8,0))</f>
        <v>0</v>
      </c>
      <c r="G143" s="110">
        <f>INDEX([4]CK_29_COM!$A$8:$ZZ$98,MATCH($A143,[4]CK_29_COM!$A$8:$A$98,0),MATCH(G$3,[4]CK_29_COM!$A$8:$ZZ$8,0))</f>
        <v>20354.085815461956</v>
      </c>
    </row>
    <row r="144" spans="1:7" ht="11.4" outlineLevel="1" x14ac:dyDescent="0.2">
      <c r="A144" s="122" t="s">
        <v>464</v>
      </c>
      <c r="B144" s="117" t="s">
        <v>8757</v>
      </c>
      <c r="C144" s="118">
        <f t="shared" si="11"/>
        <v>0</v>
      </c>
      <c r="E144" s="110">
        <f>INDEX([4]CK_29_COM!$A$8:$ZZ$98,MATCH($A144,[4]CK_29_COM!$A$8:$A$98,0),MATCH(E$3,[4]CK_29_COM!$A$8:$ZZ$8,0))</f>
        <v>0</v>
      </c>
      <c r="F144" s="110">
        <f>INDEX([4]CK_29_COM!$A$8:$ZZ$98,MATCH($A144,[4]CK_29_COM!$A$8:$A$98,0),MATCH(F$3,[4]CK_29_COM!$A$8:$ZZ$8,0))</f>
        <v>0</v>
      </c>
      <c r="G144" s="110">
        <f>INDEX([4]CK_29_COM!$A$8:$ZZ$98,MATCH($A144,[4]CK_29_COM!$A$8:$A$98,0),MATCH(G$3,[4]CK_29_COM!$A$8:$ZZ$8,0))</f>
        <v>0</v>
      </c>
    </row>
    <row r="145" spans="1:7" ht="11.4" outlineLevel="1" x14ac:dyDescent="0.2">
      <c r="A145" s="122" t="s">
        <v>463</v>
      </c>
      <c r="B145" s="95" t="s">
        <v>8758</v>
      </c>
      <c r="C145" s="109">
        <f t="shared" si="11"/>
        <v>0</v>
      </c>
      <c r="E145" s="389">
        <f>INDEX([4]CK_29_COM!$A$8:$ZZ$98,MATCH($A145,[4]CK_29_COM!$A$8:$A$98,0),MATCH(E$3,[4]CK_29_COM!$A$8:$ZZ$8,0))</f>
        <v>0</v>
      </c>
      <c r="F145" s="389">
        <f>INDEX([4]CK_29_COM!$A$8:$ZZ$98,MATCH($A145,[4]CK_29_COM!$A$8:$A$98,0),MATCH(F$3,[4]CK_29_COM!$A$8:$ZZ$8,0))</f>
        <v>0</v>
      </c>
      <c r="G145" s="389">
        <f>INDEX([4]CK_29_COM!$A$8:$ZZ$98,MATCH($A145,[4]CK_29_COM!$A$8:$A$98,0),MATCH(G$3,[4]CK_29_COM!$A$8:$ZZ$8,0))</f>
        <v>0</v>
      </c>
    </row>
    <row r="146" spans="1:7" outlineLevel="1" x14ac:dyDescent="0.2"/>
    <row r="147" spans="1:7" outlineLevel="1" x14ac:dyDescent="0.2">
      <c r="A147" s="122" t="s">
        <v>7023</v>
      </c>
      <c r="B147" s="430" t="s">
        <v>5424</v>
      </c>
      <c r="C147" s="555">
        <f>SUM(E147:G147)</f>
        <v>0</v>
      </c>
      <c r="E147" s="552">
        <f>[4]IN_LIC_Export!I42</f>
        <v>0</v>
      </c>
      <c r="F147" s="552">
        <f>[4]IN_LIC_Export!J42</f>
        <v>0</v>
      </c>
      <c r="G147" s="552">
        <f>[4]IN_LIC_Export!K42</f>
        <v>0</v>
      </c>
    </row>
    <row r="148" spans="1:7" outlineLevel="1" x14ac:dyDescent="0.2">
      <c r="A148" s="122" t="s">
        <v>7024</v>
      </c>
      <c r="B148" s="431" t="s">
        <v>5425</v>
      </c>
      <c r="C148" s="556">
        <f>SUM(E148:G148)</f>
        <v>0</v>
      </c>
      <c r="E148" s="553">
        <f>[4]IN_LIC_Export!I43</f>
        <v>0</v>
      </c>
      <c r="F148" s="553">
        <f>[4]IN_LIC_Export!J43</f>
        <v>0</v>
      </c>
      <c r="G148" s="553">
        <f>[4]IN_LIC_Export!K43</f>
        <v>0</v>
      </c>
    </row>
    <row r="149" spans="1:7" outlineLevel="1" x14ac:dyDescent="0.2">
      <c r="A149" s="122" t="s">
        <v>7025</v>
      </c>
      <c r="B149" s="431" t="s">
        <v>5397</v>
      </c>
      <c r="C149" s="556">
        <f>SUM(E149:G149)</f>
        <v>0</v>
      </c>
      <c r="E149" s="553">
        <f>[4]IN_LIC_Export!I44</f>
        <v>0</v>
      </c>
      <c r="F149" s="553">
        <f>[4]IN_LIC_Export!J44</f>
        <v>0</v>
      </c>
      <c r="G149" s="553">
        <f>[4]IN_LIC_Export!K44</f>
        <v>0</v>
      </c>
    </row>
    <row r="150" spans="1:7" outlineLevel="1" x14ac:dyDescent="0.2">
      <c r="A150" s="122" t="s">
        <v>7026</v>
      </c>
      <c r="B150" s="432" t="s">
        <v>5362</v>
      </c>
      <c r="C150" s="557">
        <f>SUM(E150:G150)</f>
        <v>0</v>
      </c>
      <c r="E150" s="554">
        <f>[4]IN_LIC_Export!I45</f>
        <v>0</v>
      </c>
      <c r="F150" s="554">
        <f>[4]IN_LIC_Export!J45</f>
        <v>0</v>
      </c>
      <c r="G150" s="554">
        <f>[4]IN_LIC_Export!K45</f>
        <v>0</v>
      </c>
    </row>
    <row r="152" spans="1:7" x14ac:dyDescent="0.2">
      <c r="B152" s="1138" t="s">
        <v>609</v>
      </c>
      <c r="C152" s="1138"/>
      <c r="E152" s="387"/>
      <c r="F152" s="387"/>
      <c r="G152" s="387"/>
    </row>
    <row r="153" spans="1:7" x14ac:dyDescent="0.2">
      <c r="A153" s="7" t="s">
        <v>5275</v>
      </c>
      <c r="B153" s="498" t="s">
        <v>604</v>
      </c>
      <c r="C153" s="118">
        <f t="shared" ref="C153:C158" si="12">SUM(E153:G153)</f>
        <v>2417.7561109055255</v>
      </c>
      <c r="E153" s="113">
        <f>INDEX([4]CK_26_RD_COM!$A$8:$ZZ$14,MATCH($A153,[4]CK_26_RD_COM!$A$8:$A$14,0),MATCH(E$3,[4]CK_26_RD_COM!$A$8:$ZZ$8,0))</f>
        <v>0</v>
      </c>
      <c r="F153" s="113">
        <f>INDEX([4]CK_26_RD_COM!$A$8:$ZZ$14,MATCH($A153,[4]CK_26_RD_COM!$A$8:$A$14,0),MATCH(F$3,[4]CK_26_RD_COM!$A$8:$ZZ$8,0))</f>
        <v>0</v>
      </c>
      <c r="G153" s="113">
        <f>INDEX([4]CK_26_RD_COM!$A$8:$ZZ$14,MATCH($A153,[4]CK_26_RD_COM!$A$8:$A$14,0),MATCH(G$3,[4]CK_26_RD_COM!$A$8:$ZZ$8,0))</f>
        <v>2417.7561109055255</v>
      </c>
    </row>
    <row r="154" spans="1:7" x14ac:dyDescent="0.2">
      <c r="A154" s="7" t="s">
        <v>5278</v>
      </c>
      <c r="B154" s="499" t="s">
        <v>605</v>
      </c>
      <c r="C154" s="501">
        <f t="shared" si="12"/>
        <v>0</v>
      </c>
      <c r="E154" s="503">
        <f>INDEX([4]CK_26_RD_COM!$A$8:$ZZ$14,MATCH($A154,[4]CK_26_RD_COM!$A$8:$A$14,0),MATCH(E$3,[4]CK_26_RD_COM!$A$8:$ZZ$8,0))</f>
        <v>0</v>
      </c>
      <c r="F154" s="503">
        <f>INDEX([4]CK_26_RD_COM!$A$8:$ZZ$14,MATCH($A154,[4]CK_26_RD_COM!$A$8:$A$14,0),MATCH(F$3,[4]CK_26_RD_COM!$A$8:$ZZ$8,0))</f>
        <v>0</v>
      </c>
      <c r="G154" s="503">
        <f>INDEX([4]CK_26_RD_COM!$A$8:$ZZ$14,MATCH($A154,[4]CK_26_RD_COM!$A$8:$A$14,0),MATCH(G$3,[4]CK_26_RD_COM!$A$8:$ZZ$8,0))</f>
        <v>0</v>
      </c>
    </row>
    <row r="155" spans="1:7" x14ac:dyDescent="0.2">
      <c r="A155" s="7" t="s">
        <v>5281</v>
      </c>
      <c r="B155" s="499" t="s">
        <v>606</v>
      </c>
      <c r="C155" s="501">
        <f t="shared" si="12"/>
        <v>549.32222752528457</v>
      </c>
      <c r="E155" s="503">
        <f>INDEX([4]CK_26_RD_COM!$A$8:$ZZ$14,MATCH($A155,[4]CK_26_RD_COM!$A$8:$A$14,0),MATCH(E$3,[4]CK_26_RD_COM!$A$8:$ZZ$8,0))</f>
        <v>0</v>
      </c>
      <c r="F155" s="503">
        <f>INDEX([4]CK_26_RD_COM!$A$8:$ZZ$14,MATCH($A155,[4]CK_26_RD_COM!$A$8:$A$14,0),MATCH(F$3,[4]CK_26_RD_COM!$A$8:$ZZ$8,0))</f>
        <v>0</v>
      </c>
      <c r="G155" s="503">
        <f>INDEX([4]CK_26_RD_COM!$A$8:$ZZ$14,MATCH($A155,[4]CK_26_RD_COM!$A$8:$A$14,0),MATCH(G$3,[4]CK_26_RD_COM!$A$8:$ZZ$8,0))</f>
        <v>549.32222752528457</v>
      </c>
    </row>
    <row r="156" spans="1:7" x14ac:dyDescent="0.2">
      <c r="A156" s="7" t="s">
        <v>5284</v>
      </c>
      <c r="B156" s="499" t="s">
        <v>607</v>
      </c>
      <c r="C156" s="501">
        <f t="shared" si="12"/>
        <v>0</v>
      </c>
      <c r="E156" s="503">
        <f>INDEX([4]CK_26_RD_COM!$A$8:$ZZ$14,MATCH($A156,[4]CK_26_RD_COM!$A$8:$A$14,0),MATCH(E$3,[4]CK_26_RD_COM!$A$8:$ZZ$8,0))</f>
        <v>0</v>
      </c>
      <c r="F156" s="503">
        <f>INDEX([4]CK_26_RD_COM!$A$8:$ZZ$14,MATCH($A156,[4]CK_26_RD_COM!$A$8:$A$14,0),MATCH(F$3,[4]CK_26_RD_COM!$A$8:$ZZ$8,0))</f>
        <v>0</v>
      </c>
      <c r="G156" s="503">
        <f>INDEX([4]CK_26_RD_COM!$A$8:$ZZ$14,MATCH($A156,[4]CK_26_RD_COM!$A$8:$A$14,0),MATCH(G$3,[4]CK_26_RD_COM!$A$8:$ZZ$8,0))</f>
        <v>0</v>
      </c>
    </row>
    <row r="157" spans="1:7" x14ac:dyDescent="0.2">
      <c r="A157" s="7" t="s">
        <v>5287</v>
      </c>
      <c r="B157" s="500" t="s">
        <v>608</v>
      </c>
      <c r="C157" s="502">
        <f t="shared" si="12"/>
        <v>0</v>
      </c>
      <c r="E157" s="116">
        <f>INDEX([4]CK_26_RD_COM!$A$8:$ZZ$14,MATCH($A157,[4]CK_26_RD_COM!$A$8:$A$14,0),MATCH(E$3,[4]CK_26_RD_COM!$A$8:$ZZ$8,0))</f>
        <v>0</v>
      </c>
      <c r="F157" s="116">
        <f>INDEX([4]CK_26_RD_COM!$A$8:$ZZ$14,MATCH($A157,[4]CK_26_RD_COM!$A$8:$A$14,0),MATCH(F$3,[4]CK_26_RD_COM!$A$8:$ZZ$8,0))</f>
        <v>0</v>
      </c>
      <c r="G157" s="116">
        <f>INDEX([4]CK_26_RD_COM!$A$8:$ZZ$14,MATCH($A157,[4]CK_26_RD_COM!$A$8:$A$14,0),MATCH(G$3,[4]CK_26_RD_COM!$A$8:$ZZ$8,0))</f>
        <v>0</v>
      </c>
    </row>
    <row r="158" spans="1:7" x14ac:dyDescent="0.2">
      <c r="A158" s="7" t="s">
        <v>5436</v>
      </c>
      <c r="B158" s="413" t="s">
        <v>610</v>
      </c>
      <c r="C158" s="412">
        <f t="shared" si="12"/>
        <v>2967.0783384308102</v>
      </c>
      <c r="E158" s="428">
        <f t="shared" ref="E158:F158" si="13">SUM(E153:E157)</f>
        <v>0</v>
      </c>
      <c r="F158" s="428">
        <f t="shared" si="13"/>
        <v>0</v>
      </c>
      <c r="G158" s="428">
        <f t="shared" ref="G158" si="14">SUM(G153:G157)</f>
        <v>2967.0783384308102</v>
      </c>
    </row>
    <row r="160" spans="1:7" x14ac:dyDescent="0.2">
      <c r="B160" s="388"/>
    </row>
  </sheetData>
  <sheetProtection formatColumns="0" formatRows="0"/>
  <mergeCells count="7">
    <mergeCell ref="B152:C152"/>
    <mergeCell ref="B1:C1"/>
    <mergeCell ref="B3:C3"/>
    <mergeCell ref="B4:C4"/>
    <mergeCell ref="B41:C41"/>
    <mergeCell ref="B78:C78"/>
    <mergeCell ref="B115:C115"/>
  </mergeCells>
  <pageMargins left="0.70866141732283472" right="0.70866141732283472" top="0.74803149606299213" bottom="0.74803149606299213" header="0.31496062992125984" footer="0.31496062992125984"/>
  <pageSetup paperSize="9" scale="26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D726CD-7672-44F6-8C89-1A267FEF76C4}">
  <sheetPr codeName="Foglio27">
    <tabColor theme="4" tint="-0.499984740745262"/>
    <pageSetUpPr fitToPage="1"/>
  </sheetPr>
  <dimension ref="A1:G102"/>
  <sheetViews>
    <sheetView showGridLines="0" zoomScaleNormal="100" workbookViewId="0">
      <pane xSplit="4" ySplit="3" topLeftCell="E4" activePane="bottomRight" state="frozen"/>
      <selection activeCell="E108" sqref="E108"/>
      <selection pane="topRight" activeCell="E108" sqref="E108"/>
      <selection pane="bottomLeft" activeCell="E108" sqref="E108"/>
      <selection pane="bottomRight" activeCell="E20" sqref="E20"/>
    </sheetView>
  </sheetViews>
  <sheetFormatPr defaultColWidth="17.6640625" defaultRowHeight="10.199999999999999" outlineLevelRow="1" x14ac:dyDescent="0.2"/>
  <cols>
    <col min="1" max="1" width="22.44140625" style="7" bestFit="1" customWidth="1"/>
    <col min="2" max="2" width="94.33203125" style="5" bestFit="1" customWidth="1"/>
    <col min="3" max="3" width="10.33203125" style="3" bestFit="1" customWidth="1"/>
    <col min="4" max="4" width="1.109375" style="2" customWidth="1"/>
    <col min="5" max="5" width="11.5546875" style="4" bestFit="1" customWidth="1"/>
    <col min="6" max="6" width="12.5546875" style="4" bestFit="1" customWidth="1"/>
    <col min="7" max="7" width="8.5546875" style="4" bestFit="1" customWidth="1"/>
    <col min="8" max="16384" width="17.6640625" style="5"/>
  </cols>
  <sheetData>
    <row r="1" spans="1:7" x14ac:dyDescent="0.2">
      <c r="B1" s="1" t="s">
        <v>3267</v>
      </c>
    </row>
    <row r="2" spans="1:7" x14ac:dyDescent="0.2">
      <c r="B2" s="134"/>
    </row>
    <row r="3" spans="1:7" s="359" customFormat="1" ht="20.399999999999999" x14ac:dyDescent="0.2">
      <c r="A3" s="356"/>
      <c r="B3" s="357"/>
      <c r="C3" s="358" t="s">
        <v>0</v>
      </c>
      <c r="D3" s="357"/>
      <c r="E3" s="358" t="str">
        <f>Ambiti!B4</f>
        <v>BUSTO ARSIZIO</v>
      </c>
      <c r="F3" s="358" t="str">
        <f>Ambiti!C4</f>
        <v>FAGNANO OLONA</v>
      </c>
      <c r="G3" s="358" t="str">
        <f>Ambiti!D4</f>
        <v>VENEGONO SUPERIORE</v>
      </c>
    </row>
    <row r="4" spans="1:7" s="10" customFormat="1" x14ac:dyDescent="0.2">
      <c r="A4" s="7"/>
      <c r="B4" s="8"/>
      <c r="C4" s="9"/>
      <c r="D4" s="8"/>
      <c r="E4" s="8"/>
      <c r="F4" s="8"/>
      <c r="G4" s="8"/>
    </row>
    <row r="5" spans="1:7" s="13" customFormat="1" ht="11.4" x14ac:dyDescent="0.3">
      <c r="A5" s="31" t="s">
        <v>3253</v>
      </c>
      <c r="B5" s="680" t="s">
        <v>5445</v>
      </c>
      <c r="C5" s="11">
        <f t="shared" ref="C5:C15" si="0">SUM(E5:G5)</f>
        <v>9035624.7360059675</v>
      </c>
      <c r="D5" s="6"/>
      <c r="E5" s="12">
        <f>SUM(E6:E15)-E19+E20+E22</f>
        <v>7914332.885408367</v>
      </c>
      <c r="F5" s="12">
        <f>SUM(F6:F15)-F19+F20+F22</f>
        <v>1121291.8505976</v>
      </c>
      <c r="G5" s="12">
        <f>SUM(G6:G15)-G19+G20+G22</f>
        <v>0</v>
      </c>
    </row>
    <row r="6" spans="1:7" outlineLevel="1" x14ac:dyDescent="0.2">
      <c r="A6" s="7" t="s">
        <v>3111</v>
      </c>
      <c r="B6" s="14" t="s">
        <v>1</v>
      </c>
      <c r="C6" s="15">
        <f t="shared" si="0"/>
        <v>1299267.3991968001</v>
      </c>
      <c r="D6" s="6"/>
      <c r="E6" s="16">
        <f>INDEX('Import CO_24'!$A$4:$E$134,MATCH($A6,'Import CO_24'!$A$4:$A$134,0),MATCH(E$3,'Import CO_24'!$A$4:$E$4,0))
*(1+'Parametri MTR-3'!$I$6)
*(1+'Parametri MTR-3'!$J$6)</f>
        <v>1177705.7897880001</v>
      </c>
      <c r="F6" s="16">
        <f>INDEX('Import CO_24'!$A$4:$E$134,MATCH($A6,'Import CO_24'!$A$4:$A$134,0),MATCH(F$3,'Import CO_24'!$A$4:$E$4,0))
*(1+'Parametri MTR-3'!$I$6)
*(1+'Parametri MTR-3'!$J$6)</f>
        <v>121561.6094088</v>
      </c>
      <c r="G6" s="16">
        <f>INDEX('Import CO_24'!$A$4:$E$134,MATCH($A6,'Import CO_24'!$A$4:$A$134,0),MATCH(G$3,'Import CO_24'!$A$4:$E$4,0))
*(1+'Parametri MTR-3'!$I$6)
*(1+'Parametri MTR-3'!$J$6)</f>
        <v>0</v>
      </c>
    </row>
    <row r="7" spans="1:7" outlineLevel="1" x14ac:dyDescent="0.2">
      <c r="A7" s="7" t="s">
        <v>3117</v>
      </c>
      <c r="B7" s="14" t="s">
        <v>3</v>
      </c>
      <c r="C7" s="15">
        <f t="shared" si="0"/>
        <v>189.21991440000002</v>
      </c>
      <c r="D7" s="6"/>
      <c r="E7" s="16">
        <f>INDEX('Import CO_24'!$A$4:$E$134,MATCH($A7,'Import CO_24'!$A$4:$A$134,0),MATCH(E$3,'Import CO_24'!$A$4:$E$4,0))
*(1+'Parametri MTR-3'!$I$6)
*(1+'Parametri MTR-3'!$J$6)</f>
        <v>0</v>
      </c>
      <c r="F7" s="16">
        <f>INDEX('Import CO_24'!$A$4:$E$134,MATCH($A7,'Import CO_24'!$A$4:$A$134,0),MATCH(F$3,'Import CO_24'!$A$4:$E$4,0))
*(1+'Parametri MTR-3'!$I$6)
*(1+'Parametri MTR-3'!$J$6)</f>
        <v>189.21991440000002</v>
      </c>
      <c r="G7" s="16">
        <f>INDEX('Import CO_24'!$A$4:$E$134,MATCH($A7,'Import CO_24'!$A$4:$A$134,0),MATCH(G$3,'Import CO_24'!$A$4:$E$4,0))
*(1+'Parametri MTR-3'!$I$6)
*(1+'Parametri MTR-3'!$J$6)</f>
        <v>0</v>
      </c>
    </row>
    <row r="8" spans="1:7" outlineLevel="1" x14ac:dyDescent="0.2">
      <c r="A8" s="7" t="s">
        <v>3123</v>
      </c>
      <c r="B8" s="14" t="s">
        <v>4</v>
      </c>
      <c r="C8" s="15">
        <f t="shared" si="0"/>
        <v>3780969.548004</v>
      </c>
      <c r="D8" s="6"/>
      <c r="E8" s="16">
        <f>INDEX('Import CO_24'!$A$4:$E$134,MATCH($A8,'Import CO_24'!$A$4:$A$134,0),MATCH(E$3,'Import CO_24'!$A$4:$E$4,0))
*(1+'Parametri MTR-3'!$I$6)
*(1+'Parametri MTR-3'!$J$6)</f>
        <v>3216365.3281056001</v>
      </c>
      <c r="F8" s="16">
        <f>INDEX('Import CO_24'!$A$4:$E$134,MATCH($A8,'Import CO_24'!$A$4:$A$134,0),MATCH(F$3,'Import CO_24'!$A$4:$E$4,0))
*(1+'Parametri MTR-3'!$I$6)
*(1+'Parametri MTR-3'!$J$6)</f>
        <v>564604.21989840001</v>
      </c>
      <c r="G8" s="16">
        <f>INDEX('Import CO_24'!$A$4:$E$134,MATCH($A8,'Import CO_24'!$A$4:$A$134,0),MATCH(G$3,'Import CO_24'!$A$4:$E$4,0))
*(1+'Parametri MTR-3'!$I$6)
*(1+'Parametri MTR-3'!$J$6)</f>
        <v>0</v>
      </c>
    </row>
    <row r="9" spans="1:7" outlineLevel="1" x14ac:dyDescent="0.2">
      <c r="A9" s="7" t="s">
        <v>3129</v>
      </c>
      <c r="B9" s="14" t="s">
        <v>5</v>
      </c>
      <c r="C9" s="15">
        <f t="shared" si="0"/>
        <v>4829941.6113167992</v>
      </c>
      <c r="D9" s="6"/>
      <c r="E9" s="16">
        <f>INDEX('Import CO_24'!$A$4:$E$134,MATCH($A9,'Import CO_24'!$A$4:$A$134,0),MATCH(E$3,'Import CO_24'!$A$4:$E$4,0))
*(1+'Parametri MTR-3'!$I$6)
*(1+'Parametri MTR-3'!$J$6)</f>
        <v>4395004.8099407991</v>
      </c>
      <c r="F9" s="16">
        <f>INDEX('Import CO_24'!$A$4:$E$134,MATCH($A9,'Import CO_24'!$A$4:$A$134,0),MATCH(F$3,'Import CO_24'!$A$4:$E$4,0))
*(1+'Parametri MTR-3'!$I$6)
*(1+'Parametri MTR-3'!$J$6)</f>
        <v>434936.80137600005</v>
      </c>
      <c r="G9" s="16">
        <f>INDEX('Import CO_24'!$A$4:$E$134,MATCH($A9,'Import CO_24'!$A$4:$A$134,0),MATCH(G$3,'Import CO_24'!$A$4:$E$4,0))
*(1+'Parametri MTR-3'!$I$6)
*(1+'Parametri MTR-3'!$J$6)</f>
        <v>0</v>
      </c>
    </row>
    <row r="10" spans="1:7" ht="11.4" outlineLevel="1" x14ac:dyDescent="0.2">
      <c r="A10" s="85" t="s">
        <v>2491</v>
      </c>
      <c r="B10" s="14" t="s">
        <v>5438</v>
      </c>
      <c r="C10" s="17">
        <f t="shared" si="0"/>
        <v>0</v>
      </c>
      <c r="D10" s="6"/>
      <c r="E10" s="16">
        <f>INDEX(IN_COexp!$A$3:$AAA$269,MATCH($A10,IN_COexp!$A$3:$A$269,0),MATCH(E$3,IN_COexp!$A$3:$AAA$3,0))</f>
        <v>0</v>
      </c>
      <c r="F10" s="16">
        <f>INDEX(IN_COexp!$A$3:$AAA$269,MATCH($A10,IN_COexp!$A$3:$A$269,0),MATCH(F$3,IN_COexp!$A$3:$AAA$3,0))</f>
        <v>0</v>
      </c>
      <c r="G10" s="16">
        <f>INDEX(IN_COexp!$A$3:$AAA$269,MATCH($A10,IN_COexp!$A$3:$A$269,0),MATCH(G$3,IN_COexp!$A$3:$AAA$3,0))</f>
        <v>0</v>
      </c>
    </row>
    <row r="11" spans="1:7" ht="11.4" outlineLevel="1" x14ac:dyDescent="0.2">
      <c r="A11" s="85" t="s">
        <v>1044</v>
      </c>
      <c r="B11" s="14" t="s">
        <v>5439</v>
      </c>
      <c r="C11" s="17">
        <f t="shared" si="0"/>
        <v>0</v>
      </c>
      <c r="D11" s="6"/>
      <c r="E11" s="18">
        <f>INDEX(IN_COexp!$A$3:$AAA$269,MATCH($A11,IN_COexp!$A$3:$A$269,0),MATCH(E$3,IN_COexp!$A$3:$AAA$3,0))</f>
        <v>0</v>
      </c>
      <c r="F11" s="18">
        <f>INDEX(IN_COexp!$A$3:$AAA$269,MATCH($A11,IN_COexp!$A$3:$A$269,0),MATCH(F$3,IN_COexp!$A$3:$AAA$3,0))</f>
        <v>0</v>
      </c>
      <c r="G11" s="18">
        <f>INDEX(IN_COexp!$A$3:$AAA$269,MATCH($A11,IN_COexp!$A$3:$A$269,0),MATCH(G$3,IN_COexp!$A$3:$AAA$3,0))</f>
        <v>0</v>
      </c>
    </row>
    <row r="12" spans="1:7" ht="11.4" outlineLevel="1" x14ac:dyDescent="0.2">
      <c r="A12" s="85" t="s">
        <v>1053</v>
      </c>
      <c r="B12" s="14" t="s">
        <v>5440</v>
      </c>
      <c r="C12" s="17">
        <f t="shared" si="0"/>
        <v>0</v>
      </c>
      <c r="D12" s="6"/>
      <c r="E12" s="18">
        <f>INDEX(IN_COexp!$A$3:$AAA$269,MATCH($A12,IN_COexp!$A$3:$A$269,0),MATCH(E$3,IN_COexp!$A$3:$AAA$3,0))</f>
        <v>0</v>
      </c>
      <c r="F12" s="18">
        <f>INDEX(IN_COexp!$A$3:$AAA$269,MATCH($A12,IN_COexp!$A$3:$A$269,0),MATCH(F$3,IN_COexp!$A$3:$AAA$3,0))</f>
        <v>0</v>
      </c>
      <c r="G12" s="18">
        <f>INDEX(IN_COexp!$A$3:$AAA$269,MATCH($A12,IN_COexp!$A$3:$A$269,0),MATCH(G$3,IN_COexp!$A$3:$AAA$3,0))</f>
        <v>0</v>
      </c>
    </row>
    <row r="13" spans="1:7" ht="11.4" outlineLevel="1" x14ac:dyDescent="0.2">
      <c r="A13" s="85" t="s">
        <v>2210</v>
      </c>
      <c r="B13" s="14" t="s">
        <v>5441</v>
      </c>
      <c r="C13" s="17">
        <f t="shared" si="0"/>
        <v>0</v>
      </c>
      <c r="D13" s="6"/>
      <c r="E13" s="18">
        <f>INDEX(IN_COexp!$A$3:$AAA$269,MATCH($A13,IN_COexp!$A$3:$A$269,0),MATCH(E$3,IN_COexp!$A$3:$AAA$3,0))</f>
        <v>0</v>
      </c>
      <c r="F13" s="18">
        <f>INDEX(IN_COexp!$A$3:$AAA$269,MATCH($A13,IN_COexp!$A$3:$A$269,0),MATCH(F$3,IN_COexp!$A$3:$AAA$3,0))</f>
        <v>0</v>
      </c>
      <c r="G13" s="18">
        <f>INDEX(IN_COexp!$A$3:$AAA$269,MATCH($A13,IN_COexp!$A$3:$A$269,0),MATCH(G$3,IN_COexp!$A$3:$AAA$3,0))</f>
        <v>0</v>
      </c>
    </row>
    <row r="14" spans="1:7" ht="11.4" outlineLevel="1" x14ac:dyDescent="0.2">
      <c r="A14" s="85" t="s">
        <v>2282</v>
      </c>
      <c r="B14" s="14" t="s">
        <v>5442</v>
      </c>
      <c r="C14" s="17">
        <f t="shared" si="0"/>
        <v>0</v>
      </c>
      <c r="D14" s="6"/>
      <c r="E14" s="18">
        <f>INDEX(IN_COexp!$A$3:$AAA$269,MATCH($A14,IN_COexp!$A$3:$A$269,0),MATCH(E$3,IN_COexp!$A$3:$AAA$3,0))</f>
        <v>0</v>
      </c>
      <c r="F14" s="18">
        <f>INDEX(IN_COexp!$A$3:$AAA$269,MATCH($A14,IN_COexp!$A$3:$A$269,0),MATCH(F$3,IN_COexp!$A$3:$AAA$3,0))</f>
        <v>0</v>
      </c>
      <c r="G14" s="18">
        <f>INDEX(IN_COexp!$A$3:$AAA$269,MATCH($A14,IN_COexp!$A$3:$A$269,0),MATCH(G$3,IN_COexp!$A$3:$AAA$3,0))</f>
        <v>0</v>
      </c>
    </row>
    <row r="15" spans="1:7" ht="11.4" outlineLevel="1" x14ac:dyDescent="0.2">
      <c r="A15" s="85" t="s">
        <v>1062</v>
      </c>
      <c r="B15" s="14" t="s">
        <v>5443</v>
      </c>
      <c r="C15" s="17">
        <f t="shared" si="0"/>
        <v>0</v>
      </c>
      <c r="D15" s="6"/>
      <c r="E15" s="18">
        <f>INDEX(IN_COexp!$A$3:$AAA$269,MATCH($A15,IN_COexp!$A$3:$A$269,0),MATCH(E$3,IN_COexp!$A$3:$AAA$3,0))</f>
        <v>0</v>
      </c>
      <c r="F15" s="18">
        <f>INDEX(IN_COexp!$A$3:$AAA$269,MATCH($A15,IN_COexp!$A$3:$A$269,0),MATCH(F$3,IN_COexp!$A$3:$AAA$3,0))</f>
        <v>0</v>
      </c>
      <c r="G15" s="18">
        <f>INDEX(IN_COexp!$A$3:$AAA$269,MATCH($A15,IN_COexp!$A$3:$A$269,0),MATCH(G$3,IN_COexp!$A$3:$AAA$3,0))</f>
        <v>0</v>
      </c>
    </row>
    <row r="16" spans="1:7" outlineLevel="1" x14ac:dyDescent="0.2">
      <c r="A16" s="85" t="s">
        <v>968</v>
      </c>
      <c r="B16" s="736" t="s">
        <v>7</v>
      </c>
      <c r="C16" s="737"/>
      <c r="D16" s="19"/>
      <c r="E16" s="740">
        <f>INDEX(IN_PAR!$A$3:$YE$413,MATCH($A16,IN_PAR!$A$3:$A$413,0),MATCH(E$3,IN_PAR!$A$3:$YE$3,0))</f>
        <v>0.7</v>
      </c>
      <c r="F16" s="740">
        <f>INDEX(IN_PAR!$A$3:$YE$413,MATCH($A16,IN_PAR!$A$3:$A$413,0),MATCH(F$3,IN_PAR!$A$3:$YE$3,0))</f>
        <v>0</v>
      </c>
      <c r="G16" s="740">
        <f>INDEX(IN_PAR!$A$3:$YE$413,MATCH($A16,IN_PAR!$A$3:$A$413,0),MATCH(G$3,IN_PAR!$A$3:$YE$3,0))</f>
        <v>0</v>
      </c>
    </row>
    <row r="17" spans="1:7" outlineLevel="1" x14ac:dyDescent="0.2">
      <c r="A17" s="7" t="s">
        <v>3254</v>
      </c>
      <c r="B17" s="26" t="s">
        <v>6</v>
      </c>
      <c r="C17" s="27">
        <f t="shared" ref="C17:C22" si="1">SUM(E17:G17)</f>
        <v>1002276.5192087999</v>
      </c>
      <c r="D17" s="6"/>
      <c r="E17" s="28">
        <f>INDEX('Import CO_24'!$A$4:$E$134,MATCH($A17,'Import CO_24'!$A$4:$A$134,0),MATCH(E$3,'Import CO_24'!$A$4:$E$4,0))
*(1+'Parametri MTR-3'!$I$6)
*(1+'Parametri MTR-3'!$J$6)</f>
        <v>939290.85502559994</v>
      </c>
      <c r="F17" s="28">
        <f>INDEX('Import CO_24'!$A$4:$E$134,MATCH($A17,'Import CO_24'!$A$4:$A$134,0),MATCH(F$3,'Import CO_24'!$A$4:$E$4,0))
*(1+'Parametri MTR-3'!$I$6)
*(1+'Parametri MTR-3'!$J$6)</f>
        <v>62985.664183200002</v>
      </c>
      <c r="G17" s="28">
        <f>INDEX('Import CO_24'!$A$4:$E$134,MATCH($A17,'Import CO_24'!$A$4:$A$134,0),MATCH(G$3,'Import CO_24'!$A$4:$E$4,0))
*(1+'Parametri MTR-3'!$I$6)
*(1+'Parametri MTR-3'!$J$6)</f>
        <v>0</v>
      </c>
    </row>
    <row r="18" spans="1:7" ht="11.4" outlineLevel="1" x14ac:dyDescent="0.2">
      <c r="A18" s="7" t="s">
        <v>3255</v>
      </c>
      <c r="B18" s="26" t="s">
        <v>101</v>
      </c>
      <c r="C18" s="27">
        <f t="shared" si="1"/>
        <v>843040.91620319989</v>
      </c>
      <c r="D18" s="6"/>
      <c r="E18" s="28">
        <f>INDEX('Import CO_24'!$A$4:$E$134,MATCH($A18,'Import CO_24'!$A$4:$A$134,0),MATCH(E$3,'Import CO_24'!$A$4:$E$4,0))
*(1+'Parametri MTR-3'!$I$6)
*(1+'Parametri MTR-3'!$J$6)</f>
        <v>761151.15962159995</v>
      </c>
      <c r="F18" s="28">
        <f>INDEX('Import CO_24'!$A$4:$E$134,MATCH($A18,'Import CO_24'!$A$4:$A$134,0),MATCH(F$3,'Import CO_24'!$A$4:$E$4,0))
*(1+'Parametri MTR-3'!$I$6)
*(1+'Parametri MTR-3'!$J$6)</f>
        <v>81889.756581599999</v>
      </c>
      <c r="G18" s="28">
        <f>INDEX('Import CO_24'!$A$4:$E$134,MATCH($A18,'Import CO_24'!$A$4:$A$134,0),MATCH(G$3,'Import CO_24'!$A$4:$E$4,0))
*(1+'Parametri MTR-3'!$I$6)
*(1+'Parametri MTR-3'!$J$6)</f>
        <v>0</v>
      </c>
    </row>
    <row r="19" spans="1:7" ht="11.4" outlineLevel="1" x14ac:dyDescent="0.2">
      <c r="A19" s="7" t="s">
        <v>5267</v>
      </c>
      <c r="B19" s="738" t="s">
        <v>5437</v>
      </c>
      <c r="C19" s="739">
        <f t="shared" si="1"/>
        <v>1190309.4102530398</v>
      </c>
      <c r="D19" s="6"/>
      <c r="E19" s="741">
        <f>E16*(E17+E18)</f>
        <v>1190309.4102530398</v>
      </c>
      <c r="F19" s="741">
        <f>F16*(F17+F18)</f>
        <v>0</v>
      </c>
      <c r="G19" s="741">
        <f>G16*(G17+G18)</f>
        <v>0</v>
      </c>
    </row>
    <row r="20" spans="1:7" ht="11.4" outlineLevel="1" x14ac:dyDescent="0.2">
      <c r="A20" s="85" t="s">
        <v>3030</v>
      </c>
      <c r="B20" s="703" t="s">
        <v>102</v>
      </c>
      <c r="C20" s="704">
        <f t="shared" si="1"/>
        <v>315566.36782700795</v>
      </c>
      <c r="D20" s="6"/>
      <c r="E20" s="706">
        <f>INDEX('IN_RC-T'!$A$3:$AAA$865,MATCH($A20,'IN_RC-T'!$A$3:$A$865,0),MATCH(E$3,'IN_RC-T'!$A$3:$AAA$3,0))</f>
        <v>315566.36782700795</v>
      </c>
      <c r="F20" s="706">
        <f>INDEX('IN_RC-T'!$A$3:$AAA$865,MATCH($A20,'IN_RC-T'!$A$3:$A$865,0),MATCH(F$3,'IN_RC-T'!$A$3:$AAA$3,0))</f>
        <v>0</v>
      </c>
      <c r="G20" s="706">
        <f>INDEX('IN_RC-T'!$A$3:$AAA$865,MATCH($A20,'IN_RC-T'!$A$3:$A$865,0),MATCH(G$3,'IN_RC-T'!$A$3:$AAA$3,0))</f>
        <v>0</v>
      </c>
    </row>
    <row r="21" spans="1:7" ht="11.4" outlineLevel="1" x14ac:dyDescent="0.2">
      <c r="A21" s="7" t="s">
        <v>6793</v>
      </c>
      <c r="B21" s="705" t="s">
        <v>5444</v>
      </c>
      <c r="C21" s="985">
        <f t="shared" si="1"/>
        <v>315566.36782700795</v>
      </c>
      <c r="D21" s="6"/>
      <c r="E21" s="984">
        <f>INDEX('IN_RC-T'!$A$3:$AAA$865,MATCH($A21,'IN_RC-T'!$A$3:$A$865,0),MATCH(E$3,'IN_RC-T'!$A$3:$AAA$3,0))</f>
        <v>315566.36782700795</v>
      </c>
      <c r="F21" s="984">
        <f>INDEX('IN_RC-T'!$A$3:$AAA$865,MATCH($A21,'IN_RC-T'!$A$3:$A$865,0),MATCH(F$3,'IN_RC-T'!$A$3:$AAA$3,0))</f>
        <v>0</v>
      </c>
      <c r="G21" s="984">
        <f>INDEX('IN_RC-T'!$A$3:$AAA$865,MATCH($A21,'IN_RC-T'!$A$3:$A$865,0),MATCH(G$3,'IN_RC-T'!$A$3:$AAA$3,0))</f>
        <v>0</v>
      </c>
    </row>
    <row r="22" spans="1:7" outlineLevel="1" x14ac:dyDescent="0.2">
      <c r="A22" s="85" t="s">
        <v>3256</v>
      </c>
      <c r="B22" s="21" t="s">
        <v>109</v>
      </c>
      <c r="C22" s="22">
        <f t="shared" si="1"/>
        <v>0</v>
      </c>
      <c r="D22" s="6"/>
      <c r="E22" s="23"/>
      <c r="F22" s="23"/>
      <c r="G22" s="23"/>
    </row>
    <row r="23" spans="1:7" outlineLevel="1" x14ac:dyDescent="0.2">
      <c r="B23" s="24"/>
      <c r="C23" s="25"/>
      <c r="D23" s="6"/>
      <c r="E23" s="5"/>
      <c r="F23" s="5"/>
      <c r="G23" s="5"/>
    </row>
    <row r="24" spans="1:7" s="13" customFormat="1" ht="11.4" outlineLevel="1" x14ac:dyDescent="0.3">
      <c r="A24" s="31" t="s">
        <v>3257</v>
      </c>
      <c r="B24" s="680" t="s">
        <v>5446</v>
      </c>
      <c r="C24" s="11">
        <f t="shared" ref="C24:C48" si="2">SUM(E24:G24)</f>
        <v>7666727.8733342355</v>
      </c>
      <c r="D24" s="6"/>
      <c r="E24" s="12">
        <f>E25+E30+E40+SUM(E41:E46)+E48</f>
        <v>7531568.5899443226</v>
      </c>
      <c r="F24" s="12">
        <f>F25+F30+F40+SUM(F41:F46)+F48</f>
        <v>135159.28338991333</v>
      </c>
      <c r="G24" s="12">
        <f>G25+G30+G40+SUM(G41:G46)+G48</f>
        <v>0</v>
      </c>
    </row>
    <row r="25" spans="1:7" outlineLevel="1" x14ac:dyDescent="0.2">
      <c r="A25" s="7" t="s">
        <v>3154</v>
      </c>
      <c r="B25" s="14" t="s">
        <v>11</v>
      </c>
      <c r="C25" s="15">
        <f t="shared" si="2"/>
        <v>2456567.5796376001</v>
      </c>
      <c r="D25" s="6"/>
      <c r="E25" s="16">
        <f>INDEX('Import CO_24'!$A$4:$E$134,MATCH($A25,'Import CO_24'!$A$4:$A$134,0),MATCH(E$3,'Import CO_24'!$A$4:$E$4,0))
*(1+'Parametri MTR-3'!$I$6)
*(1+'Parametri MTR-3'!$J$6)</f>
        <v>2456567.5796376001</v>
      </c>
      <c r="F25" s="16">
        <f>INDEX('Import CO_24'!$A$4:$E$134,MATCH($A25,'Import CO_24'!$A$4:$A$134,0),MATCH(F$3,'Import CO_24'!$A$4:$E$4,0))
*(1+'Parametri MTR-3'!$I$6)
*(1+'Parametri MTR-3'!$J$6)</f>
        <v>0</v>
      </c>
      <c r="G25" s="16">
        <f>INDEX('Import CO_24'!$A$4:$E$134,MATCH($A25,'Import CO_24'!$A$4:$A$134,0),MATCH(G$3,'Import CO_24'!$A$4:$E$4,0))
*(1+'Parametri MTR-3'!$I$6)
*(1+'Parametri MTR-3'!$J$6)</f>
        <v>0</v>
      </c>
    </row>
    <row r="26" spans="1:7" outlineLevel="1" x14ac:dyDescent="0.2">
      <c r="A26" s="7" t="s">
        <v>3160</v>
      </c>
      <c r="B26" s="26" t="s">
        <v>13</v>
      </c>
      <c r="C26" s="27">
        <f t="shared" si="2"/>
        <v>614409.89280000003</v>
      </c>
      <c r="D26" s="6"/>
      <c r="E26" s="28">
        <f>INDEX('Import CO_24'!$A$4:$E$134,MATCH($A26,'Import CO_24'!$A$4:$A$134,0),MATCH(E$3,'Import CO_24'!$A$4:$E$4,0))
*(1+'Parametri MTR-3'!$I$6)
*(1+'Parametri MTR-3'!$J$6)</f>
        <v>614409.89280000003</v>
      </c>
      <c r="F26" s="28">
        <f>INDEX('Import CO_24'!$A$4:$E$134,MATCH($A26,'Import CO_24'!$A$4:$A$134,0),MATCH(F$3,'Import CO_24'!$A$4:$E$4,0))
*(1+'Parametri MTR-3'!$I$6)
*(1+'Parametri MTR-3'!$J$6)</f>
        <v>0</v>
      </c>
      <c r="G26" s="28">
        <f>INDEX('Import CO_24'!$A$4:$E$134,MATCH($A26,'Import CO_24'!$A$4:$A$134,0),MATCH(G$3,'Import CO_24'!$A$4:$E$4,0))
*(1+'Parametri MTR-3'!$I$6)
*(1+'Parametri MTR-3'!$J$6)</f>
        <v>0</v>
      </c>
    </row>
    <row r="27" spans="1:7" outlineLevel="1" x14ac:dyDescent="0.2">
      <c r="A27" s="7" t="s">
        <v>3166</v>
      </c>
      <c r="B27" s="26" t="s">
        <v>14</v>
      </c>
      <c r="C27" s="27">
        <f t="shared" si="2"/>
        <v>1479766.7333064</v>
      </c>
      <c r="D27" s="6"/>
      <c r="E27" s="28">
        <f>INDEX('Import CO_24'!$A$4:$E$134,MATCH($A27,'Import CO_24'!$A$4:$A$134,0),MATCH(E$3,'Import CO_24'!$A$4:$E$4,0))
*(1+'Parametri MTR-3'!$I$6)
*(1+'Parametri MTR-3'!$J$6)</f>
        <v>1427110.4677104</v>
      </c>
      <c r="F27" s="28">
        <f>INDEX('Import CO_24'!$A$4:$E$134,MATCH($A27,'Import CO_24'!$A$4:$A$134,0),MATCH(F$3,'Import CO_24'!$A$4:$E$4,0))
*(1+'Parametri MTR-3'!$I$6)
*(1+'Parametri MTR-3'!$J$6)</f>
        <v>52656.265595999997</v>
      </c>
      <c r="G27" s="28">
        <f>INDEX('Import CO_24'!$A$4:$E$134,MATCH($A27,'Import CO_24'!$A$4:$A$134,0),MATCH(G$3,'Import CO_24'!$A$4:$E$4,0))
*(1+'Parametri MTR-3'!$I$6)
*(1+'Parametri MTR-3'!$J$6)</f>
        <v>0</v>
      </c>
    </row>
    <row r="28" spans="1:7" outlineLevel="1" x14ac:dyDescent="0.2">
      <c r="A28" s="7" t="s">
        <v>3172</v>
      </c>
      <c r="B28" s="26" t="s">
        <v>15</v>
      </c>
      <c r="C28" s="27">
        <f t="shared" si="2"/>
        <v>0</v>
      </c>
      <c r="D28" s="6"/>
      <c r="E28" s="28">
        <f>INDEX('Import CO_24'!$A$4:$E$134,MATCH($A28,'Import CO_24'!$A$4:$A$134,0),MATCH(E$3,'Import CO_24'!$A$4:$E$4,0))
*(1+'Parametri MTR-3'!$I$6)
*(1+'Parametri MTR-3'!$J$6)</f>
        <v>0</v>
      </c>
      <c r="F28" s="28">
        <f>INDEX('Import CO_24'!$A$4:$E$134,MATCH($A28,'Import CO_24'!$A$4:$A$134,0),MATCH(F$3,'Import CO_24'!$A$4:$E$4,0))
*(1+'Parametri MTR-3'!$I$6)
*(1+'Parametri MTR-3'!$J$6)</f>
        <v>0</v>
      </c>
      <c r="G28" s="28">
        <f>INDEX('Import CO_24'!$A$4:$E$134,MATCH($A28,'Import CO_24'!$A$4:$A$134,0),MATCH(G$3,'Import CO_24'!$A$4:$E$4,0))
*(1+'Parametri MTR-3'!$I$6)
*(1+'Parametri MTR-3'!$J$6)</f>
        <v>0</v>
      </c>
    </row>
    <row r="29" spans="1:7" ht="11.4" outlineLevel="1" x14ac:dyDescent="0.2">
      <c r="A29" s="7" t="s">
        <v>3178</v>
      </c>
      <c r="B29" s="52" t="s">
        <v>16</v>
      </c>
      <c r="C29" s="53">
        <f t="shared" si="2"/>
        <v>0</v>
      </c>
      <c r="D29" s="6"/>
      <c r="E29" s="54">
        <f>INDEX('Import CO_24'!$A$4:$E$134,MATCH($A29,'Import CO_24'!$A$4:$A$134,0),MATCH(E$3,'Import CO_24'!$A$4:$E$4,0))
*(1+'Parametri MTR-3'!$I$6)
*(1+'Parametri MTR-3'!$J$6)</f>
        <v>0</v>
      </c>
      <c r="F29" s="54">
        <f>INDEX('Import CO_24'!$A$4:$E$134,MATCH($A29,'Import CO_24'!$A$4:$A$134,0),MATCH(F$3,'Import CO_24'!$A$4:$E$4,0))
*(1+'Parametri MTR-3'!$I$6)
*(1+'Parametri MTR-3'!$J$6)</f>
        <v>0</v>
      </c>
      <c r="G29" s="54">
        <f>INDEX('Import CO_24'!$A$4:$E$134,MATCH($A29,'Import CO_24'!$A$4:$A$134,0),MATCH(G$3,'Import CO_24'!$A$4:$E$4,0))
*(1+'Parametri MTR-3'!$I$6)
*(1+'Parametri MTR-3'!$J$6)</f>
        <v>0</v>
      </c>
    </row>
    <row r="30" spans="1:7" outlineLevel="1" x14ac:dyDescent="0.2">
      <c r="A30" s="7" t="s">
        <v>3258</v>
      </c>
      <c r="B30" s="684" t="s">
        <v>12</v>
      </c>
      <c r="C30" s="685">
        <f t="shared" si="2"/>
        <v>2094176.6261064</v>
      </c>
      <c r="D30" s="6"/>
      <c r="E30" s="686">
        <f>SUM(E26:E29)</f>
        <v>2041520.3605104</v>
      </c>
      <c r="F30" s="686">
        <f>SUM(F26:F29)</f>
        <v>52656.265595999997</v>
      </c>
      <c r="G30" s="686">
        <f>SUM(G26:G29)</f>
        <v>0</v>
      </c>
    </row>
    <row r="31" spans="1:7" outlineLevel="1" x14ac:dyDescent="0.2">
      <c r="A31" s="85" t="s">
        <v>3184</v>
      </c>
      <c r="B31" s="26" t="s">
        <v>18</v>
      </c>
      <c r="C31" s="27">
        <f t="shared" si="2"/>
        <v>823551.54593182099</v>
      </c>
      <c r="D31" s="6"/>
      <c r="E31" s="28">
        <f>INDEX(CK_GEST!$A$3:$AAA$158,MATCH($A31,CK_GEST!$A$3:$A$158,0),MATCH(E$3,CK_GEST!$A$3:$AAA$3,0))</f>
        <v>776842.25678022834</v>
      </c>
      <c r="F31" s="28">
        <f>INDEX(CK_GEST!$A$3:$AAA$158,MATCH($A31,CK_GEST!$A$3:$A$158,0),MATCH(F$3,CK_GEST!$A$3:$AAA$3,0))</f>
        <v>46709.289151592602</v>
      </c>
      <c r="G31" s="28">
        <f>INDEX(CK_GEST!$A$3:$AAA$158,MATCH($A31,CK_GEST!$A$3:$A$158,0),MATCH(G$3,CK_GEST!$A$3:$AAA$3,0))</f>
        <v>0</v>
      </c>
    </row>
    <row r="32" spans="1:7" outlineLevel="1" x14ac:dyDescent="0.2">
      <c r="A32" s="7" t="s">
        <v>3202</v>
      </c>
      <c r="B32" s="687" t="s">
        <v>19</v>
      </c>
      <c r="C32" s="688">
        <f t="shared" si="2"/>
        <v>928313.04456000007</v>
      </c>
      <c r="D32" s="6"/>
      <c r="E32" s="689">
        <f>SUM(E33:E36)</f>
        <v>928313.04456000007</v>
      </c>
      <c r="F32" s="689">
        <f>SUM(F33:F36)</f>
        <v>0</v>
      </c>
      <c r="G32" s="689">
        <f>SUM(G33:G36)</f>
        <v>0</v>
      </c>
    </row>
    <row r="33" spans="1:7" outlineLevel="1" x14ac:dyDescent="0.2">
      <c r="A33" s="85" t="s">
        <v>3190</v>
      </c>
      <c r="B33" s="690" t="s">
        <v>20</v>
      </c>
      <c r="C33" s="691">
        <f t="shared" si="2"/>
        <v>0</v>
      </c>
      <c r="D33" s="6"/>
      <c r="E33" s="696">
        <f>INDEX('Import CO_24'!$A$4:$E$134,MATCH($A33,'Import CO_24'!$A$4:$A$134,0),MATCH(E$3,'Import CO_24'!$A$4:$E$4,0))
*(1+'Parametri MTR-3'!$I$6)
*(1+'Parametri MTR-3'!$J$6)</f>
        <v>0</v>
      </c>
      <c r="F33" s="696">
        <f>INDEX('Import CO_24'!$A$4:$E$134,MATCH($A33,'Import CO_24'!$A$4:$A$134,0),MATCH(F$3,'Import CO_24'!$A$4:$E$4,0))
*(1+'Parametri MTR-3'!$I$6)
*(1+'Parametri MTR-3'!$J$6)</f>
        <v>0</v>
      </c>
      <c r="G33" s="696">
        <f>INDEX('Import CO_24'!$A$4:$E$134,MATCH($A33,'Import CO_24'!$A$4:$A$134,0),MATCH(G$3,'Import CO_24'!$A$4:$E$4,0))
*(1+'Parametri MTR-3'!$I$6)
*(1+'Parametri MTR-3'!$J$6)</f>
        <v>0</v>
      </c>
    </row>
    <row r="34" spans="1:7" outlineLevel="1" x14ac:dyDescent="0.2">
      <c r="A34" s="85" t="s">
        <v>3193</v>
      </c>
      <c r="B34" s="692" t="s">
        <v>21</v>
      </c>
      <c r="C34" s="693">
        <f t="shared" si="2"/>
        <v>928313.04456000007</v>
      </c>
      <c r="D34" s="6"/>
      <c r="E34" s="697">
        <f>INDEX('Import CO_24'!$A$4:$E$134,MATCH($A34,'Import CO_24'!$A$4:$A$134,0),MATCH(E$3,'Import CO_24'!$A$4:$E$4,0))
*(1+'Parametri MTR-3'!$I$6)
*(1+'Parametri MTR-3'!$J$6)</f>
        <v>928313.04456000007</v>
      </c>
      <c r="F34" s="697">
        <f>INDEX('Import CO_24'!$A$4:$E$134,MATCH($A34,'Import CO_24'!$A$4:$A$134,0),MATCH(F$3,'Import CO_24'!$A$4:$E$4,0))
*(1+'Parametri MTR-3'!$I$6)
*(1+'Parametri MTR-3'!$J$6)</f>
        <v>0</v>
      </c>
      <c r="G34" s="697">
        <f>INDEX('Import CO_24'!$A$4:$E$134,MATCH($A34,'Import CO_24'!$A$4:$A$134,0),MATCH(G$3,'Import CO_24'!$A$4:$E$4,0))
*(1+'Parametri MTR-3'!$I$6)
*(1+'Parametri MTR-3'!$J$6)</f>
        <v>0</v>
      </c>
    </row>
    <row r="35" spans="1:7" outlineLevel="1" x14ac:dyDescent="0.2">
      <c r="A35" s="85" t="s">
        <v>3196</v>
      </c>
      <c r="B35" s="692" t="s">
        <v>22</v>
      </c>
      <c r="C35" s="693">
        <f t="shared" si="2"/>
        <v>0</v>
      </c>
      <c r="D35" s="6"/>
      <c r="E35" s="697">
        <f>INDEX('Import CO_24'!$A$4:$E$134,MATCH($A35,'Import CO_24'!$A$4:$A$134,0),MATCH(E$3,'Import CO_24'!$A$4:$E$4,0))
*(1+'Parametri MTR-3'!$I$6)
*(1+'Parametri MTR-3'!$J$6)</f>
        <v>0</v>
      </c>
      <c r="F35" s="697">
        <f>INDEX('Import CO_24'!$A$4:$E$134,MATCH($A35,'Import CO_24'!$A$4:$A$134,0),MATCH(F$3,'Import CO_24'!$A$4:$E$4,0))
*(1+'Parametri MTR-3'!$I$6)
*(1+'Parametri MTR-3'!$J$6)</f>
        <v>0</v>
      </c>
      <c r="G35" s="697">
        <f>INDEX('Import CO_24'!$A$4:$E$134,MATCH($A35,'Import CO_24'!$A$4:$A$134,0),MATCH(G$3,'Import CO_24'!$A$4:$E$4,0))
*(1+'Parametri MTR-3'!$I$6)
*(1+'Parametri MTR-3'!$J$6)</f>
        <v>0</v>
      </c>
    </row>
    <row r="36" spans="1:7" outlineLevel="1" x14ac:dyDescent="0.2">
      <c r="A36" s="85" t="s">
        <v>3199</v>
      </c>
      <c r="B36" s="694" t="s">
        <v>23</v>
      </c>
      <c r="C36" s="695">
        <f t="shared" si="2"/>
        <v>0</v>
      </c>
      <c r="D36" s="6"/>
      <c r="E36" s="698">
        <f>INDEX('Import CO_24'!$A$4:$E$134,MATCH($A36,'Import CO_24'!$A$4:$A$134,0),MATCH(E$3,'Import CO_24'!$A$4:$E$4,0))
*(1+'Parametri MTR-3'!$I$6)
*(1+'Parametri MTR-3'!$J$6)</f>
        <v>0</v>
      </c>
      <c r="F36" s="698">
        <f>INDEX('Import CO_24'!$A$4:$E$134,MATCH($A36,'Import CO_24'!$A$4:$A$134,0),MATCH(F$3,'Import CO_24'!$A$4:$E$4,0))
*(1+'Parametri MTR-3'!$I$6)
*(1+'Parametri MTR-3'!$J$6)</f>
        <v>0</v>
      </c>
      <c r="G36" s="698">
        <f>INDEX('Import CO_24'!$A$4:$E$134,MATCH($A36,'Import CO_24'!$A$4:$A$134,0),MATCH(G$3,'Import CO_24'!$A$4:$E$4,0))
*(1+'Parametri MTR-3'!$I$6)
*(1+'Parametri MTR-3'!$J$6)</f>
        <v>0</v>
      </c>
    </row>
    <row r="37" spans="1:7" outlineLevel="1" x14ac:dyDescent="0.2">
      <c r="A37" s="85" t="s">
        <v>3220</v>
      </c>
      <c r="B37" s="26" t="s">
        <v>24</v>
      </c>
      <c r="C37" s="27">
        <f t="shared" si="2"/>
        <v>600479.58791425324</v>
      </c>
      <c r="D37" s="6"/>
      <c r="E37" s="28">
        <f>INDEX(CK_GEST!$A$3:$AAA$158,MATCH($A37,CK_GEST!$A$3:$A$158,0),MATCH(E$3,CK_GEST!$A$3:$AAA$3,0))</f>
        <v>564685.85927193251</v>
      </c>
      <c r="F37" s="28">
        <f>INDEX(CK_GEST!$A$3:$AAA$158,MATCH($A37,CK_GEST!$A$3:$A$158,0),MATCH(F$3,CK_GEST!$A$3:$AAA$3,0))</f>
        <v>35793.728642320726</v>
      </c>
      <c r="G37" s="28">
        <f>INDEX(CK_GEST!$A$3:$AAA$158,MATCH($A37,CK_GEST!$A$3:$A$158,0),MATCH(G$3,CK_GEST!$A$3:$AAA$3,0))</f>
        <v>0</v>
      </c>
    </row>
    <row r="38" spans="1:7" ht="11.4" outlineLevel="1" x14ac:dyDescent="0.2">
      <c r="A38" s="85" t="s">
        <v>3226</v>
      </c>
      <c r="B38" s="52" t="s">
        <v>25</v>
      </c>
      <c r="C38" s="53">
        <f t="shared" si="2"/>
        <v>4787.5776740000001</v>
      </c>
      <c r="D38" s="6"/>
      <c r="E38" s="54">
        <f>INDEX(CK_GEST!$A$3:$AAA$158,MATCH($A38,CK_GEST!$A$3:$A$158,0),MATCH(E$3,CK_GEST!$A$3:$AAA$3,0))</f>
        <v>4787.5776740000001</v>
      </c>
      <c r="F38" s="54">
        <f>INDEX(CK_GEST!$A$3:$AAA$158,MATCH($A38,CK_GEST!$A$3:$A$158,0),MATCH(F$3,CK_GEST!$A$3:$AAA$3,0))</f>
        <v>0</v>
      </c>
      <c r="G38" s="54">
        <f>INDEX(CK_GEST!$A$3:$AAA$158,MATCH($A38,CK_GEST!$A$3:$A$158,0),MATCH(G$3,CK_GEST!$A$3:$AAA$3,0))</f>
        <v>0</v>
      </c>
    </row>
    <row r="39" spans="1:7" ht="11.4" outlineLevel="1" x14ac:dyDescent="0.2">
      <c r="A39" s="85" t="s">
        <v>3232</v>
      </c>
      <c r="B39" s="52" t="s">
        <v>5474</v>
      </c>
      <c r="C39" s="53">
        <f t="shared" si="2"/>
        <v>0</v>
      </c>
      <c r="D39" s="6"/>
      <c r="E39" s="54">
        <f>INDEX(CK_GEST!$A$3:$AAA$158,MATCH($A39,CK_GEST!$A$3:$A$158,0),MATCH(E$3,CK_GEST!$A$3:$AAA$3,0))</f>
        <v>0</v>
      </c>
      <c r="F39" s="54">
        <f>INDEX(CK_GEST!$A$3:$AAA$158,MATCH($A39,CK_GEST!$A$3:$A$158,0),MATCH(F$3,CK_GEST!$A$3:$AAA$3,0))</f>
        <v>0</v>
      </c>
      <c r="G39" s="54">
        <f>INDEX(CK_GEST!$A$3:$AAA$158,MATCH($A39,CK_GEST!$A$3:$A$158,0),MATCH(G$3,CK_GEST!$A$3:$AAA$3,0))</f>
        <v>0</v>
      </c>
    </row>
    <row r="40" spans="1:7" outlineLevel="1" x14ac:dyDescent="0.2">
      <c r="A40" s="7" t="s">
        <v>3259</v>
      </c>
      <c r="B40" s="684" t="s">
        <v>17</v>
      </c>
      <c r="C40" s="685">
        <f t="shared" si="2"/>
        <v>2357131.7560800742</v>
      </c>
      <c r="D40" s="6"/>
      <c r="E40" s="686">
        <f>E31+E32+E37+E38+E39</f>
        <v>2274628.7382861609</v>
      </c>
      <c r="F40" s="686">
        <f>F31+F32+F37+F38+F39</f>
        <v>82503.017793913328</v>
      </c>
      <c r="G40" s="686">
        <f>G31+G32+G37+G38+G39</f>
        <v>0</v>
      </c>
    </row>
    <row r="41" spans="1:7" ht="11.4" outlineLevel="1" x14ac:dyDescent="0.2">
      <c r="A41" s="85" t="s">
        <v>1047</v>
      </c>
      <c r="B41" s="14" t="s">
        <v>5447</v>
      </c>
      <c r="C41" s="17">
        <f t="shared" si="2"/>
        <v>0</v>
      </c>
      <c r="D41" s="6"/>
      <c r="E41" s="16">
        <f>INDEX(IN_COexp!$A$3:$AAA$269,MATCH($A41,IN_COexp!$A$3:$A$269,0),MATCH(E$3,IN_COexp!$A$3:$AAA$3,0))</f>
        <v>0</v>
      </c>
      <c r="F41" s="16">
        <f>INDEX(IN_COexp!$A$3:$AAA$269,MATCH($A41,IN_COexp!$A$3:$A$269,0),MATCH(F$3,IN_COexp!$A$3:$AAA$3,0))</f>
        <v>0</v>
      </c>
      <c r="G41" s="16">
        <f>INDEX(IN_COexp!$A$3:$AAA$269,MATCH($A41,IN_COexp!$A$3:$A$269,0),MATCH(G$3,IN_COexp!$A$3:$AAA$3,0))</f>
        <v>0</v>
      </c>
    </row>
    <row r="42" spans="1:7" ht="11.4" outlineLevel="1" x14ac:dyDescent="0.2">
      <c r="A42" s="85" t="s">
        <v>1056</v>
      </c>
      <c r="B42" s="14" t="s">
        <v>5448</v>
      </c>
      <c r="C42" s="17">
        <f t="shared" si="2"/>
        <v>0</v>
      </c>
      <c r="D42" s="6"/>
      <c r="E42" s="16">
        <f>INDEX(IN_COexp!$A$3:$AAA$269,MATCH($A42,IN_COexp!$A$3:$A$269,0),MATCH(E$3,IN_COexp!$A$3:$AAA$3,0))</f>
        <v>0</v>
      </c>
      <c r="F42" s="16">
        <f>INDEX(IN_COexp!$A$3:$AAA$269,MATCH($A42,IN_COexp!$A$3:$A$269,0),MATCH(F$3,IN_COexp!$A$3:$AAA$3,0))</f>
        <v>0</v>
      </c>
      <c r="G42" s="16">
        <f>INDEX(IN_COexp!$A$3:$AAA$269,MATCH($A42,IN_COexp!$A$3:$A$269,0),MATCH(G$3,IN_COexp!$A$3:$AAA$3,0))</f>
        <v>0</v>
      </c>
    </row>
    <row r="43" spans="1:7" ht="11.4" outlineLevel="1" x14ac:dyDescent="0.2">
      <c r="A43" s="85" t="s">
        <v>2213</v>
      </c>
      <c r="B43" s="14" t="s">
        <v>6410</v>
      </c>
      <c r="C43" s="17">
        <f t="shared" si="2"/>
        <v>534862</v>
      </c>
      <c r="D43" s="6"/>
      <c r="E43" s="18">
        <f>INDEX(IN_COexp!$A$3:$AAA$269,MATCH($A43,IN_COexp!$A$3:$A$269,0),MATCH(E$3,IN_COexp!$A$3:$AAA$3,0))</f>
        <v>534862</v>
      </c>
      <c r="F43" s="18">
        <f>INDEX(IN_COexp!$A$3:$AAA$269,MATCH($A43,IN_COexp!$A$3:$A$269,0),MATCH(F$3,IN_COexp!$A$3:$AAA$3,0))</f>
        <v>0</v>
      </c>
      <c r="G43" s="18">
        <f>INDEX(IN_COexp!$A$3:$AAA$269,MATCH($A43,IN_COexp!$A$3:$A$269,0),MATCH(G$3,IN_COexp!$A$3:$AAA$3,0))</f>
        <v>0</v>
      </c>
    </row>
    <row r="44" spans="1:7" ht="11.4" outlineLevel="1" x14ac:dyDescent="0.2">
      <c r="A44" s="85" t="s">
        <v>2285</v>
      </c>
      <c r="B44" s="14" t="s">
        <v>6411</v>
      </c>
      <c r="C44" s="17">
        <f t="shared" si="2"/>
        <v>0</v>
      </c>
      <c r="D44" s="6"/>
      <c r="E44" s="18">
        <f>INDEX(IN_COexp!$A$3:$AAA$269,MATCH($A44,IN_COexp!$A$3:$A$269,0),MATCH(E$3,IN_COexp!$A$3:$AAA$3,0))</f>
        <v>0</v>
      </c>
      <c r="F44" s="18">
        <f>INDEX(IN_COexp!$A$3:$AAA$269,MATCH($A44,IN_COexp!$A$3:$A$269,0),MATCH(F$3,IN_COexp!$A$3:$AAA$3,0))</f>
        <v>0</v>
      </c>
      <c r="G44" s="18">
        <f>INDEX(IN_COexp!$A$3:$AAA$269,MATCH($A44,IN_COexp!$A$3:$A$269,0),MATCH(G$3,IN_COexp!$A$3:$AAA$3,0))</f>
        <v>0</v>
      </c>
    </row>
    <row r="45" spans="1:7" ht="11.4" outlineLevel="1" x14ac:dyDescent="0.2">
      <c r="A45" s="85" t="s">
        <v>1065</v>
      </c>
      <c r="B45" s="14" t="s">
        <v>5449</v>
      </c>
      <c r="C45" s="17">
        <f t="shared" si="2"/>
        <v>0</v>
      </c>
      <c r="D45" s="6"/>
      <c r="E45" s="16">
        <f>INDEX(IN_COexp!$A$3:$AAA$269,MATCH($A45,IN_COexp!$A$3:$A$269,0),MATCH(E$3,IN_COexp!$A$3:$AAA$3,0))</f>
        <v>0</v>
      </c>
      <c r="F45" s="16">
        <f>INDEX(IN_COexp!$A$3:$AAA$269,MATCH($A45,IN_COexp!$A$3:$A$269,0),MATCH(F$3,IN_COexp!$A$3:$AAA$3,0))</f>
        <v>0</v>
      </c>
      <c r="G45" s="16">
        <f>INDEX(IN_COexp!$A$3:$AAA$269,MATCH($A45,IN_COexp!$A$3:$A$269,0),MATCH(G$3,IN_COexp!$A$3:$AAA$3,0))</f>
        <v>0</v>
      </c>
    </row>
    <row r="46" spans="1:7" ht="11.4" outlineLevel="1" x14ac:dyDescent="0.2">
      <c r="A46" s="85" t="s">
        <v>3031</v>
      </c>
      <c r="B46" s="703" t="s">
        <v>26</v>
      </c>
      <c r="C46" s="704">
        <f t="shared" si="2"/>
        <v>223989.91151016203</v>
      </c>
      <c r="D46" s="6"/>
      <c r="E46" s="706">
        <f>INDEX('IN_RC-T'!$A$3:$AAA$865,MATCH($A46,'IN_RC-T'!$A$3:$A$865,0),MATCH(E$3,'IN_RC-T'!$A$3:$AAA$3,0))</f>
        <v>223989.91151016203</v>
      </c>
      <c r="F46" s="706">
        <f>INDEX('IN_RC-T'!$A$3:$AAA$865,MATCH($A46,'IN_RC-T'!$A$3:$A$865,0),MATCH(F$3,'IN_RC-T'!$A$3:$AAA$3,0))</f>
        <v>0</v>
      </c>
      <c r="G46" s="706">
        <f>INDEX('IN_RC-T'!$A$3:$AAA$865,MATCH($A46,'IN_RC-T'!$A$3:$A$865,0),MATCH(G$3,'IN_RC-T'!$A$3:$AAA$3,0))</f>
        <v>0</v>
      </c>
    </row>
    <row r="47" spans="1:7" ht="11.4" outlineLevel="1" x14ac:dyDescent="0.2">
      <c r="A47" s="7" t="s">
        <v>6795</v>
      </c>
      <c r="B47" s="705" t="s">
        <v>5450</v>
      </c>
      <c r="C47" s="985">
        <f t="shared" si="2"/>
        <v>224284.56583160121</v>
      </c>
      <c r="D47" s="6"/>
      <c r="E47" s="984">
        <f>INDEX('IN_RC-T'!$A$3:$AAA$865,MATCH($A47,'IN_RC-T'!$A$3:$A$865,0),MATCH(E$3,'IN_RC-T'!$A$3:$AAA$3,0))</f>
        <v>224284.56583160121</v>
      </c>
      <c r="F47" s="984">
        <f>INDEX('IN_RC-T'!$A$3:$AAA$865,MATCH($A47,'IN_RC-T'!$A$3:$A$865,0),MATCH(F$3,'IN_RC-T'!$A$3:$AAA$3,0))</f>
        <v>0</v>
      </c>
      <c r="G47" s="984">
        <f>INDEX('IN_RC-T'!$A$3:$AAA$865,MATCH($A47,'IN_RC-T'!$A$3:$A$865,0),MATCH(G$3,'IN_RC-T'!$A$3:$AAA$3,0))</f>
        <v>0</v>
      </c>
    </row>
    <row r="48" spans="1:7" outlineLevel="1" x14ac:dyDescent="0.2">
      <c r="A48" s="85" t="s">
        <v>3260</v>
      </c>
      <c r="B48" s="21" t="s">
        <v>10</v>
      </c>
      <c r="C48" s="22">
        <f t="shared" si="2"/>
        <v>0</v>
      </c>
      <c r="D48" s="6"/>
      <c r="E48" s="23"/>
      <c r="F48" s="23"/>
      <c r="G48" s="23"/>
    </row>
    <row r="49" spans="1:7" x14ac:dyDescent="0.2">
      <c r="C49" s="25"/>
      <c r="D49" s="6"/>
      <c r="E49" s="5"/>
      <c r="F49" s="5"/>
      <c r="G49" s="5"/>
    </row>
    <row r="50" spans="1:7" s="13" customFormat="1" ht="19.5" customHeight="1" x14ac:dyDescent="0.3">
      <c r="A50" s="31" t="s">
        <v>3261</v>
      </c>
      <c r="B50" s="680" t="s">
        <v>5451</v>
      </c>
      <c r="C50" s="11">
        <f>SUM(E50:G50)</f>
        <v>16702352.609340202</v>
      </c>
      <c r="D50" s="6"/>
      <c r="E50" s="12">
        <f t="shared" ref="E50" si="3">E5+E24</f>
        <v>15445901.47535269</v>
      </c>
      <c r="F50" s="12">
        <f t="shared" ref="F50:G50" si="4">F5+F24</f>
        <v>1256451.1339875134</v>
      </c>
      <c r="G50" s="12">
        <f t="shared" si="4"/>
        <v>0</v>
      </c>
    </row>
    <row r="51" spans="1:7" x14ac:dyDescent="0.2">
      <c r="B51" s="24"/>
      <c r="C51" s="25"/>
      <c r="D51" s="6"/>
      <c r="E51" s="5"/>
      <c r="F51" s="5"/>
      <c r="G51" s="5"/>
    </row>
    <row r="52" spans="1:7" x14ac:dyDescent="0.2">
      <c r="A52" s="85" t="s">
        <v>3645</v>
      </c>
      <c r="B52" s="682" t="s">
        <v>5453</v>
      </c>
      <c r="C52" s="213">
        <f>SUM(E52:G52)</f>
        <v>0</v>
      </c>
      <c r="D52" s="6"/>
      <c r="E52" s="215">
        <f>INDEX('IN_Detr 4.5 del_397'!$A$3:$AAA$1192,MATCH($A52,'IN_Detr 4.5 del_397'!$A$3:$A$1192,0),MATCH(E$3,'IN_Detr 4.5 del_397'!$A$3:$AAA$3,0))</f>
        <v>0</v>
      </c>
      <c r="F52" s="215">
        <f>INDEX('IN_Detr 4.5 del_397'!$A$3:$AAA$1192,MATCH($A52,'IN_Detr 4.5 del_397'!$A$3:$A$1192,0),MATCH(F$3,'IN_Detr 4.5 del_397'!$A$3:$AAA$3,0))</f>
        <v>0</v>
      </c>
      <c r="G52" s="215">
        <f>INDEX('IN_Detr 4.5 del_397'!$A$3:$AAA$1192,MATCH($A52,'IN_Detr 4.5 del_397'!$A$3:$A$1192,0),MATCH(G$3,'IN_Detr 4.5 del_397'!$A$3:$AAA$3,0))</f>
        <v>0</v>
      </c>
    </row>
    <row r="53" spans="1:7" x14ac:dyDescent="0.2">
      <c r="A53" s="85" t="s">
        <v>3642</v>
      </c>
      <c r="B53" s="683" t="s">
        <v>5454</v>
      </c>
      <c r="C53" s="214">
        <f>SUM(E53:G53)</f>
        <v>0</v>
      </c>
      <c r="D53" s="6"/>
      <c r="E53" s="216">
        <f>INDEX('IN_Detr 4.5 del_397'!$A$3:$AAA$1192,MATCH($A53,'IN_Detr 4.5 del_397'!$A$3:$A$1192,0),MATCH(E$3,'IN_Detr 4.5 del_397'!$A$3:$AAA$3,0))</f>
        <v>0</v>
      </c>
      <c r="F53" s="216">
        <f>INDEX('IN_Detr 4.5 del_397'!$A$3:$AAA$1192,MATCH($A53,'IN_Detr 4.5 del_397'!$A$3:$A$1192,0),MATCH(F$3,'IN_Detr 4.5 del_397'!$A$3:$AAA$3,0))</f>
        <v>0</v>
      </c>
      <c r="G53" s="216">
        <f>INDEX('IN_Detr 4.5 del_397'!$A$3:$AAA$1192,MATCH($A53,'IN_Detr 4.5 del_397'!$A$3:$A$1192,0),MATCH(G$3,'IN_Detr 4.5 del_397'!$A$3:$AAA$3,0))</f>
        <v>0</v>
      </c>
    </row>
    <row r="54" spans="1:7" ht="19.5" customHeight="1" x14ac:dyDescent="0.2">
      <c r="A54" s="85" t="s">
        <v>5452</v>
      </c>
      <c r="B54" s="681" t="s">
        <v>5455</v>
      </c>
      <c r="C54" s="131">
        <f>SUM(E54:G54)</f>
        <v>0</v>
      </c>
      <c r="D54" s="130"/>
      <c r="E54" s="132">
        <f>E52+E53</f>
        <v>0</v>
      </c>
      <c r="F54" s="132">
        <f>F52+F53</f>
        <v>0</v>
      </c>
      <c r="G54" s="132">
        <f>G52+G53</f>
        <v>0</v>
      </c>
    </row>
    <row r="56" spans="1:7" ht="11.4" x14ac:dyDescent="0.2">
      <c r="A56" s="31" t="s">
        <v>3262</v>
      </c>
      <c r="B56" s="680" t="s">
        <v>5471</v>
      </c>
      <c r="C56" s="11">
        <f t="shared" ref="C56:C66" si="5">SUM(E56:G56)</f>
        <v>9035624.7360059675</v>
      </c>
      <c r="D56" s="6"/>
      <c r="E56" s="12">
        <f>SUM(E57:E66)-E70+E71+E73</f>
        <v>7914332.885408367</v>
      </c>
      <c r="F56" s="12">
        <f>SUM(F57:F66)-F70+F71+F73</f>
        <v>1121291.8505976</v>
      </c>
      <c r="G56" s="12">
        <f>SUM(G57:G66)-G70+G71+G73</f>
        <v>0</v>
      </c>
    </row>
    <row r="57" spans="1:7" outlineLevel="1" x14ac:dyDescent="0.2">
      <c r="A57" s="7" t="s">
        <v>3113</v>
      </c>
      <c r="B57" s="14" t="s">
        <v>1</v>
      </c>
      <c r="C57" s="15">
        <f t="shared" si="5"/>
        <v>1299267.3991968001</v>
      </c>
      <c r="D57" s="6"/>
      <c r="E57" s="16">
        <f>INDEX('IN_Detr 4.5 del_397'!$A$3:$AAA$1192,MATCH($A57,'IN_Detr 4.5 del_397'!$A$3:$A$1192,0),MATCH(E$3,'IN_Detr 4.5 del_397'!$A$3:$AAA$3,0))</f>
        <v>1177705.7897880001</v>
      </c>
      <c r="F57" s="16">
        <f>INDEX('IN_Detr 4.5 del_397'!$A$3:$AAA$1192,MATCH($A57,'IN_Detr 4.5 del_397'!$A$3:$A$1192,0),MATCH(F$3,'IN_Detr 4.5 del_397'!$A$3:$AAA$3,0))</f>
        <v>121561.6094088</v>
      </c>
      <c r="G57" s="16">
        <f>INDEX('IN_Detr 4.5 del_397'!$A$3:$AAA$1192,MATCH($A57,'IN_Detr 4.5 del_397'!$A$3:$A$1192,0),MATCH(G$3,'IN_Detr 4.5 del_397'!$A$3:$AAA$3,0))</f>
        <v>0</v>
      </c>
    </row>
    <row r="58" spans="1:7" outlineLevel="1" x14ac:dyDescent="0.2">
      <c r="A58" s="7" t="s">
        <v>3119</v>
      </c>
      <c r="B58" s="14" t="s">
        <v>3</v>
      </c>
      <c r="C58" s="15">
        <f t="shared" si="5"/>
        <v>189.21991440000002</v>
      </c>
      <c r="D58" s="6"/>
      <c r="E58" s="16">
        <f>INDEX('IN_Detr 4.5 del_397'!$A$3:$AAA$1192,MATCH($A58,'IN_Detr 4.5 del_397'!$A$3:$A$1192,0),MATCH(E$3,'IN_Detr 4.5 del_397'!$A$3:$AAA$3,0))</f>
        <v>0</v>
      </c>
      <c r="F58" s="16">
        <f>INDEX('IN_Detr 4.5 del_397'!$A$3:$AAA$1192,MATCH($A58,'IN_Detr 4.5 del_397'!$A$3:$A$1192,0),MATCH(F$3,'IN_Detr 4.5 del_397'!$A$3:$AAA$3,0))</f>
        <v>189.21991440000002</v>
      </c>
      <c r="G58" s="16">
        <f>INDEX('IN_Detr 4.5 del_397'!$A$3:$AAA$1192,MATCH($A58,'IN_Detr 4.5 del_397'!$A$3:$A$1192,0),MATCH(G$3,'IN_Detr 4.5 del_397'!$A$3:$AAA$3,0))</f>
        <v>0</v>
      </c>
    </row>
    <row r="59" spans="1:7" outlineLevel="1" x14ac:dyDescent="0.2">
      <c r="A59" s="7" t="s">
        <v>3125</v>
      </c>
      <c r="B59" s="14" t="s">
        <v>4</v>
      </c>
      <c r="C59" s="15">
        <f t="shared" si="5"/>
        <v>3780969.548004</v>
      </c>
      <c r="D59" s="6"/>
      <c r="E59" s="16">
        <f>INDEX('IN_Detr 4.5 del_397'!$A$3:$AAA$1192,MATCH($A59,'IN_Detr 4.5 del_397'!$A$3:$A$1192,0),MATCH(E$3,'IN_Detr 4.5 del_397'!$A$3:$AAA$3,0))</f>
        <v>3216365.3281056001</v>
      </c>
      <c r="F59" s="16">
        <f>INDEX('IN_Detr 4.5 del_397'!$A$3:$AAA$1192,MATCH($A59,'IN_Detr 4.5 del_397'!$A$3:$A$1192,0),MATCH(F$3,'IN_Detr 4.5 del_397'!$A$3:$AAA$3,0))</f>
        <v>564604.21989840001</v>
      </c>
      <c r="G59" s="16">
        <f>INDEX('IN_Detr 4.5 del_397'!$A$3:$AAA$1192,MATCH($A59,'IN_Detr 4.5 del_397'!$A$3:$A$1192,0),MATCH(G$3,'IN_Detr 4.5 del_397'!$A$3:$AAA$3,0))</f>
        <v>0</v>
      </c>
    </row>
    <row r="60" spans="1:7" outlineLevel="1" x14ac:dyDescent="0.2">
      <c r="A60" s="7" t="s">
        <v>3131</v>
      </c>
      <c r="B60" s="14" t="s">
        <v>5</v>
      </c>
      <c r="C60" s="15">
        <f t="shared" si="5"/>
        <v>4829941.6113167992</v>
      </c>
      <c r="D60" s="6"/>
      <c r="E60" s="16">
        <f>INDEX('IN_Detr 4.5 del_397'!$A$3:$AAA$1192,MATCH($A60,'IN_Detr 4.5 del_397'!$A$3:$A$1192,0),MATCH(E$3,'IN_Detr 4.5 del_397'!$A$3:$AAA$3,0))</f>
        <v>4395004.8099407991</v>
      </c>
      <c r="F60" s="16">
        <f>INDEX('IN_Detr 4.5 del_397'!$A$3:$AAA$1192,MATCH($A60,'IN_Detr 4.5 del_397'!$A$3:$A$1192,0),MATCH(F$3,'IN_Detr 4.5 del_397'!$A$3:$AAA$3,0))</f>
        <v>434936.80137600005</v>
      </c>
      <c r="G60" s="16">
        <f>INDEX('IN_Detr 4.5 del_397'!$A$3:$AAA$1192,MATCH($A60,'IN_Detr 4.5 del_397'!$A$3:$A$1192,0),MATCH(G$3,'IN_Detr 4.5 del_397'!$A$3:$AAA$3,0))</f>
        <v>0</v>
      </c>
    </row>
    <row r="61" spans="1:7" ht="11.4" outlineLevel="1" x14ac:dyDescent="0.2">
      <c r="A61" s="85" t="s">
        <v>5456</v>
      </c>
      <c r="B61" s="14" t="s">
        <v>5438</v>
      </c>
      <c r="C61" s="17">
        <f t="shared" si="5"/>
        <v>0</v>
      </c>
      <c r="D61" s="6"/>
      <c r="E61" s="16">
        <f>E10</f>
        <v>0</v>
      </c>
      <c r="F61" s="16">
        <f>F10</f>
        <v>0</v>
      </c>
      <c r="G61" s="16">
        <f>G10</f>
        <v>0</v>
      </c>
    </row>
    <row r="62" spans="1:7" ht="11.4" outlineLevel="1" x14ac:dyDescent="0.2">
      <c r="A62" s="85" t="s">
        <v>5457</v>
      </c>
      <c r="B62" s="14" t="s">
        <v>5439</v>
      </c>
      <c r="C62" s="17">
        <f t="shared" si="5"/>
        <v>0</v>
      </c>
      <c r="D62" s="6"/>
      <c r="E62" s="18">
        <f t="shared" ref="E62" si="6">E11</f>
        <v>0</v>
      </c>
      <c r="F62" s="18">
        <f t="shared" ref="F62:G62" si="7">F11</f>
        <v>0</v>
      </c>
      <c r="G62" s="18">
        <f t="shared" si="7"/>
        <v>0</v>
      </c>
    </row>
    <row r="63" spans="1:7" ht="11.4" outlineLevel="1" x14ac:dyDescent="0.2">
      <c r="A63" s="85" t="s">
        <v>5458</v>
      </c>
      <c r="B63" s="14" t="s">
        <v>5440</v>
      </c>
      <c r="C63" s="17">
        <f t="shared" si="5"/>
        <v>0</v>
      </c>
      <c r="D63" s="6"/>
      <c r="E63" s="18">
        <f t="shared" ref="E63" si="8">E12</f>
        <v>0</v>
      </c>
      <c r="F63" s="18">
        <f t="shared" ref="F63:G63" si="9">F12</f>
        <v>0</v>
      </c>
      <c r="G63" s="18">
        <f t="shared" si="9"/>
        <v>0</v>
      </c>
    </row>
    <row r="64" spans="1:7" ht="11.4" outlineLevel="1" x14ac:dyDescent="0.2">
      <c r="A64" s="85" t="s">
        <v>5459</v>
      </c>
      <c r="B64" s="14" t="s">
        <v>5441</v>
      </c>
      <c r="C64" s="17">
        <f t="shared" si="5"/>
        <v>0</v>
      </c>
      <c r="D64" s="6"/>
      <c r="E64" s="18">
        <f t="shared" ref="E64" si="10">E13</f>
        <v>0</v>
      </c>
      <c r="F64" s="18">
        <f t="shared" ref="F64:G64" si="11">F13</f>
        <v>0</v>
      </c>
      <c r="G64" s="18">
        <f t="shared" si="11"/>
        <v>0</v>
      </c>
    </row>
    <row r="65" spans="1:7" ht="11.4" outlineLevel="1" x14ac:dyDescent="0.2">
      <c r="A65" s="85" t="s">
        <v>5460</v>
      </c>
      <c r="B65" s="14" t="s">
        <v>5442</v>
      </c>
      <c r="C65" s="17">
        <f t="shared" si="5"/>
        <v>0</v>
      </c>
      <c r="D65" s="6"/>
      <c r="E65" s="18">
        <f t="shared" ref="E65" si="12">E14</f>
        <v>0</v>
      </c>
      <c r="F65" s="18">
        <f t="shared" ref="F65:G65" si="13">F14</f>
        <v>0</v>
      </c>
      <c r="G65" s="18">
        <f t="shared" si="13"/>
        <v>0</v>
      </c>
    </row>
    <row r="66" spans="1:7" ht="11.4" outlineLevel="1" x14ac:dyDescent="0.2">
      <c r="A66" s="85" t="s">
        <v>5461</v>
      </c>
      <c r="B66" s="14" t="s">
        <v>5443</v>
      </c>
      <c r="C66" s="17">
        <f t="shared" si="5"/>
        <v>0</v>
      </c>
      <c r="D66" s="6"/>
      <c r="E66" s="18">
        <f t="shared" ref="E66" si="14">E15</f>
        <v>0</v>
      </c>
      <c r="F66" s="18">
        <f t="shared" ref="F66:G66" si="15">F15</f>
        <v>0</v>
      </c>
      <c r="G66" s="18">
        <f t="shared" si="15"/>
        <v>0</v>
      </c>
    </row>
    <row r="67" spans="1:7" outlineLevel="1" x14ac:dyDescent="0.2">
      <c r="A67" s="85" t="s">
        <v>968</v>
      </c>
      <c r="B67" s="736" t="s">
        <v>7</v>
      </c>
      <c r="C67" s="737"/>
      <c r="D67" s="19"/>
      <c r="E67" s="740">
        <f t="shared" ref="E67:E69" si="16">E16</f>
        <v>0.7</v>
      </c>
      <c r="F67" s="740">
        <f t="shared" ref="F67:G67" si="17">F16</f>
        <v>0</v>
      </c>
      <c r="G67" s="740">
        <f t="shared" si="17"/>
        <v>0</v>
      </c>
    </row>
    <row r="68" spans="1:7" outlineLevel="1" x14ac:dyDescent="0.2">
      <c r="A68" s="7" t="s">
        <v>5462</v>
      </c>
      <c r="B68" s="26" t="s">
        <v>6</v>
      </c>
      <c r="C68" s="27">
        <f t="shared" ref="C68:C73" si="18">SUM(E68:G68)</f>
        <v>1002276.5192087999</v>
      </c>
      <c r="D68" s="6"/>
      <c r="E68" s="28">
        <f t="shared" si="16"/>
        <v>939290.85502559994</v>
      </c>
      <c r="F68" s="28">
        <f t="shared" ref="F68:G68" si="19">F17</f>
        <v>62985.664183200002</v>
      </c>
      <c r="G68" s="28">
        <f t="shared" si="19"/>
        <v>0</v>
      </c>
    </row>
    <row r="69" spans="1:7" ht="11.4" outlineLevel="1" x14ac:dyDescent="0.2">
      <c r="A69" s="7" t="s">
        <v>5463</v>
      </c>
      <c r="B69" s="26" t="s">
        <v>101</v>
      </c>
      <c r="C69" s="27">
        <f t="shared" si="18"/>
        <v>843040.91620319989</v>
      </c>
      <c r="D69" s="6"/>
      <c r="E69" s="28">
        <f t="shared" si="16"/>
        <v>761151.15962159995</v>
      </c>
      <c r="F69" s="28">
        <f t="shared" ref="F69:G69" si="20">F18</f>
        <v>81889.756581599999</v>
      </c>
      <c r="G69" s="28">
        <f t="shared" si="20"/>
        <v>0</v>
      </c>
    </row>
    <row r="70" spans="1:7" ht="11.4" outlineLevel="1" x14ac:dyDescent="0.2">
      <c r="A70" s="7" t="s">
        <v>5901</v>
      </c>
      <c r="B70" s="738" t="s">
        <v>5437</v>
      </c>
      <c r="C70" s="739">
        <f t="shared" si="18"/>
        <v>1190309.4102530398</v>
      </c>
      <c r="D70" s="6"/>
      <c r="E70" s="741">
        <f>E67*(E68+E69)</f>
        <v>1190309.4102530398</v>
      </c>
      <c r="F70" s="741">
        <f>F67*(F68+F69)</f>
        <v>0</v>
      </c>
      <c r="G70" s="741">
        <f>G67*(G68+G69)</f>
        <v>0</v>
      </c>
    </row>
    <row r="71" spans="1:7" ht="11.4" outlineLevel="1" x14ac:dyDescent="0.2">
      <c r="A71" s="85" t="s">
        <v>3142</v>
      </c>
      <c r="B71" s="703" t="s">
        <v>102</v>
      </c>
      <c r="C71" s="704">
        <f t="shared" si="18"/>
        <v>315566.36782700795</v>
      </c>
      <c r="D71" s="6"/>
      <c r="E71" s="706">
        <f>INDEX('IN_Detr 4.5 del_397'!$A$3:$AAA$1192,MATCH($A71,'IN_Detr 4.5 del_397'!$A$3:$A$1192,0),MATCH(E$3,'IN_Detr 4.5 del_397'!$A$3:$AAA$3,0))</f>
        <v>315566.36782700795</v>
      </c>
      <c r="F71" s="706">
        <f>INDEX('IN_Detr 4.5 del_397'!$A$3:$AAA$1192,MATCH($A71,'IN_Detr 4.5 del_397'!$A$3:$A$1192,0),MATCH(F$3,'IN_Detr 4.5 del_397'!$A$3:$AAA$3,0))</f>
        <v>0</v>
      </c>
      <c r="G71" s="706">
        <f>INDEX('IN_Detr 4.5 del_397'!$A$3:$AAA$1192,MATCH($A71,'IN_Detr 4.5 del_397'!$A$3:$A$1192,0),MATCH(G$3,'IN_Detr 4.5 del_397'!$A$3:$AAA$3,0))</f>
        <v>0</v>
      </c>
    </row>
    <row r="72" spans="1:7" ht="11.4" outlineLevel="1" x14ac:dyDescent="0.2">
      <c r="A72" s="7" t="s">
        <v>6937</v>
      </c>
      <c r="B72" s="705" t="s">
        <v>5444</v>
      </c>
      <c r="C72" s="985">
        <f t="shared" si="18"/>
        <v>315566.36782700795</v>
      </c>
      <c r="D72" s="986"/>
      <c r="E72" s="984">
        <f>INDEX('IN_Detr 4.5 del_397'!$A$3:$AAA$1192,MATCH($A72,'IN_Detr 4.5 del_397'!$A$3:$A$1192,0),MATCH(E$3,'IN_Detr 4.5 del_397'!$A$3:$AAA$3,0))</f>
        <v>315566.36782700795</v>
      </c>
      <c r="F72" s="984">
        <f>INDEX('IN_Detr 4.5 del_397'!$A$3:$AAA$1192,MATCH($A72,'IN_Detr 4.5 del_397'!$A$3:$A$1192,0),MATCH(F$3,'IN_Detr 4.5 del_397'!$A$3:$AAA$3,0))</f>
        <v>0</v>
      </c>
      <c r="G72" s="984">
        <f>INDEX('IN_Detr 4.5 del_397'!$A$3:$AAA$1192,MATCH($A72,'IN_Detr 4.5 del_397'!$A$3:$A$1192,0),MATCH(G$3,'IN_Detr 4.5 del_397'!$A$3:$AAA$3,0))</f>
        <v>0</v>
      </c>
    </row>
    <row r="73" spans="1:7" outlineLevel="1" x14ac:dyDescent="0.2">
      <c r="A73" s="85" t="s">
        <v>5464</v>
      </c>
      <c r="B73" s="21" t="s">
        <v>109</v>
      </c>
      <c r="C73" s="22">
        <f t="shared" si="18"/>
        <v>0</v>
      </c>
      <c r="D73" s="6"/>
      <c r="E73" s="23"/>
      <c r="F73" s="23"/>
      <c r="G73" s="23"/>
    </row>
    <row r="74" spans="1:7" outlineLevel="1" x14ac:dyDescent="0.2">
      <c r="B74" s="24"/>
      <c r="C74" s="25"/>
      <c r="D74" s="6"/>
      <c r="E74" s="5"/>
      <c r="F74" s="5"/>
      <c r="G74" s="5"/>
    </row>
    <row r="75" spans="1:7" s="359" customFormat="1" ht="20.399999999999999" outlineLevel="1" x14ac:dyDescent="0.2">
      <c r="A75" s="356"/>
      <c r="B75" s="360"/>
      <c r="C75" s="358" t="str">
        <f>C3</f>
        <v>TOTALE</v>
      </c>
      <c r="D75" s="357"/>
      <c r="E75" s="358" t="str">
        <f t="shared" ref="E75" si="21">E3</f>
        <v>BUSTO ARSIZIO</v>
      </c>
      <c r="F75" s="358" t="str">
        <f t="shared" ref="F75:G75" si="22">F3</f>
        <v>FAGNANO OLONA</v>
      </c>
      <c r="G75" s="358" t="str">
        <f t="shared" si="22"/>
        <v>VENEGONO SUPERIORE</v>
      </c>
    </row>
    <row r="76" spans="1:7" ht="11.4" outlineLevel="1" x14ac:dyDescent="0.2">
      <c r="A76" s="31" t="s">
        <v>3263</v>
      </c>
      <c r="B76" s="680" t="s">
        <v>5472</v>
      </c>
      <c r="C76" s="11">
        <f t="shared" ref="C76:C100" si="23">SUM(E76:G76)</f>
        <v>7666727.8733342355</v>
      </c>
      <c r="D76" s="6"/>
      <c r="E76" s="12">
        <f>E77+E82+E92+SUM(E93:E98)+E100</f>
        <v>7531568.5899443226</v>
      </c>
      <c r="F76" s="12">
        <f>F77+F82+F92+SUM(F93:F98)+F100</f>
        <v>135159.28338991333</v>
      </c>
      <c r="G76" s="12">
        <f>G77+G82+G92+SUM(G93:G98)+G100</f>
        <v>0</v>
      </c>
    </row>
    <row r="77" spans="1:7" outlineLevel="1" x14ac:dyDescent="0.2">
      <c r="A77" s="7" t="s">
        <v>3156</v>
      </c>
      <c r="B77" s="14" t="s">
        <v>11</v>
      </c>
      <c r="C77" s="15">
        <f t="shared" si="23"/>
        <v>2456567.5796376001</v>
      </c>
      <c r="D77" s="6"/>
      <c r="E77" s="16">
        <f>INDEX('IN_Detr 4.5 del_397'!$A$3:$AAA$1192,MATCH($A77,'IN_Detr 4.5 del_397'!$A$3:$A$1192,0),MATCH(E$3,'IN_Detr 4.5 del_397'!$A$3:$AAA$3,0))</f>
        <v>2456567.5796376001</v>
      </c>
      <c r="F77" s="16">
        <f>INDEX('IN_Detr 4.5 del_397'!$A$3:$AAA$1192,MATCH($A77,'IN_Detr 4.5 del_397'!$A$3:$A$1192,0),MATCH(F$3,'IN_Detr 4.5 del_397'!$A$3:$AAA$3,0))</f>
        <v>0</v>
      </c>
      <c r="G77" s="16">
        <f>INDEX('IN_Detr 4.5 del_397'!$A$3:$AAA$1192,MATCH($A77,'IN_Detr 4.5 del_397'!$A$3:$A$1192,0),MATCH(G$3,'IN_Detr 4.5 del_397'!$A$3:$AAA$3,0))</f>
        <v>0</v>
      </c>
    </row>
    <row r="78" spans="1:7" outlineLevel="1" x14ac:dyDescent="0.2">
      <c r="A78" s="7" t="s">
        <v>3162</v>
      </c>
      <c r="B78" s="26" t="s">
        <v>13</v>
      </c>
      <c r="C78" s="27">
        <f t="shared" si="23"/>
        <v>614409.89280000003</v>
      </c>
      <c r="D78" s="6"/>
      <c r="E78" s="28">
        <f>INDEX('IN_Detr 4.5 del_397'!$A$3:$AAA$1192,MATCH($A78,'IN_Detr 4.5 del_397'!$A$3:$A$1192,0),MATCH(E$3,'IN_Detr 4.5 del_397'!$A$3:$AAA$3,0))</f>
        <v>614409.89280000003</v>
      </c>
      <c r="F78" s="28">
        <f>INDEX('IN_Detr 4.5 del_397'!$A$3:$AAA$1192,MATCH($A78,'IN_Detr 4.5 del_397'!$A$3:$A$1192,0),MATCH(F$3,'IN_Detr 4.5 del_397'!$A$3:$AAA$3,0))</f>
        <v>0</v>
      </c>
      <c r="G78" s="28">
        <f>INDEX('IN_Detr 4.5 del_397'!$A$3:$AAA$1192,MATCH($A78,'IN_Detr 4.5 del_397'!$A$3:$A$1192,0),MATCH(G$3,'IN_Detr 4.5 del_397'!$A$3:$AAA$3,0))</f>
        <v>0</v>
      </c>
    </row>
    <row r="79" spans="1:7" outlineLevel="1" x14ac:dyDescent="0.2">
      <c r="A79" s="7" t="s">
        <v>3168</v>
      </c>
      <c r="B79" s="26" t="s">
        <v>14</v>
      </c>
      <c r="C79" s="27">
        <f t="shared" si="23"/>
        <v>1479766.7333064</v>
      </c>
      <c r="D79" s="6"/>
      <c r="E79" s="28">
        <f>INDEX('IN_Detr 4.5 del_397'!$A$3:$AAA$1192,MATCH($A79,'IN_Detr 4.5 del_397'!$A$3:$A$1192,0),MATCH(E$3,'IN_Detr 4.5 del_397'!$A$3:$AAA$3,0))</f>
        <v>1427110.4677104</v>
      </c>
      <c r="F79" s="28">
        <f>INDEX('IN_Detr 4.5 del_397'!$A$3:$AAA$1192,MATCH($A79,'IN_Detr 4.5 del_397'!$A$3:$A$1192,0),MATCH(F$3,'IN_Detr 4.5 del_397'!$A$3:$AAA$3,0))</f>
        <v>52656.265595999997</v>
      </c>
      <c r="G79" s="28">
        <f>INDEX('IN_Detr 4.5 del_397'!$A$3:$AAA$1192,MATCH($A79,'IN_Detr 4.5 del_397'!$A$3:$A$1192,0),MATCH(G$3,'IN_Detr 4.5 del_397'!$A$3:$AAA$3,0))</f>
        <v>0</v>
      </c>
    </row>
    <row r="80" spans="1:7" outlineLevel="1" x14ac:dyDescent="0.2">
      <c r="A80" s="7" t="s">
        <v>3174</v>
      </c>
      <c r="B80" s="26" t="s">
        <v>15</v>
      </c>
      <c r="C80" s="27">
        <f t="shared" si="23"/>
        <v>0</v>
      </c>
      <c r="D80" s="6"/>
      <c r="E80" s="28">
        <f>INDEX('IN_Detr 4.5 del_397'!$A$3:$AAA$1192,MATCH($A80,'IN_Detr 4.5 del_397'!$A$3:$A$1192,0),MATCH(E$3,'IN_Detr 4.5 del_397'!$A$3:$AAA$3,0))</f>
        <v>0</v>
      </c>
      <c r="F80" s="28">
        <f>INDEX('IN_Detr 4.5 del_397'!$A$3:$AAA$1192,MATCH($A80,'IN_Detr 4.5 del_397'!$A$3:$A$1192,0),MATCH(F$3,'IN_Detr 4.5 del_397'!$A$3:$AAA$3,0))</f>
        <v>0</v>
      </c>
      <c r="G80" s="28">
        <f>INDEX('IN_Detr 4.5 del_397'!$A$3:$AAA$1192,MATCH($A80,'IN_Detr 4.5 del_397'!$A$3:$A$1192,0),MATCH(G$3,'IN_Detr 4.5 del_397'!$A$3:$AAA$3,0))</f>
        <v>0</v>
      </c>
    </row>
    <row r="81" spans="1:7" ht="11.4" outlineLevel="1" x14ac:dyDescent="0.2">
      <c r="A81" s="7" t="s">
        <v>3180</v>
      </c>
      <c r="B81" s="52" t="s">
        <v>16</v>
      </c>
      <c r="C81" s="53">
        <f t="shared" si="23"/>
        <v>0</v>
      </c>
      <c r="D81" s="6"/>
      <c r="E81" s="54">
        <f>INDEX('IN_Detr 4.5 del_397'!$A$3:$AAA$1192,MATCH($A81,'IN_Detr 4.5 del_397'!$A$3:$A$1192,0),MATCH(E$3,'IN_Detr 4.5 del_397'!$A$3:$AAA$3,0))</f>
        <v>0</v>
      </c>
      <c r="F81" s="54">
        <f>INDEX('IN_Detr 4.5 del_397'!$A$3:$AAA$1192,MATCH($A81,'IN_Detr 4.5 del_397'!$A$3:$A$1192,0),MATCH(F$3,'IN_Detr 4.5 del_397'!$A$3:$AAA$3,0))</f>
        <v>0</v>
      </c>
      <c r="G81" s="54">
        <f>INDEX('IN_Detr 4.5 del_397'!$A$3:$AAA$1192,MATCH($A81,'IN_Detr 4.5 del_397'!$A$3:$A$1192,0),MATCH(G$3,'IN_Detr 4.5 del_397'!$A$3:$AAA$3,0))</f>
        <v>0</v>
      </c>
    </row>
    <row r="82" spans="1:7" outlineLevel="1" x14ac:dyDescent="0.2">
      <c r="A82" s="7" t="s">
        <v>3264</v>
      </c>
      <c r="B82" s="684" t="s">
        <v>12</v>
      </c>
      <c r="C82" s="685">
        <f t="shared" si="23"/>
        <v>2094176.6261064</v>
      </c>
      <c r="D82" s="6"/>
      <c r="E82" s="686">
        <f>SUM(E78:E81)</f>
        <v>2041520.3605104</v>
      </c>
      <c r="F82" s="686">
        <f>SUM(F78:F81)</f>
        <v>52656.265595999997</v>
      </c>
      <c r="G82" s="686">
        <f>SUM(G78:G81)</f>
        <v>0</v>
      </c>
    </row>
    <row r="83" spans="1:7" outlineLevel="1" x14ac:dyDescent="0.2">
      <c r="A83" s="85" t="s">
        <v>3186</v>
      </c>
      <c r="B83" s="26" t="s">
        <v>18</v>
      </c>
      <c r="C83" s="27">
        <f t="shared" si="23"/>
        <v>823551.54593182099</v>
      </c>
      <c r="D83" s="6"/>
      <c r="E83" s="28">
        <f>INDEX('IN_Detr 4.5 del_397'!$A$3:$AAA$1192,MATCH($A83,'IN_Detr 4.5 del_397'!$A$3:$A$1192,0),MATCH(E$3,'IN_Detr 4.5 del_397'!$A$3:$AAA$3,0))</f>
        <v>776842.25678022834</v>
      </c>
      <c r="F83" s="28">
        <f>INDEX('IN_Detr 4.5 del_397'!$A$3:$AAA$1192,MATCH($A83,'IN_Detr 4.5 del_397'!$A$3:$A$1192,0),MATCH(F$3,'IN_Detr 4.5 del_397'!$A$3:$AAA$3,0))</f>
        <v>46709.289151592602</v>
      </c>
      <c r="G83" s="28">
        <f>INDEX('IN_Detr 4.5 del_397'!$A$3:$AAA$1192,MATCH($A83,'IN_Detr 4.5 del_397'!$A$3:$A$1192,0),MATCH(G$3,'IN_Detr 4.5 del_397'!$A$3:$AAA$3,0))</f>
        <v>0</v>
      </c>
    </row>
    <row r="84" spans="1:7" outlineLevel="1" x14ac:dyDescent="0.2">
      <c r="A84" s="7" t="s">
        <v>3204</v>
      </c>
      <c r="B84" s="687" t="s">
        <v>19</v>
      </c>
      <c r="C84" s="688">
        <f t="shared" si="23"/>
        <v>928313.04456000007</v>
      </c>
      <c r="D84" s="6"/>
      <c r="E84" s="689">
        <f>SUM(E85:E88)</f>
        <v>928313.04456000007</v>
      </c>
      <c r="F84" s="689">
        <f>SUM(F85:F88)</f>
        <v>0</v>
      </c>
      <c r="G84" s="689">
        <f>SUM(G85:G88)</f>
        <v>0</v>
      </c>
    </row>
    <row r="85" spans="1:7" outlineLevel="1" x14ac:dyDescent="0.2">
      <c r="A85" s="85" t="s">
        <v>3192</v>
      </c>
      <c r="B85" s="690" t="s">
        <v>20</v>
      </c>
      <c r="C85" s="691">
        <f t="shared" si="23"/>
        <v>0</v>
      </c>
      <c r="D85" s="6"/>
      <c r="E85" s="696">
        <f>INDEX('IN_Detr 4.5 del_397'!$A$3:$AAA$1192,MATCH($A85,'IN_Detr 4.5 del_397'!$A$3:$A$1192,0),MATCH(E$3,'IN_Detr 4.5 del_397'!$A$3:$AAA$3,0))</f>
        <v>0</v>
      </c>
      <c r="F85" s="696">
        <f>INDEX('IN_Detr 4.5 del_397'!$A$3:$AAA$1192,MATCH($A85,'IN_Detr 4.5 del_397'!$A$3:$A$1192,0),MATCH(F$3,'IN_Detr 4.5 del_397'!$A$3:$AAA$3,0))</f>
        <v>0</v>
      </c>
      <c r="G85" s="696">
        <f>INDEX('IN_Detr 4.5 del_397'!$A$3:$AAA$1192,MATCH($A85,'IN_Detr 4.5 del_397'!$A$3:$A$1192,0),MATCH(G$3,'IN_Detr 4.5 del_397'!$A$3:$AAA$3,0))</f>
        <v>0</v>
      </c>
    </row>
    <row r="86" spans="1:7" outlineLevel="1" x14ac:dyDescent="0.2">
      <c r="A86" s="85" t="s">
        <v>3195</v>
      </c>
      <c r="B86" s="692" t="s">
        <v>21</v>
      </c>
      <c r="C86" s="693">
        <f t="shared" si="23"/>
        <v>928313.04456000007</v>
      </c>
      <c r="D86" s="6"/>
      <c r="E86" s="697">
        <f>INDEX('IN_Detr 4.5 del_397'!$A$3:$AAA$1192,MATCH($A86,'IN_Detr 4.5 del_397'!$A$3:$A$1192,0),MATCH(E$3,'IN_Detr 4.5 del_397'!$A$3:$AAA$3,0))</f>
        <v>928313.04456000007</v>
      </c>
      <c r="F86" s="697">
        <f>INDEX('IN_Detr 4.5 del_397'!$A$3:$AAA$1192,MATCH($A86,'IN_Detr 4.5 del_397'!$A$3:$A$1192,0),MATCH(F$3,'IN_Detr 4.5 del_397'!$A$3:$AAA$3,0))</f>
        <v>0</v>
      </c>
      <c r="G86" s="697">
        <f>INDEX('IN_Detr 4.5 del_397'!$A$3:$AAA$1192,MATCH($A86,'IN_Detr 4.5 del_397'!$A$3:$A$1192,0),MATCH(G$3,'IN_Detr 4.5 del_397'!$A$3:$AAA$3,0))</f>
        <v>0</v>
      </c>
    </row>
    <row r="87" spans="1:7" outlineLevel="1" x14ac:dyDescent="0.2">
      <c r="A87" s="85" t="s">
        <v>3198</v>
      </c>
      <c r="B87" s="692" t="s">
        <v>22</v>
      </c>
      <c r="C87" s="693">
        <f t="shared" si="23"/>
        <v>0</v>
      </c>
      <c r="D87" s="6"/>
      <c r="E87" s="697">
        <f>INDEX('IN_Detr 4.5 del_397'!$A$3:$AAA$1192,MATCH($A87,'IN_Detr 4.5 del_397'!$A$3:$A$1192,0),MATCH(E$3,'IN_Detr 4.5 del_397'!$A$3:$AAA$3,0))</f>
        <v>0</v>
      </c>
      <c r="F87" s="697">
        <f>INDEX('IN_Detr 4.5 del_397'!$A$3:$AAA$1192,MATCH($A87,'IN_Detr 4.5 del_397'!$A$3:$A$1192,0),MATCH(F$3,'IN_Detr 4.5 del_397'!$A$3:$AAA$3,0))</f>
        <v>0</v>
      </c>
      <c r="G87" s="697">
        <f>INDEX('IN_Detr 4.5 del_397'!$A$3:$AAA$1192,MATCH($A87,'IN_Detr 4.5 del_397'!$A$3:$A$1192,0),MATCH(G$3,'IN_Detr 4.5 del_397'!$A$3:$AAA$3,0))</f>
        <v>0</v>
      </c>
    </row>
    <row r="88" spans="1:7" outlineLevel="1" x14ac:dyDescent="0.2">
      <c r="A88" s="85" t="s">
        <v>3201</v>
      </c>
      <c r="B88" s="694" t="s">
        <v>23</v>
      </c>
      <c r="C88" s="695">
        <f t="shared" si="23"/>
        <v>0</v>
      </c>
      <c r="D88" s="6"/>
      <c r="E88" s="698">
        <f>INDEX('IN_Detr 4.5 del_397'!$A$3:$AAA$1192,MATCH($A88,'IN_Detr 4.5 del_397'!$A$3:$A$1192,0),MATCH(E$3,'IN_Detr 4.5 del_397'!$A$3:$AAA$3,0))</f>
        <v>0</v>
      </c>
      <c r="F88" s="698">
        <f>INDEX('IN_Detr 4.5 del_397'!$A$3:$AAA$1192,MATCH($A88,'IN_Detr 4.5 del_397'!$A$3:$A$1192,0),MATCH(F$3,'IN_Detr 4.5 del_397'!$A$3:$AAA$3,0))</f>
        <v>0</v>
      </c>
      <c r="G88" s="698">
        <f>INDEX('IN_Detr 4.5 del_397'!$A$3:$AAA$1192,MATCH($A88,'IN_Detr 4.5 del_397'!$A$3:$A$1192,0),MATCH(G$3,'IN_Detr 4.5 del_397'!$A$3:$AAA$3,0))</f>
        <v>0</v>
      </c>
    </row>
    <row r="89" spans="1:7" outlineLevel="1" x14ac:dyDescent="0.2">
      <c r="A89" s="85" t="s">
        <v>3222</v>
      </c>
      <c r="B89" s="26" t="s">
        <v>24</v>
      </c>
      <c r="C89" s="27">
        <f t="shared" si="23"/>
        <v>600479.58791425324</v>
      </c>
      <c r="D89" s="6"/>
      <c r="E89" s="28">
        <f>INDEX('IN_Detr 4.5 del_397'!$A$3:$AAA$1192,MATCH($A89,'IN_Detr 4.5 del_397'!$A$3:$A$1192,0),MATCH(E$3,'IN_Detr 4.5 del_397'!$A$3:$AAA$3,0))</f>
        <v>564685.85927193251</v>
      </c>
      <c r="F89" s="28">
        <f>INDEX('IN_Detr 4.5 del_397'!$A$3:$AAA$1192,MATCH($A89,'IN_Detr 4.5 del_397'!$A$3:$A$1192,0),MATCH(F$3,'IN_Detr 4.5 del_397'!$A$3:$AAA$3,0))</f>
        <v>35793.728642320726</v>
      </c>
      <c r="G89" s="28">
        <f>INDEX('IN_Detr 4.5 del_397'!$A$3:$AAA$1192,MATCH($A89,'IN_Detr 4.5 del_397'!$A$3:$A$1192,0),MATCH(G$3,'IN_Detr 4.5 del_397'!$A$3:$AAA$3,0))</f>
        <v>0</v>
      </c>
    </row>
    <row r="90" spans="1:7" ht="11.4" outlineLevel="1" x14ac:dyDescent="0.2">
      <c r="A90" s="85" t="s">
        <v>3228</v>
      </c>
      <c r="B90" s="52" t="s">
        <v>25</v>
      </c>
      <c r="C90" s="53">
        <f t="shared" si="23"/>
        <v>4787.5776740000001</v>
      </c>
      <c r="D90" s="6"/>
      <c r="E90" s="54">
        <f>INDEX('IN_Detr 4.5 del_397'!$A$3:$AAA$1192,MATCH($A90,'IN_Detr 4.5 del_397'!$A$3:$A$1192,0),MATCH(E$3,'IN_Detr 4.5 del_397'!$A$3:$AAA$3,0))</f>
        <v>4787.5776740000001</v>
      </c>
      <c r="F90" s="54">
        <f>INDEX('IN_Detr 4.5 del_397'!$A$3:$AAA$1192,MATCH($A90,'IN_Detr 4.5 del_397'!$A$3:$A$1192,0),MATCH(F$3,'IN_Detr 4.5 del_397'!$A$3:$AAA$3,0))</f>
        <v>0</v>
      </c>
      <c r="G90" s="54">
        <f>INDEX('IN_Detr 4.5 del_397'!$A$3:$AAA$1192,MATCH($A90,'IN_Detr 4.5 del_397'!$A$3:$A$1192,0),MATCH(G$3,'IN_Detr 4.5 del_397'!$A$3:$AAA$3,0))</f>
        <v>0</v>
      </c>
    </row>
    <row r="91" spans="1:7" ht="11.4" outlineLevel="1" x14ac:dyDescent="0.2">
      <c r="A91" s="85" t="s">
        <v>3234</v>
      </c>
      <c r="B91" s="52" t="s">
        <v>5474</v>
      </c>
      <c r="C91" s="53">
        <f t="shared" si="23"/>
        <v>0</v>
      </c>
      <c r="D91" s="6"/>
      <c r="E91" s="54">
        <f>INDEX('IN_Detr 4.5 del_397'!$A$3:$AAA$1192,MATCH($A91,'IN_Detr 4.5 del_397'!$A$3:$A$1192,0),MATCH(E$3,'IN_Detr 4.5 del_397'!$A$3:$AAA$3,0))</f>
        <v>0</v>
      </c>
      <c r="F91" s="54">
        <f>INDEX('IN_Detr 4.5 del_397'!$A$3:$AAA$1192,MATCH($A91,'IN_Detr 4.5 del_397'!$A$3:$A$1192,0),MATCH(F$3,'IN_Detr 4.5 del_397'!$A$3:$AAA$3,0))</f>
        <v>0</v>
      </c>
      <c r="G91" s="54">
        <f>INDEX('IN_Detr 4.5 del_397'!$A$3:$AAA$1192,MATCH($A91,'IN_Detr 4.5 del_397'!$A$3:$A$1192,0),MATCH(G$3,'IN_Detr 4.5 del_397'!$A$3:$AAA$3,0))</f>
        <v>0</v>
      </c>
    </row>
    <row r="92" spans="1:7" outlineLevel="1" x14ac:dyDescent="0.2">
      <c r="A92" s="7" t="s">
        <v>3265</v>
      </c>
      <c r="B92" s="684" t="s">
        <v>17</v>
      </c>
      <c r="C92" s="685">
        <f t="shared" si="23"/>
        <v>2357131.7560800742</v>
      </c>
      <c r="D92" s="6"/>
      <c r="E92" s="686">
        <f>E83+E84+E89+E90+E91</f>
        <v>2274628.7382861609</v>
      </c>
      <c r="F92" s="686">
        <f>F83+F84+F89+F90+F91</f>
        <v>82503.017793913328</v>
      </c>
      <c r="G92" s="686">
        <f>G83+G84+G89+G90+G91</f>
        <v>0</v>
      </c>
    </row>
    <row r="93" spans="1:7" ht="11.4" outlineLevel="1" x14ac:dyDescent="0.2">
      <c r="A93" s="85" t="s">
        <v>5465</v>
      </c>
      <c r="B93" s="14" t="s">
        <v>5447</v>
      </c>
      <c r="C93" s="17">
        <f t="shared" si="23"/>
        <v>0</v>
      </c>
      <c r="D93" s="6"/>
      <c r="E93" s="16">
        <f>E41</f>
        <v>0</v>
      </c>
      <c r="F93" s="16">
        <f>F41</f>
        <v>0</v>
      </c>
      <c r="G93" s="16">
        <f>G41</f>
        <v>0</v>
      </c>
    </row>
    <row r="94" spans="1:7" ht="11.4" outlineLevel="1" x14ac:dyDescent="0.2">
      <c r="A94" s="85" t="s">
        <v>5466</v>
      </c>
      <c r="B94" s="14" t="s">
        <v>5448</v>
      </c>
      <c r="C94" s="17">
        <f t="shared" si="23"/>
        <v>0</v>
      </c>
      <c r="D94" s="6"/>
      <c r="E94" s="16">
        <f t="shared" ref="E94" si="24">E42</f>
        <v>0</v>
      </c>
      <c r="F94" s="16">
        <f t="shared" ref="F94:G94" si="25">F42</f>
        <v>0</v>
      </c>
      <c r="G94" s="16">
        <f t="shared" si="25"/>
        <v>0</v>
      </c>
    </row>
    <row r="95" spans="1:7" ht="11.4" outlineLevel="1" x14ac:dyDescent="0.2">
      <c r="A95" s="85" t="s">
        <v>5467</v>
      </c>
      <c r="B95" s="14" t="s">
        <v>6410</v>
      </c>
      <c r="C95" s="17">
        <f t="shared" si="23"/>
        <v>534862</v>
      </c>
      <c r="D95" s="6"/>
      <c r="E95" s="18">
        <f t="shared" ref="E95" si="26">E43</f>
        <v>534862</v>
      </c>
      <c r="F95" s="18">
        <f t="shared" ref="F95:G95" si="27">F43</f>
        <v>0</v>
      </c>
      <c r="G95" s="18">
        <f t="shared" si="27"/>
        <v>0</v>
      </c>
    </row>
    <row r="96" spans="1:7" ht="11.4" outlineLevel="1" x14ac:dyDescent="0.2">
      <c r="A96" s="85" t="s">
        <v>5468</v>
      </c>
      <c r="B96" s="14" t="s">
        <v>6411</v>
      </c>
      <c r="C96" s="17">
        <f t="shared" si="23"/>
        <v>0</v>
      </c>
      <c r="D96" s="6"/>
      <c r="E96" s="18">
        <f t="shared" ref="E96" si="28">E44</f>
        <v>0</v>
      </c>
      <c r="F96" s="18">
        <f t="shared" ref="F96:G96" si="29">F44</f>
        <v>0</v>
      </c>
      <c r="G96" s="18">
        <f t="shared" si="29"/>
        <v>0</v>
      </c>
    </row>
    <row r="97" spans="1:7" ht="11.4" outlineLevel="1" x14ac:dyDescent="0.2">
      <c r="A97" s="85" t="s">
        <v>5469</v>
      </c>
      <c r="B97" s="14" t="s">
        <v>5449</v>
      </c>
      <c r="C97" s="17">
        <f t="shared" si="23"/>
        <v>0</v>
      </c>
      <c r="D97" s="6"/>
      <c r="E97" s="16">
        <f t="shared" ref="E97" si="30">E45</f>
        <v>0</v>
      </c>
      <c r="F97" s="16">
        <f t="shared" ref="F97:G97" si="31">F45</f>
        <v>0</v>
      </c>
      <c r="G97" s="16">
        <f t="shared" si="31"/>
        <v>0</v>
      </c>
    </row>
    <row r="98" spans="1:7" ht="11.4" outlineLevel="1" x14ac:dyDescent="0.2">
      <c r="A98" s="85" t="s">
        <v>3243</v>
      </c>
      <c r="B98" s="703" t="s">
        <v>26</v>
      </c>
      <c r="C98" s="704">
        <f t="shared" si="23"/>
        <v>223989.91151016203</v>
      </c>
      <c r="D98" s="6"/>
      <c r="E98" s="706">
        <f>INDEX('IN_Detr 4.5 del_397'!$A$3:$AAA$1192,MATCH($A98,'IN_Detr 4.5 del_397'!$A$3:$A$1192,0),MATCH(E$3,'IN_Detr 4.5 del_397'!$A$3:$AAA$3,0))</f>
        <v>223989.91151016203</v>
      </c>
      <c r="F98" s="706">
        <f>INDEX('IN_Detr 4.5 del_397'!$A$3:$AAA$1192,MATCH($A98,'IN_Detr 4.5 del_397'!$A$3:$A$1192,0),MATCH(F$3,'IN_Detr 4.5 del_397'!$A$3:$AAA$3,0))</f>
        <v>0</v>
      </c>
      <c r="G98" s="706">
        <f>INDEX('IN_Detr 4.5 del_397'!$A$3:$AAA$1192,MATCH($A98,'IN_Detr 4.5 del_397'!$A$3:$A$1192,0),MATCH(G$3,'IN_Detr 4.5 del_397'!$A$3:$AAA$3,0))</f>
        <v>0</v>
      </c>
    </row>
    <row r="99" spans="1:7" ht="11.4" outlineLevel="1" x14ac:dyDescent="0.2">
      <c r="A99" s="7" t="s">
        <v>6938</v>
      </c>
      <c r="B99" s="705" t="s">
        <v>5450</v>
      </c>
      <c r="C99" s="985">
        <f t="shared" si="23"/>
        <v>224284.56583160121</v>
      </c>
      <c r="D99" s="986"/>
      <c r="E99" s="984">
        <f>INDEX('IN_Detr 4.5 del_397'!$A$3:$AAA$1192,MATCH($A99,'IN_Detr 4.5 del_397'!$A$3:$A$1192,0),MATCH(E$3,'IN_Detr 4.5 del_397'!$A$3:$AAA$3,0))</f>
        <v>224284.56583160121</v>
      </c>
      <c r="F99" s="984">
        <f>INDEX('IN_Detr 4.5 del_397'!$A$3:$AAA$1192,MATCH($A99,'IN_Detr 4.5 del_397'!$A$3:$A$1192,0),MATCH(F$3,'IN_Detr 4.5 del_397'!$A$3:$AAA$3,0))</f>
        <v>0</v>
      </c>
      <c r="G99" s="984">
        <f>INDEX('IN_Detr 4.5 del_397'!$A$3:$AAA$1192,MATCH($A99,'IN_Detr 4.5 del_397'!$A$3:$A$1192,0),MATCH(G$3,'IN_Detr 4.5 del_397'!$A$3:$AAA$3,0))</f>
        <v>0</v>
      </c>
    </row>
    <row r="100" spans="1:7" outlineLevel="1" x14ac:dyDescent="0.2">
      <c r="A100" s="85" t="s">
        <v>5470</v>
      </c>
      <c r="B100" s="21" t="s">
        <v>10</v>
      </c>
      <c r="C100" s="22">
        <f t="shared" si="23"/>
        <v>0</v>
      </c>
      <c r="D100" s="6"/>
      <c r="E100" s="23"/>
      <c r="F100" s="23"/>
      <c r="G100" s="23"/>
    </row>
    <row r="101" spans="1:7" x14ac:dyDescent="0.2">
      <c r="C101" s="25"/>
      <c r="D101" s="6"/>
      <c r="E101" s="5"/>
      <c r="F101" s="5"/>
      <c r="G101" s="5"/>
    </row>
    <row r="102" spans="1:7" ht="19.5" customHeight="1" x14ac:dyDescent="0.2">
      <c r="A102" s="31" t="s">
        <v>3266</v>
      </c>
      <c r="B102" s="680" t="s">
        <v>5473</v>
      </c>
      <c r="C102" s="11">
        <f>SUM(E102:G102)</f>
        <v>16702352.609340202</v>
      </c>
      <c r="D102" s="6"/>
      <c r="E102" s="12">
        <f t="shared" ref="E102" si="32">E56+E76</f>
        <v>15445901.47535269</v>
      </c>
      <c r="F102" s="12">
        <f t="shared" ref="F102:G102" si="33">F56+F76</f>
        <v>1256451.1339875134</v>
      </c>
      <c r="G102" s="12">
        <f t="shared" si="33"/>
        <v>0</v>
      </c>
    </row>
  </sheetData>
  <sheetProtection formatColumns="0" formatRows="0"/>
  <pageMargins left="0.70866141732283472" right="0.70866141732283472" top="0.74803149606299213" bottom="0.74803149606299213" header="0.31496062992125984" footer="0.31496062992125984"/>
  <pageSetup paperSize="9" scale="26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2A78B-90AE-4B29-868A-9808A1669EF6}">
  <sheetPr codeName="Foglio25">
    <tabColor theme="4" tint="-0.499984740745262"/>
    <pageSetUpPr fitToPage="1"/>
  </sheetPr>
  <dimension ref="A1:G102"/>
  <sheetViews>
    <sheetView showGridLines="0" zoomScaleNormal="100" workbookViewId="0">
      <pane xSplit="4" ySplit="3" topLeftCell="E4" activePane="bottomRight" state="frozen"/>
      <selection activeCell="C72" sqref="C72:F72"/>
      <selection pane="topRight" activeCell="C72" sqref="C72:F72"/>
      <selection pane="bottomLeft" activeCell="C72" sqref="C72:F72"/>
      <selection pane="bottomRight" activeCell="E40" sqref="E40"/>
    </sheetView>
  </sheetViews>
  <sheetFormatPr defaultColWidth="17.6640625" defaultRowHeight="10.199999999999999" outlineLevelRow="1" x14ac:dyDescent="0.2"/>
  <cols>
    <col min="1" max="1" width="22.44140625" style="7" bestFit="1" customWidth="1"/>
    <col min="2" max="2" width="94.33203125" style="5" bestFit="1" customWidth="1"/>
    <col min="3" max="3" width="10.33203125" style="3" bestFit="1" customWidth="1"/>
    <col min="4" max="4" width="1.109375" style="2" customWidth="1"/>
    <col min="5" max="5" width="11.5546875" style="4" bestFit="1" customWidth="1"/>
    <col min="6" max="6" width="12.5546875" style="4" bestFit="1" customWidth="1"/>
    <col min="7" max="7" width="8.5546875" style="4" bestFit="1" customWidth="1"/>
    <col min="8" max="16384" width="17.6640625" style="5"/>
  </cols>
  <sheetData>
    <row r="1" spans="1:7" x14ac:dyDescent="0.2">
      <c r="B1" s="1" t="s">
        <v>5475</v>
      </c>
    </row>
    <row r="2" spans="1:7" x14ac:dyDescent="0.2">
      <c r="B2" s="134"/>
    </row>
    <row r="3" spans="1:7" s="359" customFormat="1" ht="20.399999999999999" x14ac:dyDescent="0.2">
      <c r="A3" s="356"/>
      <c r="B3" s="357"/>
      <c r="C3" s="358" t="s">
        <v>0</v>
      </c>
      <c r="D3" s="357"/>
      <c r="E3" s="358" t="str">
        <f>Ambiti!B4</f>
        <v>BUSTO ARSIZIO</v>
      </c>
      <c r="F3" s="358" t="str">
        <f>Ambiti!C4</f>
        <v>FAGNANO OLONA</v>
      </c>
      <c r="G3" s="358" t="str">
        <f>Ambiti!D4</f>
        <v>VENEGONO SUPERIORE</v>
      </c>
    </row>
    <row r="4" spans="1:7" s="10" customFormat="1" x14ac:dyDescent="0.2">
      <c r="A4" s="7"/>
      <c r="B4" s="8"/>
      <c r="C4" s="9"/>
      <c r="D4" s="8"/>
      <c r="E4" s="8"/>
      <c r="F4" s="8"/>
      <c r="G4" s="8"/>
    </row>
    <row r="5" spans="1:7" s="13" customFormat="1" ht="11.4" x14ac:dyDescent="0.3">
      <c r="A5" s="31" t="s">
        <v>5498</v>
      </c>
      <c r="B5" s="680" t="s">
        <v>5557</v>
      </c>
      <c r="C5" s="11">
        <f t="shared" ref="C5:C15" si="0">SUM(E5:G5)</f>
        <v>10588004.451898372</v>
      </c>
      <c r="D5" s="6"/>
      <c r="E5" s="12">
        <f>SUM(E6:E15)-E19+E20+E22</f>
        <v>8746298.9873807728</v>
      </c>
      <c r="F5" s="12">
        <f>SUM(F6:F15)-F19+F20+F22</f>
        <v>1121291.8505976</v>
      </c>
      <c r="G5" s="12">
        <f>SUM(G6:G15)-G19+G20+G22</f>
        <v>720413.61392000003</v>
      </c>
    </row>
    <row r="6" spans="1:7" outlineLevel="1" x14ac:dyDescent="0.2">
      <c r="A6" s="7" t="s">
        <v>3268</v>
      </c>
      <c r="B6" s="14" t="s">
        <v>1</v>
      </c>
      <c r="C6" s="15">
        <f t="shared" si="0"/>
        <v>1384937.1267688002</v>
      </c>
      <c r="D6" s="6"/>
      <c r="E6" s="16">
        <f>INDEX('Import CO_25'!$A$4:$E$134,MATCH($A6,'Import CO_25'!$A$4:$A$134,0),MATCH(E$3,'Import CO_25'!$A$4:$E$4,0))
*(1+'Parametri MTR-3'!$J$6)
*(1+'Parametri MTR-3'!$K$6)</f>
        <v>1157506.4023600002</v>
      </c>
      <c r="F6" s="16">
        <f>INDEX('Import CO_25'!$A$4:$E$134,MATCH($A6,'Import CO_25'!$A$4:$A$134,0),MATCH(F$3,'Import CO_25'!$A$4:$E$4,0))
*(1+'Parametri MTR-3'!$J$6)
*(1+'Parametri MTR-3'!$K$6)</f>
        <v>121561.60940880001</v>
      </c>
      <c r="G6" s="16">
        <f>INDEX('Import CO_25'!$A$4:$E$134,MATCH($A6,'Import CO_25'!$A$4:$A$134,0),MATCH(G$3,'Import CO_25'!$A$4:$E$4,0))
*(1+'Parametri MTR-3'!$J$6)
*(1+'Parametri MTR-3'!$K$6)</f>
        <v>105869.11500000001</v>
      </c>
    </row>
    <row r="7" spans="1:7" outlineLevel="1" x14ac:dyDescent="0.2">
      <c r="A7" s="7" t="s">
        <v>3274</v>
      </c>
      <c r="B7" s="14" t="s">
        <v>3</v>
      </c>
      <c r="C7" s="15">
        <f t="shared" si="0"/>
        <v>190983.63427439998</v>
      </c>
      <c r="D7" s="6"/>
      <c r="E7" s="16">
        <f>INDEX('Import CO_25'!$A$4:$E$134,MATCH($A7,'Import CO_25'!$A$4:$A$134,0),MATCH(E$3,'Import CO_25'!$A$4:$E$4,0))
*(1+'Parametri MTR-3'!$J$6)
*(1+'Parametri MTR-3'!$K$6)</f>
        <v>0</v>
      </c>
      <c r="F7" s="16">
        <f>INDEX('Import CO_25'!$A$4:$E$134,MATCH($A7,'Import CO_25'!$A$4:$A$134,0),MATCH(F$3,'Import CO_25'!$A$4:$E$4,0))
*(1+'Parametri MTR-3'!$J$6)
*(1+'Parametri MTR-3'!$K$6)</f>
        <v>189.21991440000002</v>
      </c>
      <c r="G7" s="16">
        <f>INDEX('Import CO_25'!$A$4:$E$134,MATCH($A7,'Import CO_25'!$A$4:$A$134,0),MATCH(G$3,'Import CO_25'!$A$4:$E$4,0))
*(1+'Parametri MTR-3'!$J$6)
*(1+'Parametri MTR-3'!$K$6)</f>
        <v>190794.41436</v>
      </c>
    </row>
    <row r="8" spans="1:7" outlineLevel="1" x14ac:dyDescent="0.2">
      <c r="A8" s="7" t="s">
        <v>3280</v>
      </c>
      <c r="B8" s="14" t="s">
        <v>4</v>
      </c>
      <c r="C8" s="15">
        <f t="shared" si="0"/>
        <v>3248497.9972983999</v>
      </c>
      <c r="D8" s="6"/>
      <c r="E8" s="16">
        <f>INDEX('Import CO_25'!$A$4:$E$134,MATCH($A8,'Import CO_25'!$A$4:$A$134,0),MATCH(E$3,'Import CO_25'!$A$4:$E$4,0))
*(1+'Parametri MTR-3'!$J$6)
*(1+'Parametri MTR-3'!$K$6)</f>
        <v>2683893.7774</v>
      </c>
      <c r="F8" s="16">
        <f>INDEX('Import CO_25'!$A$4:$E$134,MATCH($A8,'Import CO_25'!$A$4:$A$134,0),MATCH(F$3,'Import CO_25'!$A$4:$E$4,0))
*(1+'Parametri MTR-3'!$J$6)
*(1+'Parametri MTR-3'!$K$6)</f>
        <v>564604.21989840001</v>
      </c>
      <c r="G8" s="16">
        <f>INDEX('Import CO_25'!$A$4:$E$134,MATCH($A8,'Import CO_25'!$A$4:$A$134,0),MATCH(G$3,'Import CO_25'!$A$4:$E$4,0))
*(1+'Parametri MTR-3'!$J$6)
*(1+'Parametri MTR-3'!$K$6)</f>
        <v>0</v>
      </c>
    </row>
    <row r="9" spans="1:7" outlineLevel="1" x14ac:dyDescent="0.2">
      <c r="A9" s="7" t="s">
        <v>3286</v>
      </c>
      <c r="B9" s="14" t="s">
        <v>5</v>
      </c>
      <c r="C9" s="15">
        <f t="shared" si="0"/>
        <v>5947156.6116160005</v>
      </c>
      <c r="D9" s="6"/>
      <c r="E9" s="16">
        <f>INDEX('Import CO_25'!$A$4:$E$134,MATCH($A9,'Import CO_25'!$A$4:$A$134,0),MATCH(E$3,'Import CO_25'!$A$4:$E$4,0))
*(1+'Parametri MTR-3'!$J$6)
*(1+'Parametri MTR-3'!$K$6)</f>
        <v>5088469.7256800001</v>
      </c>
      <c r="F9" s="16">
        <f>INDEX('Import CO_25'!$A$4:$E$134,MATCH($A9,'Import CO_25'!$A$4:$A$134,0),MATCH(F$3,'Import CO_25'!$A$4:$E$4,0))
*(1+'Parametri MTR-3'!$J$6)
*(1+'Parametri MTR-3'!$K$6)</f>
        <v>434936.80137600005</v>
      </c>
      <c r="G9" s="16">
        <f>INDEX('Import CO_25'!$A$4:$E$134,MATCH($A9,'Import CO_25'!$A$4:$A$134,0),MATCH(G$3,'Import CO_25'!$A$4:$E$4,0))
*(1+'Parametri MTR-3'!$J$6)
*(1+'Parametri MTR-3'!$K$6)</f>
        <v>423750.08456000005</v>
      </c>
    </row>
    <row r="10" spans="1:7" ht="11.4" outlineLevel="1" x14ac:dyDescent="0.2">
      <c r="A10" s="85" t="s">
        <v>2494</v>
      </c>
      <c r="B10" s="14" t="s">
        <v>5438</v>
      </c>
      <c r="C10" s="17">
        <f t="shared" si="0"/>
        <v>0</v>
      </c>
      <c r="D10" s="6"/>
      <c r="E10" s="16">
        <f>INDEX(IN_COexp!$A$3:$AAA$269,MATCH($A10,IN_COexp!$A$3:$A$269,0),MATCH(E$3,IN_COexp!$A$3:$AAA$3,0))</f>
        <v>0</v>
      </c>
      <c r="F10" s="16">
        <f>INDEX(IN_COexp!$A$3:$AAA$269,MATCH($A10,IN_COexp!$A$3:$A$269,0),MATCH(F$3,IN_COexp!$A$3:$AAA$3,0))</f>
        <v>0</v>
      </c>
      <c r="G10" s="16">
        <f>INDEX(IN_COexp!$A$3:$AAA$269,MATCH($A10,IN_COexp!$A$3:$A$269,0),MATCH(G$3,IN_COexp!$A$3:$AAA$3,0))</f>
        <v>0</v>
      </c>
    </row>
    <row r="11" spans="1:7" ht="11.4" outlineLevel="1" x14ac:dyDescent="0.2">
      <c r="A11" s="85" t="s">
        <v>1017</v>
      </c>
      <c r="B11" s="14" t="s">
        <v>5439</v>
      </c>
      <c r="C11" s="17">
        <f t="shared" si="0"/>
        <v>0</v>
      </c>
      <c r="D11" s="6"/>
      <c r="E11" s="18">
        <f>INDEX(IN_COexp!$A$3:$AAA$269,MATCH($A11,IN_COexp!$A$3:$A$269,0),MATCH(E$3,IN_COexp!$A$3:$AAA$3,0))</f>
        <v>0</v>
      </c>
      <c r="F11" s="18">
        <f>INDEX(IN_COexp!$A$3:$AAA$269,MATCH($A11,IN_COexp!$A$3:$A$269,0),MATCH(F$3,IN_COexp!$A$3:$AAA$3,0))</f>
        <v>0</v>
      </c>
      <c r="G11" s="18">
        <f>INDEX(IN_COexp!$A$3:$AAA$269,MATCH($A11,IN_COexp!$A$3:$A$269,0),MATCH(G$3,IN_COexp!$A$3:$AAA$3,0))</f>
        <v>0</v>
      </c>
    </row>
    <row r="12" spans="1:7" ht="11.4" outlineLevel="1" x14ac:dyDescent="0.2">
      <c r="A12" s="85" t="s">
        <v>1026</v>
      </c>
      <c r="B12" s="14" t="s">
        <v>5440</v>
      </c>
      <c r="C12" s="17">
        <f t="shared" si="0"/>
        <v>0</v>
      </c>
      <c r="D12" s="6"/>
      <c r="E12" s="18">
        <f>INDEX(IN_COexp!$A$3:$AAA$269,MATCH($A12,IN_COexp!$A$3:$A$269,0),MATCH(E$3,IN_COexp!$A$3:$AAA$3,0))</f>
        <v>0</v>
      </c>
      <c r="F12" s="18">
        <f>INDEX(IN_COexp!$A$3:$AAA$269,MATCH($A12,IN_COexp!$A$3:$A$269,0),MATCH(F$3,IN_COexp!$A$3:$AAA$3,0))</f>
        <v>0</v>
      </c>
      <c r="G12" s="18">
        <f>INDEX(IN_COexp!$A$3:$AAA$269,MATCH($A12,IN_COexp!$A$3:$A$269,0),MATCH(G$3,IN_COexp!$A$3:$AAA$3,0))</f>
        <v>0</v>
      </c>
    </row>
    <row r="13" spans="1:7" ht="11.4" outlineLevel="1" x14ac:dyDescent="0.2">
      <c r="A13" s="85" t="s">
        <v>2219</v>
      </c>
      <c r="B13" s="14" t="s">
        <v>5441</v>
      </c>
      <c r="C13" s="17">
        <f t="shared" si="0"/>
        <v>0</v>
      </c>
      <c r="D13" s="6"/>
      <c r="E13" s="18">
        <f>INDEX(IN_COexp!$A$3:$AAA$269,MATCH($A13,IN_COexp!$A$3:$A$269,0),MATCH(E$3,IN_COexp!$A$3:$AAA$3,0))</f>
        <v>0</v>
      </c>
      <c r="F13" s="18">
        <f>INDEX(IN_COexp!$A$3:$AAA$269,MATCH($A13,IN_COexp!$A$3:$A$269,0),MATCH(F$3,IN_COexp!$A$3:$AAA$3,0))</f>
        <v>0</v>
      </c>
      <c r="G13" s="18">
        <f>INDEX(IN_COexp!$A$3:$AAA$269,MATCH($A13,IN_COexp!$A$3:$A$269,0),MATCH(G$3,IN_COexp!$A$3:$AAA$3,0))</f>
        <v>0</v>
      </c>
    </row>
    <row r="14" spans="1:7" ht="11.4" outlineLevel="1" x14ac:dyDescent="0.2">
      <c r="A14" s="85" t="s">
        <v>2291</v>
      </c>
      <c r="B14" s="14" t="s">
        <v>5442</v>
      </c>
      <c r="C14" s="17">
        <f t="shared" si="0"/>
        <v>0</v>
      </c>
      <c r="D14" s="6"/>
      <c r="E14" s="18">
        <f>INDEX(IN_COexp!$A$3:$AAA$269,MATCH($A14,IN_COexp!$A$3:$A$269,0),MATCH(E$3,IN_COexp!$A$3:$AAA$3,0))</f>
        <v>0</v>
      </c>
      <c r="F14" s="18">
        <f>INDEX(IN_COexp!$A$3:$AAA$269,MATCH($A14,IN_COexp!$A$3:$A$269,0),MATCH(F$3,IN_COexp!$A$3:$AAA$3,0))</f>
        <v>0</v>
      </c>
      <c r="G14" s="18">
        <f>INDEX(IN_COexp!$A$3:$AAA$269,MATCH($A14,IN_COexp!$A$3:$A$269,0),MATCH(G$3,IN_COexp!$A$3:$AAA$3,0))</f>
        <v>0</v>
      </c>
    </row>
    <row r="15" spans="1:7" ht="11.4" outlineLevel="1" x14ac:dyDescent="0.2">
      <c r="A15" s="85" t="s">
        <v>1035</v>
      </c>
      <c r="B15" s="14" t="s">
        <v>5443</v>
      </c>
      <c r="C15" s="17">
        <f t="shared" si="0"/>
        <v>0</v>
      </c>
      <c r="D15" s="6"/>
      <c r="E15" s="18">
        <f>INDEX(IN_COexp!$A$3:$AAA$269,MATCH($A15,IN_COexp!$A$3:$A$269,0),MATCH(E$3,IN_COexp!$A$3:$AAA$3,0))</f>
        <v>0</v>
      </c>
      <c r="F15" s="18">
        <f>INDEX(IN_COexp!$A$3:$AAA$269,MATCH($A15,IN_COexp!$A$3:$A$269,0),MATCH(F$3,IN_COexp!$A$3:$AAA$3,0))</f>
        <v>0</v>
      </c>
      <c r="G15" s="18">
        <f>INDEX(IN_COexp!$A$3:$AAA$269,MATCH($A15,IN_COexp!$A$3:$A$269,0),MATCH(G$3,IN_COexp!$A$3:$AAA$3,0))</f>
        <v>0</v>
      </c>
    </row>
    <row r="16" spans="1:7" outlineLevel="1" x14ac:dyDescent="0.2">
      <c r="A16" s="85" t="s">
        <v>983</v>
      </c>
      <c r="B16" s="736" t="s">
        <v>7</v>
      </c>
      <c r="C16" s="737"/>
      <c r="D16" s="19"/>
      <c r="E16" s="740">
        <f>INDEX(IN_PAR!$A$3:$YE$413,MATCH($A16,IN_PAR!$A$3:$A$413,0),MATCH(E$3,IN_PAR!$A$3:$YE$3,0))</f>
        <v>0.7</v>
      </c>
      <c r="F16" s="740">
        <f>INDEX(IN_PAR!$A$3:$YE$413,MATCH($A16,IN_PAR!$A$3:$A$413,0),MATCH(F$3,IN_PAR!$A$3:$YE$3,0))</f>
        <v>0</v>
      </c>
      <c r="G16" s="740">
        <f>INDEX(IN_PAR!$A$3:$YE$413,MATCH($A16,IN_PAR!$A$3:$A$413,0),MATCH(G$3,IN_PAR!$A$3:$YE$3,0))</f>
        <v>0</v>
      </c>
    </row>
    <row r="17" spans="1:7" outlineLevel="1" x14ac:dyDescent="0.2">
      <c r="A17" s="7" t="s">
        <v>5137</v>
      </c>
      <c r="B17" s="26" t="s">
        <v>6</v>
      </c>
      <c r="C17" s="27">
        <f t="shared" ref="C17:C22" si="1">SUM(E17:G17)</f>
        <v>882043.96798319998</v>
      </c>
      <c r="D17" s="6"/>
      <c r="E17" s="28">
        <f>INDEX('Import CO_25'!$A$4:$E$134,MATCH($A17,'Import CO_25'!$A$4:$A$134,0),MATCH(E$3,'Import CO_25'!$A$4:$E$4,0))
*(1+'Parametri MTR-3'!$J$6)
*(1+'Parametri MTR-3'!$K$6)</f>
        <v>770996.38968000002</v>
      </c>
      <c r="F17" s="28">
        <f>INDEX('Import CO_25'!$A$4:$E$134,MATCH($A17,'Import CO_25'!$A$4:$A$134,0),MATCH(F$3,'Import CO_25'!$A$4:$E$4,0))
*(1+'Parametri MTR-3'!$J$6)
*(1+'Parametri MTR-3'!$K$6)</f>
        <v>62985.664183200002</v>
      </c>
      <c r="G17" s="28">
        <f>INDEX('Import CO_25'!$A$4:$E$134,MATCH($A17,'Import CO_25'!$A$4:$A$134,0),MATCH(G$3,'Import CO_25'!$A$4:$E$4,0))
*(1+'Parametri MTR-3'!$J$6)
*(1+'Parametri MTR-3'!$K$6)</f>
        <v>48061.914120000001</v>
      </c>
    </row>
    <row r="18" spans="1:7" ht="11.4" outlineLevel="1" x14ac:dyDescent="0.2">
      <c r="A18" s="7" t="s">
        <v>5140</v>
      </c>
      <c r="B18" s="26" t="s">
        <v>101</v>
      </c>
      <c r="C18" s="27">
        <f t="shared" si="1"/>
        <v>802657.26690159983</v>
      </c>
      <c r="D18" s="6"/>
      <c r="E18" s="28">
        <f>INDEX('Import CO_25'!$A$4:$E$134,MATCH($A18,'Import CO_25'!$A$4:$A$134,0),MATCH(E$3,'Import CO_25'!$A$4:$E$4,0))
*(1+'Parametri MTR-3'!$J$6)
*(1+'Parametri MTR-3'!$K$6)</f>
        <v>679391.85995999991</v>
      </c>
      <c r="F18" s="28">
        <f>INDEX('Import CO_25'!$A$4:$E$134,MATCH($A18,'Import CO_25'!$A$4:$A$134,0),MATCH(F$3,'Import CO_25'!$A$4:$E$4,0))
*(1+'Parametri MTR-3'!$J$6)
*(1+'Parametri MTR-3'!$K$6)</f>
        <v>81889.756581599999</v>
      </c>
      <c r="G18" s="28">
        <f>INDEX('Import CO_25'!$A$4:$E$134,MATCH($A18,'Import CO_25'!$A$4:$A$134,0),MATCH(G$3,'Import CO_25'!$A$4:$E$4,0))
*(1+'Parametri MTR-3'!$J$6)
*(1+'Parametri MTR-3'!$K$6)</f>
        <v>41375.65036</v>
      </c>
    </row>
    <row r="19" spans="1:7" ht="11.4" outlineLevel="1" x14ac:dyDescent="0.2">
      <c r="A19" s="7" t="s">
        <v>5902</v>
      </c>
      <c r="B19" s="738" t="s">
        <v>5437</v>
      </c>
      <c r="C19" s="739">
        <f t="shared" si="1"/>
        <v>1015271.774748</v>
      </c>
      <c r="D19" s="6"/>
      <c r="E19" s="741">
        <f>E16*(E17+E18)</f>
        <v>1015271.774748</v>
      </c>
      <c r="F19" s="741">
        <f>F16*(F17+F18)</f>
        <v>0</v>
      </c>
      <c r="G19" s="741">
        <f>G16*(G17+G18)</f>
        <v>0</v>
      </c>
    </row>
    <row r="20" spans="1:7" ht="11.4" outlineLevel="1" x14ac:dyDescent="0.2">
      <c r="A20" s="85" t="s">
        <v>3035</v>
      </c>
      <c r="B20" s="703" t="s">
        <v>102</v>
      </c>
      <c r="C20" s="704">
        <f t="shared" si="1"/>
        <v>831700.8566887714</v>
      </c>
      <c r="D20" s="6"/>
      <c r="E20" s="706">
        <f>INDEX('IN_RC-T'!$A$3:$AAA$865,MATCH($A20,'IN_RC-T'!$A$3:$A$865,0),MATCH(E$3,'IN_RC-T'!$A$3:$AAA$3,0))</f>
        <v>831700.8566887714</v>
      </c>
      <c r="F20" s="706">
        <f>INDEX('IN_RC-T'!$A$3:$AAA$865,MATCH($A20,'IN_RC-T'!$A$3:$A$865,0),MATCH(F$3,'IN_RC-T'!$A$3:$AAA$3,0))</f>
        <v>0</v>
      </c>
      <c r="G20" s="706">
        <f>INDEX('IN_RC-T'!$A$3:$AAA$865,MATCH($A20,'IN_RC-T'!$A$3:$A$865,0),MATCH(G$3,'IN_RC-T'!$A$3:$AAA$3,0))</f>
        <v>0</v>
      </c>
    </row>
    <row r="21" spans="1:7" ht="11.4" outlineLevel="1" x14ac:dyDescent="0.2">
      <c r="A21" s="7" t="s">
        <v>6797</v>
      </c>
      <c r="B21" s="705" t="s">
        <v>5444</v>
      </c>
      <c r="C21" s="985">
        <f t="shared" si="1"/>
        <v>315566.36782700795</v>
      </c>
      <c r="D21" s="986"/>
      <c r="E21" s="984">
        <f>INDEX('IN_RC-T'!$A$3:$AAA$865,MATCH($A21,'IN_RC-T'!$A$3:$A$865,0),MATCH(E$3,'IN_RC-T'!$A$3:$AAA$3,0))</f>
        <v>315566.36782700795</v>
      </c>
      <c r="F21" s="984">
        <f>INDEX('IN_RC-T'!$A$3:$AAA$865,MATCH($A21,'IN_RC-T'!$A$3:$A$865,0),MATCH(F$3,'IN_RC-T'!$A$3:$AAA$3,0))</f>
        <v>0</v>
      </c>
      <c r="G21" s="984">
        <f>INDEX('IN_RC-T'!$A$3:$AAA$865,MATCH($A21,'IN_RC-T'!$A$3:$A$865,0),MATCH(G$3,'IN_RC-T'!$A$3:$AAA$3,0))</f>
        <v>0</v>
      </c>
    </row>
    <row r="22" spans="1:7" outlineLevel="1" x14ac:dyDescent="0.2">
      <c r="A22" s="85" t="s">
        <v>5499</v>
      </c>
      <c r="B22" s="21" t="s">
        <v>109</v>
      </c>
      <c r="C22" s="22">
        <f t="shared" si="1"/>
        <v>0</v>
      </c>
      <c r="D22" s="6"/>
      <c r="E22" s="23"/>
      <c r="F22" s="23"/>
      <c r="G22" s="23"/>
    </row>
    <row r="23" spans="1:7" outlineLevel="1" x14ac:dyDescent="0.2">
      <c r="B23" s="24"/>
      <c r="C23" s="25"/>
      <c r="D23" s="6"/>
      <c r="E23" s="5"/>
      <c r="F23" s="5"/>
      <c r="G23" s="5"/>
    </row>
    <row r="24" spans="1:7" s="13" customFormat="1" ht="11.4" outlineLevel="1" x14ac:dyDescent="0.3">
      <c r="A24" s="31" t="s">
        <v>5500</v>
      </c>
      <c r="B24" s="680" t="s">
        <v>5558</v>
      </c>
      <c r="C24" s="11">
        <f t="shared" ref="C24:C48" si="2">SUM(E24:G24)</f>
        <v>7902432.5896523157</v>
      </c>
      <c r="D24" s="6"/>
      <c r="E24" s="12">
        <f>E25+E30+E40+SUM(E41:E46)+E48</f>
        <v>7652796.8636533553</v>
      </c>
      <c r="F24" s="12">
        <f>F25+F30+F40+SUM(F41:F46)+F48</f>
        <v>129706.70226632972</v>
      </c>
      <c r="G24" s="12">
        <f>G25+G30+G40+SUM(G41:G46)+G48</f>
        <v>119929.02373263093</v>
      </c>
    </row>
    <row r="25" spans="1:7" outlineLevel="1" x14ac:dyDescent="0.2">
      <c r="A25" s="7" t="s">
        <v>3311</v>
      </c>
      <c r="B25" s="14" t="s">
        <v>11</v>
      </c>
      <c r="C25" s="15">
        <f t="shared" si="2"/>
        <v>2433783.1588399997</v>
      </c>
      <c r="D25" s="6"/>
      <c r="E25" s="16">
        <f>INDEX('Import CO_25'!$A$4:$E$134,MATCH($A25,'Import CO_25'!$A$4:$A$134,0),MATCH(E$3,'Import CO_25'!$A$4:$E$4,0))
*(1+'Parametri MTR-3'!$J$6)
*(1+'Parametri MTR-3'!$K$6)</f>
        <v>2380990.7114399998</v>
      </c>
      <c r="F25" s="16">
        <f>INDEX('Import CO_25'!$A$4:$E$134,MATCH($A25,'Import CO_25'!$A$4:$A$134,0),MATCH(F$3,'Import CO_25'!$A$4:$E$4,0))
*(1+'Parametri MTR-3'!$J$6)
*(1+'Parametri MTR-3'!$K$6)</f>
        <v>0</v>
      </c>
      <c r="G25" s="16">
        <f>INDEX('Import CO_25'!$A$4:$E$134,MATCH($A25,'Import CO_25'!$A$4:$A$134,0),MATCH(G$3,'Import CO_25'!$A$4:$E$4,0))
*(1+'Parametri MTR-3'!$J$6)
*(1+'Parametri MTR-3'!$K$6)</f>
        <v>52792.447399999997</v>
      </c>
    </row>
    <row r="26" spans="1:7" outlineLevel="1" x14ac:dyDescent="0.2">
      <c r="A26" s="7" t="s">
        <v>3317</v>
      </c>
      <c r="B26" s="26" t="s">
        <v>13</v>
      </c>
      <c r="C26" s="27">
        <f t="shared" si="2"/>
        <v>654540.42896000005</v>
      </c>
      <c r="D26" s="6"/>
      <c r="E26" s="28">
        <f>INDEX('Import CO_25'!$A$4:$E$134,MATCH($A26,'Import CO_25'!$A$4:$A$134,0),MATCH(E$3,'Import CO_25'!$A$4:$E$4,0))
*(1+'Parametri MTR-3'!$J$6)
*(1+'Parametri MTR-3'!$K$6)</f>
        <v>654540.42896000005</v>
      </c>
      <c r="F26" s="28">
        <f>INDEX('Import CO_25'!$A$4:$E$134,MATCH($A26,'Import CO_25'!$A$4:$A$134,0),MATCH(F$3,'Import CO_25'!$A$4:$E$4,0))
*(1+'Parametri MTR-3'!$J$6)
*(1+'Parametri MTR-3'!$K$6)</f>
        <v>0</v>
      </c>
      <c r="G26" s="28">
        <f>INDEX('Import CO_25'!$A$4:$E$134,MATCH($A26,'Import CO_25'!$A$4:$A$134,0),MATCH(G$3,'Import CO_25'!$A$4:$E$4,0))
*(1+'Parametri MTR-3'!$J$6)
*(1+'Parametri MTR-3'!$K$6)</f>
        <v>0</v>
      </c>
    </row>
    <row r="27" spans="1:7" outlineLevel="1" x14ac:dyDescent="0.2">
      <c r="A27" s="7" t="s">
        <v>3323</v>
      </c>
      <c r="B27" s="26" t="s">
        <v>14</v>
      </c>
      <c r="C27" s="27">
        <f t="shared" si="2"/>
        <v>1851949.6199159999</v>
      </c>
      <c r="D27" s="6"/>
      <c r="E27" s="28">
        <f>INDEX('Import CO_25'!$A$4:$E$134,MATCH($A27,'Import CO_25'!$A$4:$A$134,0),MATCH(E$3,'Import CO_25'!$A$4:$E$4,0))
*(1+'Parametri MTR-3'!$J$6)
*(1+'Parametri MTR-3'!$K$6)</f>
        <v>1750717.3543199999</v>
      </c>
      <c r="F27" s="28">
        <f>INDEX('Import CO_25'!$A$4:$E$134,MATCH($A27,'Import CO_25'!$A$4:$A$134,0),MATCH(F$3,'Import CO_25'!$A$4:$E$4,0))
*(1+'Parametri MTR-3'!$J$6)
*(1+'Parametri MTR-3'!$K$6)</f>
        <v>52656.265596000005</v>
      </c>
      <c r="G27" s="28">
        <f>INDEX('Import CO_25'!$A$4:$E$134,MATCH($A27,'Import CO_25'!$A$4:$A$134,0),MATCH(G$3,'Import CO_25'!$A$4:$E$4,0))
*(1+'Parametri MTR-3'!$J$6)
*(1+'Parametri MTR-3'!$K$6)</f>
        <v>48576</v>
      </c>
    </row>
    <row r="28" spans="1:7" outlineLevel="1" x14ac:dyDescent="0.2">
      <c r="A28" s="7" t="s">
        <v>3329</v>
      </c>
      <c r="B28" s="26" t="s">
        <v>15</v>
      </c>
      <c r="C28" s="27">
        <f t="shared" si="2"/>
        <v>0</v>
      </c>
      <c r="D28" s="6"/>
      <c r="E28" s="28">
        <f>INDEX('Import CO_25'!$A$4:$E$134,MATCH($A28,'Import CO_25'!$A$4:$A$134,0),MATCH(E$3,'Import CO_25'!$A$4:$E$4,0))
*(1+'Parametri MTR-3'!$J$6)
*(1+'Parametri MTR-3'!$K$6)</f>
        <v>0</v>
      </c>
      <c r="F28" s="28">
        <f>INDEX('Import CO_25'!$A$4:$E$134,MATCH($A28,'Import CO_25'!$A$4:$A$134,0),MATCH(F$3,'Import CO_25'!$A$4:$E$4,0))
*(1+'Parametri MTR-3'!$J$6)
*(1+'Parametri MTR-3'!$K$6)</f>
        <v>0</v>
      </c>
      <c r="G28" s="28">
        <f>INDEX('Import CO_25'!$A$4:$E$134,MATCH($A28,'Import CO_25'!$A$4:$A$134,0),MATCH(G$3,'Import CO_25'!$A$4:$E$4,0))
*(1+'Parametri MTR-3'!$J$6)
*(1+'Parametri MTR-3'!$K$6)</f>
        <v>0</v>
      </c>
    </row>
    <row r="29" spans="1:7" ht="11.4" outlineLevel="1" x14ac:dyDescent="0.2">
      <c r="A29" s="7" t="s">
        <v>3335</v>
      </c>
      <c r="B29" s="52" t="s">
        <v>16</v>
      </c>
      <c r="C29" s="53">
        <f t="shared" si="2"/>
        <v>0</v>
      </c>
      <c r="D29" s="6"/>
      <c r="E29" s="54">
        <f>INDEX('Import CO_25'!$A$4:$E$134,MATCH($A29,'Import CO_25'!$A$4:$A$134,0),MATCH(E$3,'Import CO_25'!$A$4:$E$4,0))
*(1+'Parametri MTR-3'!$J$6)
*(1+'Parametri MTR-3'!$K$6)</f>
        <v>0</v>
      </c>
      <c r="F29" s="54">
        <f>INDEX('Import CO_25'!$A$4:$E$134,MATCH($A29,'Import CO_25'!$A$4:$A$134,0),MATCH(F$3,'Import CO_25'!$A$4:$E$4,0))
*(1+'Parametri MTR-3'!$J$6)
*(1+'Parametri MTR-3'!$K$6)</f>
        <v>0</v>
      </c>
      <c r="G29" s="54">
        <f>INDEX('Import CO_25'!$A$4:$E$134,MATCH($A29,'Import CO_25'!$A$4:$A$134,0),MATCH(G$3,'Import CO_25'!$A$4:$E$4,0))
*(1+'Parametri MTR-3'!$J$6)
*(1+'Parametri MTR-3'!$K$6)</f>
        <v>0</v>
      </c>
    </row>
    <row r="30" spans="1:7" outlineLevel="1" x14ac:dyDescent="0.2">
      <c r="A30" s="7" t="s">
        <v>5501</v>
      </c>
      <c r="B30" s="684" t="s">
        <v>12</v>
      </c>
      <c r="C30" s="685">
        <f t="shared" si="2"/>
        <v>2506490.0488760001</v>
      </c>
      <c r="D30" s="6"/>
      <c r="E30" s="686">
        <f>SUM(E26:E29)</f>
        <v>2405257.7832800001</v>
      </c>
      <c r="F30" s="686">
        <f>SUM(F26:F29)</f>
        <v>52656.265596000005</v>
      </c>
      <c r="G30" s="686">
        <f>SUM(G26:G29)</f>
        <v>48576</v>
      </c>
    </row>
    <row r="31" spans="1:7" outlineLevel="1" x14ac:dyDescent="0.2">
      <c r="A31" s="85" t="s">
        <v>3341</v>
      </c>
      <c r="B31" s="26" t="s">
        <v>18</v>
      </c>
      <c r="C31" s="27">
        <f t="shared" si="2"/>
        <v>814002.5713115395</v>
      </c>
      <c r="D31" s="6"/>
      <c r="E31" s="28">
        <f>INDEX(CK_GEST!$A$3:$AAA$158,MATCH($A31,CK_GEST!$A$3:$A$158,0),MATCH(E$3,CK_GEST!$A$3:$AAA$3,0))</f>
        <v>769215.86820567632</v>
      </c>
      <c r="F31" s="28">
        <f>INDEX(CK_GEST!$A$3:$AAA$158,MATCH($A31,CK_GEST!$A$3:$A$158,0),MATCH(F$3,CK_GEST!$A$3:$AAA$3,0))</f>
        <v>44786.703105863213</v>
      </c>
      <c r="G31" s="28">
        <f>INDEX(CK_GEST!$A$3:$AAA$158,MATCH($A31,CK_GEST!$A$3:$A$158,0),MATCH(G$3,CK_GEST!$A$3:$AAA$3,0))</f>
        <v>0</v>
      </c>
    </row>
    <row r="32" spans="1:7" outlineLevel="1" x14ac:dyDescent="0.2">
      <c r="A32" s="7" t="s">
        <v>3359</v>
      </c>
      <c r="B32" s="687" t="s">
        <v>19</v>
      </c>
      <c r="C32" s="688">
        <f t="shared" si="2"/>
        <v>910110.82799999998</v>
      </c>
      <c r="D32" s="6"/>
      <c r="E32" s="689">
        <f>SUM(E33:E36)</f>
        <v>910110.82799999998</v>
      </c>
      <c r="F32" s="689">
        <f>SUM(F33:F36)</f>
        <v>0</v>
      </c>
      <c r="G32" s="689">
        <f>SUM(G33:G36)</f>
        <v>0</v>
      </c>
    </row>
    <row r="33" spans="1:7" outlineLevel="1" x14ac:dyDescent="0.2">
      <c r="A33" s="85" t="s">
        <v>3347</v>
      </c>
      <c r="B33" s="690" t="s">
        <v>20</v>
      </c>
      <c r="C33" s="691">
        <f t="shared" si="2"/>
        <v>0</v>
      </c>
      <c r="D33" s="6"/>
      <c r="E33" s="696">
        <f>INDEX('Import CO_25'!$A$4:$E$134,MATCH($A33,'Import CO_25'!$A$4:$A$134,0),MATCH(E$3,'Import CO_25'!$A$4:$E$4,0))
*(1+'Parametri MTR-3'!$J$6)
*(1+'Parametri MTR-3'!$K$6)</f>
        <v>0</v>
      </c>
      <c r="F33" s="696">
        <f>INDEX('Import CO_25'!$A$4:$E$134,MATCH($A33,'Import CO_25'!$A$4:$A$134,0),MATCH(F$3,'Import CO_25'!$A$4:$E$4,0))
*(1+'Parametri MTR-3'!$J$6)
*(1+'Parametri MTR-3'!$K$6)</f>
        <v>0</v>
      </c>
      <c r="G33" s="696">
        <f>INDEX('Import CO_25'!$A$4:$E$134,MATCH($A33,'Import CO_25'!$A$4:$A$134,0),MATCH(G$3,'Import CO_25'!$A$4:$E$4,0))
*(1+'Parametri MTR-3'!$J$6)
*(1+'Parametri MTR-3'!$K$6)</f>
        <v>0</v>
      </c>
    </row>
    <row r="34" spans="1:7" outlineLevel="1" x14ac:dyDescent="0.2">
      <c r="A34" s="85" t="s">
        <v>3350</v>
      </c>
      <c r="B34" s="692" t="s">
        <v>21</v>
      </c>
      <c r="C34" s="693">
        <f t="shared" si="2"/>
        <v>910110.82799999998</v>
      </c>
      <c r="D34" s="6"/>
      <c r="E34" s="697">
        <f>INDEX('Import CO_25'!$A$4:$E$134,MATCH($A34,'Import CO_25'!$A$4:$A$134,0),MATCH(E$3,'Import CO_25'!$A$4:$E$4,0))
*(1+'Parametri MTR-3'!$J$6)
*(1+'Parametri MTR-3'!$K$6)</f>
        <v>910110.82799999998</v>
      </c>
      <c r="F34" s="697">
        <f>INDEX('Import CO_25'!$A$4:$E$134,MATCH($A34,'Import CO_25'!$A$4:$A$134,0),MATCH(F$3,'Import CO_25'!$A$4:$E$4,0))
*(1+'Parametri MTR-3'!$J$6)
*(1+'Parametri MTR-3'!$K$6)</f>
        <v>0</v>
      </c>
      <c r="G34" s="697">
        <f>INDEX('Import CO_25'!$A$4:$E$134,MATCH($A34,'Import CO_25'!$A$4:$A$134,0),MATCH(G$3,'Import CO_25'!$A$4:$E$4,0))
*(1+'Parametri MTR-3'!$J$6)
*(1+'Parametri MTR-3'!$K$6)</f>
        <v>0</v>
      </c>
    </row>
    <row r="35" spans="1:7" outlineLevel="1" x14ac:dyDescent="0.2">
      <c r="A35" s="85" t="s">
        <v>3353</v>
      </c>
      <c r="B35" s="692" t="s">
        <v>22</v>
      </c>
      <c r="C35" s="693">
        <f t="shared" si="2"/>
        <v>0</v>
      </c>
      <c r="D35" s="6"/>
      <c r="E35" s="697">
        <f>INDEX('Import CO_25'!$A$4:$E$134,MATCH($A35,'Import CO_25'!$A$4:$A$134,0),MATCH(E$3,'Import CO_25'!$A$4:$E$4,0))
*(1+'Parametri MTR-3'!$J$6)
*(1+'Parametri MTR-3'!$K$6)</f>
        <v>0</v>
      </c>
      <c r="F35" s="697">
        <f>INDEX('Import CO_25'!$A$4:$E$134,MATCH($A35,'Import CO_25'!$A$4:$A$134,0),MATCH(F$3,'Import CO_25'!$A$4:$E$4,0))
*(1+'Parametri MTR-3'!$J$6)
*(1+'Parametri MTR-3'!$K$6)</f>
        <v>0</v>
      </c>
      <c r="G35" s="697">
        <f>INDEX('Import CO_25'!$A$4:$E$134,MATCH($A35,'Import CO_25'!$A$4:$A$134,0),MATCH(G$3,'Import CO_25'!$A$4:$E$4,0))
*(1+'Parametri MTR-3'!$J$6)
*(1+'Parametri MTR-3'!$K$6)</f>
        <v>0</v>
      </c>
    </row>
    <row r="36" spans="1:7" outlineLevel="1" x14ac:dyDescent="0.2">
      <c r="A36" s="85" t="s">
        <v>3356</v>
      </c>
      <c r="B36" s="694" t="s">
        <v>23</v>
      </c>
      <c r="C36" s="695">
        <f t="shared" si="2"/>
        <v>0</v>
      </c>
      <c r="D36" s="6"/>
      <c r="E36" s="698">
        <f>INDEX('Import CO_25'!$A$4:$E$134,MATCH($A36,'Import CO_25'!$A$4:$A$134,0),MATCH(E$3,'Import CO_25'!$A$4:$E$4,0))
*(1+'Parametri MTR-3'!$J$6)
*(1+'Parametri MTR-3'!$K$6)</f>
        <v>0</v>
      </c>
      <c r="F36" s="698">
        <f>INDEX('Import CO_25'!$A$4:$E$134,MATCH($A36,'Import CO_25'!$A$4:$A$134,0),MATCH(F$3,'Import CO_25'!$A$4:$E$4,0))
*(1+'Parametri MTR-3'!$J$6)
*(1+'Parametri MTR-3'!$K$6)</f>
        <v>0</v>
      </c>
      <c r="G36" s="698">
        <f>INDEX('Import CO_25'!$A$4:$E$134,MATCH($A36,'Import CO_25'!$A$4:$A$134,0),MATCH(G$3,'Import CO_25'!$A$4:$E$4,0))
*(1+'Parametri MTR-3'!$J$6)
*(1+'Parametri MTR-3'!$K$6)</f>
        <v>0</v>
      </c>
    </row>
    <row r="37" spans="1:7" outlineLevel="1" x14ac:dyDescent="0.2">
      <c r="A37" s="85" t="s">
        <v>3377</v>
      </c>
      <c r="B37" s="26" t="s">
        <v>24</v>
      </c>
      <c r="C37" s="27">
        <f t="shared" si="2"/>
        <v>636502.06287353288</v>
      </c>
      <c r="D37" s="6"/>
      <c r="E37" s="28">
        <f>INDEX(CK_GEST!$A$3:$AAA$158,MATCH($A37,CK_GEST!$A$3:$A$158,0),MATCH(E$3,CK_GEST!$A$3:$AAA$3,0))</f>
        <v>585677.75297643547</v>
      </c>
      <c r="F37" s="28">
        <f>INDEX(CK_GEST!$A$3:$AAA$158,MATCH($A37,CK_GEST!$A$3:$A$158,0),MATCH(F$3,CK_GEST!$A$3:$AAA$3,0))</f>
        <v>32263.733564466515</v>
      </c>
      <c r="G37" s="28">
        <f>INDEX(CK_GEST!$A$3:$AAA$158,MATCH($A37,CK_GEST!$A$3:$A$158,0),MATCH(G$3,CK_GEST!$A$3:$AAA$3,0))</f>
        <v>18560.576332630921</v>
      </c>
    </row>
    <row r="38" spans="1:7" ht="11.4" outlineLevel="1" x14ac:dyDescent="0.2">
      <c r="A38" s="85" t="s">
        <v>3383</v>
      </c>
      <c r="B38" s="52" t="s">
        <v>25</v>
      </c>
      <c r="C38" s="53">
        <f t="shared" si="2"/>
        <v>0</v>
      </c>
      <c r="D38" s="6"/>
      <c r="E38" s="54">
        <f>INDEX(CK_GEST!$A$3:$AAA$158,MATCH($A38,CK_GEST!$A$3:$A$158,0),MATCH(E$3,CK_GEST!$A$3:$AAA$3,0))</f>
        <v>0</v>
      </c>
      <c r="F38" s="54">
        <f>INDEX(CK_GEST!$A$3:$AAA$158,MATCH($A38,CK_GEST!$A$3:$A$158,0),MATCH(F$3,CK_GEST!$A$3:$AAA$3,0))</f>
        <v>0</v>
      </c>
      <c r="G38" s="54">
        <f>INDEX(CK_GEST!$A$3:$AAA$158,MATCH($A38,CK_GEST!$A$3:$A$158,0),MATCH(G$3,CK_GEST!$A$3:$AAA$3,0))</f>
        <v>0</v>
      </c>
    </row>
    <row r="39" spans="1:7" ht="11.4" outlineLevel="1" x14ac:dyDescent="0.2">
      <c r="A39" s="85" t="s">
        <v>3389</v>
      </c>
      <c r="B39" s="52" t="s">
        <v>5474</v>
      </c>
      <c r="C39" s="53">
        <f t="shared" si="2"/>
        <v>0</v>
      </c>
      <c r="D39" s="6"/>
      <c r="E39" s="54">
        <f>INDEX(CK_GEST!$A$3:$AAA$158,MATCH($A39,CK_GEST!$A$3:$A$158,0),MATCH(E$3,CK_GEST!$A$3:$AAA$3,0))</f>
        <v>0</v>
      </c>
      <c r="F39" s="54">
        <f>INDEX(CK_GEST!$A$3:$AAA$158,MATCH($A39,CK_GEST!$A$3:$A$158,0),MATCH(F$3,CK_GEST!$A$3:$AAA$3,0))</f>
        <v>0</v>
      </c>
      <c r="G39" s="54">
        <f>INDEX(CK_GEST!$A$3:$AAA$158,MATCH($A39,CK_GEST!$A$3:$A$158,0),MATCH(G$3,CK_GEST!$A$3:$AAA$3,0))</f>
        <v>0</v>
      </c>
    </row>
    <row r="40" spans="1:7" outlineLevel="1" x14ac:dyDescent="0.2">
      <c r="A40" s="7" t="s">
        <v>5502</v>
      </c>
      <c r="B40" s="684" t="s">
        <v>17</v>
      </c>
      <c r="C40" s="685">
        <f t="shared" si="2"/>
        <v>2360615.4621850727</v>
      </c>
      <c r="D40" s="6"/>
      <c r="E40" s="686">
        <f>E31+E32+E37+E38+E39</f>
        <v>2265004.4491821118</v>
      </c>
      <c r="F40" s="686">
        <f>F31+F32+F37+F38+F39</f>
        <v>77050.436670329727</v>
      </c>
      <c r="G40" s="686">
        <f>G31+G32+G37+G38+G39</f>
        <v>18560.576332630921</v>
      </c>
    </row>
    <row r="41" spans="1:7" ht="11.4" outlineLevel="1" x14ac:dyDescent="0.2">
      <c r="A41" s="85" t="s">
        <v>1020</v>
      </c>
      <c r="B41" s="14" t="s">
        <v>5447</v>
      </c>
      <c r="C41" s="17">
        <f t="shared" si="2"/>
        <v>0</v>
      </c>
      <c r="D41" s="6"/>
      <c r="E41" s="16">
        <f>INDEX(IN_COexp!$A$3:$AAA$269,MATCH($A41,IN_COexp!$A$3:$A$269,0),MATCH(E$3,IN_COexp!$A$3:$AAA$3,0))</f>
        <v>0</v>
      </c>
      <c r="F41" s="16">
        <f>INDEX(IN_COexp!$A$3:$AAA$269,MATCH($A41,IN_COexp!$A$3:$A$269,0),MATCH(F$3,IN_COexp!$A$3:$AAA$3,0))</f>
        <v>0</v>
      </c>
      <c r="G41" s="16">
        <f>INDEX(IN_COexp!$A$3:$AAA$269,MATCH($A41,IN_COexp!$A$3:$A$269,0),MATCH(G$3,IN_COexp!$A$3:$AAA$3,0))</f>
        <v>0</v>
      </c>
    </row>
    <row r="42" spans="1:7" ht="11.4" outlineLevel="1" x14ac:dyDescent="0.2">
      <c r="A42" s="85" t="s">
        <v>1029</v>
      </c>
      <c r="B42" s="14" t="s">
        <v>5448</v>
      </c>
      <c r="C42" s="17">
        <f t="shared" si="2"/>
        <v>0</v>
      </c>
      <c r="D42" s="6"/>
      <c r="E42" s="16">
        <f>INDEX(IN_COexp!$A$3:$AAA$269,MATCH($A42,IN_COexp!$A$3:$A$269,0),MATCH(E$3,IN_COexp!$A$3:$AAA$3,0))</f>
        <v>0</v>
      </c>
      <c r="F42" s="16">
        <f>INDEX(IN_COexp!$A$3:$AAA$269,MATCH($A42,IN_COexp!$A$3:$A$269,0),MATCH(F$3,IN_COexp!$A$3:$AAA$3,0))</f>
        <v>0</v>
      </c>
      <c r="G42" s="16">
        <f>INDEX(IN_COexp!$A$3:$AAA$269,MATCH($A42,IN_COexp!$A$3:$A$269,0),MATCH(G$3,IN_COexp!$A$3:$AAA$3,0))</f>
        <v>0</v>
      </c>
    </row>
    <row r="43" spans="1:7" ht="11.4" outlineLevel="1" x14ac:dyDescent="0.2">
      <c r="A43" s="85" t="s">
        <v>2222</v>
      </c>
      <c r="B43" s="14" t="s">
        <v>6410</v>
      </c>
      <c r="C43" s="17">
        <f t="shared" si="2"/>
        <v>0</v>
      </c>
      <c r="D43" s="6"/>
      <c r="E43" s="18">
        <f>INDEX(IN_COexp!$A$3:$AAA$269,MATCH($A43,IN_COexp!$A$3:$A$269,0),MATCH(E$3,IN_COexp!$A$3:$AAA$3,0))</f>
        <v>0</v>
      </c>
      <c r="F43" s="18">
        <f>INDEX(IN_COexp!$A$3:$AAA$269,MATCH($A43,IN_COexp!$A$3:$A$269,0),MATCH(F$3,IN_COexp!$A$3:$AAA$3,0))</f>
        <v>0</v>
      </c>
      <c r="G43" s="18">
        <f>INDEX(IN_COexp!$A$3:$AAA$269,MATCH($A43,IN_COexp!$A$3:$A$269,0),MATCH(G$3,IN_COexp!$A$3:$AAA$3,0))</f>
        <v>0</v>
      </c>
    </row>
    <row r="44" spans="1:7" ht="11.4" outlineLevel="1" x14ac:dyDescent="0.2">
      <c r="A44" s="85" t="s">
        <v>2294</v>
      </c>
      <c r="B44" s="14" t="s">
        <v>6411</v>
      </c>
      <c r="C44" s="17">
        <f t="shared" si="2"/>
        <v>0</v>
      </c>
      <c r="D44" s="6"/>
      <c r="E44" s="18">
        <f>INDEX(IN_COexp!$A$3:$AAA$269,MATCH($A44,IN_COexp!$A$3:$A$269,0),MATCH(E$3,IN_COexp!$A$3:$AAA$3,0))</f>
        <v>0</v>
      </c>
      <c r="F44" s="18">
        <f>INDEX(IN_COexp!$A$3:$AAA$269,MATCH($A44,IN_COexp!$A$3:$A$269,0),MATCH(F$3,IN_COexp!$A$3:$AAA$3,0))</f>
        <v>0</v>
      </c>
      <c r="G44" s="18">
        <f>INDEX(IN_COexp!$A$3:$AAA$269,MATCH($A44,IN_COexp!$A$3:$A$269,0),MATCH(G$3,IN_COexp!$A$3:$AAA$3,0))</f>
        <v>0</v>
      </c>
    </row>
    <row r="45" spans="1:7" ht="11.4" outlineLevel="1" x14ac:dyDescent="0.2">
      <c r="A45" s="85" t="s">
        <v>1038</v>
      </c>
      <c r="B45" s="14" t="s">
        <v>5449</v>
      </c>
      <c r="C45" s="17">
        <f t="shared" si="2"/>
        <v>0</v>
      </c>
      <c r="D45" s="6"/>
      <c r="E45" s="16">
        <f>INDEX(IN_COexp!$A$3:$AAA$269,MATCH($A45,IN_COexp!$A$3:$A$269,0),MATCH(E$3,IN_COexp!$A$3:$AAA$3,0))</f>
        <v>0</v>
      </c>
      <c r="F45" s="16">
        <f>INDEX(IN_COexp!$A$3:$AAA$269,MATCH($A45,IN_COexp!$A$3:$A$269,0),MATCH(F$3,IN_COexp!$A$3:$AAA$3,0))</f>
        <v>0</v>
      </c>
      <c r="G45" s="16">
        <f>INDEX(IN_COexp!$A$3:$AAA$269,MATCH($A45,IN_COexp!$A$3:$A$269,0),MATCH(G$3,IN_COexp!$A$3:$AAA$3,0))</f>
        <v>0</v>
      </c>
    </row>
    <row r="46" spans="1:7" ht="11.4" outlineLevel="1" x14ac:dyDescent="0.2">
      <c r="A46" s="85" t="s">
        <v>3037</v>
      </c>
      <c r="B46" s="703" t="s">
        <v>26</v>
      </c>
      <c r="C46" s="704">
        <f t="shared" si="2"/>
        <v>601543.91975124355</v>
      </c>
      <c r="D46" s="6"/>
      <c r="E46" s="706">
        <f>INDEX('IN_RC-T'!$A$3:$AAA$865,MATCH($A46,'IN_RC-T'!$A$3:$A$865,0),MATCH(E$3,'IN_RC-T'!$A$3:$AAA$3,0))</f>
        <v>601543.91975124355</v>
      </c>
      <c r="F46" s="706">
        <f>INDEX('IN_RC-T'!$A$3:$AAA$865,MATCH($A46,'IN_RC-T'!$A$3:$A$865,0),MATCH(F$3,'IN_RC-T'!$A$3:$AAA$3,0))</f>
        <v>0</v>
      </c>
      <c r="G46" s="706">
        <f>INDEX('IN_RC-T'!$A$3:$AAA$865,MATCH($A46,'IN_RC-T'!$A$3:$A$865,0),MATCH(G$3,'IN_RC-T'!$A$3:$AAA$3,0))</f>
        <v>0</v>
      </c>
    </row>
    <row r="47" spans="1:7" ht="11.4" outlineLevel="1" x14ac:dyDescent="0.2">
      <c r="A47" s="7" t="s">
        <v>6799</v>
      </c>
      <c r="B47" s="705" t="s">
        <v>5450</v>
      </c>
      <c r="C47" s="985">
        <f t="shared" si="2"/>
        <v>224284.56583160121</v>
      </c>
      <c r="D47" s="986"/>
      <c r="E47" s="984">
        <f>INDEX('IN_RC-T'!$A$3:$AAA$865,MATCH($A47,'IN_RC-T'!$A$3:$A$865,0),MATCH(E$3,'IN_RC-T'!$A$3:$AAA$3,0))</f>
        <v>224284.56583160121</v>
      </c>
      <c r="F47" s="984">
        <f>INDEX('IN_RC-T'!$A$3:$AAA$865,MATCH($A47,'IN_RC-T'!$A$3:$A$865,0),MATCH(F$3,'IN_RC-T'!$A$3:$AAA$3,0))</f>
        <v>0</v>
      </c>
      <c r="G47" s="984">
        <f>INDEX('IN_RC-T'!$A$3:$AAA$865,MATCH($A47,'IN_RC-T'!$A$3:$A$865,0),MATCH(G$3,'IN_RC-T'!$A$3:$AAA$3,0))</f>
        <v>0</v>
      </c>
    </row>
    <row r="48" spans="1:7" outlineLevel="1" x14ac:dyDescent="0.2">
      <c r="A48" s="85" t="s">
        <v>5503</v>
      </c>
      <c r="B48" s="21" t="s">
        <v>10</v>
      </c>
      <c r="C48" s="22">
        <f t="shared" si="2"/>
        <v>0</v>
      </c>
      <c r="D48" s="6"/>
      <c r="E48" s="23"/>
      <c r="F48" s="23"/>
      <c r="G48" s="23"/>
    </row>
    <row r="49" spans="1:7" x14ac:dyDescent="0.2">
      <c r="C49" s="25"/>
      <c r="D49" s="6"/>
      <c r="E49" s="5"/>
      <c r="F49" s="5"/>
      <c r="G49" s="5"/>
    </row>
    <row r="50" spans="1:7" s="13" customFormat="1" ht="19.5" customHeight="1" x14ac:dyDescent="0.3">
      <c r="A50" s="31" t="s">
        <v>5504</v>
      </c>
      <c r="B50" s="680" t="s">
        <v>5559</v>
      </c>
      <c r="C50" s="11">
        <f>SUM(E50:G50)</f>
        <v>18490437.041550688</v>
      </c>
      <c r="D50" s="6"/>
      <c r="E50" s="12">
        <f t="shared" ref="E50" si="3">E5+E24</f>
        <v>16399095.851034127</v>
      </c>
      <c r="F50" s="12">
        <f t="shared" ref="F50:G50" si="4">F5+F24</f>
        <v>1250998.5528639297</v>
      </c>
      <c r="G50" s="12">
        <f t="shared" si="4"/>
        <v>840342.63765263092</v>
      </c>
    </row>
    <row r="51" spans="1:7" x14ac:dyDescent="0.2">
      <c r="B51" s="24"/>
      <c r="C51" s="25"/>
      <c r="D51" s="6"/>
      <c r="E51" s="5"/>
      <c r="F51" s="5"/>
      <c r="G51" s="5"/>
    </row>
    <row r="52" spans="1:7" x14ac:dyDescent="0.2">
      <c r="A52" s="85" t="s">
        <v>3649</v>
      </c>
      <c r="B52" s="682" t="s">
        <v>5453</v>
      </c>
      <c r="C52" s="213">
        <f>SUM(E52:G52)</f>
        <v>0</v>
      </c>
      <c r="D52" s="6"/>
      <c r="E52" s="215">
        <f>INDEX('IN_Detr 4.5 del_397'!$A$3:$AAA$1192,MATCH($A52,'IN_Detr 4.5 del_397'!$A$3:$A$1192,0),MATCH(E$3,'IN_Detr 4.5 del_397'!$A$3:$AAA$3,0))</f>
        <v>0</v>
      </c>
      <c r="F52" s="215">
        <f>INDEX('IN_Detr 4.5 del_397'!$A$3:$AAA$1192,MATCH($A52,'IN_Detr 4.5 del_397'!$A$3:$A$1192,0),MATCH(F$3,'IN_Detr 4.5 del_397'!$A$3:$AAA$3,0))</f>
        <v>0</v>
      </c>
      <c r="G52" s="215">
        <f>INDEX('IN_Detr 4.5 del_397'!$A$3:$AAA$1192,MATCH($A52,'IN_Detr 4.5 del_397'!$A$3:$A$1192,0),MATCH(G$3,'IN_Detr 4.5 del_397'!$A$3:$AAA$3,0))</f>
        <v>0</v>
      </c>
    </row>
    <row r="53" spans="1:7" x14ac:dyDescent="0.2">
      <c r="A53" s="85" t="s">
        <v>3652</v>
      </c>
      <c r="B53" s="683" t="s">
        <v>5454</v>
      </c>
      <c r="C53" s="214">
        <f>SUM(E53:G53)</f>
        <v>0</v>
      </c>
      <c r="D53" s="6"/>
      <c r="E53" s="216">
        <f>INDEX('IN_Detr 4.5 del_397'!$A$3:$AAA$1192,MATCH($A53,'IN_Detr 4.5 del_397'!$A$3:$A$1192,0),MATCH(E$3,'IN_Detr 4.5 del_397'!$A$3:$AAA$3,0))</f>
        <v>0</v>
      </c>
      <c r="F53" s="216">
        <f>INDEX('IN_Detr 4.5 del_397'!$A$3:$AAA$1192,MATCH($A53,'IN_Detr 4.5 del_397'!$A$3:$A$1192,0),MATCH(F$3,'IN_Detr 4.5 del_397'!$A$3:$AAA$3,0))</f>
        <v>0</v>
      </c>
      <c r="G53" s="216">
        <f>INDEX('IN_Detr 4.5 del_397'!$A$3:$AAA$1192,MATCH($A53,'IN_Detr 4.5 del_397'!$A$3:$A$1192,0),MATCH(G$3,'IN_Detr 4.5 del_397'!$A$3:$AAA$3,0))</f>
        <v>0</v>
      </c>
    </row>
    <row r="54" spans="1:7" ht="19.5" customHeight="1" x14ac:dyDescent="0.2">
      <c r="A54" s="85" t="s">
        <v>5505</v>
      </c>
      <c r="B54" s="681" t="s">
        <v>5455</v>
      </c>
      <c r="C54" s="131">
        <f>SUM(E54:G54)</f>
        <v>0</v>
      </c>
      <c r="D54" s="130"/>
      <c r="E54" s="132">
        <f>E52+E53</f>
        <v>0</v>
      </c>
      <c r="F54" s="132">
        <f>F52+F53</f>
        <v>0</v>
      </c>
      <c r="G54" s="132">
        <f>G52+G53</f>
        <v>0</v>
      </c>
    </row>
    <row r="56" spans="1:7" ht="11.4" x14ac:dyDescent="0.2">
      <c r="A56" s="31" t="s">
        <v>5506</v>
      </c>
      <c r="B56" s="680" t="s">
        <v>5560</v>
      </c>
      <c r="C56" s="11">
        <f t="shared" ref="C56:C66" si="5">SUM(E56:G56)</f>
        <v>10588004.451898372</v>
      </c>
      <c r="D56" s="6"/>
      <c r="E56" s="12">
        <f>SUM(E57:E66)-E70+E71+E73</f>
        <v>8746298.9873807728</v>
      </c>
      <c r="F56" s="12">
        <f>SUM(F57:F66)-F70+F71+F73</f>
        <v>1121291.8505976</v>
      </c>
      <c r="G56" s="12">
        <f>SUM(G57:G66)-G70+G71+G73</f>
        <v>720413.61392000003</v>
      </c>
    </row>
    <row r="57" spans="1:7" outlineLevel="1" x14ac:dyDescent="0.2">
      <c r="A57" s="7" t="s">
        <v>3270</v>
      </c>
      <c r="B57" s="14" t="s">
        <v>1</v>
      </c>
      <c r="C57" s="15">
        <f t="shared" si="5"/>
        <v>1384937.1267688002</v>
      </c>
      <c r="D57" s="6"/>
      <c r="E57" s="16">
        <f>INDEX('IN_Detr 4.5 del_397'!$A$3:$AAA$1192,MATCH($A57,'IN_Detr 4.5 del_397'!$A$3:$A$1192,0),MATCH(E$3,'IN_Detr 4.5 del_397'!$A$3:$AAA$3,0))</f>
        <v>1157506.4023600002</v>
      </c>
      <c r="F57" s="16">
        <f>INDEX('IN_Detr 4.5 del_397'!$A$3:$AAA$1192,MATCH($A57,'IN_Detr 4.5 del_397'!$A$3:$A$1192,0),MATCH(F$3,'IN_Detr 4.5 del_397'!$A$3:$AAA$3,0))</f>
        <v>121561.60940880001</v>
      </c>
      <c r="G57" s="16">
        <f>INDEX('IN_Detr 4.5 del_397'!$A$3:$AAA$1192,MATCH($A57,'IN_Detr 4.5 del_397'!$A$3:$A$1192,0),MATCH(G$3,'IN_Detr 4.5 del_397'!$A$3:$AAA$3,0))</f>
        <v>105869.11500000001</v>
      </c>
    </row>
    <row r="58" spans="1:7" outlineLevel="1" x14ac:dyDescent="0.2">
      <c r="A58" s="7" t="s">
        <v>3276</v>
      </c>
      <c r="B58" s="14" t="s">
        <v>3</v>
      </c>
      <c r="C58" s="15">
        <f t="shared" si="5"/>
        <v>190983.63427439998</v>
      </c>
      <c r="D58" s="6"/>
      <c r="E58" s="16">
        <f>INDEX('IN_Detr 4.5 del_397'!$A$3:$AAA$1192,MATCH($A58,'IN_Detr 4.5 del_397'!$A$3:$A$1192,0),MATCH(E$3,'IN_Detr 4.5 del_397'!$A$3:$AAA$3,0))</f>
        <v>0</v>
      </c>
      <c r="F58" s="16">
        <f>INDEX('IN_Detr 4.5 del_397'!$A$3:$AAA$1192,MATCH($A58,'IN_Detr 4.5 del_397'!$A$3:$A$1192,0),MATCH(F$3,'IN_Detr 4.5 del_397'!$A$3:$AAA$3,0))</f>
        <v>189.21991440000002</v>
      </c>
      <c r="G58" s="16">
        <f>INDEX('IN_Detr 4.5 del_397'!$A$3:$AAA$1192,MATCH($A58,'IN_Detr 4.5 del_397'!$A$3:$A$1192,0),MATCH(G$3,'IN_Detr 4.5 del_397'!$A$3:$AAA$3,0))</f>
        <v>190794.41436</v>
      </c>
    </row>
    <row r="59" spans="1:7" outlineLevel="1" x14ac:dyDescent="0.2">
      <c r="A59" s="7" t="s">
        <v>3282</v>
      </c>
      <c r="B59" s="14" t="s">
        <v>4</v>
      </c>
      <c r="C59" s="15">
        <f t="shared" si="5"/>
        <v>3248497.9972983999</v>
      </c>
      <c r="D59" s="6"/>
      <c r="E59" s="16">
        <f>INDEX('IN_Detr 4.5 del_397'!$A$3:$AAA$1192,MATCH($A59,'IN_Detr 4.5 del_397'!$A$3:$A$1192,0),MATCH(E$3,'IN_Detr 4.5 del_397'!$A$3:$AAA$3,0))</f>
        <v>2683893.7774</v>
      </c>
      <c r="F59" s="16">
        <f>INDEX('IN_Detr 4.5 del_397'!$A$3:$AAA$1192,MATCH($A59,'IN_Detr 4.5 del_397'!$A$3:$A$1192,0),MATCH(F$3,'IN_Detr 4.5 del_397'!$A$3:$AAA$3,0))</f>
        <v>564604.21989840001</v>
      </c>
      <c r="G59" s="16">
        <f>INDEX('IN_Detr 4.5 del_397'!$A$3:$AAA$1192,MATCH($A59,'IN_Detr 4.5 del_397'!$A$3:$A$1192,0),MATCH(G$3,'IN_Detr 4.5 del_397'!$A$3:$AAA$3,0))</f>
        <v>0</v>
      </c>
    </row>
    <row r="60" spans="1:7" outlineLevel="1" x14ac:dyDescent="0.2">
      <c r="A60" s="7" t="s">
        <v>3288</v>
      </c>
      <c r="B60" s="14" t="s">
        <v>5</v>
      </c>
      <c r="C60" s="15">
        <f t="shared" si="5"/>
        <v>5947156.6116160005</v>
      </c>
      <c r="D60" s="6"/>
      <c r="E60" s="16">
        <f>INDEX('IN_Detr 4.5 del_397'!$A$3:$AAA$1192,MATCH($A60,'IN_Detr 4.5 del_397'!$A$3:$A$1192,0),MATCH(E$3,'IN_Detr 4.5 del_397'!$A$3:$AAA$3,0))</f>
        <v>5088469.7256800001</v>
      </c>
      <c r="F60" s="16">
        <f>INDEX('IN_Detr 4.5 del_397'!$A$3:$AAA$1192,MATCH($A60,'IN_Detr 4.5 del_397'!$A$3:$A$1192,0),MATCH(F$3,'IN_Detr 4.5 del_397'!$A$3:$AAA$3,0))</f>
        <v>434936.80137600005</v>
      </c>
      <c r="G60" s="16">
        <f>INDEX('IN_Detr 4.5 del_397'!$A$3:$AAA$1192,MATCH($A60,'IN_Detr 4.5 del_397'!$A$3:$A$1192,0),MATCH(G$3,'IN_Detr 4.5 del_397'!$A$3:$AAA$3,0))</f>
        <v>423750.08456000005</v>
      </c>
    </row>
    <row r="61" spans="1:7" ht="11.4" outlineLevel="1" x14ac:dyDescent="0.2">
      <c r="A61" s="85" t="s">
        <v>5507</v>
      </c>
      <c r="B61" s="14" t="s">
        <v>5438</v>
      </c>
      <c r="C61" s="17">
        <f t="shared" si="5"/>
        <v>0</v>
      </c>
      <c r="D61" s="6"/>
      <c r="E61" s="16">
        <f>E10</f>
        <v>0</v>
      </c>
      <c r="F61" s="16">
        <f>F10</f>
        <v>0</v>
      </c>
      <c r="G61" s="16">
        <f>G10</f>
        <v>0</v>
      </c>
    </row>
    <row r="62" spans="1:7" ht="11.4" outlineLevel="1" x14ac:dyDescent="0.2">
      <c r="A62" s="85" t="s">
        <v>5508</v>
      </c>
      <c r="B62" s="14" t="s">
        <v>5439</v>
      </c>
      <c r="C62" s="17">
        <f t="shared" si="5"/>
        <v>0</v>
      </c>
      <c r="D62" s="6"/>
      <c r="E62" s="18">
        <f t="shared" ref="E62:E66" si="6">E11</f>
        <v>0</v>
      </c>
      <c r="F62" s="18">
        <f t="shared" ref="F62:G62" si="7">F11</f>
        <v>0</v>
      </c>
      <c r="G62" s="18">
        <f t="shared" si="7"/>
        <v>0</v>
      </c>
    </row>
    <row r="63" spans="1:7" ht="11.4" outlineLevel="1" x14ac:dyDescent="0.2">
      <c r="A63" s="85" t="s">
        <v>5509</v>
      </c>
      <c r="B63" s="14" t="s">
        <v>5440</v>
      </c>
      <c r="C63" s="17">
        <f t="shared" si="5"/>
        <v>0</v>
      </c>
      <c r="D63" s="6"/>
      <c r="E63" s="18">
        <f t="shared" si="6"/>
        <v>0</v>
      </c>
      <c r="F63" s="18">
        <f t="shared" ref="F63:G63" si="8">F12</f>
        <v>0</v>
      </c>
      <c r="G63" s="18">
        <f t="shared" si="8"/>
        <v>0</v>
      </c>
    </row>
    <row r="64" spans="1:7" ht="11.4" outlineLevel="1" x14ac:dyDescent="0.2">
      <c r="A64" s="85" t="s">
        <v>5510</v>
      </c>
      <c r="B64" s="14" t="s">
        <v>5441</v>
      </c>
      <c r="C64" s="17">
        <f t="shared" si="5"/>
        <v>0</v>
      </c>
      <c r="D64" s="6"/>
      <c r="E64" s="18">
        <f t="shared" si="6"/>
        <v>0</v>
      </c>
      <c r="F64" s="18">
        <f t="shared" ref="F64:G64" si="9">F13</f>
        <v>0</v>
      </c>
      <c r="G64" s="18">
        <f t="shared" si="9"/>
        <v>0</v>
      </c>
    </row>
    <row r="65" spans="1:7" ht="11.4" outlineLevel="1" x14ac:dyDescent="0.2">
      <c r="A65" s="85" t="s">
        <v>5511</v>
      </c>
      <c r="B65" s="14" t="s">
        <v>5442</v>
      </c>
      <c r="C65" s="17">
        <f t="shared" si="5"/>
        <v>0</v>
      </c>
      <c r="D65" s="6"/>
      <c r="E65" s="18">
        <f t="shared" si="6"/>
        <v>0</v>
      </c>
      <c r="F65" s="18">
        <f t="shared" ref="F65:G65" si="10">F14</f>
        <v>0</v>
      </c>
      <c r="G65" s="18">
        <f t="shared" si="10"/>
        <v>0</v>
      </c>
    </row>
    <row r="66" spans="1:7" ht="11.4" outlineLevel="1" x14ac:dyDescent="0.2">
      <c r="A66" s="85" t="s">
        <v>5512</v>
      </c>
      <c r="B66" s="14" t="s">
        <v>5443</v>
      </c>
      <c r="C66" s="17">
        <f t="shared" si="5"/>
        <v>0</v>
      </c>
      <c r="D66" s="6"/>
      <c r="E66" s="18">
        <f t="shared" si="6"/>
        <v>0</v>
      </c>
      <c r="F66" s="18">
        <f t="shared" ref="F66:G66" si="11">F15</f>
        <v>0</v>
      </c>
      <c r="G66" s="18">
        <f t="shared" si="11"/>
        <v>0</v>
      </c>
    </row>
    <row r="67" spans="1:7" outlineLevel="1" x14ac:dyDescent="0.2">
      <c r="A67" s="85" t="s">
        <v>983</v>
      </c>
      <c r="B67" s="736" t="s">
        <v>7</v>
      </c>
      <c r="C67" s="737"/>
      <c r="D67" s="19"/>
      <c r="E67" s="740">
        <f t="shared" ref="E67:E69" si="12">E16</f>
        <v>0.7</v>
      </c>
      <c r="F67" s="740">
        <f t="shared" ref="F67:G67" si="13">F16</f>
        <v>0</v>
      </c>
      <c r="G67" s="740">
        <f t="shared" si="13"/>
        <v>0</v>
      </c>
    </row>
    <row r="68" spans="1:7" outlineLevel="1" x14ac:dyDescent="0.2">
      <c r="A68" s="7" t="s">
        <v>5513</v>
      </c>
      <c r="B68" s="26" t="s">
        <v>6</v>
      </c>
      <c r="C68" s="27">
        <f t="shared" ref="C68:C73" si="14">SUM(E68:G68)</f>
        <v>882043.96798319998</v>
      </c>
      <c r="D68" s="6"/>
      <c r="E68" s="28">
        <f t="shared" si="12"/>
        <v>770996.38968000002</v>
      </c>
      <c r="F68" s="28">
        <f t="shared" ref="F68:G68" si="15">F17</f>
        <v>62985.664183200002</v>
      </c>
      <c r="G68" s="28">
        <f t="shared" si="15"/>
        <v>48061.914120000001</v>
      </c>
    </row>
    <row r="69" spans="1:7" ht="11.4" outlineLevel="1" x14ac:dyDescent="0.2">
      <c r="A69" s="7" t="s">
        <v>5514</v>
      </c>
      <c r="B69" s="26" t="s">
        <v>101</v>
      </c>
      <c r="C69" s="27">
        <f t="shared" si="14"/>
        <v>802657.26690159983</v>
      </c>
      <c r="D69" s="6"/>
      <c r="E69" s="28">
        <f t="shared" si="12"/>
        <v>679391.85995999991</v>
      </c>
      <c r="F69" s="28">
        <f t="shared" ref="F69:G69" si="16">F18</f>
        <v>81889.756581599999</v>
      </c>
      <c r="G69" s="28">
        <f t="shared" si="16"/>
        <v>41375.65036</v>
      </c>
    </row>
    <row r="70" spans="1:7" ht="11.4" outlineLevel="1" x14ac:dyDescent="0.2">
      <c r="A70" s="7" t="s">
        <v>5908</v>
      </c>
      <c r="B70" s="738" t="s">
        <v>5437</v>
      </c>
      <c r="C70" s="739">
        <f t="shared" si="14"/>
        <v>1015271.774748</v>
      </c>
      <c r="D70" s="6"/>
      <c r="E70" s="741">
        <f>E67*(E68+E69)</f>
        <v>1015271.774748</v>
      </c>
      <c r="F70" s="741">
        <f>F67*(F68+F69)</f>
        <v>0</v>
      </c>
      <c r="G70" s="741">
        <f>G67*(G68+G69)</f>
        <v>0</v>
      </c>
    </row>
    <row r="71" spans="1:7" ht="11.4" outlineLevel="1" x14ac:dyDescent="0.2">
      <c r="A71" s="85" t="s">
        <v>3299</v>
      </c>
      <c r="B71" s="703" t="s">
        <v>102</v>
      </c>
      <c r="C71" s="704">
        <f t="shared" si="14"/>
        <v>831700.8566887714</v>
      </c>
      <c r="D71" s="6"/>
      <c r="E71" s="706">
        <f>INDEX('IN_Detr 4.5 del_397'!$A$3:$AAA$1192,MATCH($A71,'IN_Detr 4.5 del_397'!$A$3:$A$1192,0),MATCH(E$3,'IN_Detr 4.5 del_397'!$A$3:$AAA$3,0))</f>
        <v>831700.8566887714</v>
      </c>
      <c r="F71" s="706">
        <f>INDEX('IN_Detr 4.5 del_397'!$A$3:$AAA$1192,MATCH($A71,'IN_Detr 4.5 del_397'!$A$3:$A$1192,0),MATCH(F$3,'IN_Detr 4.5 del_397'!$A$3:$AAA$3,0))</f>
        <v>0</v>
      </c>
      <c r="G71" s="706">
        <f>INDEX('IN_Detr 4.5 del_397'!$A$3:$AAA$1192,MATCH($A71,'IN_Detr 4.5 del_397'!$A$3:$A$1192,0),MATCH(G$3,'IN_Detr 4.5 del_397'!$A$3:$AAA$3,0))</f>
        <v>0</v>
      </c>
    </row>
    <row r="72" spans="1:7" ht="11.4" outlineLevel="1" x14ac:dyDescent="0.2">
      <c r="A72" s="7" t="s">
        <v>6939</v>
      </c>
      <c r="B72" s="705" t="s">
        <v>5444</v>
      </c>
      <c r="C72" s="987">
        <f t="shared" si="14"/>
        <v>315566.36782700795</v>
      </c>
      <c r="D72" s="988"/>
      <c r="E72" s="989">
        <f>INDEX('IN_Detr 4.5 del_397'!$A$3:$AAA$1192,MATCH($A72,'IN_Detr 4.5 del_397'!$A$3:$A$1192,0),MATCH(E$3,'IN_Detr 4.5 del_397'!$A$3:$AAA$3,0))</f>
        <v>315566.36782700795</v>
      </c>
      <c r="F72" s="989">
        <f>INDEX('IN_Detr 4.5 del_397'!$A$3:$AAA$1192,MATCH($A72,'IN_Detr 4.5 del_397'!$A$3:$A$1192,0),MATCH(F$3,'IN_Detr 4.5 del_397'!$A$3:$AAA$3,0))</f>
        <v>0</v>
      </c>
      <c r="G72" s="989">
        <f>INDEX('IN_Detr 4.5 del_397'!$A$3:$AAA$1192,MATCH($A72,'IN_Detr 4.5 del_397'!$A$3:$A$1192,0),MATCH(G$3,'IN_Detr 4.5 del_397'!$A$3:$AAA$3,0))</f>
        <v>0</v>
      </c>
    </row>
    <row r="73" spans="1:7" outlineLevel="1" x14ac:dyDescent="0.2">
      <c r="A73" s="85" t="s">
        <v>5515</v>
      </c>
      <c r="B73" s="21" t="s">
        <v>109</v>
      </c>
      <c r="C73" s="22">
        <f t="shared" si="14"/>
        <v>0</v>
      </c>
      <c r="D73" s="6"/>
      <c r="E73" s="23"/>
      <c r="F73" s="23"/>
      <c r="G73" s="23"/>
    </row>
    <row r="74" spans="1:7" outlineLevel="1" x14ac:dyDescent="0.2">
      <c r="B74" s="24"/>
      <c r="C74" s="25"/>
      <c r="D74" s="6"/>
      <c r="E74" s="5"/>
      <c r="F74" s="5"/>
      <c r="G74" s="5"/>
    </row>
    <row r="75" spans="1:7" s="359" customFormat="1" ht="20.399999999999999" outlineLevel="1" x14ac:dyDescent="0.2">
      <c r="A75" s="356"/>
      <c r="B75" s="360"/>
      <c r="C75" s="358" t="str">
        <f>C3</f>
        <v>TOTALE</v>
      </c>
      <c r="D75" s="357"/>
      <c r="E75" s="358" t="str">
        <f t="shared" ref="E75" si="17">E3</f>
        <v>BUSTO ARSIZIO</v>
      </c>
      <c r="F75" s="358" t="str">
        <f t="shared" ref="F75:G75" si="18">F3</f>
        <v>FAGNANO OLONA</v>
      </c>
      <c r="G75" s="358" t="str">
        <f t="shared" si="18"/>
        <v>VENEGONO SUPERIORE</v>
      </c>
    </row>
    <row r="76" spans="1:7" ht="11.4" outlineLevel="1" x14ac:dyDescent="0.2">
      <c r="A76" s="31" t="s">
        <v>5516</v>
      </c>
      <c r="B76" s="680" t="s">
        <v>5561</v>
      </c>
      <c r="C76" s="11">
        <f t="shared" ref="C76:C100" si="19">SUM(E76:G76)</f>
        <v>7902432.5896523157</v>
      </c>
      <c r="D76" s="6"/>
      <c r="E76" s="12">
        <f>E77+E82+E92+SUM(E93:E98)+E100</f>
        <v>7652796.8636533553</v>
      </c>
      <c r="F76" s="12">
        <f>F77+F82+F92+SUM(F93:F98)+F100</f>
        <v>129706.70226632972</v>
      </c>
      <c r="G76" s="12">
        <f>G77+G82+G92+SUM(G93:G98)+G100</f>
        <v>119929.02373263093</v>
      </c>
    </row>
    <row r="77" spans="1:7" outlineLevel="1" x14ac:dyDescent="0.2">
      <c r="A77" s="7" t="s">
        <v>3313</v>
      </c>
      <c r="B77" s="14" t="s">
        <v>11</v>
      </c>
      <c r="C77" s="15">
        <f t="shared" si="19"/>
        <v>2433783.1588399997</v>
      </c>
      <c r="D77" s="6"/>
      <c r="E77" s="16">
        <f>INDEX('IN_Detr 4.5 del_397'!$A$3:$AAA$1192,MATCH($A77,'IN_Detr 4.5 del_397'!$A$3:$A$1192,0),MATCH(E$3,'IN_Detr 4.5 del_397'!$A$3:$AAA$3,0))</f>
        <v>2380990.7114399998</v>
      </c>
      <c r="F77" s="16">
        <f>INDEX('IN_Detr 4.5 del_397'!$A$3:$AAA$1192,MATCH($A77,'IN_Detr 4.5 del_397'!$A$3:$A$1192,0),MATCH(F$3,'IN_Detr 4.5 del_397'!$A$3:$AAA$3,0))</f>
        <v>0</v>
      </c>
      <c r="G77" s="16">
        <f>INDEX('IN_Detr 4.5 del_397'!$A$3:$AAA$1192,MATCH($A77,'IN_Detr 4.5 del_397'!$A$3:$A$1192,0),MATCH(G$3,'IN_Detr 4.5 del_397'!$A$3:$AAA$3,0))</f>
        <v>52792.447399999997</v>
      </c>
    </row>
    <row r="78" spans="1:7" outlineLevel="1" x14ac:dyDescent="0.2">
      <c r="A78" s="7" t="s">
        <v>3319</v>
      </c>
      <c r="B78" s="26" t="s">
        <v>13</v>
      </c>
      <c r="C78" s="27">
        <f t="shared" si="19"/>
        <v>654540.42896000005</v>
      </c>
      <c r="D78" s="6"/>
      <c r="E78" s="28">
        <f>INDEX('IN_Detr 4.5 del_397'!$A$3:$AAA$1192,MATCH($A78,'IN_Detr 4.5 del_397'!$A$3:$A$1192,0),MATCH(E$3,'IN_Detr 4.5 del_397'!$A$3:$AAA$3,0))</f>
        <v>654540.42896000005</v>
      </c>
      <c r="F78" s="28">
        <f>INDEX('IN_Detr 4.5 del_397'!$A$3:$AAA$1192,MATCH($A78,'IN_Detr 4.5 del_397'!$A$3:$A$1192,0),MATCH(F$3,'IN_Detr 4.5 del_397'!$A$3:$AAA$3,0))</f>
        <v>0</v>
      </c>
      <c r="G78" s="28">
        <f>INDEX('IN_Detr 4.5 del_397'!$A$3:$AAA$1192,MATCH($A78,'IN_Detr 4.5 del_397'!$A$3:$A$1192,0),MATCH(G$3,'IN_Detr 4.5 del_397'!$A$3:$AAA$3,0))</f>
        <v>0</v>
      </c>
    </row>
    <row r="79" spans="1:7" outlineLevel="1" x14ac:dyDescent="0.2">
      <c r="A79" s="7" t="s">
        <v>3325</v>
      </c>
      <c r="B79" s="26" t="s">
        <v>14</v>
      </c>
      <c r="C79" s="27">
        <f t="shared" si="19"/>
        <v>1851949.6199159999</v>
      </c>
      <c r="D79" s="6"/>
      <c r="E79" s="28">
        <f>INDEX('IN_Detr 4.5 del_397'!$A$3:$AAA$1192,MATCH($A79,'IN_Detr 4.5 del_397'!$A$3:$A$1192,0),MATCH(E$3,'IN_Detr 4.5 del_397'!$A$3:$AAA$3,0))</f>
        <v>1750717.3543199999</v>
      </c>
      <c r="F79" s="28">
        <f>INDEX('IN_Detr 4.5 del_397'!$A$3:$AAA$1192,MATCH($A79,'IN_Detr 4.5 del_397'!$A$3:$A$1192,0),MATCH(F$3,'IN_Detr 4.5 del_397'!$A$3:$AAA$3,0))</f>
        <v>52656.265596000005</v>
      </c>
      <c r="G79" s="28">
        <f>INDEX('IN_Detr 4.5 del_397'!$A$3:$AAA$1192,MATCH($A79,'IN_Detr 4.5 del_397'!$A$3:$A$1192,0),MATCH(G$3,'IN_Detr 4.5 del_397'!$A$3:$AAA$3,0))</f>
        <v>48576</v>
      </c>
    </row>
    <row r="80" spans="1:7" outlineLevel="1" x14ac:dyDescent="0.2">
      <c r="A80" s="7" t="s">
        <v>3331</v>
      </c>
      <c r="B80" s="26" t="s">
        <v>15</v>
      </c>
      <c r="C80" s="27">
        <f t="shared" si="19"/>
        <v>0</v>
      </c>
      <c r="D80" s="6"/>
      <c r="E80" s="28">
        <f>INDEX('IN_Detr 4.5 del_397'!$A$3:$AAA$1192,MATCH($A80,'IN_Detr 4.5 del_397'!$A$3:$A$1192,0),MATCH(E$3,'IN_Detr 4.5 del_397'!$A$3:$AAA$3,0))</f>
        <v>0</v>
      </c>
      <c r="F80" s="28">
        <f>INDEX('IN_Detr 4.5 del_397'!$A$3:$AAA$1192,MATCH($A80,'IN_Detr 4.5 del_397'!$A$3:$A$1192,0),MATCH(F$3,'IN_Detr 4.5 del_397'!$A$3:$AAA$3,0))</f>
        <v>0</v>
      </c>
      <c r="G80" s="28">
        <f>INDEX('IN_Detr 4.5 del_397'!$A$3:$AAA$1192,MATCH($A80,'IN_Detr 4.5 del_397'!$A$3:$A$1192,0),MATCH(G$3,'IN_Detr 4.5 del_397'!$A$3:$AAA$3,0))</f>
        <v>0</v>
      </c>
    </row>
    <row r="81" spans="1:7" ht="11.4" outlineLevel="1" x14ac:dyDescent="0.2">
      <c r="A81" s="7" t="s">
        <v>3337</v>
      </c>
      <c r="B81" s="52" t="s">
        <v>16</v>
      </c>
      <c r="C81" s="53">
        <f t="shared" si="19"/>
        <v>0</v>
      </c>
      <c r="D81" s="6"/>
      <c r="E81" s="54">
        <f>INDEX('IN_Detr 4.5 del_397'!$A$3:$AAA$1192,MATCH($A81,'IN_Detr 4.5 del_397'!$A$3:$A$1192,0),MATCH(E$3,'IN_Detr 4.5 del_397'!$A$3:$AAA$3,0))</f>
        <v>0</v>
      </c>
      <c r="F81" s="54">
        <f>INDEX('IN_Detr 4.5 del_397'!$A$3:$AAA$1192,MATCH($A81,'IN_Detr 4.5 del_397'!$A$3:$A$1192,0),MATCH(F$3,'IN_Detr 4.5 del_397'!$A$3:$AAA$3,0))</f>
        <v>0</v>
      </c>
      <c r="G81" s="54">
        <f>INDEX('IN_Detr 4.5 del_397'!$A$3:$AAA$1192,MATCH($A81,'IN_Detr 4.5 del_397'!$A$3:$A$1192,0),MATCH(G$3,'IN_Detr 4.5 del_397'!$A$3:$AAA$3,0))</f>
        <v>0</v>
      </c>
    </row>
    <row r="82" spans="1:7" outlineLevel="1" x14ac:dyDescent="0.2">
      <c r="A82" s="7" t="s">
        <v>5517</v>
      </c>
      <c r="B82" s="684" t="s">
        <v>12</v>
      </c>
      <c r="C82" s="685">
        <f t="shared" si="19"/>
        <v>2506490.0488760001</v>
      </c>
      <c r="D82" s="6"/>
      <c r="E82" s="686">
        <f>SUM(E78:E81)</f>
        <v>2405257.7832800001</v>
      </c>
      <c r="F82" s="686">
        <f>SUM(F78:F81)</f>
        <v>52656.265596000005</v>
      </c>
      <c r="G82" s="686">
        <f>SUM(G78:G81)</f>
        <v>48576</v>
      </c>
    </row>
    <row r="83" spans="1:7" outlineLevel="1" x14ac:dyDescent="0.2">
      <c r="A83" s="85" t="s">
        <v>3343</v>
      </c>
      <c r="B83" s="26" t="s">
        <v>18</v>
      </c>
      <c r="C83" s="27">
        <f t="shared" si="19"/>
        <v>814002.5713115395</v>
      </c>
      <c r="D83" s="6"/>
      <c r="E83" s="28">
        <f>INDEX('IN_Detr 4.5 del_397'!$A$3:$AAA$1192,MATCH($A83,'IN_Detr 4.5 del_397'!$A$3:$A$1192,0),MATCH(E$3,'IN_Detr 4.5 del_397'!$A$3:$AAA$3,0))</f>
        <v>769215.86820567632</v>
      </c>
      <c r="F83" s="28">
        <f>INDEX('IN_Detr 4.5 del_397'!$A$3:$AAA$1192,MATCH($A83,'IN_Detr 4.5 del_397'!$A$3:$A$1192,0),MATCH(F$3,'IN_Detr 4.5 del_397'!$A$3:$AAA$3,0))</f>
        <v>44786.703105863213</v>
      </c>
      <c r="G83" s="28">
        <f>INDEX('IN_Detr 4.5 del_397'!$A$3:$AAA$1192,MATCH($A83,'IN_Detr 4.5 del_397'!$A$3:$A$1192,0),MATCH(G$3,'IN_Detr 4.5 del_397'!$A$3:$AAA$3,0))</f>
        <v>0</v>
      </c>
    </row>
    <row r="84" spans="1:7" outlineLevel="1" x14ac:dyDescent="0.2">
      <c r="A84" s="7" t="s">
        <v>3361</v>
      </c>
      <c r="B84" s="687" t="s">
        <v>19</v>
      </c>
      <c r="C84" s="688">
        <f t="shared" si="19"/>
        <v>910110.82799999998</v>
      </c>
      <c r="D84" s="6"/>
      <c r="E84" s="689">
        <f>SUM(E85:E88)</f>
        <v>910110.82799999998</v>
      </c>
      <c r="F84" s="689">
        <f>SUM(F85:F88)</f>
        <v>0</v>
      </c>
      <c r="G84" s="689">
        <f>SUM(G85:G88)</f>
        <v>0</v>
      </c>
    </row>
    <row r="85" spans="1:7" outlineLevel="1" x14ac:dyDescent="0.2">
      <c r="A85" s="85" t="s">
        <v>3349</v>
      </c>
      <c r="B85" s="690" t="s">
        <v>20</v>
      </c>
      <c r="C85" s="691">
        <f t="shared" si="19"/>
        <v>0</v>
      </c>
      <c r="D85" s="6"/>
      <c r="E85" s="696">
        <f>INDEX('IN_Detr 4.5 del_397'!$A$3:$AAA$1192,MATCH($A85,'IN_Detr 4.5 del_397'!$A$3:$A$1192,0),MATCH(E$3,'IN_Detr 4.5 del_397'!$A$3:$AAA$3,0))</f>
        <v>0</v>
      </c>
      <c r="F85" s="696">
        <f>INDEX('IN_Detr 4.5 del_397'!$A$3:$AAA$1192,MATCH($A85,'IN_Detr 4.5 del_397'!$A$3:$A$1192,0),MATCH(F$3,'IN_Detr 4.5 del_397'!$A$3:$AAA$3,0))</f>
        <v>0</v>
      </c>
      <c r="G85" s="696">
        <f>INDEX('IN_Detr 4.5 del_397'!$A$3:$AAA$1192,MATCH($A85,'IN_Detr 4.5 del_397'!$A$3:$A$1192,0),MATCH(G$3,'IN_Detr 4.5 del_397'!$A$3:$AAA$3,0))</f>
        <v>0</v>
      </c>
    </row>
    <row r="86" spans="1:7" outlineLevel="1" x14ac:dyDescent="0.2">
      <c r="A86" s="85" t="s">
        <v>3352</v>
      </c>
      <c r="B86" s="692" t="s">
        <v>21</v>
      </c>
      <c r="C86" s="693">
        <f t="shared" si="19"/>
        <v>910110.82799999998</v>
      </c>
      <c r="D86" s="6"/>
      <c r="E86" s="697">
        <f>INDEX('IN_Detr 4.5 del_397'!$A$3:$AAA$1192,MATCH($A86,'IN_Detr 4.5 del_397'!$A$3:$A$1192,0),MATCH(E$3,'IN_Detr 4.5 del_397'!$A$3:$AAA$3,0))</f>
        <v>910110.82799999998</v>
      </c>
      <c r="F86" s="697">
        <f>INDEX('IN_Detr 4.5 del_397'!$A$3:$AAA$1192,MATCH($A86,'IN_Detr 4.5 del_397'!$A$3:$A$1192,0),MATCH(F$3,'IN_Detr 4.5 del_397'!$A$3:$AAA$3,0))</f>
        <v>0</v>
      </c>
      <c r="G86" s="697">
        <f>INDEX('IN_Detr 4.5 del_397'!$A$3:$AAA$1192,MATCH($A86,'IN_Detr 4.5 del_397'!$A$3:$A$1192,0),MATCH(G$3,'IN_Detr 4.5 del_397'!$A$3:$AAA$3,0))</f>
        <v>0</v>
      </c>
    </row>
    <row r="87" spans="1:7" outlineLevel="1" x14ac:dyDescent="0.2">
      <c r="A87" s="85" t="s">
        <v>3355</v>
      </c>
      <c r="B87" s="692" t="s">
        <v>22</v>
      </c>
      <c r="C87" s="693">
        <f t="shared" si="19"/>
        <v>0</v>
      </c>
      <c r="D87" s="6"/>
      <c r="E87" s="697">
        <f>INDEX('IN_Detr 4.5 del_397'!$A$3:$AAA$1192,MATCH($A87,'IN_Detr 4.5 del_397'!$A$3:$A$1192,0),MATCH(E$3,'IN_Detr 4.5 del_397'!$A$3:$AAA$3,0))</f>
        <v>0</v>
      </c>
      <c r="F87" s="697">
        <f>INDEX('IN_Detr 4.5 del_397'!$A$3:$AAA$1192,MATCH($A87,'IN_Detr 4.5 del_397'!$A$3:$A$1192,0),MATCH(F$3,'IN_Detr 4.5 del_397'!$A$3:$AAA$3,0))</f>
        <v>0</v>
      </c>
      <c r="G87" s="697">
        <f>INDEX('IN_Detr 4.5 del_397'!$A$3:$AAA$1192,MATCH($A87,'IN_Detr 4.5 del_397'!$A$3:$A$1192,0),MATCH(G$3,'IN_Detr 4.5 del_397'!$A$3:$AAA$3,0))</f>
        <v>0</v>
      </c>
    </row>
    <row r="88" spans="1:7" outlineLevel="1" x14ac:dyDescent="0.2">
      <c r="A88" s="85" t="s">
        <v>3358</v>
      </c>
      <c r="B88" s="694" t="s">
        <v>23</v>
      </c>
      <c r="C88" s="695">
        <f t="shared" si="19"/>
        <v>0</v>
      </c>
      <c r="D88" s="6"/>
      <c r="E88" s="698">
        <f>INDEX('IN_Detr 4.5 del_397'!$A$3:$AAA$1192,MATCH($A88,'IN_Detr 4.5 del_397'!$A$3:$A$1192,0),MATCH(E$3,'IN_Detr 4.5 del_397'!$A$3:$AAA$3,0))</f>
        <v>0</v>
      </c>
      <c r="F88" s="698">
        <f>INDEX('IN_Detr 4.5 del_397'!$A$3:$AAA$1192,MATCH($A88,'IN_Detr 4.5 del_397'!$A$3:$A$1192,0),MATCH(F$3,'IN_Detr 4.5 del_397'!$A$3:$AAA$3,0))</f>
        <v>0</v>
      </c>
      <c r="G88" s="698">
        <f>INDEX('IN_Detr 4.5 del_397'!$A$3:$AAA$1192,MATCH($A88,'IN_Detr 4.5 del_397'!$A$3:$A$1192,0),MATCH(G$3,'IN_Detr 4.5 del_397'!$A$3:$AAA$3,0))</f>
        <v>0</v>
      </c>
    </row>
    <row r="89" spans="1:7" outlineLevel="1" x14ac:dyDescent="0.2">
      <c r="A89" s="85" t="s">
        <v>3379</v>
      </c>
      <c r="B89" s="26" t="s">
        <v>24</v>
      </c>
      <c r="C89" s="27">
        <f t="shared" si="19"/>
        <v>636502.06287353288</v>
      </c>
      <c r="D89" s="6"/>
      <c r="E89" s="28">
        <f>INDEX('IN_Detr 4.5 del_397'!$A$3:$AAA$1192,MATCH($A89,'IN_Detr 4.5 del_397'!$A$3:$A$1192,0),MATCH(E$3,'IN_Detr 4.5 del_397'!$A$3:$AAA$3,0))</f>
        <v>585677.75297643547</v>
      </c>
      <c r="F89" s="28">
        <f>INDEX('IN_Detr 4.5 del_397'!$A$3:$AAA$1192,MATCH($A89,'IN_Detr 4.5 del_397'!$A$3:$A$1192,0),MATCH(F$3,'IN_Detr 4.5 del_397'!$A$3:$AAA$3,0))</f>
        <v>32263.733564466515</v>
      </c>
      <c r="G89" s="28">
        <f>INDEX('IN_Detr 4.5 del_397'!$A$3:$AAA$1192,MATCH($A89,'IN_Detr 4.5 del_397'!$A$3:$A$1192,0),MATCH(G$3,'IN_Detr 4.5 del_397'!$A$3:$AAA$3,0))</f>
        <v>18560.576332630921</v>
      </c>
    </row>
    <row r="90" spans="1:7" ht="11.4" outlineLevel="1" x14ac:dyDescent="0.2">
      <c r="A90" s="85" t="s">
        <v>3385</v>
      </c>
      <c r="B90" s="52" t="s">
        <v>25</v>
      </c>
      <c r="C90" s="53">
        <f t="shared" si="19"/>
        <v>0</v>
      </c>
      <c r="D90" s="6"/>
      <c r="E90" s="54">
        <f>INDEX('IN_Detr 4.5 del_397'!$A$3:$AAA$1192,MATCH($A90,'IN_Detr 4.5 del_397'!$A$3:$A$1192,0),MATCH(E$3,'IN_Detr 4.5 del_397'!$A$3:$AAA$3,0))</f>
        <v>0</v>
      </c>
      <c r="F90" s="54">
        <f>INDEX('IN_Detr 4.5 del_397'!$A$3:$AAA$1192,MATCH($A90,'IN_Detr 4.5 del_397'!$A$3:$A$1192,0),MATCH(F$3,'IN_Detr 4.5 del_397'!$A$3:$AAA$3,0))</f>
        <v>0</v>
      </c>
      <c r="G90" s="54">
        <f>INDEX('IN_Detr 4.5 del_397'!$A$3:$AAA$1192,MATCH($A90,'IN_Detr 4.5 del_397'!$A$3:$A$1192,0),MATCH(G$3,'IN_Detr 4.5 del_397'!$A$3:$AAA$3,0))</f>
        <v>0</v>
      </c>
    </row>
    <row r="91" spans="1:7" ht="11.4" outlineLevel="1" x14ac:dyDescent="0.2">
      <c r="A91" s="85" t="s">
        <v>3391</v>
      </c>
      <c r="B91" s="52" t="s">
        <v>5474</v>
      </c>
      <c r="C91" s="53">
        <f t="shared" si="19"/>
        <v>0</v>
      </c>
      <c r="D91" s="6"/>
      <c r="E91" s="54">
        <f>INDEX('IN_Detr 4.5 del_397'!$A$3:$AAA$1192,MATCH($A91,'IN_Detr 4.5 del_397'!$A$3:$A$1192,0),MATCH(E$3,'IN_Detr 4.5 del_397'!$A$3:$AAA$3,0))</f>
        <v>0</v>
      </c>
      <c r="F91" s="54">
        <f>INDEX('IN_Detr 4.5 del_397'!$A$3:$AAA$1192,MATCH($A91,'IN_Detr 4.5 del_397'!$A$3:$A$1192,0),MATCH(F$3,'IN_Detr 4.5 del_397'!$A$3:$AAA$3,0))</f>
        <v>0</v>
      </c>
      <c r="G91" s="54">
        <f>INDEX('IN_Detr 4.5 del_397'!$A$3:$AAA$1192,MATCH($A91,'IN_Detr 4.5 del_397'!$A$3:$A$1192,0),MATCH(G$3,'IN_Detr 4.5 del_397'!$A$3:$AAA$3,0))</f>
        <v>0</v>
      </c>
    </row>
    <row r="92" spans="1:7" outlineLevel="1" x14ac:dyDescent="0.2">
      <c r="A92" s="7" t="s">
        <v>5518</v>
      </c>
      <c r="B92" s="684" t="s">
        <v>17</v>
      </c>
      <c r="C92" s="685">
        <f t="shared" si="19"/>
        <v>2360615.4621850727</v>
      </c>
      <c r="D92" s="6"/>
      <c r="E92" s="686">
        <f>E83+E84+E89+E90+E91</f>
        <v>2265004.4491821118</v>
      </c>
      <c r="F92" s="686">
        <f>F83+F84+F89+F90+F91</f>
        <v>77050.436670329727</v>
      </c>
      <c r="G92" s="686">
        <f>G83+G84+G89+G90+G91</f>
        <v>18560.576332630921</v>
      </c>
    </row>
    <row r="93" spans="1:7" ht="11.4" outlineLevel="1" x14ac:dyDescent="0.2">
      <c r="A93" s="85" t="s">
        <v>5519</v>
      </c>
      <c r="B93" s="14" t="s">
        <v>5447</v>
      </c>
      <c r="C93" s="17">
        <f t="shared" si="19"/>
        <v>0</v>
      </c>
      <c r="D93" s="6"/>
      <c r="E93" s="16">
        <f>E41</f>
        <v>0</v>
      </c>
      <c r="F93" s="16">
        <f>F41</f>
        <v>0</v>
      </c>
      <c r="G93" s="16">
        <f>G41</f>
        <v>0</v>
      </c>
    </row>
    <row r="94" spans="1:7" ht="11.4" outlineLevel="1" x14ac:dyDescent="0.2">
      <c r="A94" s="85" t="s">
        <v>5520</v>
      </c>
      <c r="B94" s="14" t="s">
        <v>5448</v>
      </c>
      <c r="C94" s="17">
        <f t="shared" si="19"/>
        <v>0</v>
      </c>
      <c r="D94" s="6"/>
      <c r="E94" s="16">
        <f t="shared" ref="E94:E97" si="20">E42</f>
        <v>0</v>
      </c>
      <c r="F94" s="16">
        <f t="shared" ref="F94:G94" si="21">F42</f>
        <v>0</v>
      </c>
      <c r="G94" s="16">
        <f t="shared" si="21"/>
        <v>0</v>
      </c>
    </row>
    <row r="95" spans="1:7" ht="11.4" outlineLevel="1" x14ac:dyDescent="0.2">
      <c r="A95" s="85" t="s">
        <v>5521</v>
      </c>
      <c r="B95" s="14" t="s">
        <v>6410</v>
      </c>
      <c r="C95" s="17">
        <f t="shared" si="19"/>
        <v>0</v>
      </c>
      <c r="D95" s="6"/>
      <c r="E95" s="18">
        <f t="shared" si="20"/>
        <v>0</v>
      </c>
      <c r="F95" s="18">
        <f t="shared" ref="F95:G95" si="22">F43</f>
        <v>0</v>
      </c>
      <c r="G95" s="18">
        <f t="shared" si="22"/>
        <v>0</v>
      </c>
    </row>
    <row r="96" spans="1:7" ht="11.4" outlineLevel="1" x14ac:dyDescent="0.2">
      <c r="A96" s="85" t="s">
        <v>5522</v>
      </c>
      <c r="B96" s="14" t="s">
        <v>6411</v>
      </c>
      <c r="C96" s="17">
        <f t="shared" si="19"/>
        <v>0</v>
      </c>
      <c r="D96" s="6"/>
      <c r="E96" s="18">
        <f t="shared" si="20"/>
        <v>0</v>
      </c>
      <c r="F96" s="18">
        <f t="shared" ref="F96:G96" si="23">F44</f>
        <v>0</v>
      </c>
      <c r="G96" s="18">
        <f t="shared" si="23"/>
        <v>0</v>
      </c>
    </row>
    <row r="97" spans="1:7" ht="11.4" outlineLevel="1" x14ac:dyDescent="0.2">
      <c r="A97" s="85" t="s">
        <v>5523</v>
      </c>
      <c r="B97" s="14" t="s">
        <v>5449</v>
      </c>
      <c r="C97" s="17">
        <f t="shared" si="19"/>
        <v>0</v>
      </c>
      <c r="D97" s="6"/>
      <c r="E97" s="16">
        <f t="shared" si="20"/>
        <v>0</v>
      </c>
      <c r="F97" s="16">
        <f t="shared" ref="F97:G97" si="24">F45</f>
        <v>0</v>
      </c>
      <c r="G97" s="16">
        <f t="shared" si="24"/>
        <v>0</v>
      </c>
    </row>
    <row r="98" spans="1:7" ht="11.4" outlineLevel="1" x14ac:dyDescent="0.2">
      <c r="A98" s="85" t="s">
        <v>3400</v>
      </c>
      <c r="B98" s="703" t="s">
        <v>26</v>
      </c>
      <c r="C98" s="704">
        <f t="shared" si="19"/>
        <v>601543.91975124355</v>
      </c>
      <c r="D98" s="6"/>
      <c r="E98" s="706">
        <f>INDEX('IN_Detr 4.5 del_397'!$A$3:$AAA$1192,MATCH($A98,'IN_Detr 4.5 del_397'!$A$3:$A$1192,0),MATCH(E$3,'IN_Detr 4.5 del_397'!$A$3:$AAA$3,0))</f>
        <v>601543.91975124355</v>
      </c>
      <c r="F98" s="706">
        <f>INDEX('IN_Detr 4.5 del_397'!$A$3:$AAA$1192,MATCH($A98,'IN_Detr 4.5 del_397'!$A$3:$A$1192,0),MATCH(F$3,'IN_Detr 4.5 del_397'!$A$3:$AAA$3,0))</f>
        <v>0</v>
      </c>
      <c r="G98" s="706">
        <f>INDEX('IN_Detr 4.5 del_397'!$A$3:$AAA$1192,MATCH($A98,'IN_Detr 4.5 del_397'!$A$3:$A$1192,0),MATCH(G$3,'IN_Detr 4.5 del_397'!$A$3:$AAA$3,0))</f>
        <v>0</v>
      </c>
    </row>
    <row r="99" spans="1:7" ht="11.4" outlineLevel="1" x14ac:dyDescent="0.2">
      <c r="A99" s="7" t="s">
        <v>6940</v>
      </c>
      <c r="B99" s="705" t="s">
        <v>5450</v>
      </c>
      <c r="C99" s="987">
        <f t="shared" si="19"/>
        <v>224284.56583160121</v>
      </c>
      <c r="D99" s="988"/>
      <c r="E99" s="989">
        <f>INDEX('IN_Detr 4.5 del_397'!$A$3:$AAA$1192,MATCH($A99,'IN_Detr 4.5 del_397'!$A$3:$A$1192,0),MATCH(E$3,'IN_Detr 4.5 del_397'!$A$3:$AAA$3,0))</f>
        <v>224284.56583160121</v>
      </c>
      <c r="F99" s="989">
        <f>INDEX('IN_Detr 4.5 del_397'!$A$3:$AAA$1192,MATCH($A99,'IN_Detr 4.5 del_397'!$A$3:$A$1192,0),MATCH(F$3,'IN_Detr 4.5 del_397'!$A$3:$AAA$3,0))</f>
        <v>0</v>
      </c>
      <c r="G99" s="989">
        <f>INDEX('IN_Detr 4.5 del_397'!$A$3:$AAA$1192,MATCH($A99,'IN_Detr 4.5 del_397'!$A$3:$A$1192,0),MATCH(G$3,'IN_Detr 4.5 del_397'!$A$3:$AAA$3,0))</f>
        <v>0</v>
      </c>
    </row>
    <row r="100" spans="1:7" outlineLevel="1" x14ac:dyDescent="0.2">
      <c r="A100" s="85" t="s">
        <v>5524</v>
      </c>
      <c r="B100" s="21" t="s">
        <v>10</v>
      </c>
      <c r="C100" s="22">
        <f t="shared" si="19"/>
        <v>0</v>
      </c>
      <c r="D100" s="6"/>
      <c r="E100" s="23"/>
      <c r="F100" s="23"/>
      <c r="G100" s="23"/>
    </row>
    <row r="101" spans="1:7" x14ac:dyDescent="0.2">
      <c r="C101" s="25"/>
      <c r="D101" s="6"/>
      <c r="E101" s="5"/>
      <c r="F101" s="5"/>
      <c r="G101" s="5"/>
    </row>
    <row r="102" spans="1:7" ht="19.5" customHeight="1" x14ac:dyDescent="0.2">
      <c r="A102" s="31" t="s">
        <v>5525</v>
      </c>
      <c r="B102" s="680" t="s">
        <v>5562</v>
      </c>
      <c r="C102" s="11">
        <f>SUM(E102:G102)</f>
        <v>18490437.041550688</v>
      </c>
      <c r="D102" s="6"/>
      <c r="E102" s="12">
        <f t="shared" ref="E102" si="25">E56+E76</f>
        <v>16399095.851034127</v>
      </c>
      <c r="F102" s="12">
        <f t="shared" ref="F102:G102" si="26">F56+F76</f>
        <v>1250998.5528639297</v>
      </c>
      <c r="G102" s="12">
        <f t="shared" si="26"/>
        <v>840342.63765263092</v>
      </c>
    </row>
  </sheetData>
  <sheetProtection formatColumns="0" formatRows="0"/>
  <pageMargins left="0.70866141732283472" right="0.70866141732283472" top="0.74803149606299213" bottom="0.74803149606299213" header="0.31496062992125984" footer="0.31496062992125984"/>
  <pageSetup paperSize="9" scale="26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2B85B-63A5-4AE7-85DB-E57B8841790C}">
  <sheetPr codeName="Foglio26">
    <tabColor theme="4" tint="-0.499984740745262"/>
    <pageSetUpPr fitToPage="1"/>
  </sheetPr>
  <dimension ref="A1:G102"/>
  <sheetViews>
    <sheetView showGridLines="0" zoomScaleNormal="100" workbookViewId="0">
      <pane xSplit="4" ySplit="3" topLeftCell="E10" activePane="bottomRight" state="frozen"/>
      <selection activeCell="C72" sqref="C72:F72"/>
      <selection pane="topRight" activeCell="C72" sqref="C72:F72"/>
      <selection pane="bottomLeft" activeCell="C72" sqref="C72:F72"/>
      <selection pane="bottomRight" activeCell="E35" sqref="E35"/>
    </sheetView>
  </sheetViews>
  <sheetFormatPr defaultColWidth="17.6640625" defaultRowHeight="10.199999999999999" outlineLevelRow="1" x14ac:dyDescent="0.2"/>
  <cols>
    <col min="1" max="1" width="22.44140625" style="7" bestFit="1" customWidth="1"/>
    <col min="2" max="2" width="94.33203125" style="5" bestFit="1" customWidth="1"/>
    <col min="3" max="3" width="10.33203125" style="3" bestFit="1" customWidth="1"/>
    <col min="4" max="4" width="1.109375" style="2" customWidth="1"/>
    <col min="5" max="7" width="12.88671875" style="4" customWidth="1"/>
    <col min="8" max="16384" width="17.6640625" style="5"/>
  </cols>
  <sheetData>
    <row r="1" spans="1:7" x14ac:dyDescent="0.2">
      <c r="B1" s="1" t="s">
        <v>5526</v>
      </c>
    </row>
    <row r="2" spans="1:7" x14ac:dyDescent="0.2">
      <c r="B2" s="134"/>
    </row>
    <row r="3" spans="1:7" s="359" customFormat="1" ht="20.399999999999999" x14ac:dyDescent="0.2">
      <c r="A3" s="356"/>
      <c r="B3" s="357"/>
      <c r="C3" s="358" t="s">
        <v>0</v>
      </c>
      <c r="D3" s="357"/>
      <c r="E3" s="358" t="str">
        <f>Ambiti!B4</f>
        <v>BUSTO ARSIZIO</v>
      </c>
      <c r="F3" s="358" t="str">
        <f>Ambiti!C4</f>
        <v>FAGNANO OLONA</v>
      </c>
      <c r="G3" s="358" t="str">
        <f>Ambiti!D4</f>
        <v>VENEGONO SUPERIORE</v>
      </c>
    </row>
    <row r="4" spans="1:7" s="10" customFormat="1" x14ac:dyDescent="0.2">
      <c r="A4" s="7"/>
      <c r="B4" s="8"/>
      <c r="C4" s="9"/>
      <c r="D4" s="8"/>
      <c r="E4" s="8"/>
      <c r="F4" s="8"/>
      <c r="G4" s="8"/>
    </row>
    <row r="5" spans="1:7" s="13" customFormat="1" ht="11.4" x14ac:dyDescent="0.3">
      <c r="A5" s="31" t="s">
        <v>5527</v>
      </c>
      <c r="B5" s="680" t="s">
        <v>5563</v>
      </c>
      <c r="C5" s="11">
        <f t="shared" ref="C5:C15" si="0">SUM(E5:G5)</f>
        <v>10094338.994965419</v>
      </c>
      <c r="D5" s="6"/>
      <c r="E5" s="12">
        <f>SUM(E6:E15)-E19+E20+E22</f>
        <v>8252633.5304478202</v>
      </c>
      <c r="F5" s="12">
        <f>SUM(F6:F15)-F19+F20+F22</f>
        <v>1121291.8505976</v>
      </c>
      <c r="G5" s="12">
        <f>SUM(G6:G15)-G19+G20+G22</f>
        <v>720413.61392000003</v>
      </c>
    </row>
    <row r="6" spans="1:7" outlineLevel="1" x14ac:dyDescent="0.2">
      <c r="A6" s="7" t="s">
        <v>4052</v>
      </c>
      <c r="B6" s="14" t="s">
        <v>1</v>
      </c>
      <c r="C6" s="15">
        <f t="shared" si="0"/>
        <v>1384937.1267688002</v>
      </c>
      <c r="D6" s="6"/>
      <c r="E6" s="16">
        <f>PEF_GEST_27!E6</f>
        <v>1157506.4023600002</v>
      </c>
      <c r="F6" s="16">
        <f>PEF_GEST_27!F6</f>
        <v>121561.60940880001</v>
      </c>
      <c r="G6" s="16">
        <f>PEF_GEST_27!G6</f>
        <v>105869.11500000001</v>
      </c>
    </row>
    <row r="7" spans="1:7" outlineLevel="1" x14ac:dyDescent="0.2">
      <c r="A7" s="7" t="s">
        <v>4058</v>
      </c>
      <c r="B7" s="14" t="s">
        <v>3</v>
      </c>
      <c r="C7" s="15">
        <f t="shared" si="0"/>
        <v>190983.63427439998</v>
      </c>
      <c r="D7" s="6"/>
      <c r="E7" s="16">
        <f>PEF_GEST_27!E7</f>
        <v>0</v>
      </c>
      <c r="F7" s="16">
        <f>PEF_GEST_27!F7</f>
        <v>189.21991440000002</v>
      </c>
      <c r="G7" s="16">
        <f>PEF_GEST_27!G7</f>
        <v>190794.41436</v>
      </c>
    </row>
    <row r="8" spans="1:7" outlineLevel="1" x14ac:dyDescent="0.2">
      <c r="A8" s="7" t="s">
        <v>4064</v>
      </c>
      <c r="B8" s="14" t="s">
        <v>4</v>
      </c>
      <c r="C8" s="15">
        <f t="shared" si="0"/>
        <v>3248497.9972983999</v>
      </c>
      <c r="D8" s="6"/>
      <c r="E8" s="16">
        <f>PEF_GEST_27!E8</f>
        <v>2683893.7774</v>
      </c>
      <c r="F8" s="16">
        <f>PEF_GEST_27!F8</f>
        <v>564604.21989840001</v>
      </c>
      <c r="G8" s="16">
        <f>PEF_GEST_27!G8</f>
        <v>0</v>
      </c>
    </row>
    <row r="9" spans="1:7" outlineLevel="1" x14ac:dyDescent="0.2">
      <c r="A9" s="7" t="s">
        <v>4070</v>
      </c>
      <c r="B9" s="14" t="s">
        <v>5</v>
      </c>
      <c r="C9" s="15">
        <f t="shared" si="0"/>
        <v>5947156.6116160005</v>
      </c>
      <c r="D9" s="6"/>
      <c r="E9" s="16">
        <f>PEF_GEST_27!E9</f>
        <v>5088469.7256800001</v>
      </c>
      <c r="F9" s="16">
        <f>PEF_GEST_27!F9</f>
        <v>434936.80137600005</v>
      </c>
      <c r="G9" s="16">
        <f>PEF_GEST_27!G9</f>
        <v>423750.08456000005</v>
      </c>
    </row>
    <row r="10" spans="1:7" ht="11.4" outlineLevel="1" x14ac:dyDescent="0.2">
      <c r="A10" s="85" t="s">
        <v>2497</v>
      </c>
      <c r="B10" s="14" t="s">
        <v>5438</v>
      </c>
      <c r="C10" s="17">
        <f t="shared" si="0"/>
        <v>0</v>
      </c>
      <c r="D10" s="6"/>
      <c r="E10" s="16">
        <f>INDEX(IN_COexp!$A$3:$AAA$269,MATCH($A10,IN_COexp!$A$3:$A$269,0),MATCH(E$3,IN_COexp!$A$3:$AAA$3,0))</f>
        <v>0</v>
      </c>
      <c r="F10" s="16">
        <f>INDEX(IN_COexp!$A$3:$AAA$269,MATCH($A10,IN_COexp!$A$3:$A$269,0),MATCH(F$3,IN_COexp!$A$3:$AAA$3,0))</f>
        <v>0</v>
      </c>
      <c r="G10" s="16">
        <f>INDEX(IN_COexp!$A$3:$AAA$269,MATCH($A10,IN_COexp!$A$3:$A$269,0),MATCH(G$3,IN_COexp!$A$3:$AAA$3,0))</f>
        <v>0</v>
      </c>
    </row>
    <row r="11" spans="1:7" ht="11.4" outlineLevel="1" x14ac:dyDescent="0.2">
      <c r="A11" s="85" t="s">
        <v>2134</v>
      </c>
      <c r="B11" s="14" t="s">
        <v>5439</v>
      </c>
      <c r="C11" s="17">
        <f t="shared" si="0"/>
        <v>0</v>
      </c>
      <c r="D11" s="6"/>
      <c r="E11" s="18">
        <f>INDEX(IN_COexp!$A$3:$AAA$269,MATCH($A11,IN_COexp!$A$3:$A$269,0),MATCH(E$3,IN_COexp!$A$3:$AAA$3,0))</f>
        <v>0</v>
      </c>
      <c r="F11" s="18">
        <f>INDEX(IN_COexp!$A$3:$AAA$269,MATCH($A11,IN_COexp!$A$3:$A$269,0),MATCH(F$3,IN_COexp!$A$3:$AAA$3,0))</f>
        <v>0</v>
      </c>
      <c r="G11" s="18">
        <f>INDEX(IN_COexp!$A$3:$AAA$269,MATCH($A11,IN_COexp!$A$3:$A$269,0),MATCH(G$3,IN_COexp!$A$3:$AAA$3,0))</f>
        <v>0</v>
      </c>
    </row>
    <row r="12" spans="1:7" ht="11.4" outlineLevel="1" x14ac:dyDescent="0.2">
      <c r="A12" s="85" t="s">
        <v>2178</v>
      </c>
      <c r="B12" s="14" t="s">
        <v>5440</v>
      </c>
      <c r="C12" s="17">
        <f t="shared" si="0"/>
        <v>0</v>
      </c>
      <c r="D12" s="6"/>
      <c r="E12" s="18">
        <f>INDEX(IN_COexp!$A$3:$AAA$269,MATCH($A12,IN_COexp!$A$3:$A$269,0),MATCH(E$3,IN_COexp!$A$3:$AAA$3,0))</f>
        <v>0</v>
      </c>
      <c r="F12" s="18">
        <f>INDEX(IN_COexp!$A$3:$AAA$269,MATCH($A12,IN_COexp!$A$3:$A$269,0),MATCH(F$3,IN_COexp!$A$3:$AAA$3,0))</f>
        <v>0</v>
      </c>
      <c r="G12" s="18">
        <f>INDEX(IN_COexp!$A$3:$AAA$269,MATCH($A12,IN_COexp!$A$3:$A$269,0),MATCH(G$3,IN_COexp!$A$3:$AAA$3,0))</f>
        <v>0</v>
      </c>
    </row>
    <row r="13" spans="1:7" ht="11.4" outlineLevel="1" x14ac:dyDescent="0.2">
      <c r="A13" s="85" t="s">
        <v>2228</v>
      </c>
      <c r="B13" s="14" t="s">
        <v>5441</v>
      </c>
      <c r="C13" s="17">
        <f t="shared" si="0"/>
        <v>0</v>
      </c>
      <c r="D13" s="6"/>
      <c r="E13" s="18">
        <f>INDEX(IN_COexp!$A$3:$AAA$269,MATCH($A13,IN_COexp!$A$3:$A$269,0),MATCH(E$3,IN_COexp!$A$3:$AAA$3,0))</f>
        <v>0</v>
      </c>
      <c r="F13" s="18">
        <f>INDEX(IN_COexp!$A$3:$AAA$269,MATCH($A13,IN_COexp!$A$3:$A$269,0),MATCH(F$3,IN_COexp!$A$3:$AAA$3,0))</f>
        <v>0</v>
      </c>
      <c r="G13" s="18">
        <f>INDEX(IN_COexp!$A$3:$AAA$269,MATCH($A13,IN_COexp!$A$3:$A$269,0),MATCH(G$3,IN_COexp!$A$3:$AAA$3,0))</f>
        <v>0</v>
      </c>
    </row>
    <row r="14" spans="1:7" ht="11.4" outlineLevel="1" x14ac:dyDescent="0.2">
      <c r="A14" s="85" t="s">
        <v>2300</v>
      </c>
      <c r="B14" s="14" t="s">
        <v>5442</v>
      </c>
      <c r="C14" s="17">
        <f t="shared" si="0"/>
        <v>0</v>
      </c>
      <c r="D14" s="6"/>
      <c r="E14" s="18">
        <f>INDEX(IN_COexp!$A$3:$AAA$269,MATCH($A14,IN_COexp!$A$3:$A$269,0),MATCH(E$3,IN_COexp!$A$3:$AAA$3,0))</f>
        <v>0</v>
      </c>
      <c r="F14" s="18">
        <f>INDEX(IN_COexp!$A$3:$AAA$269,MATCH($A14,IN_COexp!$A$3:$A$269,0),MATCH(F$3,IN_COexp!$A$3:$AAA$3,0))</f>
        <v>0</v>
      </c>
      <c r="G14" s="18">
        <f>INDEX(IN_COexp!$A$3:$AAA$269,MATCH($A14,IN_COexp!$A$3:$A$269,0),MATCH(G$3,IN_COexp!$A$3:$AAA$3,0))</f>
        <v>0</v>
      </c>
    </row>
    <row r="15" spans="1:7" ht="11.4" outlineLevel="1" x14ac:dyDescent="0.2">
      <c r="A15" s="85" t="s">
        <v>2355</v>
      </c>
      <c r="B15" s="14" t="s">
        <v>5443</v>
      </c>
      <c r="C15" s="17">
        <f t="shared" si="0"/>
        <v>0</v>
      </c>
      <c r="D15" s="6"/>
      <c r="E15" s="18">
        <f>INDEX(IN_COexp!$A$3:$AAA$269,MATCH($A15,IN_COexp!$A$3:$A$269,0),MATCH(E$3,IN_COexp!$A$3:$AAA$3,0))</f>
        <v>0</v>
      </c>
      <c r="F15" s="18">
        <f>INDEX(IN_COexp!$A$3:$AAA$269,MATCH($A15,IN_COexp!$A$3:$A$269,0),MATCH(F$3,IN_COexp!$A$3:$AAA$3,0))</f>
        <v>0</v>
      </c>
      <c r="G15" s="18">
        <f>INDEX(IN_COexp!$A$3:$AAA$269,MATCH($A15,IN_COexp!$A$3:$A$269,0),MATCH(G$3,IN_COexp!$A$3:$AAA$3,0))</f>
        <v>0</v>
      </c>
    </row>
    <row r="16" spans="1:7" outlineLevel="1" x14ac:dyDescent="0.2">
      <c r="A16" s="85" t="s">
        <v>1288</v>
      </c>
      <c r="B16" s="736" t="s">
        <v>7</v>
      </c>
      <c r="C16" s="737"/>
      <c r="D16" s="19"/>
      <c r="E16" s="740">
        <f>INDEX(IN_PAR!$A$3:$YE$413,MATCH($A16,IN_PAR!$A$3:$A$413,0),MATCH(E$3,IN_PAR!$A$3:$YE$3,0))</f>
        <v>0.7</v>
      </c>
      <c r="F16" s="740">
        <f>INDEX(IN_PAR!$A$3:$YE$413,MATCH($A16,IN_PAR!$A$3:$A$413,0),MATCH(F$3,IN_PAR!$A$3:$YE$3,0))</f>
        <v>0</v>
      </c>
      <c r="G16" s="740">
        <f>INDEX(IN_PAR!$A$3:$YE$413,MATCH($A16,IN_PAR!$A$3:$A$413,0),MATCH(G$3,IN_PAR!$A$3:$YE$3,0))</f>
        <v>0</v>
      </c>
    </row>
    <row r="17" spans="1:7" outlineLevel="1" x14ac:dyDescent="0.2">
      <c r="A17" s="7" t="s">
        <v>5528</v>
      </c>
      <c r="B17" s="26" t="s">
        <v>6</v>
      </c>
      <c r="C17" s="27">
        <f t="shared" ref="C17:C22" si="1">SUM(E17:G17)</f>
        <v>882043.96798319998</v>
      </c>
      <c r="D17" s="6"/>
      <c r="E17" s="28">
        <f>PEF_GEST_27!E17</f>
        <v>770996.38968000002</v>
      </c>
      <c r="F17" s="28">
        <f>PEF_GEST_27!F17</f>
        <v>62985.664183200002</v>
      </c>
      <c r="G17" s="28">
        <f>PEF_GEST_27!G17</f>
        <v>48061.914120000001</v>
      </c>
    </row>
    <row r="18" spans="1:7" ht="11.4" outlineLevel="1" x14ac:dyDescent="0.2">
      <c r="A18" s="7" t="s">
        <v>5529</v>
      </c>
      <c r="B18" s="26" t="s">
        <v>101</v>
      </c>
      <c r="C18" s="27">
        <f t="shared" si="1"/>
        <v>802657.26690159983</v>
      </c>
      <c r="D18" s="6"/>
      <c r="E18" s="28">
        <f>PEF_GEST_27!E18</f>
        <v>679391.85995999991</v>
      </c>
      <c r="F18" s="28">
        <f>PEF_GEST_27!F18</f>
        <v>81889.756581599999</v>
      </c>
      <c r="G18" s="28">
        <f>PEF_GEST_27!G18</f>
        <v>41375.65036</v>
      </c>
    </row>
    <row r="19" spans="1:7" ht="11.4" outlineLevel="1" x14ac:dyDescent="0.2">
      <c r="A19" s="7" t="s">
        <v>5903</v>
      </c>
      <c r="B19" s="738" t="s">
        <v>5437</v>
      </c>
      <c r="C19" s="739">
        <f t="shared" si="1"/>
        <v>1015271.774748</v>
      </c>
      <c r="D19" s="6"/>
      <c r="E19" s="741">
        <f>E16*(E17+E18)</f>
        <v>1015271.774748</v>
      </c>
      <c r="F19" s="741">
        <f>F16*(F17+F18)</f>
        <v>0</v>
      </c>
      <c r="G19" s="741">
        <f>G16*(G17+G18)</f>
        <v>0</v>
      </c>
    </row>
    <row r="20" spans="1:7" ht="11.4" outlineLevel="1" x14ac:dyDescent="0.2">
      <c r="A20" s="85" t="s">
        <v>3041</v>
      </c>
      <c r="B20" s="703" t="s">
        <v>102</v>
      </c>
      <c r="C20" s="704">
        <f t="shared" si="1"/>
        <v>338035.39975581953</v>
      </c>
      <c r="D20" s="6"/>
      <c r="E20" s="706">
        <f>INDEX('IN_RC-T'!$A$3:$AAA$865,MATCH($A20,'IN_RC-T'!$A$3:$A$865,0),MATCH(E$3,'IN_RC-T'!$A$3:$AAA$3,0))</f>
        <v>338035.39975581953</v>
      </c>
      <c r="F20" s="706">
        <f>INDEX('IN_RC-T'!$A$3:$AAA$865,MATCH($A20,'IN_RC-T'!$A$3:$A$865,0),MATCH(F$3,'IN_RC-T'!$A$3:$AAA$3,0))</f>
        <v>0</v>
      </c>
      <c r="G20" s="706">
        <f>INDEX('IN_RC-T'!$A$3:$AAA$865,MATCH($A20,'IN_RC-T'!$A$3:$A$865,0),MATCH(G$3,'IN_RC-T'!$A$3:$AAA$3,0))</f>
        <v>0</v>
      </c>
    </row>
    <row r="21" spans="1:7" ht="11.4" outlineLevel="1" x14ac:dyDescent="0.2">
      <c r="A21" s="7" t="s">
        <v>6801</v>
      </c>
      <c r="B21" s="705" t="s">
        <v>5444</v>
      </c>
      <c r="C21" s="985">
        <f t="shared" si="1"/>
        <v>338035.39975581953</v>
      </c>
      <c r="D21" s="986"/>
      <c r="E21" s="984">
        <f>INDEX('IN_RC-T'!$A$3:$AAA$865,MATCH($A21,'IN_RC-T'!$A$3:$A$865,0),MATCH(E$3,'IN_RC-T'!$A$3:$AAA$3,0))</f>
        <v>338035.39975581953</v>
      </c>
      <c r="F21" s="984">
        <f>INDEX('IN_RC-T'!$A$3:$AAA$865,MATCH($A21,'IN_RC-T'!$A$3:$A$865,0),MATCH(F$3,'IN_RC-T'!$A$3:$AAA$3,0))</f>
        <v>0</v>
      </c>
      <c r="G21" s="984">
        <f>INDEX('IN_RC-T'!$A$3:$AAA$865,MATCH($A21,'IN_RC-T'!$A$3:$A$865,0),MATCH(G$3,'IN_RC-T'!$A$3:$AAA$3,0))</f>
        <v>0</v>
      </c>
    </row>
    <row r="22" spans="1:7" outlineLevel="1" x14ac:dyDescent="0.2">
      <c r="A22" s="85" t="s">
        <v>5530</v>
      </c>
      <c r="B22" s="21" t="s">
        <v>109</v>
      </c>
      <c r="C22" s="22">
        <f t="shared" si="1"/>
        <v>0</v>
      </c>
      <c r="D22" s="6"/>
      <c r="E22" s="23"/>
      <c r="F22" s="23"/>
      <c r="G22" s="23"/>
    </row>
    <row r="23" spans="1:7" outlineLevel="1" x14ac:dyDescent="0.2">
      <c r="B23" s="24"/>
      <c r="C23" s="25"/>
      <c r="D23" s="6"/>
      <c r="E23" s="5"/>
      <c r="F23" s="5"/>
      <c r="G23" s="5"/>
    </row>
    <row r="24" spans="1:7" s="13" customFormat="1" ht="11.4" outlineLevel="1" x14ac:dyDescent="0.3">
      <c r="A24" s="31" t="s">
        <v>5531</v>
      </c>
      <c r="B24" s="680" t="s">
        <v>5564</v>
      </c>
      <c r="C24" s="11">
        <f t="shared" ref="C24:C48" si="2">SUM(E24:G24)</f>
        <v>7207729.0492472257</v>
      </c>
      <c r="D24" s="6"/>
      <c r="E24" s="12">
        <f>E25+E30+E40+SUM(E41:E46)+E48</f>
        <v>6964646.892502577</v>
      </c>
      <c r="F24" s="12">
        <f>F25+F30+F40+SUM(F41:F46)+F48</f>
        <v>123153.1330120179</v>
      </c>
      <c r="G24" s="12">
        <f>G25+G30+G40+SUM(G41:G46)+G48</f>
        <v>119929.02373263093</v>
      </c>
    </row>
    <row r="25" spans="1:7" outlineLevel="1" x14ac:dyDescent="0.2">
      <c r="A25" s="7" t="s">
        <v>4127</v>
      </c>
      <c r="B25" s="14" t="s">
        <v>11</v>
      </c>
      <c r="C25" s="15">
        <f t="shared" si="2"/>
        <v>2433783.1588399997</v>
      </c>
      <c r="D25" s="6"/>
      <c r="E25" s="16">
        <f>PEF_GEST_27!E25</f>
        <v>2380990.7114399998</v>
      </c>
      <c r="F25" s="16">
        <f>PEF_GEST_27!F25</f>
        <v>0</v>
      </c>
      <c r="G25" s="16">
        <f>PEF_GEST_27!G25</f>
        <v>52792.447399999997</v>
      </c>
    </row>
    <row r="26" spans="1:7" outlineLevel="1" x14ac:dyDescent="0.2">
      <c r="A26" s="7" t="s">
        <v>4133</v>
      </c>
      <c r="B26" s="26" t="s">
        <v>13</v>
      </c>
      <c r="C26" s="27">
        <f t="shared" si="2"/>
        <v>654540.42896000005</v>
      </c>
      <c r="D26" s="6"/>
      <c r="E26" s="28">
        <f>PEF_GEST_27!E26</f>
        <v>654540.42896000005</v>
      </c>
      <c r="F26" s="28">
        <f>PEF_GEST_27!F26</f>
        <v>0</v>
      </c>
      <c r="G26" s="28">
        <f>PEF_GEST_27!G26</f>
        <v>0</v>
      </c>
    </row>
    <row r="27" spans="1:7" outlineLevel="1" x14ac:dyDescent="0.2">
      <c r="A27" s="7" t="s">
        <v>4139</v>
      </c>
      <c r="B27" s="26" t="s">
        <v>14</v>
      </c>
      <c r="C27" s="27">
        <f t="shared" si="2"/>
        <v>1851949.6199159999</v>
      </c>
      <c r="D27" s="6"/>
      <c r="E27" s="28">
        <f>PEF_GEST_27!E27</f>
        <v>1750717.3543199999</v>
      </c>
      <c r="F27" s="28">
        <f>PEF_GEST_27!F27</f>
        <v>52656.265596000005</v>
      </c>
      <c r="G27" s="28">
        <f>PEF_GEST_27!G27</f>
        <v>48576</v>
      </c>
    </row>
    <row r="28" spans="1:7" outlineLevel="1" x14ac:dyDescent="0.2">
      <c r="A28" s="7" t="s">
        <v>4145</v>
      </c>
      <c r="B28" s="26" t="s">
        <v>15</v>
      </c>
      <c r="C28" s="27">
        <f t="shared" si="2"/>
        <v>0</v>
      </c>
      <c r="D28" s="6"/>
      <c r="E28" s="28">
        <f>PEF_GEST_27!E28</f>
        <v>0</v>
      </c>
      <c r="F28" s="28">
        <f>PEF_GEST_27!F28</f>
        <v>0</v>
      </c>
      <c r="G28" s="28">
        <f>PEF_GEST_27!G28</f>
        <v>0</v>
      </c>
    </row>
    <row r="29" spans="1:7" ht="11.4" outlineLevel="1" x14ac:dyDescent="0.2">
      <c r="A29" s="7" t="s">
        <v>4151</v>
      </c>
      <c r="B29" s="52" t="s">
        <v>16</v>
      </c>
      <c r="C29" s="53">
        <f t="shared" si="2"/>
        <v>0</v>
      </c>
      <c r="D29" s="6"/>
      <c r="E29" s="54">
        <f>PEF_GEST_27!E29</f>
        <v>0</v>
      </c>
      <c r="F29" s="54">
        <f>PEF_GEST_27!F29</f>
        <v>0</v>
      </c>
      <c r="G29" s="54">
        <f>PEF_GEST_27!G29</f>
        <v>0</v>
      </c>
    </row>
    <row r="30" spans="1:7" outlineLevel="1" x14ac:dyDescent="0.2">
      <c r="A30" s="7" t="s">
        <v>5532</v>
      </c>
      <c r="B30" s="684" t="s">
        <v>12</v>
      </c>
      <c r="C30" s="685">
        <f t="shared" si="2"/>
        <v>2506490.0488760001</v>
      </c>
      <c r="D30" s="6"/>
      <c r="E30" s="686">
        <f>SUM(E26:E29)</f>
        <v>2405257.7832800001</v>
      </c>
      <c r="F30" s="686">
        <f>SUM(F26:F29)</f>
        <v>52656.265596000005</v>
      </c>
      <c r="G30" s="686">
        <f>SUM(G26:G29)</f>
        <v>48576</v>
      </c>
    </row>
    <row r="31" spans="1:7" outlineLevel="1" x14ac:dyDescent="0.2">
      <c r="A31" s="85" t="s">
        <v>4157</v>
      </c>
      <c r="B31" s="26" t="s">
        <v>18</v>
      </c>
      <c r="C31" s="27">
        <f t="shared" si="2"/>
        <v>680849.52973762178</v>
      </c>
      <c r="D31" s="6"/>
      <c r="E31" s="28">
        <f>INDEX(CK_GEST!$A$3:$AAA$158,MATCH($A31,CK_GEST!$A$3:$A$158,0),MATCH(E$3,CK_GEST!$A$3:$AAA$3,0))</f>
        <v>639718.63503260689</v>
      </c>
      <c r="F31" s="28">
        <f>INDEX(CK_GEST!$A$3:$AAA$158,MATCH($A31,CK_GEST!$A$3:$A$158,0),MATCH(F$3,CK_GEST!$A$3:$AAA$3,0))</f>
        <v>41130.894705014922</v>
      </c>
      <c r="G31" s="28">
        <f>INDEX(CK_GEST!$A$3:$AAA$158,MATCH($A31,CK_GEST!$A$3:$A$158,0),MATCH(G$3,CK_GEST!$A$3:$AAA$3,0))</f>
        <v>0</v>
      </c>
    </row>
    <row r="32" spans="1:7" outlineLevel="1" x14ac:dyDescent="0.2">
      <c r="A32" s="7" t="s">
        <v>4175</v>
      </c>
      <c r="B32" s="687" t="s">
        <v>19</v>
      </c>
      <c r="C32" s="688">
        <f t="shared" si="2"/>
        <v>682583</v>
      </c>
      <c r="D32" s="6"/>
      <c r="E32" s="689">
        <f>SUM(E33:E36)</f>
        <v>682583</v>
      </c>
      <c r="F32" s="689">
        <f>SUM(F33:F36)</f>
        <v>0</v>
      </c>
      <c r="G32" s="689">
        <f>SUM(G33:G36)</f>
        <v>0</v>
      </c>
    </row>
    <row r="33" spans="1:7" outlineLevel="1" x14ac:dyDescent="0.2">
      <c r="A33" s="85" t="s">
        <v>4163</v>
      </c>
      <c r="B33" s="690" t="s">
        <v>20</v>
      </c>
      <c r="C33" s="691">
        <f t="shared" si="2"/>
        <v>0</v>
      </c>
      <c r="D33" s="6"/>
      <c r="E33" s="696">
        <f>PEF_GEST_27!E33</f>
        <v>0</v>
      </c>
      <c r="F33" s="696">
        <f>PEF_GEST_27!F33</f>
        <v>0</v>
      </c>
      <c r="G33" s="696">
        <f>PEF_GEST_27!G33</f>
        <v>0</v>
      </c>
    </row>
    <row r="34" spans="1:7" outlineLevel="1" x14ac:dyDescent="0.2">
      <c r="A34" s="85" t="s">
        <v>4166</v>
      </c>
      <c r="B34" s="692" t="s">
        <v>21</v>
      </c>
      <c r="C34" s="693">
        <f t="shared" si="2"/>
        <v>682583</v>
      </c>
      <c r="D34" s="6"/>
      <c r="E34" s="697">
        <v>682583</v>
      </c>
      <c r="F34" s="697">
        <f>PEF_GEST_27!F34</f>
        <v>0</v>
      </c>
      <c r="G34" s="697">
        <f>PEF_GEST_27!G34</f>
        <v>0</v>
      </c>
    </row>
    <row r="35" spans="1:7" outlineLevel="1" x14ac:dyDescent="0.2">
      <c r="A35" s="85" t="s">
        <v>4169</v>
      </c>
      <c r="B35" s="692" t="s">
        <v>22</v>
      </c>
      <c r="C35" s="693">
        <f t="shared" si="2"/>
        <v>0</v>
      </c>
      <c r="D35" s="6"/>
      <c r="E35" s="697">
        <f>PEF_GEST_27!E35</f>
        <v>0</v>
      </c>
      <c r="F35" s="697">
        <f>PEF_GEST_27!F35</f>
        <v>0</v>
      </c>
      <c r="G35" s="697">
        <f>PEF_GEST_27!G35</f>
        <v>0</v>
      </c>
    </row>
    <row r="36" spans="1:7" outlineLevel="1" x14ac:dyDescent="0.2">
      <c r="A36" s="85" t="s">
        <v>4172</v>
      </c>
      <c r="B36" s="694" t="s">
        <v>23</v>
      </c>
      <c r="C36" s="695">
        <f t="shared" si="2"/>
        <v>0</v>
      </c>
      <c r="D36" s="6"/>
      <c r="E36" s="698">
        <f>PEF_GEST_27!E36</f>
        <v>0</v>
      </c>
      <c r="F36" s="698">
        <f>PEF_GEST_27!F36</f>
        <v>0</v>
      </c>
      <c r="G36" s="698">
        <f>PEF_GEST_27!G36</f>
        <v>0</v>
      </c>
    </row>
    <row r="37" spans="1:7" outlineLevel="1" x14ac:dyDescent="0.2">
      <c r="A37" s="85" t="s">
        <v>4193</v>
      </c>
      <c r="B37" s="26" t="s">
        <v>24</v>
      </c>
      <c r="C37" s="27">
        <f t="shared" si="2"/>
        <v>582336.46389968612</v>
      </c>
      <c r="D37" s="6"/>
      <c r="E37" s="28">
        <f>INDEX(CK_GEST!$A$3:$AAA$158,MATCH($A37,CK_GEST!$A$3:$A$158,0),MATCH(E$3,CK_GEST!$A$3:$AAA$3,0))</f>
        <v>534409.91485605214</v>
      </c>
      <c r="F37" s="28">
        <f>INDEX(CK_GEST!$A$3:$AAA$158,MATCH($A37,CK_GEST!$A$3:$A$158,0),MATCH(F$3,CK_GEST!$A$3:$AAA$3,0))</f>
        <v>29365.972711002989</v>
      </c>
      <c r="G37" s="28">
        <f>INDEX(CK_GEST!$A$3:$AAA$158,MATCH($A37,CK_GEST!$A$3:$A$158,0),MATCH(G$3,CK_GEST!$A$3:$AAA$3,0))</f>
        <v>18560.576332630921</v>
      </c>
    </row>
    <row r="38" spans="1:7" ht="11.4" outlineLevel="1" x14ac:dyDescent="0.2">
      <c r="A38" s="85" t="s">
        <v>4199</v>
      </c>
      <c r="B38" s="52" t="s">
        <v>25</v>
      </c>
      <c r="C38" s="53">
        <f t="shared" si="2"/>
        <v>0</v>
      </c>
      <c r="D38" s="6"/>
      <c r="E38" s="54">
        <f>INDEX(CK_GEST!$A$3:$AAA$158,MATCH($A38,CK_GEST!$A$3:$A$158,0),MATCH(E$3,CK_GEST!$A$3:$AAA$3,0))</f>
        <v>0</v>
      </c>
      <c r="F38" s="54">
        <f>INDEX(CK_GEST!$A$3:$AAA$158,MATCH($A38,CK_GEST!$A$3:$A$158,0),MATCH(F$3,CK_GEST!$A$3:$AAA$3,0))</f>
        <v>0</v>
      </c>
      <c r="G38" s="54">
        <f>INDEX(CK_GEST!$A$3:$AAA$158,MATCH($A38,CK_GEST!$A$3:$A$158,0),MATCH(G$3,CK_GEST!$A$3:$AAA$3,0))</f>
        <v>0</v>
      </c>
    </row>
    <row r="39" spans="1:7" ht="11.4" outlineLevel="1" x14ac:dyDescent="0.2">
      <c r="A39" s="85" t="s">
        <v>4205</v>
      </c>
      <c r="B39" s="52" t="s">
        <v>5474</v>
      </c>
      <c r="C39" s="53">
        <f t="shared" si="2"/>
        <v>0</v>
      </c>
      <c r="D39" s="6"/>
      <c r="E39" s="54">
        <f>INDEX(CK_GEST!$A$3:$AAA$158,MATCH($A39,CK_GEST!$A$3:$A$158,0),MATCH(E$3,CK_GEST!$A$3:$AAA$3,0))</f>
        <v>0</v>
      </c>
      <c r="F39" s="54">
        <f>INDEX(CK_GEST!$A$3:$AAA$158,MATCH($A39,CK_GEST!$A$3:$A$158,0),MATCH(F$3,CK_GEST!$A$3:$AAA$3,0))</f>
        <v>0</v>
      </c>
      <c r="G39" s="54">
        <f>INDEX(CK_GEST!$A$3:$AAA$158,MATCH($A39,CK_GEST!$A$3:$A$158,0),MATCH(G$3,CK_GEST!$A$3:$AAA$3,0))</f>
        <v>0</v>
      </c>
    </row>
    <row r="40" spans="1:7" outlineLevel="1" x14ac:dyDescent="0.2">
      <c r="A40" s="7" t="s">
        <v>5533</v>
      </c>
      <c r="B40" s="684" t="s">
        <v>17</v>
      </c>
      <c r="C40" s="685">
        <f t="shared" si="2"/>
        <v>1945768.9936373075</v>
      </c>
      <c r="D40" s="6"/>
      <c r="E40" s="686">
        <f>E31+E32+E37+E38+E39</f>
        <v>1856711.5498886588</v>
      </c>
      <c r="F40" s="686">
        <f>F31+F32+F37+F38+F39</f>
        <v>70496.867416017907</v>
      </c>
      <c r="G40" s="686">
        <f>G31+G32+G37+G38+G39</f>
        <v>18560.576332630921</v>
      </c>
    </row>
    <row r="41" spans="1:7" ht="11.4" outlineLevel="1" x14ac:dyDescent="0.2">
      <c r="A41" s="85" t="s">
        <v>2137</v>
      </c>
      <c r="B41" s="14" t="s">
        <v>5447</v>
      </c>
      <c r="C41" s="17">
        <f t="shared" si="2"/>
        <v>0</v>
      </c>
      <c r="D41" s="6"/>
      <c r="E41" s="16">
        <f>INDEX(IN_COexp!$A$3:$AAA$269,MATCH($A41,IN_COexp!$A$3:$A$269,0),MATCH(E$3,IN_COexp!$A$3:$AAA$3,0))</f>
        <v>0</v>
      </c>
      <c r="F41" s="16">
        <f>INDEX(IN_COexp!$A$3:$AAA$269,MATCH($A41,IN_COexp!$A$3:$A$269,0),MATCH(F$3,IN_COexp!$A$3:$AAA$3,0))</f>
        <v>0</v>
      </c>
      <c r="G41" s="16">
        <f>INDEX(IN_COexp!$A$3:$AAA$269,MATCH($A41,IN_COexp!$A$3:$A$269,0),MATCH(G$3,IN_COexp!$A$3:$AAA$3,0))</f>
        <v>0</v>
      </c>
    </row>
    <row r="42" spans="1:7" ht="11.4" outlineLevel="1" x14ac:dyDescent="0.2">
      <c r="A42" s="85" t="s">
        <v>2181</v>
      </c>
      <c r="B42" s="14" t="s">
        <v>5448</v>
      </c>
      <c r="C42" s="17">
        <f t="shared" si="2"/>
        <v>0</v>
      </c>
      <c r="D42" s="6"/>
      <c r="E42" s="16">
        <f>INDEX(IN_COexp!$A$3:$AAA$269,MATCH($A42,IN_COexp!$A$3:$A$269,0),MATCH(E$3,IN_COexp!$A$3:$AAA$3,0))</f>
        <v>0</v>
      </c>
      <c r="F42" s="16">
        <f>INDEX(IN_COexp!$A$3:$AAA$269,MATCH($A42,IN_COexp!$A$3:$A$269,0),MATCH(F$3,IN_COexp!$A$3:$AAA$3,0))</f>
        <v>0</v>
      </c>
      <c r="G42" s="16">
        <f>INDEX(IN_COexp!$A$3:$AAA$269,MATCH($A42,IN_COexp!$A$3:$A$269,0),MATCH(G$3,IN_COexp!$A$3:$AAA$3,0))</f>
        <v>0</v>
      </c>
    </row>
    <row r="43" spans="1:7" ht="11.4" outlineLevel="1" x14ac:dyDescent="0.2">
      <c r="A43" s="85" t="s">
        <v>2231</v>
      </c>
      <c r="B43" s="14" t="s">
        <v>6410</v>
      </c>
      <c r="C43" s="17">
        <f t="shared" si="2"/>
        <v>0</v>
      </c>
      <c r="D43" s="6"/>
      <c r="E43" s="18">
        <f>INDEX(IN_COexp!$A$3:$AAA$269,MATCH($A43,IN_COexp!$A$3:$A$269,0),MATCH(E$3,IN_COexp!$A$3:$AAA$3,0))</f>
        <v>0</v>
      </c>
      <c r="F43" s="18">
        <f>INDEX(IN_COexp!$A$3:$AAA$269,MATCH($A43,IN_COexp!$A$3:$A$269,0),MATCH(F$3,IN_COexp!$A$3:$AAA$3,0))</f>
        <v>0</v>
      </c>
      <c r="G43" s="18">
        <f>INDEX(IN_COexp!$A$3:$AAA$269,MATCH($A43,IN_COexp!$A$3:$A$269,0),MATCH(G$3,IN_COexp!$A$3:$AAA$3,0))</f>
        <v>0</v>
      </c>
    </row>
    <row r="44" spans="1:7" ht="11.4" outlineLevel="1" x14ac:dyDescent="0.2">
      <c r="A44" s="85" t="s">
        <v>2303</v>
      </c>
      <c r="B44" s="14" t="s">
        <v>6411</v>
      </c>
      <c r="C44" s="17">
        <f t="shared" si="2"/>
        <v>0</v>
      </c>
      <c r="D44" s="6"/>
      <c r="E44" s="18">
        <f>INDEX(IN_COexp!$A$3:$AAA$269,MATCH($A44,IN_COexp!$A$3:$A$269,0),MATCH(E$3,IN_COexp!$A$3:$AAA$3,0))</f>
        <v>0</v>
      </c>
      <c r="F44" s="18">
        <f>INDEX(IN_COexp!$A$3:$AAA$269,MATCH($A44,IN_COexp!$A$3:$A$269,0),MATCH(F$3,IN_COexp!$A$3:$AAA$3,0))</f>
        <v>0</v>
      </c>
      <c r="G44" s="18">
        <f>INDEX(IN_COexp!$A$3:$AAA$269,MATCH($A44,IN_COexp!$A$3:$A$269,0),MATCH(G$3,IN_COexp!$A$3:$AAA$3,0))</f>
        <v>0</v>
      </c>
    </row>
    <row r="45" spans="1:7" ht="11.4" outlineLevel="1" x14ac:dyDescent="0.2">
      <c r="A45" s="85" t="s">
        <v>2358</v>
      </c>
      <c r="B45" s="14" t="s">
        <v>5449</v>
      </c>
      <c r="C45" s="17">
        <f t="shared" si="2"/>
        <v>0</v>
      </c>
      <c r="D45" s="6"/>
      <c r="E45" s="16">
        <f>INDEX(IN_COexp!$A$3:$AAA$269,MATCH($A45,IN_COexp!$A$3:$A$269,0),MATCH(E$3,IN_COexp!$A$3:$AAA$3,0))</f>
        <v>0</v>
      </c>
      <c r="F45" s="16">
        <f>INDEX(IN_COexp!$A$3:$AAA$269,MATCH($A45,IN_COexp!$A$3:$A$269,0),MATCH(F$3,IN_COexp!$A$3:$AAA$3,0))</f>
        <v>0</v>
      </c>
      <c r="G45" s="16">
        <f>INDEX(IN_COexp!$A$3:$AAA$269,MATCH($A45,IN_COexp!$A$3:$A$269,0),MATCH(G$3,IN_COexp!$A$3:$AAA$3,0))</f>
        <v>0</v>
      </c>
    </row>
    <row r="46" spans="1:7" ht="11.4" outlineLevel="1" x14ac:dyDescent="0.2">
      <c r="A46" s="85" t="s">
        <v>3043</v>
      </c>
      <c r="B46" s="703" t="s">
        <v>26</v>
      </c>
      <c r="C46" s="704">
        <f t="shared" si="2"/>
        <v>321686.84789391904</v>
      </c>
      <c r="D46" s="6"/>
      <c r="E46" s="706">
        <f>INDEX('IN_RC-T'!$A$3:$AAA$865,MATCH($A46,'IN_RC-T'!$A$3:$A$865,0),MATCH(E$3,'IN_RC-T'!$A$3:$AAA$3,0))</f>
        <v>321686.84789391904</v>
      </c>
      <c r="F46" s="706">
        <f>INDEX('IN_RC-T'!$A$3:$AAA$865,MATCH($A46,'IN_RC-T'!$A$3:$A$865,0),MATCH(F$3,'IN_RC-T'!$A$3:$AAA$3,0))</f>
        <v>0</v>
      </c>
      <c r="G46" s="706">
        <f>INDEX('IN_RC-T'!$A$3:$AAA$865,MATCH($A46,'IN_RC-T'!$A$3:$A$865,0),MATCH(G$3,'IN_RC-T'!$A$3:$AAA$3,0))</f>
        <v>0</v>
      </c>
    </row>
    <row r="47" spans="1:7" ht="11.4" outlineLevel="1" x14ac:dyDescent="0.2">
      <c r="A47" s="7" t="s">
        <v>6803</v>
      </c>
      <c r="B47" s="705" t="s">
        <v>5450</v>
      </c>
      <c r="C47" s="985">
        <f t="shared" si="2"/>
        <v>321686.84789391904</v>
      </c>
      <c r="D47" s="986"/>
      <c r="E47" s="984">
        <f>INDEX('IN_RC-T'!$A$3:$AAA$865,MATCH($A47,'IN_RC-T'!$A$3:$A$865,0),MATCH(E$3,'IN_RC-T'!$A$3:$AAA$3,0))</f>
        <v>321686.84789391904</v>
      </c>
      <c r="F47" s="984">
        <f>INDEX('IN_RC-T'!$A$3:$AAA$865,MATCH($A47,'IN_RC-T'!$A$3:$A$865,0),MATCH(F$3,'IN_RC-T'!$A$3:$AAA$3,0))</f>
        <v>0</v>
      </c>
      <c r="G47" s="984">
        <f>INDEX('IN_RC-T'!$A$3:$AAA$865,MATCH($A47,'IN_RC-T'!$A$3:$A$865,0),MATCH(G$3,'IN_RC-T'!$A$3:$AAA$3,0))</f>
        <v>0</v>
      </c>
    </row>
    <row r="48" spans="1:7" outlineLevel="1" x14ac:dyDescent="0.2">
      <c r="A48" s="85" t="s">
        <v>5534</v>
      </c>
      <c r="B48" s="21" t="s">
        <v>10</v>
      </c>
      <c r="C48" s="22">
        <f t="shared" si="2"/>
        <v>0</v>
      </c>
      <c r="D48" s="6"/>
      <c r="E48" s="23"/>
      <c r="F48" s="23"/>
      <c r="G48" s="23"/>
    </row>
    <row r="49" spans="1:7" x14ac:dyDescent="0.2">
      <c r="C49" s="25"/>
      <c r="D49" s="6"/>
      <c r="E49" s="5"/>
      <c r="F49" s="5"/>
      <c r="G49" s="5"/>
    </row>
    <row r="50" spans="1:7" s="13" customFormat="1" ht="19.5" customHeight="1" x14ac:dyDescent="0.3">
      <c r="A50" s="31" t="s">
        <v>5535</v>
      </c>
      <c r="B50" s="680" t="s">
        <v>5565</v>
      </c>
      <c r="C50" s="11">
        <f>SUM(E50:G50)</f>
        <v>17302068.044212647</v>
      </c>
      <c r="D50" s="6"/>
      <c r="E50" s="12">
        <f t="shared" ref="E50" si="3">E5+E24</f>
        <v>15217280.422950398</v>
      </c>
      <c r="F50" s="12">
        <f t="shared" ref="F50:G50" si="4">F5+F24</f>
        <v>1244444.9836096179</v>
      </c>
      <c r="G50" s="12">
        <f t="shared" si="4"/>
        <v>840342.63765263092</v>
      </c>
    </row>
    <row r="51" spans="1:7" x14ac:dyDescent="0.2">
      <c r="B51" s="24"/>
      <c r="C51" s="25"/>
      <c r="D51" s="6"/>
      <c r="E51" s="5"/>
      <c r="F51" s="5"/>
      <c r="G51" s="5"/>
    </row>
    <row r="52" spans="1:7" x14ac:dyDescent="0.2">
      <c r="A52" s="85" t="s">
        <v>4970</v>
      </c>
      <c r="B52" s="682" t="s">
        <v>5453</v>
      </c>
      <c r="C52" s="213">
        <f>SUM(E52:G52)</f>
        <v>0</v>
      </c>
      <c r="D52" s="6"/>
      <c r="E52" s="215">
        <f>INDEX('IN_Detr 4.5 del_397'!$A$3:$AAA$1192,MATCH($A52,'IN_Detr 4.5 del_397'!$A$3:$A$1192,0),MATCH(E$3,'IN_Detr 4.5 del_397'!$A$3:$AAA$3,0))</f>
        <v>0</v>
      </c>
      <c r="F52" s="215">
        <f>INDEX('IN_Detr 4.5 del_397'!$A$3:$AAA$1192,MATCH($A52,'IN_Detr 4.5 del_397'!$A$3:$A$1192,0),MATCH(F$3,'IN_Detr 4.5 del_397'!$A$3:$AAA$3,0))</f>
        <v>0</v>
      </c>
      <c r="G52" s="215">
        <f>INDEX('IN_Detr 4.5 del_397'!$A$3:$AAA$1192,MATCH($A52,'IN_Detr 4.5 del_397'!$A$3:$A$1192,0),MATCH(G$3,'IN_Detr 4.5 del_397'!$A$3:$AAA$3,0))</f>
        <v>0</v>
      </c>
    </row>
    <row r="53" spans="1:7" x14ac:dyDescent="0.2">
      <c r="A53" s="85" t="s">
        <v>4254</v>
      </c>
      <c r="B53" s="683" t="s">
        <v>5454</v>
      </c>
      <c r="C53" s="214">
        <f>SUM(E53:G53)</f>
        <v>0</v>
      </c>
      <c r="D53" s="6"/>
      <c r="E53" s="216">
        <f>INDEX('IN_Detr 4.5 del_397'!$A$3:$AAA$1192,MATCH($A53,'IN_Detr 4.5 del_397'!$A$3:$A$1192,0),MATCH(E$3,'IN_Detr 4.5 del_397'!$A$3:$AAA$3,0))</f>
        <v>0</v>
      </c>
      <c r="F53" s="216">
        <f>INDEX('IN_Detr 4.5 del_397'!$A$3:$AAA$1192,MATCH($A53,'IN_Detr 4.5 del_397'!$A$3:$A$1192,0),MATCH(F$3,'IN_Detr 4.5 del_397'!$A$3:$AAA$3,0))</f>
        <v>0</v>
      </c>
      <c r="G53" s="216">
        <f>INDEX('IN_Detr 4.5 del_397'!$A$3:$AAA$1192,MATCH($A53,'IN_Detr 4.5 del_397'!$A$3:$A$1192,0),MATCH(G$3,'IN_Detr 4.5 del_397'!$A$3:$AAA$3,0))</f>
        <v>0</v>
      </c>
    </row>
    <row r="54" spans="1:7" ht="19.5" customHeight="1" x14ac:dyDescent="0.2">
      <c r="A54" s="85" t="s">
        <v>5536</v>
      </c>
      <c r="B54" s="681" t="s">
        <v>5455</v>
      </c>
      <c r="C54" s="131">
        <f>SUM(E54:G54)</f>
        <v>0</v>
      </c>
      <c r="D54" s="130"/>
      <c r="E54" s="132">
        <f>E52+E53</f>
        <v>0</v>
      </c>
      <c r="F54" s="132">
        <f>F52+F53</f>
        <v>0</v>
      </c>
      <c r="G54" s="132">
        <f>G52+G53</f>
        <v>0</v>
      </c>
    </row>
    <row r="56" spans="1:7" ht="11.4" x14ac:dyDescent="0.2">
      <c r="A56" s="31" t="s">
        <v>5537</v>
      </c>
      <c r="B56" s="680" t="s">
        <v>5566</v>
      </c>
      <c r="C56" s="11">
        <f t="shared" ref="C56:C66" si="5">SUM(E56:G56)</f>
        <v>10094338.994965419</v>
      </c>
      <c r="D56" s="6"/>
      <c r="E56" s="12">
        <f>SUM(E57:E66)-E70+E71+E73</f>
        <v>8252633.5304478202</v>
      </c>
      <c r="F56" s="12">
        <f>SUM(F57:F66)-F70+F71+F73</f>
        <v>1121291.8505976</v>
      </c>
      <c r="G56" s="12">
        <f>SUM(G57:G66)-G70+G71+G73</f>
        <v>720413.61392000003</v>
      </c>
    </row>
    <row r="57" spans="1:7" outlineLevel="1" x14ac:dyDescent="0.2">
      <c r="A57" s="7" t="s">
        <v>4054</v>
      </c>
      <c r="B57" s="14" t="s">
        <v>1</v>
      </c>
      <c r="C57" s="15">
        <f t="shared" si="5"/>
        <v>1384937.1267688002</v>
      </c>
      <c r="D57" s="6"/>
      <c r="E57" s="16">
        <f>INDEX('IN_Detr 4.5 del_397'!$A$3:$AAA$1192,MATCH($A57,'IN_Detr 4.5 del_397'!$A$3:$A$1192,0),MATCH(E$3,'IN_Detr 4.5 del_397'!$A$3:$AAA$3,0))</f>
        <v>1157506.4023600002</v>
      </c>
      <c r="F57" s="16">
        <f>INDEX('IN_Detr 4.5 del_397'!$A$3:$AAA$1192,MATCH($A57,'IN_Detr 4.5 del_397'!$A$3:$A$1192,0),MATCH(F$3,'IN_Detr 4.5 del_397'!$A$3:$AAA$3,0))</f>
        <v>121561.60940880001</v>
      </c>
      <c r="G57" s="16">
        <f>INDEX('IN_Detr 4.5 del_397'!$A$3:$AAA$1192,MATCH($A57,'IN_Detr 4.5 del_397'!$A$3:$A$1192,0),MATCH(G$3,'IN_Detr 4.5 del_397'!$A$3:$AAA$3,0))</f>
        <v>105869.11500000001</v>
      </c>
    </row>
    <row r="58" spans="1:7" outlineLevel="1" x14ac:dyDescent="0.2">
      <c r="A58" s="7" t="s">
        <v>4060</v>
      </c>
      <c r="B58" s="14" t="s">
        <v>3</v>
      </c>
      <c r="C58" s="15">
        <f t="shared" si="5"/>
        <v>190983.63427439998</v>
      </c>
      <c r="D58" s="6"/>
      <c r="E58" s="16">
        <f>INDEX('IN_Detr 4.5 del_397'!$A$3:$AAA$1192,MATCH($A58,'IN_Detr 4.5 del_397'!$A$3:$A$1192,0),MATCH(E$3,'IN_Detr 4.5 del_397'!$A$3:$AAA$3,0))</f>
        <v>0</v>
      </c>
      <c r="F58" s="16">
        <f>INDEX('IN_Detr 4.5 del_397'!$A$3:$AAA$1192,MATCH($A58,'IN_Detr 4.5 del_397'!$A$3:$A$1192,0),MATCH(F$3,'IN_Detr 4.5 del_397'!$A$3:$AAA$3,0))</f>
        <v>189.21991440000002</v>
      </c>
      <c r="G58" s="16">
        <f>INDEX('IN_Detr 4.5 del_397'!$A$3:$AAA$1192,MATCH($A58,'IN_Detr 4.5 del_397'!$A$3:$A$1192,0),MATCH(G$3,'IN_Detr 4.5 del_397'!$A$3:$AAA$3,0))</f>
        <v>190794.41436</v>
      </c>
    </row>
    <row r="59" spans="1:7" outlineLevel="1" x14ac:dyDescent="0.2">
      <c r="A59" s="7" t="s">
        <v>4066</v>
      </c>
      <c r="B59" s="14" t="s">
        <v>4</v>
      </c>
      <c r="C59" s="15">
        <f t="shared" si="5"/>
        <v>3248497.9972983999</v>
      </c>
      <c r="D59" s="6"/>
      <c r="E59" s="16">
        <f>INDEX('IN_Detr 4.5 del_397'!$A$3:$AAA$1192,MATCH($A59,'IN_Detr 4.5 del_397'!$A$3:$A$1192,0),MATCH(E$3,'IN_Detr 4.5 del_397'!$A$3:$AAA$3,0))</f>
        <v>2683893.7774</v>
      </c>
      <c r="F59" s="16">
        <f>INDEX('IN_Detr 4.5 del_397'!$A$3:$AAA$1192,MATCH($A59,'IN_Detr 4.5 del_397'!$A$3:$A$1192,0),MATCH(F$3,'IN_Detr 4.5 del_397'!$A$3:$AAA$3,0))</f>
        <v>564604.21989840001</v>
      </c>
      <c r="G59" s="16">
        <f>INDEX('IN_Detr 4.5 del_397'!$A$3:$AAA$1192,MATCH($A59,'IN_Detr 4.5 del_397'!$A$3:$A$1192,0),MATCH(G$3,'IN_Detr 4.5 del_397'!$A$3:$AAA$3,0))</f>
        <v>0</v>
      </c>
    </row>
    <row r="60" spans="1:7" outlineLevel="1" x14ac:dyDescent="0.2">
      <c r="A60" s="7" t="s">
        <v>4072</v>
      </c>
      <c r="B60" s="14" t="s">
        <v>5</v>
      </c>
      <c r="C60" s="15">
        <f t="shared" si="5"/>
        <v>5947156.6116160005</v>
      </c>
      <c r="D60" s="6"/>
      <c r="E60" s="16">
        <f>INDEX('IN_Detr 4.5 del_397'!$A$3:$AAA$1192,MATCH($A60,'IN_Detr 4.5 del_397'!$A$3:$A$1192,0),MATCH(E$3,'IN_Detr 4.5 del_397'!$A$3:$AAA$3,0))</f>
        <v>5088469.7256800001</v>
      </c>
      <c r="F60" s="16">
        <f>INDEX('IN_Detr 4.5 del_397'!$A$3:$AAA$1192,MATCH($A60,'IN_Detr 4.5 del_397'!$A$3:$A$1192,0),MATCH(F$3,'IN_Detr 4.5 del_397'!$A$3:$AAA$3,0))</f>
        <v>434936.80137600005</v>
      </c>
      <c r="G60" s="16">
        <f>INDEX('IN_Detr 4.5 del_397'!$A$3:$AAA$1192,MATCH($A60,'IN_Detr 4.5 del_397'!$A$3:$A$1192,0),MATCH(G$3,'IN_Detr 4.5 del_397'!$A$3:$AAA$3,0))</f>
        <v>423750.08456000005</v>
      </c>
    </row>
    <row r="61" spans="1:7" ht="11.4" outlineLevel="1" x14ac:dyDescent="0.2">
      <c r="A61" s="85" t="s">
        <v>5538</v>
      </c>
      <c r="B61" s="14" t="s">
        <v>5438</v>
      </c>
      <c r="C61" s="17">
        <f t="shared" si="5"/>
        <v>0</v>
      </c>
      <c r="D61" s="6"/>
      <c r="E61" s="16">
        <f>E10</f>
        <v>0</v>
      </c>
      <c r="F61" s="16">
        <f>F10</f>
        <v>0</v>
      </c>
      <c r="G61" s="16">
        <f>G10</f>
        <v>0</v>
      </c>
    </row>
    <row r="62" spans="1:7" ht="11.4" outlineLevel="1" x14ac:dyDescent="0.2">
      <c r="A62" s="85" t="s">
        <v>5539</v>
      </c>
      <c r="B62" s="14" t="s">
        <v>5439</v>
      </c>
      <c r="C62" s="17">
        <f t="shared" si="5"/>
        <v>0</v>
      </c>
      <c r="D62" s="6"/>
      <c r="E62" s="18">
        <f t="shared" ref="E62:E66" si="6">E11</f>
        <v>0</v>
      </c>
      <c r="F62" s="18">
        <f t="shared" ref="F62:G62" si="7">F11</f>
        <v>0</v>
      </c>
      <c r="G62" s="18">
        <f t="shared" si="7"/>
        <v>0</v>
      </c>
    </row>
    <row r="63" spans="1:7" ht="11.4" outlineLevel="1" x14ac:dyDescent="0.2">
      <c r="A63" s="85" t="s">
        <v>5540</v>
      </c>
      <c r="B63" s="14" t="s">
        <v>5440</v>
      </c>
      <c r="C63" s="17">
        <f t="shared" si="5"/>
        <v>0</v>
      </c>
      <c r="D63" s="6"/>
      <c r="E63" s="18">
        <f t="shared" si="6"/>
        <v>0</v>
      </c>
      <c r="F63" s="18">
        <f t="shared" ref="F63:G63" si="8">F12</f>
        <v>0</v>
      </c>
      <c r="G63" s="18">
        <f t="shared" si="8"/>
        <v>0</v>
      </c>
    </row>
    <row r="64" spans="1:7" ht="11.4" outlineLevel="1" x14ac:dyDescent="0.2">
      <c r="A64" s="85" t="s">
        <v>5541</v>
      </c>
      <c r="B64" s="14" t="s">
        <v>5441</v>
      </c>
      <c r="C64" s="17">
        <f t="shared" si="5"/>
        <v>0</v>
      </c>
      <c r="D64" s="6"/>
      <c r="E64" s="18">
        <f t="shared" si="6"/>
        <v>0</v>
      </c>
      <c r="F64" s="18">
        <f t="shared" ref="F64:G64" si="9">F13</f>
        <v>0</v>
      </c>
      <c r="G64" s="18">
        <f t="shared" si="9"/>
        <v>0</v>
      </c>
    </row>
    <row r="65" spans="1:7" ht="11.4" outlineLevel="1" x14ac:dyDescent="0.2">
      <c r="A65" s="85" t="s">
        <v>5542</v>
      </c>
      <c r="B65" s="14" t="s">
        <v>5442</v>
      </c>
      <c r="C65" s="17">
        <f t="shared" si="5"/>
        <v>0</v>
      </c>
      <c r="D65" s="6"/>
      <c r="E65" s="18">
        <f t="shared" si="6"/>
        <v>0</v>
      </c>
      <c r="F65" s="18">
        <f t="shared" ref="F65:G65" si="10">F14</f>
        <v>0</v>
      </c>
      <c r="G65" s="18">
        <f t="shared" si="10"/>
        <v>0</v>
      </c>
    </row>
    <row r="66" spans="1:7" ht="11.4" outlineLevel="1" x14ac:dyDescent="0.2">
      <c r="A66" s="85" t="s">
        <v>5543</v>
      </c>
      <c r="B66" s="14" t="s">
        <v>5443</v>
      </c>
      <c r="C66" s="17">
        <f t="shared" si="5"/>
        <v>0</v>
      </c>
      <c r="D66" s="6"/>
      <c r="E66" s="18">
        <f t="shared" si="6"/>
        <v>0</v>
      </c>
      <c r="F66" s="18">
        <f t="shared" ref="F66:G66" si="11">F15</f>
        <v>0</v>
      </c>
      <c r="G66" s="18">
        <f t="shared" si="11"/>
        <v>0</v>
      </c>
    </row>
    <row r="67" spans="1:7" outlineLevel="1" x14ac:dyDescent="0.2">
      <c r="A67" s="85" t="s">
        <v>1288</v>
      </c>
      <c r="B67" s="736" t="s">
        <v>7</v>
      </c>
      <c r="C67" s="737"/>
      <c r="D67" s="19"/>
      <c r="E67" s="740">
        <f t="shared" ref="E67:E69" si="12">E16</f>
        <v>0.7</v>
      </c>
      <c r="F67" s="740">
        <f t="shared" ref="F67:G67" si="13">F16</f>
        <v>0</v>
      </c>
      <c r="G67" s="740">
        <f t="shared" si="13"/>
        <v>0</v>
      </c>
    </row>
    <row r="68" spans="1:7" outlineLevel="1" x14ac:dyDescent="0.2">
      <c r="A68" s="7" t="s">
        <v>5544</v>
      </c>
      <c r="B68" s="26" t="s">
        <v>6</v>
      </c>
      <c r="C68" s="27">
        <f t="shared" ref="C68:C73" si="14">SUM(E68:G68)</f>
        <v>882043.96798319998</v>
      </c>
      <c r="D68" s="6"/>
      <c r="E68" s="28">
        <f t="shared" si="12"/>
        <v>770996.38968000002</v>
      </c>
      <c r="F68" s="28">
        <f t="shared" ref="F68:G68" si="15">F17</f>
        <v>62985.664183200002</v>
      </c>
      <c r="G68" s="28">
        <f t="shared" si="15"/>
        <v>48061.914120000001</v>
      </c>
    </row>
    <row r="69" spans="1:7" ht="11.4" outlineLevel="1" x14ac:dyDescent="0.2">
      <c r="A69" s="7" t="s">
        <v>5545</v>
      </c>
      <c r="B69" s="26" t="s">
        <v>101</v>
      </c>
      <c r="C69" s="27">
        <f t="shared" si="14"/>
        <v>802657.26690159983</v>
      </c>
      <c r="D69" s="6"/>
      <c r="E69" s="28">
        <f t="shared" si="12"/>
        <v>679391.85995999991</v>
      </c>
      <c r="F69" s="28">
        <f t="shared" ref="F69:G69" si="16">F18</f>
        <v>81889.756581599999</v>
      </c>
      <c r="G69" s="28">
        <f t="shared" si="16"/>
        <v>41375.65036</v>
      </c>
    </row>
    <row r="70" spans="1:7" ht="11.4" outlineLevel="1" x14ac:dyDescent="0.2">
      <c r="A70" s="7" t="s">
        <v>5909</v>
      </c>
      <c r="B70" s="738" t="s">
        <v>5437</v>
      </c>
      <c r="C70" s="739">
        <f t="shared" si="14"/>
        <v>1015271.774748</v>
      </c>
      <c r="D70" s="6"/>
      <c r="E70" s="741">
        <f>E67*(E68+E69)</f>
        <v>1015271.774748</v>
      </c>
      <c r="F70" s="741">
        <f>F67*(F68+F69)</f>
        <v>0</v>
      </c>
      <c r="G70" s="741">
        <f>G67*(G68+G69)</f>
        <v>0</v>
      </c>
    </row>
    <row r="71" spans="1:7" ht="11.4" outlineLevel="1" x14ac:dyDescent="0.2">
      <c r="A71" s="85" t="s">
        <v>4099</v>
      </c>
      <c r="B71" s="703" t="s">
        <v>102</v>
      </c>
      <c r="C71" s="704">
        <f t="shared" si="14"/>
        <v>338035.39975581953</v>
      </c>
      <c r="D71" s="6"/>
      <c r="E71" s="706">
        <f>INDEX('IN_Detr 4.5 del_397'!$A$3:$AAA$1192,MATCH($A71,'IN_Detr 4.5 del_397'!$A$3:$A$1192,0),MATCH(E$3,'IN_Detr 4.5 del_397'!$A$3:$AAA$3,0))</f>
        <v>338035.39975581953</v>
      </c>
      <c r="F71" s="706">
        <f>INDEX('IN_Detr 4.5 del_397'!$A$3:$AAA$1192,MATCH($A71,'IN_Detr 4.5 del_397'!$A$3:$A$1192,0),MATCH(F$3,'IN_Detr 4.5 del_397'!$A$3:$AAA$3,0))</f>
        <v>0</v>
      </c>
      <c r="G71" s="706">
        <f>INDEX('IN_Detr 4.5 del_397'!$A$3:$AAA$1192,MATCH($A71,'IN_Detr 4.5 del_397'!$A$3:$A$1192,0),MATCH(G$3,'IN_Detr 4.5 del_397'!$A$3:$AAA$3,0))</f>
        <v>0</v>
      </c>
    </row>
    <row r="72" spans="1:7" ht="11.4" outlineLevel="1" x14ac:dyDescent="0.2">
      <c r="A72" s="7" t="s">
        <v>6941</v>
      </c>
      <c r="B72" s="705" t="s">
        <v>5444</v>
      </c>
      <c r="C72" s="987">
        <f t="shared" si="14"/>
        <v>338035.39975581953</v>
      </c>
      <c r="D72" s="988"/>
      <c r="E72" s="989">
        <f>INDEX('IN_Detr 4.5 del_397'!$A$3:$AAA$1192,MATCH($A72,'IN_Detr 4.5 del_397'!$A$3:$A$1192,0),MATCH(E$3,'IN_Detr 4.5 del_397'!$A$3:$AAA$3,0))</f>
        <v>338035.39975581953</v>
      </c>
      <c r="F72" s="989">
        <f>INDEX('IN_Detr 4.5 del_397'!$A$3:$AAA$1192,MATCH($A72,'IN_Detr 4.5 del_397'!$A$3:$A$1192,0),MATCH(F$3,'IN_Detr 4.5 del_397'!$A$3:$AAA$3,0))</f>
        <v>0</v>
      </c>
      <c r="G72" s="989">
        <f>INDEX('IN_Detr 4.5 del_397'!$A$3:$AAA$1192,MATCH($A72,'IN_Detr 4.5 del_397'!$A$3:$A$1192,0),MATCH(G$3,'IN_Detr 4.5 del_397'!$A$3:$AAA$3,0))</f>
        <v>0</v>
      </c>
    </row>
    <row r="73" spans="1:7" outlineLevel="1" x14ac:dyDescent="0.2">
      <c r="A73" s="85" t="s">
        <v>5546</v>
      </c>
      <c r="B73" s="21" t="s">
        <v>109</v>
      </c>
      <c r="C73" s="22">
        <f t="shared" si="14"/>
        <v>0</v>
      </c>
      <c r="D73" s="6"/>
      <c r="E73" s="23"/>
      <c r="F73" s="23"/>
      <c r="G73" s="23"/>
    </row>
    <row r="74" spans="1:7" outlineLevel="1" x14ac:dyDescent="0.2">
      <c r="B74" s="24"/>
      <c r="C74" s="25"/>
      <c r="D74" s="6"/>
      <c r="E74" s="5"/>
      <c r="F74" s="5"/>
      <c r="G74" s="5"/>
    </row>
    <row r="75" spans="1:7" s="359" customFormat="1" ht="20.399999999999999" outlineLevel="1" x14ac:dyDescent="0.2">
      <c r="A75" s="356"/>
      <c r="B75" s="360"/>
      <c r="C75" s="358" t="str">
        <f>C3</f>
        <v>TOTALE</v>
      </c>
      <c r="D75" s="357"/>
      <c r="E75" s="358" t="str">
        <f t="shared" ref="E75" si="17">E3</f>
        <v>BUSTO ARSIZIO</v>
      </c>
      <c r="F75" s="358" t="str">
        <f t="shared" ref="F75:G75" si="18">F3</f>
        <v>FAGNANO OLONA</v>
      </c>
      <c r="G75" s="358" t="str">
        <f t="shared" si="18"/>
        <v>VENEGONO SUPERIORE</v>
      </c>
    </row>
    <row r="76" spans="1:7" ht="11.4" outlineLevel="1" x14ac:dyDescent="0.2">
      <c r="A76" s="31" t="s">
        <v>5547</v>
      </c>
      <c r="B76" s="680" t="s">
        <v>5567</v>
      </c>
      <c r="C76" s="11">
        <f t="shared" ref="C76:C100" si="19">SUM(E76:G76)</f>
        <v>7207729.0492472257</v>
      </c>
      <c r="D76" s="6"/>
      <c r="E76" s="12">
        <f>E77+E82+E92+SUM(E93:E98)+E100</f>
        <v>6964646.892502577</v>
      </c>
      <c r="F76" s="12">
        <f>F77+F82+F92+SUM(F93:F98)+F100</f>
        <v>123153.1330120179</v>
      </c>
      <c r="G76" s="12">
        <f>G77+G82+G92+SUM(G93:G98)+G100</f>
        <v>119929.02373263093</v>
      </c>
    </row>
    <row r="77" spans="1:7" outlineLevel="1" x14ac:dyDescent="0.2">
      <c r="A77" s="7" t="s">
        <v>4129</v>
      </c>
      <c r="B77" s="14" t="s">
        <v>11</v>
      </c>
      <c r="C77" s="15">
        <f t="shared" si="19"/>
        <v>2433783.1588399997</v>
      </c>
      <c r="D77" s="6"/>
      <c r="E77" s="16">
        <f>INDEX('IN_Detr 4.5 del_397'!$A$3:$AAA$1192,MATCH($A77,'IN_Detr 4.5 del_397'!$A$3:$A$1192,0),MATCH(E$3,'IN_Detr 4.5 del_397'!$A$3:$AAA$3,0))</f>
        <v>2380990.7114399998</v>
      </c>
      <c r="F77" s="16">
        <f>INDEX('IN_Detr 4.5 del_397'!$A$3:$AAA$1192,MATCH($A77,'IN_Detr 4.5 del_397'!$A$3:$A$1192,0),MATCH(F$3,'IN_Detr 4.5 del_397'!$A$3:$AAA$3,0))</f>
        <v>0</v>
      </c>
      <c r="G77" s="16">
        <f>INDEX('IN_Detr 4.5 del_397'!$A$3:$AAA$1192,MATCH($A77,'IN_Detr 4.5 del_397'!$A$3:$A$1192,0),MATCH(G$3,'IN_Detr 4.5 del_397'!$A$3:$AAA$3,0))</f>
        <v>52792.447399999997</v>
      </c>
    </row>
    <row r="78" spans="1:7" outlineLevel="1" x14ac:dyDescent="0.2">
      <c r="A78" s="7" t="s">
        <v>4135</v>
      </c>
      <c r="B78" s="26" t="s">
        <v>13</v>
      </c>
      <c r="C78" s="27">
        <f t="shared" si="19"/>
        <v>654540.42896000005</v>
      </c>
      <c r="D78" s="6"/>
      <c r="E78" s="28">
        <f>INDEX('IN_Detr 4.5 del_397'!$A$3:$AAA$1192,MATCH($A78,'IN_Detr 4.5 del_397'!$A$3:$A$1192,0),MATCH(E$3,'IN_Detr 4.5 del_397'!$A$3:$AAA$3,0))</f>
        <v>654540.42896000005</v>
      </c>
      <c r="F78" s="28">
        <f>INDEX('IN_Detr 4.5 del_397'!$A$3:$AAA$1192,MATCH($A78,'IN_Detr 4.5 del_397'!$A$3:$A$1192,0),MATCH(F$3,'IN_Detr 4.5 del_397'!$A$3:$AAA$3,0))</f>
        <v>0</v>
      </c>
      <c r="G78" s="28">
        <f>INDEX('IN_Detr 4.5 del_397'!$A$3:$AAA$1192,MATCH($A78,'IN_Detr 4.5 del_397'!$A$3:$A$1192,0),MATCH(G$3,'IN_Detr 4.5 del_397'!$A$3:$AAA$3,0))</f>
        <v>0</v>
      </c>
    </row>
    <row r="79" spans="1:7" outlineLevel="1" x14ac:dyDescent="0.2">
      <c r="A79" s="7" t="s">
        <v>4141</v>
      </c>
      <c r="B79" s="26" t="s">
        <v>14</v>
      </c>
      <c r="C79" s="27">
        <f t="shared" si="19"/>
        <v>1851949.6199159999</v>
      </c>
      <c r="D79" s="6"/>
      <c r="E79" s="28">
        <f>INDEX('IN_Detr 4.5 del_397'!$A$3:$AAA$1192,MATCH($A79,'IN_Detr 4.5 del_397'!$A$3:$A$1192,0),MATCH(E$3,'IN_Detr 4.5 del_397'!$A$3:$AAA$3,0))</f>
        <v>1750717.3543199999</v>
      </c>
      <c r="F79" s="28">
        <f>INDEX('IN_Detr 4.5 del_397'!$A$3:$AAA$1192,MATCH($A79,'IN_Detr 4.5 del_397'!$A$3:$A$1192,0),MATCH(F$3,'IN_Detr 4.5 del_397'!$A$3:$AAA$3,0))</f>
        <v>52656.265596000005</v>
      </c>
      <c r="G79" s="28">
        <f>INDEX('IN_Detr 4.5 del_397'!$A$3:$AAA$1192,MATCH($A79,'IN_Detr 4.5 del_397'!$A$3:$A$1192,0),MATCH(G$3,'IN_Detr 4.5 del_397'!$A$3:$AAA$3,0))</f>
        <v>48576</v>
      </c>
    </row>
    <row r="80" spans="1:7" outlineLevel="1" x14ac:dyDescent="0.2">
      <c r="A80" s="7" t="s">
        <v>4147</v>
      </c>
      <c r="B80" s="26" t="s">
        <v>15</v>
      </c>
      <c r="C80" s="27">
        <f t="shared" si="19"/>
        <v>0</v>
      </c>
      <c r="D80" s="6"/>
      <c r="E80" s="28">
        <f>INDEX('IN_Detr 4.5 del_397'!$A$3:$AAA$1192,MATCH($A80,'IN_Detr 4.5 del_397'!$A$3:$A$1192,0),MATCH(E$3,'IN_Detr 4.5 del_397'!$A$3:$AAA$3,0))</f>
        <v>0</v>
      </c>
      <c r="F80" s="28">
        <f>INDEX('IN_Detr 4.5 del_397'!$A$3:$AAA$1192,MATCH($A80,'IN_Detr 4.5 del_397'!$A$3:$A$1192,0),MATCH(F$3,'IN_Detr 4.5 del_397'!$A$3:$AAA$3,0))</f>
        <v>0</v>
      </c>
      <c r="G80" s="28">
        <f>INDEX('IN_Detr 4.5 del_397'!$A$3:$AAA$1192,MATCH($A80,'IN_Detr 4.5 del_397'!$A$3:$A$1192,0),MATCH(G$3,'IN_Detr 4.5 del_397'!$A$3:$AAA$3,0))</f>
        <v>0</v>
      </c>
    </row>
    <row r="81" spans="1:7" ht="11.4" outlineLevel="1" x14ac:dyDescent="0.2">
      <c r="A81" s="7" t="s">
        <v>4153</v>
      </c>
      <c r="B81" s="52" t="s">
        <v>16</v>
      </c>
      <c r="C81" s="53">
        <f t="shared" si="19"/>
        <v>0</v>
      </c>
      <c r="D81" s="6"/>
      <c r="E81" s="54">
        <f>INDEX('IN_Detr 4.5 del_397'!$A$3:$AAA$1192,MATCH($A81,'IN_Detr 4.5 del_397'!$A$3:$A$1192,0),MATCH(E$3,'IN_Detr 4.5 del_397'!$A$3:$AAA$3,0))</f>
        <v>0</v>
      </c>
      <c r="F81" s="54">
        <f>INDEX('IN_Detr 4.5 del_397'!$A$3:$AAA$1192,MATCH($A81,'IN_Detr 4.5 del_397'!$A$3:$A$1192,0),MATCH(F$3,'IN_Detr 4.5 del_397'!$A$3:$AAA$3,0))</f>
        <v>0</v>
      </c>
      <c r="G81" s="54">
        <f>INDEX('IN_Detr 4.5 del_397'!$A$3:$AAA$1192,MATCH($A81,'IN_Detr 4.5 del_397'!$A$3:$A$1192,0),MATCH(G$3,'IN_Detr 4.5 del_397'!$A$3:$AAA$3,0))</f>
        <v>0</v>
      </c>
    </row>
    <row r="82" spans="1:7" outlineLevel="1" x14ac:dyDescent="0.2">
      <c r="A82" s="7" t="s">
        <v>5548</v>
      </c>
      <c r="B82" s="684" t="s">
        <v>12</v>
      </c>
      <c r="C82" s="685">
        <f t="shared" si="19"/>
        <v>2506490.0488760001</v>
      </c>
      <c r="D82" s="6"/>
      <c r="E82" s="686">
        <f>SUM(E78:E81)</f>
        <v>2405257.7832800001</v>
      </c>
      <c r="F82" s="686">
        <f>SUM(F78:F81)</f>
        <v>52656.265596000005</v>
      </c>
      <c r="G82" s="686">
        <f>SUM(G78:G81)</f>
        <v>48576</v>
      </c>
    </row>
    <row r="83" spans="1:7" outlineLevel="1" x14ac:dyDescent="0.2">
      <c r="A83" s="85" t="s">
        <v>4159</v>
      </c>
      <c r="B83" s="26" t="s">
        <v>18</v>
      </c>
      <c r="C83" s="27">
        <f t="shared" si="19"/>
        <v>680849.52973762178</v>
      </c>
      <c r="D83" s="6"/>
      <c r="E83" s="28">
        <f>INDEX('IN_Detr 4.5 del_397'!$A$3:$AAA$1192,MATCH($A83,'IN_Detr 4.5 del_397'!$A$3:$A$1192,0),MATCH(E$3,'IN_Detr 4.5 del_397'!$A$3:$AAA$3,0))</f>
        <v>639718.63503260689</v>
      </c>
      <c r="F83" s="28">
        <f>INDEX('IN_Detr 4.5 del_397'!$A$3:$AAA$1192,MATCH($A83,'IN_Detr 4.5 del_397'!$A$3:$A$1192,0),MATCH(F$3,'IN_Detr 4.5 del_397'!$A$3:$AAA$3,0))</f>
        <v>41130.894705014922</v>
      </c>
      <c r="G83" s="28">
        <f>INDEX('IN_Detr 4.5 del_397'!$A$3:$AAA$1192,MATCH($A83,'IN_Detr 4.5 del_397'!$A$3:$A$1192,0),MATCH(G$3,'IN_Detr 4.5 del_397'!$A$3:$AAA$3,0))</f>
        <v>0</v>
      </c>
    </row>
    <row r="84" spans="1:7" outlineLevel="1" x14ac:dyDescent="0.2">
      <c r="A84" s="7" t="s">
        <v>4177</v>
      </c>
      <c r="B84" s="687" t="s">
        <v>19</v>
      </c>
      <c r="C84" s="688">
        <f t="shared" si="19"/>
        <v>682583</v>
      </c>
      <c r="D84" s="6"/>
      <c r="E84" s="689">
        <f>SUM(E85:E88)</f>
        <v>682583</v>
      </c>
      <c r="F84" s="689">
        <f>SUM(F85:F88)</f>
        <v>0</v>
      </c>
      <c r="G84" s="689">
        <f>SUM(G85:G88)</f>
        <v>0</v>
      </c>
    </row>
    <row r="85" spans="1:7" outlineLevel="1" x14ac:dyDescent="0.2">
      <c r="A85" s="85" t="s">
        <v>4165</v>
      </c>
      <c r="B85" s="690" t="s">
        <v>20</v>
      </c>
      <c r="C85" s="691">
        <f t="shared" si="19"/>
        <v>0</v>
      </c>
      <c r="D85" s="6"/>
      <c r="E85" s="696">
        <f>INDEX('IN_Detr 4.5 del_397'!$A$3:$AAA$1192,MATCH($A85,'IN_Detr 4.5 del_397'!$A$3:$A$1192,0),MATCH(E$3,'IN_Detr 4.5 del_397'!$A$3:$AAA$3,0))</f>
        <v>0</v>
      </c>
      <c r="F85" s="696">
        <f>INDEX('IN_Detr 4.5 del_397'!$A$3:$AAA$1192,MATCH($A85,'IN_Detr 4.5 del_397'!$A$3:$A$1192,0),MATCH(F$3,'IN_Detr 4.5 del_397'!$A$3:$AAA$3,0))</f>
        <v>0</v>
      </c>
      <c r="G85" s="696">
        <f>INDEX('IN_Detr 4.5 del_397'!$A$3:$AAA$1192,MATCH($A85,'IN_Detr 4.5 del_397'!$A$3:$A$1192,0),MATCH(G$3,'IN_Detr 4.5 del_397'!$A$3:$AAA$3,0))</f>
        <v>0</v>
      </c>
    </row>
    <row r="86" spans="1:7" outlineLevel="1" x14ac:dyDescent="0.2">
      <c r="A86" s="85" t="s">
        <v>4168</v>
      </c>
      <c r="B86" s="692" t="s">
        <v>21</v>
      </c>
      <c r="C86" s="693">
        <f t="shared" si="19"/>
        <v>682583</v>
      </c>
      <c r="D86" s="6"/>
      <c r="E86" s="697">
        <f>INDEX('IN_Detr 4.5 del_397'!$A$3:$AAA$1192,MATCH($A86,'IN_Detr 4.5 del_397'!$A$3:$A$1192,0),MATCH(E$3,'IN_Detr 4.5 del_397'!$A$3:$AAA$3,0))</f>
        <v>682583</v>
      </c>
      <c r="F86" s="697">
        <f>INDEX('IN_Detr 4.5 del_397'!$A$3:$AAA$1192,MATCH($A86,'IN_Detr 4.5 del_397'!$A$3:$A$1192,0),MATCH(F$3,'IN_Detr 4.5 del_397'!$A$3:$AAA$3,0))</f>
        <v>0</v>
      </c>
      <c r="G86" s="697">
        <f>INDEX('IN_Detr 4.5 del_397'!$A$3:$AAA$1192,MATCH($A86,'IN_Detr 4.5 del_397'!$A$3:$A$1192,0),MATCH(G$3,'IN_Detr 4.5 del_397'!$A$3:$AAA$3,0))</f>
        <v>0</v>
      </c>
    </row>
    <row r="87" spans="1:7" outlineLevel="1" x14ac:dyDescent="0.2">
      <c r="A87" s="85" t="s">
        <v>4171</v>
      </c>
      <c r="B87" s="692" t="s">
        <v>22</v>
      </c>
      <c r="C87" s="693">
        <f t="shared" si="19"/>
        <v>0</v>
      </c>
      <c r="D87" s="6"/>
      <c r="E87" s="697">
        <f>INDEX('IN_Detr 4.5 del_397'!$A$3:$AAA$1192,MATCH($A87,'IN_Detr 4.5 del_397'!$A$3:$A$1192,0),MATCH(E$3,'IN_Detr 4.5 del_397'!$A$3:$AAA$3,0))</f>
        <v>0</v>
      </c>
      <c r="F87" s="697">
        <f>INDEX('IN_Detr 4.5 del_397'!$A$3:$AAA$1192,MATCH($A87,'IN_Detr 4.5 del_397'!$A$3:$A$1192,0),MATCH(F$3,'IN_Detr 4.5 del_397'!$A$3:$AAA$3,0))</f>
        <v>0</v>
      </c>
      <c r="G87" s="697">
        <f>INDEX('IN_Detr 4.5 del_397'!$A$3:$AAA$1192,MATCH($A87,'IN_Detr 4.5 del_397'!$A$3:$A$1192,0),MATCH(G$3,'IN_Detr 4.5 del_397'!$A$3:$AAA$3,0))</f>
        <v>0</v>
      </c>
    </row>
    <row r="88" spans="1:7" outlineLevel="1" x14ac:dyDescent="0.2">
      <c r="A88" s="85" t="s">
        <v>4174</v>
      </c>
      <c r="B88" s="694" t="s">
        <v>23</v>
      </c>
      <c r="C88" s="695">
        <f t="shared" si="19"/>
        <v>0</v>
      </c>
      <c r="D88" s="6"/>
      <c r="E88" s="698">
        <f>INDEX('IN_Detr 4.5 del_397'!$A$3:$AAA$1192,MATCH($A88,'IN_Detr 4.5 del_397'!$A$3:$A$1192,0),MATCH(E$3,'IN_Detr 4.5 del_397'!$A$3:$AAA$3,0))</f>
        <v>0</v>
      </c>
      <c r="F88" s="698">
        <f>INDEX('IN_Detr 4.5 del_397'!$A$3:$AAA$1192,MATCH($A88,'IN_Detr 4.5 del_397'!$A$3:$A$1192,0),MATCH(F$3,'IN_Detr 4.5 del_397'!$A$3:$AAA$3,0))</f>
        <v>0</v>
      </c>
      <c r="G88" s="698">
        <f>INDEX('IN_Detr 4.5 del_397'!$A$3:$AAA$1192,MATCH($A88,'IN_Detr 4.5 del_397'!$A$3:$A$1192,0),MATCH(G$3,'IN_Detr 4.5 del_397'!$A$3:$AAA$3,0))</f>
        <v>0</v>
      </c>
    </row>
    <row r="89" spans="1:7" outlineLevel="1" x14ac:dyDescent="0.2">
      <c r="A89" s="85" t="s">
        <v>4195</v>
      </c>
      <c r="B89" s="26" t="s">
        <v>24</v>
      </c>
      <c r="C89" s="27">
        <f t="shared" si="19"/>
        <v>582336.46389968612</v>
      </c>
      <c r="D89" s="6"/>
      <c r="E89" s="28">
        <f>INDEX('IN_Detr 4.5 del_397'!$A$3:$AAA$1192,MATCH($A89,'IN_Detr 4.5 del_397'!$A$3:$A$1192,0),MATCH(E$3,'IN_Detr 4.5 del_397'!$A$3:$AAA$3,0))</f>
        <v>534409.91485605214</v>
      </c>
      <c r="F89" s="28">
        <f>INDEX('IN_Detr 4.5 del_397'!$A$3:$AAA$1192,MATCH($A89,'IN_Detr 4.5 del_397'!$A$3:$A$1192,0),MATCH(F$3,'IN_Detr 4.5 del_397'!$A$3:$AAA$3,0))</f>
        <v>29365.972711002989</v>
      </c>
      <c r="G89" s="28">
        <f>INDEX('IN_Detr 4.5 del_397'!$A$3:$AAA$1192,MATCH($A89,'IN_Detr 4.5 del_397'!$A$3:$A$1192,0),MATCH(G$3,'IN_Detr 4.5 del_397'!$A$3:$AAA$3,0))</f>
        <v>18560.576332630921</v>
      </c>
    </row>
    <row r="90" spans="1:7" ht="11.4" outlineLevel="1" x14ac:dyDescent="0.2">
      <c r="A90" s="85" t="s">
        <v>4201</v>
      </c>
      <c r="B90" s="52" t="s">
        <v>25</v>
      </c>
      <c r="C90" s="53">
        <f t="shared" si="19"/>
        <v>0</v>
      </c>
      <c r="D90" s="6"/>
      <c r="E90" s="54">
        <f>INDEX('IN_Detr 4.5 del_397'!$A$3:$AAA$1192,MATCH($A90,'IN_Detr 4.5 del_397'!$A$3:$A$1192,0),MATCH(E$3,'IN_Detr 4.5 del_397'!$A$3:$AAA$3,0))</f>
        <v>0</v>
      </c>
      <c r="F90" s="54">
        <f>INDEX('IN_Detr 4.5 del_397'!$A$3:$AAA$1192,MATCH($A90,'IN_Detr 4.5 del_397'!$A$3:$A$1192,0),MATCH(F$3,'IN_Detr 4.5 del_397'!$A$3:$AAA$3,0))</f>
        <v>0</v>
      </c>
      <c r="G90" s="54">
        <f>INDEX('IN_Detr 4.5 del_397'!$A$3:$AAA$1192,MATCH($A90,'IN_Detr 4.5 del_397'!$A$3:$A$1192,0),MATCH(G$3,'IN_Detr 4.5 del_397'!$A$3:$AAA$3,0))</f>
        <v>0</v>
      </c>
    </row>
    <row r="91" spans="1:7" ht="11.4" outlineLevel="1" x14ac:dyDescent="0.2">
      <c r="A91" s="85" t="s">
        <v>4207</v>
      </c>
      <c r="B91" s="52" t="s">
        <v>5474</v>
      </c>
      <c r="C91" s="53">
        <f t="shared" si="19"/>
        <v>0</v>
      </c>
      <c r="D91" s="6"/>
      <c r="E91" s="54">
        <f>INDEX('IN_Detr 4.5 del_397'!$A$3:$AAA$1192,MATCH($A91,'IN_Detr 4.5 del_397'!$A$3:$A$1192,0),MATCH(E$3,'IN_Detr 4.5 del_397'!$A$3:$AAA$3,0))</f>
        <v>0</v>
      </c>
      <c r="F91" s="54">
        <f>INDEX('IN_Detr 4.5 del_397'!$A$3:$AAA$1192,MATCH($A91,'IN_Detr 4.5 del_397'!$A$3:$A$1192,0),MATCH(F$3,'IN_Detr 4.5 del_397'!$A$3:$AAA$3,0))</f>
        <v>0</v>
      </c>
      <c r="G91" s="54">
        <f>INDEX('IN_Detr 4.5 del_397'!$A$3:$AAA$1192,MATCH($A91,'IN_Detr 4.5 del_397'!$A$3:$A$1192,0),MATCH(G$3,'IN_Detr 4.5 del_397'!$A$3:$AAA$3,0))</f>
        <v>0</v>
      </c>
    </row>
    <row r="92" spans="1:7" outlineLevel="1" x14ac:dyDescent="0.2">
      <c r="A92" s="7" t="s">
        <v>5549</v>
      </c>
      <c r="B92" s="684" t="s">
        <v>17</v>
      </c>
      <c r="C92" s="685">
        <f t="shared" si="19"/>
        <v>1945768.9936373075</v>
      </c>
      <c r="D92" s="6"/>
      <c r="E92" s="686">
        <f>E83+E84+E89+E90+E91</f>
        <v>1856711.5498886588</v>
      </c>
      <c r="F92" s="686">
        <f>F83+F84+F89+F90+F91</f>
        <v>70496.867416017907</v>
      </c>
      <c r="G92" s="686">
        <f>G83+G84+G89+G90+G91</f>
        <v>18560.576332630921</v>
      </c>
    </row>
    <row r="93" spans="1:7" ht="11.4" outlineLevel="1" x14ac:dyDescent="0.2">
      <c r="A93" s="85" t="s">
        <v>5550</v>
      </c>
      <c r="B93" s="14" t="s">
        <v>5447</v>
      </c>
      <c r="C93" s="17">
        <f t="shared" si="19"/>
        <v>0</v>
      </c>
      <c r="D93" s="6"/>
      <c r="E93" s="16">
        <f>E41</f>
        <v>0</v>
      </c>
      <c r="F93" s="16">
        <f>F41</f>
        <v>0</v>
      </c>
      <c r="G93" s="16">
        <f>G41</f>
        <v>0</v>
      </c>
    </row>
    <row r="94" spans="1:7" ht="11.4" outlineLevel="1" x14ac:dyDescent="0.2">
      <c r="A94" s="85" t="s">
        <v>5551</v>
      </c>
      <c r="B94" s="14" t="s">
        <v>5448</v>
      </c>
      <c r="C94" s="17">
        <f t="shared" si="19"/>
        <v>0</v>
      </c>
      <c r="D94" s="6"/>
      <c r="E94" s="16">
        <f t="shared" ref="E94:E97" si="20">E42</f>
        <v>0</v>
      </c>
      <c r="F94" s="16">
        <f t="shared" ref="F94:G94" si="21">F42</f>
        <v>0</v>
      </c>
      <c r="G94" s="16">
        <f t="shared" si="21"/>
        <v>0</v>
      </c>
    </row>
    <row r="95" spans="1:7" ht="11.4" outlineLevel="1" x14ac:dyDescent="0.2">
      <c r="A95" s="85" t="s">
        <v>5552</v>
      </c>
      <c r="B95" s="14" t="s">
        <v>6410</v>
      </c>
      <c r="C95" s="17">
        <f t="shared" si="19"/>
        <v>0</v>
      </c>
      <c r="D95" s="6"/>
      <c r="E95" s="18">
        <f t="shared" si="20"/>
        <v>0</v>
      </c>
      <c r="F95" s="18">
        <f t="shared" ref="F95:G95" si="22">F43</f>
        <v>0</v>
      </c>
      <c r="G95" s="18">
        <f t="shared" si="22"/>
        <v>0</v>
      </c>
    </row>
    <row r="96" spans="1:7" ht="11.4" outlineLevel="1" x14ac:dyDescent="0.2">
      <c r="A96" s="85" t="s">
        <v>5553</v>
      </c>
      <c r="B96" s="14" t="s">
        <v>6411</v>
      </c>
      <c r="C96" s="17">
        <f t="shared" si="19"/>
        <v>0</v>
      </c>
      <c r="D96" s="6"/>
      <c r="E96" s="18">
        <f t="shared" si="20"/>
        <v>0</v>
      </c>
      <c r="F96" s="18">
        <f t="shared" ref="F96:G96" si="23">F44</f>
        <v>0</v>
      </c>
      <c r="G96" s="18">
        <f t="shared" si="23"/>
        <v>0</v>
      </c>
    </row>
    <row r="97" spans="1:7" ht="11.4" outlineLevel="1" x14ac:dyDescent="0.2">
      <c r="A97" s="85" t="s">
        <v>5554</v>
      </c>
      <c r="B97" s="14" t="s">
        <v>5449</v>
      </c>
      <c r="C97" s="17">
        <f t="shared" si="19"/>
        <v>0</v>
      </c>
      <c r="D97" s="6"/>
      <c r="E97" s="16">
        <f t="shared" si="20"/>
        <v>0</v>
      </c>
      <c r="F97" s="16">
        <f t="shared" ref="F97:G97" si="24">F45</f>
        <v>0</v>
      </c>
      <c r="G97" s="16">
        <f t="shared" si="24"/>
        <v>0</v>
      </c>
    </row>
    <row r="98" spans="1:7" ht="11.4" outlineLevel="1" x14ac:dyDescent="0.2">
      <c r="A98" s="85" t="s">
        <v>4230</v>
      </c>
      <c r="B98" s="703" t="s">
        <v>26</v>
      </c>
      <c r="C98" s="704">
        <f t="shared" si="19"/>
        <v>321686.84789391904</v>
      </c>
      <c r="D98" s="6"/>
      <c r="E98" s="706">
        <f>INDEX('IN_Detr 4.5 del_397'!$A$3:$AAA$1192,MATCH($A98,'IN_Detr 4.5 del_397'!$A$3:$A$1192,0),MATCH(E$3,'IN_Detr 4.5 del_397'!$A$3:$AAA$3,0))</f>
        <v>321686.84789391904</v>
      </c>
      <c r="F98" s="706">
        <f>INDEX('IN_Detr 4.5 del_397'!$A$3:$AAA$1192,MATCH($A98,'IN_Detr 4.5 del_397'!$A$3:$A$1192,0),MATCH(F$3,'IN_Detr 4.5 del_397'!$A$3:$AAA$3,0))</f>
        <v>0</v>
      </c>
      <c r="G98" s="706">
        <f>INDEX('IN_Detr 4.5 del_397'!$A$3:$AAA$1192,MATCH($A98,'IN_Detr 4.5 del_397'!$A$3:$A$1192,0),MATCH(G$3,'IN_Detr 4.5 del_397'!$A$3:$AAA$3,0))</f>
        <v>0</v>
      </c>
    </row>
    <row r="99" spans="1:7" ht="11.4" outlineLevel="1" x14ac:dyDescent="0.2">
      <c r="A99" s="7" t="s">
        <v>6942</v>
      </c>
      <c r="B99" s="705" t="s">
        <v>5450</v>
      </c>
      <c r="C99" s="987">
        <f t="shared" si="19"/>
        <v>321686.84789391904</v>
      </c>
      <c r="D99" s="988"/>
      <c r="E99" s="989">
        <f>INDEX('IN_Detr 4.5 del_397'!$A$3:$AAA$1192,MATCH($A99,'IN_Detr 4.5 del_397'!$A$3:$A$1192,0),MATCH(E$3,'IN_Detr 4.5 del_397'!$A$3:$AAA$3,0))</f>
        <v>321686.84789391904</v>
      </c>
      <c r="F99" s="989">
        <f>INDEX('IN_Detr 4.5 del_397'!$A$3:$AAA$1192,MATCH($A99,'IN_Detr 4.5 del_397'!$A$3:$A$1192,0),MATCH(F$3,'IN_Detr 4.5 del_397'!$A$3:$AAA$3,0))</f>
        <v>0</v>
      </c>
      <c r="G99" s="989">
        <f>INDEX('IN_Detr 4.5 del_397'!$A$3:$AAA$1192,MATCH($A99,'IN_Detr 4.5 del_397'!$A$3:$A$1192,0),MATCH(G$3,'IN_Detr 4.5 del_397'!$A$3:$AAA$3,0))</f>
        <v>0</v>
      </c>
    </row>
    <row r="100" spans="1:7" outlineLevel="1" x14ac:dyDescent="0.2">
      <c r="A100" s="85" t="s">
        <v>5555</v>
      </c>
      <c r="B100" s="21" t="s">
        <v>10</v>
      </c>
      <c r="C100" s="22">
        <f t="shared" si="19"/>
        <v>0</v>
      </c>
      <c r="D100" s="6"/>
      <c r="E100" s="23"/>
      <c r="F100" s="23"/>
      <c r="G100" s="23"/>
    </row>
    <row r="101" spans="1:7" x14ac:dyDescent="0.2">
      <c r="C101" s="25"/>
      <c r="D101" s="6"/>
      <c r="E101" s="5"/>
      <c r="F101" s="5"/>
      <c r="G101" s="5"/>
    </row>
    <row r="102" spans="1:7" ht="19.5" customHeight="1" x14ac:dyDescent="0.2">
      <c r="A102" s="31" t="s">
        <v>5556</v>
      </c>
      <c r="B102" s="680" t="s">
        <v>5568</v>
      </c>
      <c r="C102" s="11">
        <f>SUM(E102:G102)</f>
        <v>17302068.044212647</v>
      </c>
      <c r="D102" s="6"/>
      <c r="E102" s="12">
        <f t="shared" ref="E102" si="25">E56+E76</f>
        <v>15217280.422950398</v>
      </c>
      <c r="F102" s="12">
        <f t="shared" ref="F102:G102" si="26">F56+F76</f>
        <v>1244444.9836096179</v>
      </c>
      <c r="G102" s="12">
        <f t="shared" si="26"/>
        <v>840342.63765263092</v>
      </c>
    </row>
  </sheetData>
  <sheetProtection formatColumns="0" formatRows="0"/>
  <pageMargins left="0.70866141732283472" right="0.70866141732283472" top="0.74803149606299213" bottom="0.74803149606299213" header="0.31496062992125984" footer="0.31496062992125984"/>
  <pageSetup paperSize="9" scale="26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850E9-0DEC-4CC6-B7A9-0AB293B98257}">
  <sheetPr codeName="Foglio28">
    <tabColor theme="4" tint="-0.499984740745262"/>
    <pageSetUpPr fitToPage="1"/>
  </sheetPr>
  <dimension ref="A1:G102"/>
  <sheetViews>
    <sheetView showGridLines="0" zoomScaleNormal="100" workbookViewId="0">
      <pane xSplit="4" ySplit="3" topLeftCell="E25" activePane="bottomRight" state="frozen"/>
      <selection activeCell="C72" sqref="C72:F72"/>
      <selection pane="topRight" activeCell="C72" sqref="C72:F72"/>
      <selection pane="bottomLeft" activeCell="C72" sqref="C72:F72"/>
      <selection pane="bottomRight" activeCell="E35" sqref="E35"/>
    </sheetView>
  </sheetViews>
  <sheetFormatPr defaultColWidth="17.6640625" defaultRowHeight="10.199999999999999" outlineLevelRow="1" x14ac:dyDescent="0.2"/>
  <cols>
    <col min="1" max="1" width="22.44140625" style="7" bestFit="1" customWidth="1"/>
    <col min="2" max="2" width="94.33203125" style="5" bestFit="1" customWidth="1"/>
    <col min="3" max="3" width="10.33203125" style="3" bestFit="1" customWidth="1"/>
    <col min="4" max="4" width="1.109375" style="2" customWidth="1"/>
    <col min="5" max="7" width="12.88671875" style="4" customWidth="1"/>
    <col min="8" max="16384" width="17.6640625" style="5"/>
  </cols>
  <sheetData>
    <row r="1" spans="1:7" x14ac:dyDescent="0.2">
      <c r="B1" s="1" t="s">
        <v>5569</v>
      </c>
    </row>
    <row r="2" spans="1:7" x14ac:dyDescent="0.2">
      <c r="B2" s="134"/>
    </row>
    <row r="3" spans="1:7" s="359" customFormat="1" ht="20.399999999999999" x14ac:dyDescent="0.2">
      <c r="A3" s="356"/>
      <c r="B3" s="357"/>
      <c r="C3" s="358" t="s">
        <v>0</v>
      </c>
      <c r="D3" s="357"/>
      <c r="E3" s="358" t="str">
        <f>Ambiti!B4</f>
        <v>BUSTO ARSIZIO</v>
      </c>
      <c r="F3" s="358" t="str">
        <f>Ambiti!C4</f>
        <v>FAGNANO OLONA</v>
      </c>
      <c r="G3" s="358" t="str">
        <f>Ambiti!D4</f>
        <v>VENEGONO SUPERIORE</v>
      </c>
    </row>
    <row r="4" spans="1:7" s="10" customFormat="1" x14ac:dyDescent="0.2">
      <c r="A4" s="7"/>
      <c r="B4" s="8"/>
      <c r="C4" s="9"/>
      <c r="D4" s="8"/>
      <c r="E4" s="8"/>
      <c r="F4" s="8"/>
      <c r="G4" s="8"/>
    </row>
    <row r="5" spans="1:7" s="13" customFormat="1" ht="11.4" x14ac:dyDescent="0.3">
      <c r="A5" s="31" t="s">
        <v>5570</v>
      </c>
      <c r="B5" s="680" t="s">
        <v>5600</v>
      </c>
      <c r="C5" s="11">
        <f t="shared" ref="C5:C15" si="0">SUM(E5:G5)</f>
        <v>9756303.5952096004</v>
      </c>
      <c r="D5" s="6"/>
      <c r="E5" s="12">
        <f>SUM(E6:E15)-E19+E20+E22</f>
        <v>7914598.1306920005</v>
      </c>
      <c r="F5" s="12">
        <f>SUM(F6:F15)-F19+F20+F22</f>
        <v>1121291.8505976</v>
      </c>
      <c r="G5" s="12">
        <f>SUM(G6:G15)-G19+G20+G22</f>
        <v>720413.61392000003</v>
      </c>
    </row>
    <row r="6" spans="1:7" outlineLevel="1" x14ac:dyDescent="0.2">
      <c r="A6" s="7" t="s">
        <v>4257</v>
      </c>
      <c r="B6" s="14" t="s">
        <v>1</v>
      </c>
      <c r="C6" s="15">
        <f t="shared" si="0"/>
        <v>1384937.1267688002</v>
      </c>
      <c r="D6" s="6"/>
      <c r="E6" s="16">
        <f>PEF_GEST_28!E6</f>
        <v>1157506.4023600002</v>
      </c>
      <c r="F6" s="16">
        <f>PEF_GEST_28!F6</f>
        <v>121561.60940880001</v>
      </c>
      <c r="G6" s="16">
        <f>PEF_GEST_28!G6</f>
        <v>105869.11500000001</v>
      </c>
    </row>
    <row r="7" spans="1:7" outlineLevel="1" x14ac:dyDescent="0.2">
      <c r="A7" s="7" t="s">
        <v>4263</v>
      </c>
      <c r="B7" s="14" t="s">
        <v>3</v>
      </c>
      <c r="C7" s="15">
        <f t="shared" si="0"/>
        <v>190983.63427439998</v>
      </c>
      <c r="D7" s="6"/>
      <c r="E7" s="16">
        <f>PEF_GEST_28!E7</f>
        <v>0</v>
      </c>
      <c r="F7" s="16">
        <f>PEF_GEST_28!F7</f>
        <v>189.21991440000002</v>
      </c>
      <c r="G7" s="16">
        <f>PEF_GEST_28!G7</f>
        <v>190794.41436</v>
      </c>
    </row>
    <row r="8" spans="1:7" outlineLevel="1" x14ac:dyDescent="0.2">
      <c r="A8" s="7" t="s">
        <v>4269</v>
      </c>
      <c r="B8" s="14" t="s">
        <v>4</v>
      </c>
      <c r="C8" s="15">
        <f t="shared" si="0"/>
        <v>3248497.9972983999</v>
      </c>
      <c r="D8" s="6"/>
      <c r="E8" s="16">
        <f>PEF_GEST_28!E8</f>
        <v>2683893.7774</v>
      </c>
      <c r="F8" s="16">
        <f>PEF_GEST_28!F8</f>
        <v>564604.21989840001</v>
      </c>
      <c r="G8" s="16">
        <f>PEF_GEST_28!G8</f>
        <v>0</v>
      </c>
    </row>
    <row r="9" spans="1:7" outlineLevel="1" x14ac:dyDescent="0.2">
      <c r="A9" s="7" t="s">
        <v>4275</v>
      </c>
      <c r="B9" s="14" t="s">
        <v>5</v>
      </c>
      <c r="C9" s="15">
        <f t="shared" si="0"/>
        <v>5947156.6116160005</v>
      </c>
      <c r="D9" s="6"/>
      <c r="E9" s="16">
        <f>PEF_GEST_28!E9</f>
        <v>5088469.7256800001</v>
      </c>
      <c r="F9" s="16">
        <f>PEF_GEST_28!F9</f>
        <v>434936.80137600005</v>
      </c>
      <c r="G9" s="16">
        <f>PEF_GEST_28!G9</f>
        <v>423750.08456000005</v>
      </c>
    </row>
    <row r="10" spans="1:7" ht="11.4" outlineLevel="1" x14ac:dyDescent="0.2">
      <c r="A10" s="85" t="s">
        <v>2500</v>
      </c>
      <c r="B10" s="14" t="s">
        <v>5438</v>
      </c>
      <c r="C10" s="17">
        <f t="shared" si="0"/>
        <v>0</v>
      </c>
      <c r="D10" s="6"/>
      <c r="E10" s="16">
        <f>INDEX(IN_COexp!$A$3:$AAA$269,MATCH($A10,IN_COexp!$A$3:$A$269,0),MATCH(E$3,IN_COexp!$A$3:$AAA$3,0))</f>
        <v>0</v>
      </c>
      <c r="F10" s="16">
        <f>INDEX(IN_COexp!$A$3:$AAA$269,MATCH($A10,IN_COexp!$A$3:$A$269,0),MATCH(F$3,IN_COexp!$A$3:$AAA$3,0))</f>
        <v>0</v>
      </c>
      <c r="G10" s="16">
        <f>INDEX(IN_COexp!$A$3:$AAA$269,MATCH($A10,IN_COexp!$A$3:$A$269,0),MATCH(G$3,IN_COexp!$A$3:$AAA$3,0))</f>
        <v>0</v>
      </c>
    </row>
    <row r="11" spans="1:7" ht="11.4" outlineLevel="1" x14ac:dyDescent="0.2">
      <c r="A11" s="85" t="s">
        <v>2143</v>
      </c>
      <c r="B11" s="14" t="s">
        <v>5439</v>
      </c>
      <c r="C11" s="17">
        <f t="shared" si="0"/>
        <v>0</v>
      </c>
      <c r="D11" s="6"/>
      <c r="E11" s="18">
        <f>INDEX(IN_COexp!$A$3:$AAA$269,MATCH($A11,IN_COexp!$A$3:$A$269,0),MATCH(E$3,IN_COexp!$A$3:$AAA$3,0))</f>
        <v>0</v>
      </c>
      <c r="F11" s="18">
        <f>INDEX(IN_COexp!$A$3:$AAA$269,MATCH($A11,IN_COexp!$A$3:$A$269,0),MATCH(F$3,IN_COexp!$A$3:$AAA$3,0))</f>
        <v>0</v>
      </c>
      <c r="G11" s="18">
        <f>INDEX(IN_COexp!$A$3:$AAA$269,MATCH($A11,IN_COexp!$A$3:$A$269,0),MATCH(G$3,IN_COexp!$A$3:$AAA$3,0))</f>
        <v>0</v>
      </c>
    </row>
    <row r="12" spans="1:7" ht="11.4" outlineLevel="1" x14ac:dyDescent="0.2">
      <c r="A12" s="85" t="s">
        <v>2169</v>
      </c>
      <c r="B12" s="14" t="s">
        <v>5440</v>
      </c>
      <c r="C12" s="17">
        <f t="shared" si="0"/>
        <v>0</v>
      </c>
      <c r="D12" s="6"/>
      <c r="E12" s="18">
        <f>INDEX(IN_COexp!$A$3:$AAA$269,MATCH($A12,IN_COexp!$A$3:$A$269,0),MATCH(E$3,IN_COexp!$A$3:$AAA$3,0))</f>
        <v>0</v>
      </c>
      <c r="F12" s="18">
        <f>INDEX(IN_COexp!$A$3:$AAA$269,MATCH($A12,IN_COexp!$A$3:$A$269,0),MATCH(F$3,IN_COexp!$A$3:$AAA$3,0))</f>
        <v>0</v>
      </c>
      <c r="G12" s="18">
        <f>INDEX(IN_COexp!$A$3:$AAA$269,MATCH($A12,IN_COexp!$A$3:$A$269,0),MATCH(G$3,IN_COexp!$A$3:$AAA$3,0))</f>
        <v>0</v>
      </c>
    </row>
    <row r="13" spans="1:7" ht="11.4" outlineLevel="1" x14ac:dyDescent="0.2">
      <c r="A13" s="85" t="s">
        <v>2237</v>
      </c>
      <c r="B13" s="14" t="s">
        <v>5441</v>
      </c>
      <c r="C13" s="17">
        <f t="shared" si="0"/>
        <v>0</v>
      </c>
      <c r="D13" s="6"/>
      <c r="E13" s="18">
        <f>INDEX(IN_COexp!$A$3:$AAA$269,MATCH($A13,IN_COexp!$A$3:$A$269,0),MATCH(E$3,IN_COexp!$A$3:$AAA$3,0))</f>
        <v>0</v>
      </c>
      <c r="F13" s="18">
        <f>INDEX(IN_COexp!$A$3:$AAA$269,MATCH($A13,IN_COexp!$A$3:$A$269,0),MATCH(F$3,IN_COexp!$A$3:$AAA$3,0))</f>
        <v>0</v>
      </c>
      <c r="G13" s="18">
        <f>INDEX(IN_COexp!$A$3:$AAA$269,MATCH($A13,IN_COexp!$A$3:$A$269,0),MATCH(G$3,IN_COexp!$A$3:$AAA$3,0))</f>
        <v>0</v>
      </c>
    </row>
    <row r="14" spans="1:7" ht="11.4" outlineLevel="1" x14ac:dyDescent="0.2">
      <c r="A14" s="85" t="s">
        <v>2309</v>
      </c>
      <c r="B14" s="14" t="s">
        <v>5442</v>
      </c>
      <c r="C14" s="17">
        <f t="shared" si="0"/>
        <v>0</v>
      </c>
      <c r="D14" s="6"/>
      <c r="E14" s="18">
        <f>INDEX(IN_COexp!$A$3:$AAA$269,MATCH($A14,IN_COexp!$A$3:$A$269,0),MATCH(E$3,IN_COexp!$A$3:$AAA$3,0))</f>
        <v>0</v>
      </c>
      <c r="F14" s="18">
        <f>INDEX(IN_COexp!$A$3:$AAA$269,MATCH($A14,IN_COexp!$A$3:$A$269,0),MATCH(F$3,IN_COexp!$A$3:$AAA$3,0))</f>
        <v>0</v>
      </c>
      <c r="G14" s="18">
        <f>INDEX(IN_COexp!$A$3:$AAA$269,MATCH($A14,IN_COexp!$A$3:$A$269,0),MATCH(G$3,IN_COexp!$A$3:$AAA$3,0))</f>
        <v>0</v>
      </c>
    </row>
    <row r="15" spans="1:7" ht="11.4" outlineLevel="1" x14ac:dyDescent="0.2">
      <c r="A15" s="85" t="s">
        <v>2364</v>
      </c>
      <c r="B15" s="14" t="s">
        <v>5443</v>
      </c>
      <c r="C15" s="17">
        <f t="shared" si="0"/>
        <v>0</v>
      </c>
      <c r="D15" s="6"/>
      <c r="E15" s="18">
        <f>INDEX(IN_COexp!$A$3:$AAA$269,MATCH($A15,IN_COexp!$A$3:$A$269,0),MATCH(E$3,IN_COexp!$A$3:$AAA$3,0))</f>
        <v>0</v>
      </c>
      <c r="F15" s="18">
        <f>INDEX(IN_COexp!$A$3:$AAA$269,MATCH($A15,IN_COexp!$A$3:$A$269,0),MATCH(F$3,IN_COexp!$A$3:$AAA$3,0))</f>
        <v>0</v>
      </c>
      <c r="G15" s="18">
        <f>INDEX(IN_COexp!$A$3:$AAA$269,MATCH($A15,IN_COexp!$A$3:$A$269,0),MATCH(G$3,IN_COexp!$A$3:$AAA$3,0))</f>
        <v>0</v>
      </c>
    </row>
    <row r="16" spans="1:7" outlineLevel="1" x14ac:dyDescent="0.2">
      <c r="A16" s="85" t="s">
        <v>1289</v>
      </c>
      <c r="B16" s="736" t="s">
        <v>7</v>
      </c>
      <c r="C16" s="737"/>
      <c r="D16" s="19"/>
      <c r="E16" s="740">
        <f>INDEX(IN_PAR!$A$3:$YE$413,MATCH($A16,IN_PAR!$A$3:$A$413,0),MATCH(E$3,IN_PAR!$A$3:$YE$3,0))</f>
        <v>0.7</v>
      </c>
      <c r="F16" s="740">
        <f>INDEX(IN_PAR!$A$3:$YE$413,MATCH($A16,IN_PAR!$A$3:$A$413,0),MATCH(F$3,IN_PAR!$A$3:$YE$3,0))</f>
        <v>0</v>
      </c>
      <c r="G16" s="740">
        <f>INDEX(IN_PAR!$A$3:$YE$413,MATCH($A16,IN_PAR!$A$3:$A$413,0),MATCH(G$3,IN_PAR!$A$3:$YE$3,0))</f>
        <v>0</v>
      </c>
    </row>
    <row r="17" spans="1:7" outlineLevel="1" x14ac:dyDescent="0.2">
      <c r="A17" s="7" t="s">
        <v>5571</v>
      </c>
      <c r="B17" s="26" t="s">
        <v>6</v>
      </c>
      <c r="C17" s="27">
        <f t="shared" ref="C17:C22" si="1">SUM(E17:G17)</f>
        <v>882043.96798319998</v>
      </c>
      <c r="D17" s="6"/>
      <c r="E17" s="28">
        <f>PEF_GEST_28!E17</f>
        <v>770996.38968000002</v>
      </c>
      <c r="F17" s="28">
        <f>PEF_GEST_28!F17</f>
        <v>62985.664183200002</v>
      </c>
      <c r="G17" s="28">
        <f>PEF_GEST_28!G17</f>
        <v>48061.914120000001</v>
      </c>
    </row>
    <row r="18" spans="1:7" ht="11.4" outlineLevel="1" x14ac:dyDescent="0.2">
      <c r="A18" s="7" t="s">
        <v>5572</v>
      </c>
      <c r="B18" s="26" t="s">
        <v>101</v>
      </c>
      <c r="C18" s="27">
        <f t="shared" si="1"/>
        <v>802657.26690159983</v>
      </c>
      <c r="D18" s="6"/>
      <c r="E18" s="28">
        <f>PEF_GEST_28!E18</f>
        <v>679391.85995999991</v>
      </c>
      <c r="F18" s="28">
        <f>PEF_GEST_28!F18</f>
        <v>81889.756581599999</v>
      </c>
      <c r="G18" s="28">
        <f>PEF_GEST_28!G18</f>
        <v>41375.65036</v>
      </c>
    </row>
    <row r="19" spans="1:7" ht="11.4" outlineLevel="1" x14ac:dyDescent="0.2">
      <c r="A19" s="7" t="s">
        <v>5904</v>
      </c>
      <c r="B19" s="738" t="s">
        <v>5437</v>
      </c>
      <c r="C19" s="739">
        <f t="shared" si="1"/>
        <v>1015271.774748</v>
      </c>
      <c r="D19" s="6"/>
      <c r="E19" s="741">
        <f>E16*(E17+E18)</f>
        <v>1015271.774748</v>
      </c>
      <c r="F19" s="741">
        <f>F16*(F17+F18)</f>
        <v>0</v>
      </c>
      <c r="G19" s="741">
        <f>G16*(G17+G18)</f>
        <v>0</v>
      </c>
    </row>
    <row r="20" spans="1:7" ht="11.4" outlineLevel="1" x14ac:dyDescent="0.2">
      <c r="A20" s="85" t="s">
        <v>3047</v>
      </c>
      <c r="B20" s="703" t="s">
        <v>102</v>
      </c>
      <c r="C20" s="704">
        <f t="shared" si="1"/>
        <v>0</v>
      </c>
      <c r="D20" s="6"/>
      <c r="E20" s="706">
        <f>INDEX('IN_RC-T'!$A$3:$AAA$865,MATCH($A20,'IN_RC-T'!$A$3:$A$865,0),MATCH(E$3,'IN_RC-T'!$A$3:$AAA$3,0))</f>
        <v>0</v>
      </c>
      <c r="F20" s="706">
        <f>INDEX('IN_RC-T'!$A$3:$AAA$865,MATCH($A20,'IN_RC-T'!$A$3:$A$865,0),MATCH(F$3,'IN_RC-T'!$A$3:$AAA$3,0))</f>
        <v>0</v>
      </c>
      <c r="G20" s="706">
        <f>INDEX('IN_RC-T'!$A$3:$AAA$865,MATCH($A20,'IN_RC-T'!$A$3:$A$865,0),MATCH(G$3,'IN_RC-T'!$A$3:$AAA$3,0))</f>
        <v>0</v>
      </c>
    </row>
    <row r="21" spans="1:7" ht="11.4" outlineLevel="1" x14ac:dyDescent="0.2">
      <c r="A21" s="7" t="s">
        <v>6805</v>
      </c>
      <c r="B21" s="705" t="s">
        <v>5444</v>
      </c>
      <c r="C21" s="985">
        <f t="shared" si="1"/>
        <v>0</v>
      </c>
      <c r="D21" s="986"/>
      <c r="E21" s="984">
        <f>INDEX('IN_RC-T'!$A$3:$AAA$865,MATCH($A21,'IN_RC-T'!$A$3:$A$865,0),MATCH(E$3,'IN_RC-T'!$A$3:$AAA$3,0))</f>
        <v>0</v>
      </c>
      <c r="F21" s="984">
        <f>INDEX('IN_RC-T'!$A$3:$AAA$865,MATCH($A21,'IN_RC-T'!$A$3:$A$865,0),MATCH(F$3,'IN_RC-T'!$A$3:$AAA$3,0))</f>
        <v>0</v>
      </c>
      <c r="G21" s="984">
        <f>INDEX('IN_RC-T'!$A$3:$AAA$865,MATCH($A21,'IN_RC-T'!$A$3:$A$865,0),MATCH(G$3,'IN_RC-T'!$A$3:$AAA$3,0))</f>
        <v>0</v>
      </c>
    </row>
    <row r="22" spans="1:7" outlineLevel="1" x14ac:dyDescent="0.2">
      <c r="A22" s="85" t="s">
        <v>5573</v>
      </c>
      <c r="B22" s="21" t="s">
        <v>109</v>
      </c>
      <c r="C22" s="22">
        <f t="shared" si="1"/>
        <v>0</v>
      </c>
      <c r="D22" s="6"/>
      <c r="E22" s="23"/>
      <c r="F22" s="23"/>
      <c r="G22" s="23"/>
    </row>
    <row r="23" spans="1:7" outlineLevel="1" x14ac:dyDescent="0.2">
      <c r="B23" s="24"/>
      <c r="C23" s="25"/>
      <c r="D23" s="6"/>
      <c r="E23" s="5"/>
      <c r="F23" s="5"/>
      <c r="G23" s="5"/>
    </row>
    <row r="24" spans="1:7" s="13" customFormat="1" ht="11.4" outlineLevel="1" x14ac:dyDescent="0.3">
      <c r="A24" s="31" t="s">
        <v>5574</v>
      </c>
      <c r="B24" s="680" t="s">
        <v>5601</v>
      </c>
      <c r="C24" s="11">
        <f t="shared" ref="C24:C48" si="2">SUM(E24:G24)</f>
        <v>6476663.2082239753</v>
      </c>
      <c r="D24" s="6"/>
      <c r="E24" s="12">
        <f>E25+E30+E40+SUM(E41:E46)+E48</f>
        <v>6243898.0065433783</v>
      </c>
      <c r="F24" s="12">
        <f>F25+F30+F40+SUM(F41:F46)+F48</f>
        <v>112836.17794796609</v>
      </c>
      <c r="G24" s="12">
        <f>G25+G30+G40+SUM(G41:G46)+G48</f>
        <v>119929.02373263093</v>
      </c>
    </row>
    <row r="25" spans="1:7" outlineLevel="1" x14ac:dyDescent="0.2">
      <c r="A25" s="7" t="s">
        <v>4328</v>
      </c>
      <c r="B25" s="14" t="s">
        <v>11</v>
      </c>
      <c r="C25" s="15">
        <f t="shared" si="2"/>
        <v>2433783.1588399997</v>
      </c>
      <c r="D25" s="6"/>
      <c r="E25" s="16">
        <f>PEF_GEST_28!E25</f>
        <v>2380990.7114399998</v>
      </c>
      <c r="F25" s="16">
        <f>PEF_GEST_28!F25</f>
        <v>0</v>
      </c>
      <c r="G25" s="16">
        <f>PEF_GEST_28!G25</f>
        <v>52792.447399999997</v>
      </c>
    </row>
    <row r="26" spans="1:7" outlineLevel="1" x14ac:dyDescent="0.2">
      <c r="A26" s="7" t="s">
        <v>4334</v>
      </c>
      <c r="B26" s="26" t="s">
        <v>13</v>
      </c>
      <c r="C26" s="27">
        <f t="shared" si="2"/>
        <v>654540.42896000005</v>
      </c>
      <c r="D26" s="6"/>
      <c r="E26" s="28">
        <f>PEF_GEST_28!E26</f>
        <v>654540.42896000005</v>
      </c>
      <c r="F26" s="28">
        <f>PEF_GEST_28!F26</f>
        <v>0</v>
      </c>
      <c r="G26" s="28">
        <f>PEF_GEST_28!G26</f>
        <v>0</v>
      </c>
    </row>
    <row r="27" spans="1:7" outlineLevel="1" x14ac:dyDescent="0.2">
      <c r="A27" s="7" t="s">
        <v>4340</v>
      </c>
      <c r="B27" s="26" t="s">
        <v>14</v>
      </c>
      <c r="C27" s="27">
        <f t="shared" si="2"/>
        <v>1851949.6199159999</v>
      </c>
      <c r="D27" s="6"/>
      <c r="E27" s="28">
        <f>PEF_GEST_28!E27</f>
        <v>1750717.3543199999</v>
      </c>
      <c r="F27" s="28">
        <f>PEF_GEST_28!F27</f>
        <v>52656.265596000005</v>
      </c>
      <c r="G27" s="28">
        <f>PEF_GEST_28!G27</f>
        <v>48576</v>
      </c>
    </row>
    <row r="28" spans="1:7" outlineLevel="1" x14ac:dyDescent="0.2">
      <c r="A28" s="7" t="s">
        <v>4346</v>
      </c>
      <c r="B28" s="26" t="s">
        <v>15</v>
      </c>
      <c r="C28" s="27">
        <f t="shared" si="2"/>
        <v>0</v>
      </c>
      <c r="D28" s="6"/>
      <c r="E28" s="28">
        <f>PEF_GEST_28!E28</f>
        <v>0</v>
      </c>
      <c r="F28" s="28">
        <f>PEF_GEST_28!F28</f>
        <v>0</v>
      </c>
      <c r="G28" s="28">
        <f>PEF_GEST_28!G28</f>
        <v>0</v>
      </c>
    </row>
    <row r="29" spans="1:7" ht="11.4" outlineLevel="1" x14ac:dyDescent="0.2">
      <c r="A29" s="7" t="s">
        <v>4352</v>
      </c>
      <c r="B29" s="52" t="s">
        <v>16</v>
      </c>
      <c r="C29" s="53">
        <f t="shared" si="2"/>
        <v>0</v>
      </c>
      <c r="D29" s="6"/>
      <c r="E29" s="54">
        <f>PEF_GEST_28!E29</f>
        <v>0</v>
      </c>
      <c r="F29" s="54">
        <f>PEF_GEST_28!F29</f>
        <v>0</v>
      </c>
      <c r="G29" s="54">
        <f>PEF_GEST_28!G29</f>
        <v>0</v>
      </c>
    </row>
    <row r="30" spans="1:7" outlineLevel="1" x14ac:dyDescent="0.2">
      <c r="A30" s="7" t="s">
        <v>5575</v>
      </c>
      <c r="B30" s="684" t="s">
        <v>12</v>
      </c>
      <c r="C30" s="685">
        <f t="shared" si="2"/>
        <v>2506490.0488760001</v>
      </c>
      <c r="D30" s="6"/>
      <c r="E30" s="686">
        <f>SUM(E26:E29)</f>
        <v>2405257.7832800001</v>
      </c>
      <c r="F30" s="686">
        <f>SUM(F26:F29)</f>
        <v>52656.265596000005</v>
      </c>
      <c r="G30" s="686">
        <f>SUM(G26:G29)</f>
        <v>48576</v>
      </c>
    </row>
    <row r="31" spans="1:7" outlineLevel="1" x14ac:dyDescent="0.2">
      <c r="A31" s="85" t="s">
        <v>4358</v>
      </c>
      <c r="B31" s="26" t="s">
        <v>18</v>
      </c>
      <c r="C31" s="27">
        <f t="shared" si="2"/>
        <v>544021.66856343171</v>
      </c>
      <c r="D31" s="6"/>
      <c r="E31" s="28">
        <f>INDEX(CK_GEST!$A$3:$AAA$158,MATCH($A31,CK_GEST!$A$3:$A$158,0),MATCH(E$3,CK_GEST!$A$3:$AAA$3,0))</f>
        <v>510556.06046451128</v>
      </c>
      <c r="F31" s="28">
        <f>INDEX(CK_GEST!$A$3:$AAA$158,MATCH($A31,CK_GEST!$A$3:$A$158,0),MATCH(F$3,CK_GEST!$A$3:$AAA$3,0))</f>
        <v>33465.608098920478</v>
      </c>
      <c r="G31" s="28">
        <f>INDEX(CK_GEST!$A$3:$AAA$158,MATCH($A31,CK_GEST!$A$3:$A$158,0),MATCH(G$3,CK_GEST!$A$3:$AAA$3,0))</f>
        <v>0</v>
      </c>
    </row>
    <row r="32" spans="1:7" outlineLevel="1" x14ac:dyDescent="0.2">
      <c r="A32" s="7" t="s">
        <v>4376</v>
      </c>
      <c r="B32" s="687" t="s">
        <v>19</v>
      </c>
      <c r="C32" s="688">
        <f t="shared" si="2"/>
        <v>455055</v>
      </c>
      <c r="D32" s="6"/>
      <c r="E32" s="689">
        <f>SUM(E33:E36)</f>
        <v>455055</v>
      </c>
      <c r="F32" s="689">
        <f>SUM(F33:F36)</f>
        <v>0</v>
      </c>
      <c r="G32" s="689">
        <f>SUM(G33:G36)</f>
        <v>0</v>
      </c>
    </row>
    <row r="33" spans="1:7" outlineLevel="1" x14ac:dyDescent="0.2">
      <c r="A33" s="85" t="s">
        <v>4364</v>
      </c>
      <c r="B33" s="690" t="s">
        <v>20</v>
      </c>
      <c r="C33" s="691">
        <f t="shared" si="2"/>
        <v>0</v>
      </c>
      <c r="D33" s="6"/>
      <c r="E33" s="696">
        <f>PEF_GEST_28!E33</f>
        <v>0</v>
      </c>
      <c r="F33" s="696">
        <f>PEF_GEST_28!F33</f>
        <v>0</v>
      </c>
      <c r="G33" s="696">
        <f>PEF_GEST_28!G33</f>
        <v>0</v>
      </c>
    </row>
    <row r="34" spans="1:7" outlineLevel="1" x14ac:dyDescent="0.2">
      <c r="A34" s="85" t="s">
        <v>4367</v>
      </c>
      <c r="B34" s="692" t="s">
        <v>21</v>
      </c>
      <c r="C34" s="693">
        <f t="shared" si="2"/>
        <v>455055</v>
      </c>
      <c r="D34" s="6"/>
      <c r="E34" s="697">
        <v>455055</v>
      </c>
      <c r="F34" s="697">
        <f>PEF_GEST_28!F34</f>
        <v>0</v>
      </c>
      <c r="G34" s="697">
        <f>PEF_GEST_28!G34</f>
        <v>0</v>
      </c>
    </row>
    <row r="35" spans="1:7" outlineLevel="1" x14ac:dyDescent="0.2">
      <c r="A35" s="85" t="s">
        <v>4370</v>
      </c>
      <c r="B35" s="692" t="s">
        <v>22</v>
      </c>
      <c r="C35" s="693">
        <f t="shared" si="2"/>
        <v>0</v>
      </c>
      <c r="D35" s="6"/>
      <c r="E35" s="697">
        <f>PEF_GEST_28!E35</f>
        <v>0</v>
      </c>
      <c r="F35" s="697">
        <f>PEF_GEST_28!F35</f>
        <v>0</v>
      </c>
      <c r="G35" s="697">
        <f>PEF_GEST_28!G35</f>
        <v>0</v>
      </c>
    </row>
    <row r="36" spans="1:7" outlineLevel="1" x14ac:dyDescent="0.2">
      <c r="A36" s="85" t="s">
        <v>4373</v>
      </c>
      <c r="B36" s="694" t="s">
        <v>23</v>
      </c>
      <c r="C36" s="695">
        <f t="shared" si="2"/>
        <v>0</v>
      </c>
      <c r="D36" s="6"/>
      <c r="E36" s="698">
        <f>PEF_GEST_28!E36</f>
        <v>0</v>
      </c>
      <c r="F36" s="698">
        <f>PEF_GEST_28!F36</f>
        <v>0</v>
      </c>
      <c r="G36" s="698">
        <f>PEF_GEST_28!G36</f>
        <v>0</v>
      </c>
    </row>
    <row r="37" spans="1:7" outlineLevel="1" x14ac:dyDescent="0.2">
      <c r="A37" s="85" t="s">
        <v>4394</v>
      </c>
      <c r="B37" s="26" t="s">
        <v>24</v>
      </c>
      <c r="C37" s="27">
        <f t="shared" si="2"/>
        <v>537313.33194454387</v>
      </c>
      <c r="D37" s="6"/>
      <c r="E37" s="28">
        <f>INDEX(CK_GEST!$A$3:$AAA$158,MATCH($A37,CK_GEST!$A$3:$A$158,0),MATCH(E$3,CK_GEST!$A$3:$AAA$3,0))</f>
        <v>492038.4513588674</v>
      </c>
      <c r="F37" s="28">
        <f>INDEX(CK_GEST!$A$3:$AAA$158,MATCH($A37,CK_GEST!$A$3:$A$158,0),MATCH(F$3,CK_GEST!$A$3:$AAA$3,0))</f>
        <v>26714.304253045604</v>
      </c>
      <c r="G37" s="28">
        <f>INDEX(CK_GEST!$A$3:$AAA$158,MATCH($A37,CK_GEST!$A$3:$A$158,0),MATCH(G$3,CK_GEST!$A$3:$AAA$3,0))</f>
        <v>18560.576332630921</v>
      </c>
    </row>
    <row r="38" spans="1:7" ht="11.4" outlineLevel="1" x14ac:dyDescent="0.2">
      <c r="A38" s="85" t="s">
        <v>4400</v>
      </c>
      <c r="B38" s="52" t="s">
        <v>25</v>
      </c>
      <c r="C38" s="53">
        <f t="shared" si="2"/>
        <v>0</v>
      </c>
      <c r="D38" s="6"/>
      <c r="E38" s="54">
        <f>INDEX(CK_GEST!$A$3:$AAA$158,MATCH($A38,CK_GEST!$A$3:$A$158,0),MATCH(E$3,CK_GEST!$A$3:$AAA$3,0))</f>
        <v>0</v>
      </c>
      <c r="F38" s="54">
        <f>INDEX(CK_GEST!$A$3:$AAA$158,MATCH($A38,CK_GEST!$A$3:$A$158,0),MATCH(F$3,CK_GEST!$A$3:$AAA$3,0))</f>
        <v>0</v>
      </c>
      <c r="G38" s="54">
        <f>INDEX(CK_GEST!$A$3:$AAA$158,MATCH($A38,CK_GEST!$A$3:$A$158,0),MATCH(G$3,CK_GEST!$A$3:$AAA$3,0))</f>
        <v>0</v>
      </c>
    </row>
    <row r="39" spans="1:7" ht="11.4" outlineLevel="1" x14ac:dyDescent="0.2">
      <c r="A39" s="85" t="s">
        <v>4406</v>
      </c>
      <c r="B39" s="52" t="s">
        <v>5474</v>
      </c>
      <c r="C39" s="53">
        <f t="shared" si="2"/>
        <v>0</v>
      </c>
      <c r="D39" s="6"/>
      <c r="E39" s="54">
        <f>INDEX(CK_GEST!$A$3:$AAA$158,MATCH($A39,CK_GEST!$A$3:$A$158,0),MATCH(E$3,CK_GEST!$A$3:$AAA$3,0))</f>
        <v>0</v>
      </c>
      <c r="F39" s="54">
        <f>INDEX(CK_GEST!$A$3:$AAA$158,MATCH($A39,CK_GEST!$A$3:$A$158,0),MATCH(F$3,CK_GEST!$A$3:$AAA$3,0))</f>
        <v>0</v>
      </c>
      <c r="G39" s="54">
        <f>INDEX(CK_GEST!$A$3:$AAA$158,MATCH($A39,CK_GEST!$A$3:$A$158,0),MATCH(G$3,CK_GEST!$A$3:$AAA$3,0))</f>
        <v>0</v>
      </c>
    </row>
    <row r="40" spans="1:7" outlineLevel="1" x14ac:dyDescent="0.2">
      <c r="A40" s="7" t="s">
        <v>5576</v>
      </c>
      <c r="B40" s="684" t="s">
        <v>17</v>
      </c>
      <c r="C40" s="685">
        <f t="shared" si="2"/>
        <v>1536390.0005079757</v>
      </c>
      <c r="D40" s="6"/>
      <c r="E40" s="686">
        <f>E31+E32+E37+E38+E39</f>
        <v>1457649.5118233787</v>
      </c>
      <c r="F40" s="686">
        <f>F31+F32+F37+F38+F39</f>
        <v>60179.912351966079</v>
      </c>
      <c r="G40" s="686">
        <f>G31+G32+G37+G38+G39</f>
        <v>18560.576332630921</v>
      </c>
    </row>
    <row r="41" spans="1:7" ht="11.4" outlineLevel="1" x14ac:dyDescent="0.2">
      <c r="A41" s="85" t="s">
        <v>2146</v>
      </c>
      <c r="B41" s="14" t="s">
        <v>5447</v>
      </c>
      <c r="C41" s="17">
        <f t="shared" si="2"/>
        <v>0</v>
      </c>
      <c r="D41" s="6"/>
      <c r="E41" s="16">
        <f>INDEX(IN_COexp!$A$3:$AAA$269,MATCH($A41,IN_COexp!$A$3:$A$269,0),MATCH(E$3,IN_COexp!$A$3:$AAA$3,0))</f>
        <v>0</v>
      </c>
      <c r="F41" s="16">
        <f>INDEX(IN_COexp!$A$3:$AAA$269,MATCH($A41,IN_COexp!$A$3:$A$269,0),MATCH(F$3,IN_COexp!$A$3:$AAA$3,0))</f>
        <v>0</v>
      </c>
      <c r="G41" s="16">
        <f>INDEX(IN_COexp!$A$3:$AAA$269,MATCH($A41,IN_COexp!$A$3:$A$269,0),MATCH(G$3,IN_COexp!$A$3:$AAA$3,0))</f>
        <v>0</v>
      </c>
    </row>
    <row r="42" spans="1:7" ht="11.4" outlineLevel="1" x14ac:dyDescent="0.2">
      <c r="A42" s="85" t="s">
        <v>2172</v>
      </c>
      <c r="B42" s="14" t="s">
        <v>5448</v>
      </c>
      <c r="C42" s="17">
        <f t="shared" si="2"/>
        <v>0</v>
      </c>
      <c r="D42" s="6"/>
      <c r="E42" s="16">
        <f>INDEX(IN_COexp!$A$3:$AAA$269,MATCH($A42,IN_COexp!$A$3:$A$269,0),MATCH(E$3,IN_COexp!$A$3:$AAA$3,0))</f>
        <v>0</v>
      </c>
      <c r="F42" s="16">
        <f>INDEX(IN_COexp!$A$3:$AAA$269,MATCH($A42,IN_COexp!$A$3:$A$269,0),MATCH(F$3,IN_COexp!$A$3:$AAA$3,0))</f>
        <v>0</v>
      </c>
      <c r="G42" s="16">
        <f>INDEX(IN_COexp!$A$3:$AAA$269,MATCH($A42,IN_COexp!$A$3:$A$269,0),MATCH(G$3,IN_COexp!$A$3:$AAA$3,0))</f>
        <v>0</v>
      </c>
    </row>
    <row r="43" spans="1:7" ht="11.4" outlineLevel="1" x14ac:dyDescent="0.2">
      <c r="A43" s="85" t="s">
        <v>2240</v>
      </c>
      <c r="B43" s="14" t="s">
        <v>6410</v>
      </c>
      <c r="C43" s="17">
        <f t="shared" si="2"/>
        <v>0</v>
      </c>
      <c r="D43" s="6"/>
      <c r="E43" s="18">
        <f>INDEX(IN_COexp!$A$3:$AAA$269,MATCH($A43,IN_COexp!$A$3:$A$269,0),MATCH(E$3,IN_COexp!$A$3:$AAA$3,0))</f>
        <v>0</v>
      </c>
      <c r="F43" s="18">
        <f>INDEX(IN_COexp!$A$3:$AAA$269,MATCH($A43,IN_COexp!$A$3:$A$269,0),MATCH(F$3,IN_COexp!$A$3:$AAA$3,0))</f>
        <v>0</v>
      </c>
      <c r="G43" s="18">
        <f>INDEX(IN_COexp!$A$3:$AAA$269,MATCH($A43,IN_COexp!$A$3:$A$269,0),MATCH(G$3,IN_COexp!$A$3:$AAA$3,0))</f>
        <v>0</v>
      </c>
    </row>
    <row r="44" spans="1:7" ht="11.4" outlineLevel="1" x14ac:dyDescent="0.2">
      <c r="A44" s="85" t="s">
        <v>2312</v>
      </c>
      <c r="B44" s="14" t="s">
        <v>6411</v>
      </c>
      <c r="C44" s="17">
        <f t="shared" si="2"/>
        <v>0</v>
      </c>
      <c r="D44" s="6"/>
      <c r="E44" s="18">
        <f>INDEX(IN_COexp!$A$3:$AAA$269,MATCH($A44,IN_COexp!$A$3:$A$269,0),MATCH(E$3,IN_COexp!$A$3:$AAA$3,0))</f>
        <v>0</v>
      </c>
      <c r="F44" s="18">
        <f>INDEX(IN_COexp!$A$3:$AAA$269,MATCH($A44,IN_COexp!$A$3:$A$269,0),MATCH(F$3,IN_COexp!$A$3:$AAA$3,0))</f>
        <v>0</v>
      </c>
      <c r="G44" s="18">
        <f>INDEX(IN_COexp!$A$3:$AAA$269,MATCH($A44,IN_COexp!$A$3:$A$269,0),MATCH(G$3,IN_COexp!$A$3:$AAA$3,0))</f>
        <v>0</v>
      </c>
    </row>
    <row r="45" spans="1:7" ht="11.4" outlineLevel="1" x14ac:dyDescent="0.2">
      <c r="A45" s="85" t="s">
        <v>2367</v>
      </c>
      <c r="B45" s="14" t="s">
        <v>5449</v>
      </c>
      <c r="C45" s="17">
        <f t="shared" si="2"/>
        <v>0</v>
      </c>
      <c r="D45" s="6"/>
      <c r="E45" s="16">
        <f>INDEX(IN_COexp!$A$3:$AAA$269,MATCH($A45,IN_COexp!$A$3:$A$269,0),MATCH(E$3,IN_COexp!$A$3:$AAA$3,0))</f>
        <v>0</v>
      </c>
      <c r="F45" s="16">
        <f>INDEX(IN_COexp!$A$3:$AAA$269,MATCH($A45,IN_COexp!$A$3:$A$269,0),MATCH(F$3,IN_COexp!$A$3:$AAA$3,0))</f>
        <v>0</v>
      </c>
      <c r="G45" s="16">
        <f>INDEX(IN_COexp!$A$3:$AAA$269,MATCH($A45,IN_COexp!$A$3:$A$269,0),MATCH(G$3,IN_COexp!$A$3:$AAA$3,0))</f>
        <v>0</v>
      </c>
    </row>
    <row r="46" spans="1:7" ht="11.4" outlineLevel="1" x14ac:dyDescent="0.2">
      <c r="A46" s="85" t="s">
        <v>3049</v>
      </c>
      <c r="B46" s="703" t="s">
        <v>26</v>
      </c>
      <c r="C46" s="704">
        <f t="shared" si="2"/>
        <v>0</v>
      </c>
      <c r="D46" s="6"/>
      <c r="E46" s="706">
        <f>INDEX('IN_RC-T'!$A$3:$AAA$865,MATCH($A46,'IN_RC-T'!$A$3:$A$865,0),MATCH(E$3,'IN_RC-T'!$A$3:$AAA$3,0))</f>
        <v>0</v>
      </c>
      <c r="F46" s="706">
        <f>INDEX('IN_RC-T'!$A$3:$AAA$865,MATCH($A46,'IN_RC-T'!$A$3:$A$865,0),MATCH(F$3,'IN_RC-T'!$A$3:$AAA$3,0))</f>
        <v>0</v>
      </c>
      <c r="G46" s="706">
        <f>INDEX('IN_RC-T'!$A$3:$AAA$865,MATCH($A46,'IN_RC-T'!$A$3:$A$865,0),MATCH(G$3,'IN_RC-T'!$A$3:$AAA$3,0))</f>
        <v>0</v>
      </c>
    </row>
    <row r="47" spans="1:7" ht="11.4" outlineLevel="1" x14ac:dyDescent="0.2">
      <c r="A47" s="7" t="s">
        <v>6807</v>
      </c>
      <c r="B47" s="705" t="s">
        <v>5450</v>
      </c>
      <c r="C47" s="985">
        <f t="shared" si="2"/>
        <v>0</v>
      </c>
      <c r="D47" s="986"/>
      <c r="E47" s="984">
        <f>INDEX('IN_RC-T'!$A$3:$AAA$865,MATCH($A47,'IN_RC-T'!$A$3:$A$865,0),MATCH(E$3,'IN_RC-T'!$A$3:$AAA$3,0))</f>
        <v>0</v>
      </c>
      <c r="F47" s="984">
        <f>INDEX('IN_RC-T'!$A$3:$AAA$865,MATCH($A47,'IN_RC-T'!$A$3:$A$865,0),MATCH(F$3,'IN_RC-T'!$A$3:$AAA$3,0))</f>
        <v>0</v>
      </c>
      <c r="G47" s="984">
        <f>INDEX('IN_RC-T'!$A$3:$AAA$865,MATCH($A47,'IN_RC-T'!$A$3:$A$865,0),MATCH(G$3,'IN_RC-T'!$A$3:$AAA$3,0))</f>
        <v>0</v>
      </c>
    </row>
    <row r="48" spans="1:7" outlineLevel="1" x14ac:dyDescent="0.2">
      <c r="A48" s="85" t="s">
        <v>5577</v>
      </c>
      <c r="B48" s="21" t="s">
        <v>10</v>
      </c>
      <c r="C48" s="22">
        <f t="shared" si="2"/>
        <v>0</v>
      </c>
      <c r="D48" s="6"/>
      <c r="E48" s="23"/>
      <c r="F48" s="23"/>
      <c r="G48" s="23"/>
    </row>
    <row r="49" spans="1:7" x14ac:dyDescent="0.2">
      <c r="C49" s="25"/>
      <c r="D49" s="6"/>
      <c r="E49" s="5"/>
      <c r="F49" s="5"/>
      <c r="G49" s="5"/>
    </row>
    <row r="50" spans="1:7" s="13" customFormat="1" ht="19.5" customHeight="1" x14ac:dyDescent="0.3">
      <c r="A50" s="31" t="s">
        <v>5578</v>
      </c>
      <c r="B50" s="680" t="s">
        <v>5602</v>
      </c>
      <c r="C50" s="11">
        <f>SUM(E50:G50)</f>
        <v>16232966.803433575</v>
      </c>
      <c r="D50" s="6"/>
      <c r="E50" s="12">
        <f t="shared" ref="E50" si="3">E5+E24</f>
        <v>14158496.137235379</v>
      </c>
      <c r="F50" s="12">
        <f t="shared" ref="F50:G50" si="4">F5+F24</f>
        <v>1234128.0285455661</v>
      </c>
      <c r="G50" s="12">
        <f t="shared" si="4"/>
        <v>840342.63765263092</v>
      </c>
    </row>
    <row r="51" spans="1:7" x14ac:dyDescent="0.2">
      <c r="B51" s="24"/>
      <c r="C51" s="25"/>
      <c r="D51" s="6"/>
      <c r="E51" s="5"/>
      <c r="F51" s="5"/>
      <c r="G51" s="5"/>
    </row>
    <row r="52" spans="1:7" x14ac:dyDescent="0.2">
      <c r="A52" s="85" t="s">
        <v>4973</v>
      </c>
      <c r="B52" s="682" t="s">
        <v>5453</v>
      </c>
      <c r="C52" s="213">
        <f>SUM(E52:G52)</f>
        <v>0</v>
      </c>
      <c r="D52" s="6"/>
      <c r="E52" s="215">
        <f>INDEX('IN_Detr 4.5 del_397'!$A$3:$AAA$1192,MATCH($A52,'IN_Detr 4.5 del_397'!$A$3:$A$1192,0),MATCH(E$3,'IN_Detr 4.5 del_397'!$A$3:$AAA$3,0))</f>
        <v>0</v>
      </c>
      <c r="F52" s="215">
        <f>INDEX('IN_Detr 4.5 del_397'!$A$3:$AAA$1192,MATCH($A52,'IN_Detr 4.5 del_397'!$A$3:$A$1192,0),MATCH(F$3,'IN_Detr 4.5 del_397'!$A$3:$AAA$3,0))</f>
        <v>0</v>
      </c>
      <c r="G52" s="215">
        <f>INDEX('IN_Detr 4.5 del_397'!$A$3:$AAA$1192,MATCH($A52,'IN_Detr 4.5 del_397'!$A$3:$A$1192,0),MATCH(G$3,'IN_Detr 4.5 del_397'!$A$3:$AAA$3,0))</f>
        <v>0</v>
      </c>
    </row>
    <row r="53" spans="1:7" x14ac:dyDescent="0.2">
      <c r="A53" s="85" t="s">
        <v>4451</v>
      </c>
      <c r="B53" s="683" t="s">
        <v>5454</v>
      </c>
      <c r="C53" s="214">
        <f>SUM(E53:G53)</f>
        <v>0</v>
      </c>
      <c r="D53" s="6"/>
      <c r="E53" s="216">
        <f>INDEX('IN_Detr 4.5 del_397'!$A$3:$AAA$1192,MATCH($A53,'IN_Detr 4.5 del_397'!$A$3:$A$1192,0),MATCH(E$3,'IN_Detr 4.5 del_397'!$A$3:$AAA$3,0))</f>
        <v>0</v>
      </c>
      <c r="F53" s="216">
        <f>INDEX('IN_Detr 4.5 del_397'!$A$3:$AAA$1192,MATCH($A53,'IN_Detr 4.5 del_397'!$A$3:$A$1192,0),MATCH(F$3,'IN_Detr 4.5 del_397'!$A$3:$AAA$3,0))</f>
        <v>0</v>
      </c>
      <c r="G53" s="216">
        <f>INDEX('IN_Detr 4.5 del_397'!$A$3:$AAA$1192,MATCH($A53,'IN_Detr 4.5 del_397'!$A$3:$A$1192,0),MATCH(G$3,'IN_Detr 4.5 del_397'!$A$3:$AAA$3,0))</f>
        <v>0</v>
      </c>
    </row>
    <row r="54" spans="1:7" ht="19.5" customHeight="1" x14ac:dyDescent="0.2">
      <c r="A54" s="85" t="s">
        <v>5579</v>
      </c>
      <c r="B54" s="681" t="s">
        <v>5455</v>
      </c>
      <c r="C54" s="131">
        <f>SUM(E54:G54)</f>
        <v>0</v>
      </c>
      <c r="D54" s="130"/>
      <c r="E54" s="132">
        <f>E52+E53</f>
        <v>0</v>
      </c>
      <c r="F54" s="132">
        <f>F52+F53</f>
        <v>0</v>
      </c>
      <c r="G54" s="132">
        <f>G52+G53</f>
        <v>0</v>
      </c>
    </row>
    <row r="56" spans="1:7" ht="11.4" x14ac:dyDescent="0.2">
      <c r="A56" s="31" t="s">
        <v>5580</v>
      </c>
      <c r="B56" s="680" t="s">
        <v>5603</v>
      </c>
      <c r="C56" s="11">
        <f t="shared" ref="C56:C66" si="5">SUM(E56:G56)</f>
        <v>9756303.5952096004</v>
      </c>
      <c r="D56" s="6"/>
      <c r="E56" s="12">
        <f>SUM(E57:E66)-E70+E71+E73</f>
        <v>7914598.1306920005</v>
      </c>
      <c r="F56" s="12">
        <f>SUM(F57:F66)-F70+F71+F73</f>
        <v>1121291.8505976</v>
      </c>
      <c r="G56" s="12">
        <f>SUM(G57:G66)-G70+G71+G73</f>
        <v>720413.61392000003</v>
      </c>
    </row>
    <row r="57" spans="1:7" outlineLevel="1" x14ac:dyDescent="0.2">
      <c r="A57" s="7" t="s">
        <v>4259</v>
      </c>
      <c r="B57" s="14" t="s">
        <v>1</v>
      </c>
      <c r="C57" s="15">
        <f t="shared" si="5"/>
        <v>1384937.1267688002</v>
      </c>
      <c r="D57" s="6"/>
      <c r="E57" s="16">
        <f>INDEX('IN_Detr 4.5 del_397'!$A$3:$AAA$1192,MATCH($A57,'IN_Detr 4.5 del_397'!$A$3:$A$1192,0),MATCH(E$3,'IN_Detr 4.5 del_397'!$A$3:$AAA$3,0))</f>
        <v>1157506.4023600002</v>
      </c>
      <c r="F57" s="16">
        <f>INDEX('IN_Detr 4.5 del_397'!$A$3:$AAA$1192,MATCH($A57,'IN_Detr 4.5 del_397'!$A$3:$A$1192,0),MATCH(F$3,'IN_Detr 4.5 del_397'!$A$3:$AAA$3,0))</f>
        <v>121561.60940880001</v>
      </c>
      <c r="G57" s="16">
        <f>INDEX('IN_Detr 4.5 del_397'!$A$3:$AAA$1192,MATCH($A57,'IN_Detr 4.5 del_397'!$A$3:$A$1192,0),MATCH(G$3,'IN_Detr 4.5 del_397'!$A$3:$AAA$3,0))</f>
        <v>105869.11500000001</v>
      </c>
    </row>
    <row r="58" spans="1:7" outlineLevel="1" x14ac:dyDescent="0.2">
      <c r="A58" s="7" t="s">
        <v>4265</v>
      </c>
      <c r="B58" s="14" t="s">
        <v>3</v>
      </c>
      <c r="C58" s="15">
        <f t="shared" si="5"/>
        <v>190983.63427439998</v>
      </c>
      <c r="D58" s="6"/>
      <c r="E58" s="16">
        <f>INDEX('IN_Detr 4.5 del_397'!$A$3:$AAA$1192,MATCH($A58,'IN_Detr 4.5 del_397'!$A$3:$A$1192,0),MATCH(E$3,'IN_Detr 4.5 del_397'!$A$3:$AAA$3,0))</f>
        <v>0</v>
      </c>
      <c r="F58" s="16">
        <f>INDEX('IN_Detr 4.5 del_397'!$A$3:$AAA$1192,MATCH($A58,'IN_Detr 4.5 del_397'!$A$3:$A$1192,0),MATCH(F$3,'IN_Detr 4.5 del_397'!$A$3:$AAA$3,0))</f>
        <v>189.21991440000002</v>
      </c>
      <c r="G58" s="16">
        <f>INDEX('IN_Detr 4.5 del_397'!$A$3:$AAA$1192,MATCH($A58,'IN_Detr 4.5 del_397'!$A$3:$A$1192,0),MATCH(G$3,'IN_Detr 4.5 del_397'!$A$3:$AAA$3,0))</f>
        <v>190794.41436</v>
      </c>
    </row>
    <row r="59" spans="1:7" outlineLevel="1" x14ac:dyDescent="0.2">
      <c r="A59" s="7" t="s">
        <v>4271</v>
      </c>
      <c r="B59" s="14" t="s">
        <v>4</v>
      </c>
      <c r="C59" s="15">
        <f t="shared" si="5"/>
        <v>3248497.9972983999</v>
      </c>
      <c r="D59" s="6"/>
      <c r="E59" s="16">
        <f>INDEX('IN_Detr 4.5 del_397'!$A$3:$AAA$1192,MATCH($A59,'IN_Detr 4.5 del_397'!$A$3:$A$1192,0),MATCH(E$3,'IN_Detr 4.5 del_397'!$A$3:$AAA$3,0))</f>
        <v>2683893.7774</v>
      </c>
      <c r="F59" s="16">
        <f>INDEX('IN_Detr 4.5 del_397'!$A$3:$AAA$1192,MATCH($A59,'IN_Detr 4.5 del_397'!$A$3:$A$1192,0),MATCH(F$3,'IN_Detr 4.5 del_397'!$A$3:$AAA$3,0))</f>
        <v>564604.21989840001</v>
      </c>
      <c r="G59" s="16">
        <f>INDEX('IN_Detr 4.5 del_397'!$A$3:$AAA$1192,MATCH($A59,'IN_Detr 4.5 del_397'!$A$3:$A$1192,0),MATCH(G$3,'IN_Detr 4.5 del_397'!$A$3:$AAA$3,0))</f>
        <v>0</v>
      </c>
    </row>
    <row r="60" spans="1:7" outlineLevel="1" x14ac:dyDescent="0.2">
      <c r="A60" s="7" t="s">
        <v>4277</v>
      </c>
      <c r="B60" s="14" t="s">
        <v>5</v>
      </c>
      <c r="C60" s="15">
        <f t="shared" si="5"/>
        <v>5947156.6116160005</v>
      </c>
      <c r="D60" s="6"/>
      <c r="E60" s="16">
        <f>INDEX('IN_Detr 4.5 del_397'!$A$3:$AAA$1192,MATCH($A60,'IN_Detr 4.5 del_397'!$A$3:$A$1192,0),MATCH(E$3,'IN_Detr 4.5 del_397'!$A$3:$AAA$3,0))</f>
        <v>5088469.7256800001</v>
      </c>
      <c r="F60" s="16">
        <f>INDEX('IN_Detr 4.5 del_397'!$A$3:$AAA$1192,MATCH($A60,'IN_Detr 4.5 del_397'!$A$3:$A$1192,0),MATCH(F$3,'IN_Detr 4.5 del_397'!$A$3:$AAA$3,0))</f>
        <v>434936.80137600005</v>
      </c>
      <c r="G60" s="16">
        <f>INDEX('IN_Detr 4.5 del_397'!$A$3:$AAA$1192,MATCH($A60,'IN_Detr 4.5 del_397'!$A$3:$A$1192,0),MATCH(G$3,'IN_Detr 4.5 del_397'!$A$3:$AAA$3,0))</f>
        <v>423750.08456000005</v>
      </c>
    </row>
    <row r="61" spans="1:7" ht="11.4" outlineLevel="1" x14ac:dyDescent="0.2">
      <c r="A61" s="85" t="s">
        <v>5581</v>
      </c>
      <c r="B61" s="14" t="s">
        <v>5438</v>
      </c>
      <c r="C61" s="17">
        <f t="shared" si="5"/>
        <v>0</v>
      </c>
      <c r="D61" s="6"/>
      <c r="E61" s="16">
        <f>E10</f>
        <v>0</v>
      </c>
      <c r="F61" s="16">
        <f>F10</f>
        <v>0</v>
      </c>
      <c r="G61" s="16">
        <f>G10</f>
        <v>0</v>
      </c>
    </row>
    <row r="62" spans="1:7" ht="11.4" outlineLevel="1" x14ac:dyDescent="0.2">
      <c r="A62" s="85" t="s">
        <v>5582</v>
      </c>
      <c r="B62" s="14" t="s">
        <v>5439</v>
      </c>
      <c r="C62" s="17">
        <f t="shared" si="5"/>
        <v>0</v>
      </c>
      <c r="D62" s="6"/>
      <c r="E62" s="18">
        <f t="shared" ref="E62:E66" si="6">E11</f>
        <v>0</v>
      </c>
      <c r="F62" s="18">
        <f t="shared" ref="F62:G62" si="7">F11</f>
        <v>0</v>
      </c>
      <c r="G62" s="18">
        <f t="shared" si="7"/>
        <v>0</v>
      </c>
    </row>
    <row r="63" spans="1:7" ht="11.4" outlineLevel="1" x14ac:dyDescent="0.2">
      <c r="A63" s="85" t="s">
        <v>5583</v>
      </c>
      <c r="B63" s="14" t="s">
        <v>5440</v>
      </c>
      <c r="C63" s="17">
        <f t="shared" si="5"/>
        <v>0</v>
      </c>
      <c r="D63" s="6"/>
      <c r="E63" s="18">
        <f t="shared" si="6"/>
        <v>0</v>
      </c>
      <c r="F63" s="18">
        <f t="shared" ref="F63:G63" si="8">F12</f>
        <v>0</v>
      </c>
      <c r="G63" s="18">
        <f t="shared" si="8"/>
        <v>0</v>
      </c>
    </row>
    <row r="64" spans="1:7" ht="11.4" outlineLevel="1" x14ac:dyDescent="0.2">
      <c r="A64" s="85" t="s">
        <v>5584</v>
      </c>
      <c r="B64" s="14" t="s">
        <v>5441</v>
      </c>
      <c r="C64" s="17">
        <f t="shared" si="5"/>
        <v>0</v>
      </c>
      <c r="D64" s="6"/>
      <c r="E64" s="18">
        <f t="shared" si="6"/>
        <v>0</v>
      </c>
      <c r="F64" s="18">
        <f t="shared" ref="F64:G64" si="9">F13</f>
        <v>0</v>
      </c>
      <c r="G64" s="18">
        <f t="shared" si="9"/>
        <v>0</v>
      </c>
    </row>
    <row r="65" spans="1:7" ht="11.4" outlineLevel="1" x14ac:dyDescent="0.2">
      <c r="A65" s="85" t="s">
        <v>5585</v>
      </c>
      <c r="B65" s="14" t="s">
        <v>5442</v>
      </c>
      <c r="C65" s="17">
        <f t="shared" si="5"/>
        <v>0</v>
      </c>
      <c r="D65" s="6"/>
      <c r="E65" s="18">
        <f t="shared" si="6"/>
        <v>0</v>
      </c>
      <c r="F65" s="18">
        <f t="shared" ref="F65:G65" si="10">F14</f>
        <v>0</v>
      </c>
      <c r="G65" s="18">
        <f t="shared" si="10"/>
        <v>0</v>
      </c>
    </row>
    <row r="66" spans="1:7" ht="11.4" outlineLevel="1" x14ac:dyDescent="0.2">
      <c r="A66" s="85" t="s">
        <v>5586</v>
      </c>
      <c r="B66" s="14" t="s">
        <v>5443</v>
      </c>
      <c r="C66" s="17">
        <f t="shared" si="5"/>
        <v>0</v>
      </c>
      <c r="D66" s="6"/>
      <c r="E66" s="18">
        <f t="shared" si="6"/>
        <v>0</v>
      </c>
      <c r="F66" s="18">
        <f t="shared" ref="F66:G66" si="11">F15</f>
        <v>0</v>
      </c>
      <c r="G66" s="18">
        <f t="shared" si="11"/>
        <v>0</v>
      </c>
    </row>
    <row r="67" spans="1:7" outlineLevel="1" x14ac:dyDescent="0.2">
      <c r="A67" s="85" t="s">
        <v>1289</v>
      </c>
      <c r="B67" s="736" t="s">
        <v>7</v>
      </c>
      <c r="C67" s="737"/>
      <c r="D67" s="19"/>
      <c r="E67" s="740">
        <f t="shared" ref="E67:E69" si="12">E16</f>
        <v>0.7</v>
      </c>
      <c r="F67" s="740">
        <f t="shared" ref="F67:G67" si="13">F16</f>
        <v>0</v>
      </c>
      <c r="G67" s="740">
        <f t="shared" si="13"/>
        <v>0</v>
      </c>
    </row>
    <row r="68" spans="1:7" outlineLevel="1" x14ac:dyDescent="0.2">
      <c r="A68" s="7" t="s">
        <v>5587</v>
      </c>
      <c r="B68" s="26" t="s">
        <v>6</v>
      </c>
      <c r="C68" s="27">
        <f t="shared" ref="C68:C73" si="14">SUM(E68:G68)</f>
        <v>882043.96798319998</v>
      </c>
      <c r="D68" s="6"/>
      <c r="E68" s="28">
        <f t="shared" si="12"/>
        <v>770996.38968000002</v>
      </c>
      <c r="F68" s="28">
        <f t="shared" ref="F68:G68" si="15">F17</f>
        <v>62985.664183200002</v>
      </c>
      <c r="G68" s="28">
        <f t="shared" si="15"/>
        <v>48061.914120000001</v>
      </c>
    </row>
    <row r="69" spans="1:7" ht="11.4" outlineLevel="1" x14ac:dyDescent="0.2">
      <c r="A69" s="7" t="s">
        <v>5588</v>
      </c>
      <c r="B69" s="26" t="s">
        <v>101</v>
      </c>
      <c r="C69" s="27">
        <f t="shared" si="14"/>
        <v>802657.26690159983</v>
      </c>
      <c r="D69" s="6"/>
      <c r="E69" s="28">
        <f t="shared" si="12"/>
        <v>679391.85995999991</v>
      </c>
      <c r="F69" s="28">
        <f t="shared" ref="F69:G69" si="16">F18</f>
        <v>81889.756581599999</v>
      </c>
      <c r="G69" s="28">
        <f t="shared" si="16"/>
        <v>41375.65036</v>
      </c>
    </row>
    <row r="70" spans="1:7" ht="11.4" outlineLevel="1" x14ac:dyDescent="0.2">
      <c r="A70" s="7" t="s">
        <v>5910</v>
      </c>
      <c r="B70" s="738" t="s">
        <v>5437</v>
      </c>
      <c r="C70" s="739">
        <f t="shared" si="14"/>
        <v>1015271.774748</v>
      </c>
      <c r="D70" s="6"/>
      <c r="E70" s="741">
        <f>E67*(E68+E69)</f>
        <v>1015271.774748</v>
      </c>
      <c r="F70" s="741">
        <f>F67*(F68+F69)</f>
        <v>0</v>
      </c>
      <c r="G70" s="741">
        <f>G67*(G68+G69)</f>
        <v>0</v>
      </c>
    </row>
    <row r="71" spans="1:7" ht="11.4" outlineLevel="1" x14ac:dyDescent="0.2">
      <c r="A71" s="85" t="s">
        <v>4302</v>
      </c>
      <c r="B71" s="703" t="s">
        <v>102</v>
      </c>
      <c r="C71" s="704">
        <f t="shared" si="14"/>
        <v>0</v>
      </c>
      <c r="D71" s="6"/>
      <c r="E71" s="706">
        <f>INDEX('IN_Detr 4.5 del_397'!$A$3:$AAA$1192,MATCH($A71,'IN_Detr 4.5 del_397'!$A$3:$A$1192,0),MATCH(E$3,'IN_Detr 4.5 del_397'!$A$3:$AAA$3,0))</f>
        <v>0</v>
      </c>
      <c r="F71" s="706">
        <f>INDEX('IN_Detr 4.5 del_397'!$A$3:$AAA$1192,MATCH($A71,'IN_Detr 4.5 del_397'!$A$3:$A$1192,0),MATCH(F$3,'IN_Detr 4.5 del_397'!$A$3:$AAA$3,0))</f>
        <v>0</v>
      </c>
      <c r="G71" s="706">
        <f>INDEX('IN_Detr 4.5 del_397'!$A$3:$AAA$1192,MATCH($A71,'IN_Detr 4.5 del_397'!$A$3:$A$1192,0),MATCH(G$3,'IN_Detr 4.5 del_397'!$A$3:$AAA$3,0))</f>
        <v>0</v>
      </c>
    </row>
    <row r="72" spans="1:7" ht="11.4" outlineLevel="1" x14ac:dyDescent="0.2">
      <c r="A72" s="7" t="s">
        <v>6943</v>
      </c>
      <c r="B72" s="705" t="s">
        <v>5444</v>
      </c>
      <c r="C72" s="987">
        <f t="shared" si="14"/>
        <v>0</v>
      </c>
      <c r="D72" s="988"/>
      <c r="E72" s="989">
        <f>INDEX('IN_Detr 4.5 del_397'!$A$3:$AAA$1192,MATCH($A72,'IN_Detr 4.5 del_397'!$A$3:$A$1192,0),MATCH(E$3,'IN_Detr 4.5 del_397'!$A$3:$AAA$3,0))</f>
        <v>0</v>
      </c>
      <c r="F72" s="989">
        <f>INDEX('IN_Detr 4.5 del_397'!$A$3:$AAA$1192,MATCH($A72,'IN_Detr 4.5 del_397'!$A$3:$A$1192,0),MATCH(F$3,'IN_Detr 4.5 del_397'!$A$3:$AAA$3,0))</f>
        <v>0</v>
      </c>
      <c r="G72" s="989">
        <f>INDEX('IN_Detr 4.5 del_397'!$A$3:$AAA$1192,MATCH($A72,'IN_Detr 4.5 del_397'!$A$3:$A$1192,0),MATCH(G$3,'IN_Detr 4.5 del_397'!$A$3:$AAA$3,0))</f>
        <v>0</v>
      </c>
    </row>
    <row r="73" spans="1:7" outlineLevel="1" x14ac:dyDescent="0.2">
      <c r="A73" s="85" t="s">
        <v>5589</v>
      </c>
      <c r="B73" s="21" t="s">
        <v>109</v>
      </c>
      <c r="C73" s="22">
        <f t="shared" si="14"/>
        <v>0</v>
      </c>
      <c r="D73" s="6"/>
      <c r="E73" s="23"/>
      <c r="F73" s="23"/>
      <c r="G73" s="23"/>
    </row>
    <row r="74" spans="1:7" outlineLevel="1" x14ac:dyDescent="0.2">
      <c r="B74" s="24"/>
      <c r="C74" s="25"/>
      <c r="D74" s="6"/>
      <c r="E74" s="5"/>
      <c r="F74" s="5"/>
      <c r="G74" s="5"/>
    </row>
    <row r="75" spans="1:7" s="359" customFormat="1" ht="20.399999999999999" outlineLevel="1" x14ac:dyDescent="0.2">
      <c r="A75" s="356"/>
      <c r="B75" s="360"/>
      <c r="C75" s="358" t="str">
        <f>C3</f>
        <v>TOTALE</v>
      </c>
      <c r="D75" s="357"/>
      <c r="E75" s="358" t="str">
        <f t="shared" ref="E75" si="17">E3</f>
        <v>BUSTO ARSIZIO</v>
      </c>
      <c r="F75" s="358" t="str">
        <f t="shared" ref="F75:G75" si="18">F3</f>
        <v>FAGNANO OLONA</v>
      </c>
      <c r="G75" s="358" t="str">
        <f t="shared" si="18"/>
        <v>VENEGONO SUPERIORE</v>
      </c>
    </row>
    <row r="76" spans="1:7" ht="11.4" outlineLevel="1" x14ac:dyDescent="0.2">
      <c r="A76" s="31" t="s">
        <v>5590</v>
      </c>
      <c r="B76" s="680" t="s">
        <v>5604</v>
      </c>
      <c r="C76" s="11">
        <f t="shared" ref="C76:C100" si="19">SUM(E76:G76)</f>
        <v>6476663.2082239753</v>
      </c>
      <c r="D76" s="6"/>
      <c r="E76" s="12">
        <f>E77+E82+E92+SUM(E93:E98)+E100</f>
        <v>6243898.0065433783</v>
      </c>
      <c r="F76" s="12">
        <f>F77+F82+F92+SUM(F93:F98)+F100</f>
        <v>112836.17794796609</v>
      </c>
      <c r="G76" s="12">
        <f>G77+G82+G92+SUM(G93:G98)+G100</f>
        <v>119929.02373263093</v>
      </c>
    </row>
    <row r="77" spans="1:7" outlineLevel="1" x14ac:dyDescent="0.2">
      <c r="A77" s="7" t="s">
        <v>4330</v>
      </c>
      <c r="B77" s="14" t="s">
        <v>11</v>
      </c>
      <c r="C77" s="15">
        <f t="shared" si="19"/>
        <v>2433783.1588399997</v>
      </c>
      <c r="D77" s="6"/>
      <c r="E77" s="16">
        <f>INDEX('IN_Detr 4.5 del_397'!$A$3:$AAA$1192,MATCH($A77,'IN_Detr 4.5 del_397'!$A$3:$A$1192,0),MATCH(E$3,'IN_Detr 4.5 del_397'!$A$3:$AAA$3,0))</f>
        <v>2380990.7114399998</v>
      </c>
      <c r="F77" s="16">
        <f>INDEX('IN_Detr 4.5 del_397'!$A$3:$AAA$1192,MATCH($A77,'IN_Detr 4.5 del_397'!$A$3:$A$1192,0),MATCH(F$3,'IN_Detr 4.5 del_397'!$A$3:$AAA$3,0))</f>
        <v>0</v>
      </c>
      <c r="G77" s="16">
        <f>INDEX('IN_Detr 4.5 del_397'!$A$3:$AAA$1192,MATCH($A77,'IN_Detr 4.5 del_397'!$A$3:$A$1192,0),MATCH(G$3,'IN_Detr 4.5 del_397'!$A$3:$AAA$3,0))</f>
        <v>52792.447399999997</v>
      </c>
    </row>
    <row r="78" spans="1:7" outlineLevel="1" x14ac:dyDescent="0.2">
      <c r="A78" s="7" t="s">
        <v>4336</v>
      </c>
      <c r="B78" s="26" t="s">
        <v>13</v>
      </c>
      <c r="C78" s="27">
        <f t="shared" si="19"/>
        <v>654540.42896000005</v>
      </c>
      <c r="D78" s="6"/>
      <c r="E78" s="28">
        <f>INDEX('IN_Detr 4.5 del_397'!$A$3:$AAA$1192,MATCH($A78,'IN_Detr 4.5 del_397'!$A$3:$A$1192,0),MATCH(E$3,'IN_Detr 4.5 del_397'!$A$3:$AAA$3,0))</f>
        <v>654540.42896000005</v>
      </c>
      <c r="F78" s="28">
        <f>INDEX('IN_Detr 4.5 del_397'!$A$3:$AAA$1192,MATCH($A78,'IN_Detr 4.5 del_397'!$A$3:$A$1192,0),MATCH(F$3,'IN_Detr 4.5 del_397'!$A$3:$AAA$3,0))</f>
        <v>0</v>
      </c>
      <c r="G78" s="28">
        <f>INDEX('IN_Detr 4.5 del_397'!$A$3:$AAA$1192,MATCH($A78,'IN_Detr 4.5 del_397'!$A$3:$A$1192,0),MATCH(G$3,'IN_Detr 4.5 del_397'!$A$3:$AAA$3,0))</f>
        <v>0</v>
      </c>
    </row>
    <row r="79" spans="1:7" outlineLevel="1" x14ac:dyDescent="0.2">
      <c r="A79" s="7" t="s">
        <v>4342</v>
      </c>
      <c r="B79" s="26" t="s">
        <v>14</v>
      </c>
      <c r="C79" s="27">
        <f t="shared" si="19"/>
        <v>1851949.6199159999</v>
      </c>
      <c r="D79" s="6"/>
      <c r="E79" s="28">
        <f>INDEX('IN_Detr 4.5 del_397'!$A$3:$AAA$1192,MATCH($A79,'IN_Detr 4.5 del_397'!$A$3:$A$1192,0),MATCH(E$3,'IN_Detr 4.5 del_397'!$A$3:$AAA$3,0))</f>
        <v>1750717.3543199999</v>
      </c>
      <c r="F79" s="28">
        <f>INDEX('IN_Detr 4.5 del_397'!$A$3:$AAA$1192,MATCH($A79,'IN_Detr 4.5 del_397'!$A$3:$A$1192,0),MATCH(F$3,'IN_Detr 4.5 del_397'!$A$3:$AAA$3,0))</f>
        <v>52656.265596000005</v>
      </c>
      <c r="G79" s="28">
        <f>INDEX('IN_Detr 4.5 del_397'!$A$3:$AAA$1192,MATCH($A79,'IN_Detr 4.5 del_397'!$A$3:$A$1192,0),MATCH(G$3,'IN_Detr 4.5 del_397'!$A$3:$AAA$3,0))</f>
        <v>48576</v>
      </c>
    </row>
    <row r="80" spans="1:7" outlineLevel="1" x14ac:dyDescent="0.2">
      <c r="A80" s="7" t="s">
        <v>4348</v>
      </c>
      <c r="B80" s="26" t="s">
        <v>15</v>
      </c>
      <c r="C80" s="27">
        <f t="shared" si="19"/>
        <v>0</v>
      </c>
      <c r="D80" s="6"/>
      <c r="E80" s="28">
        <f>INDEX('IN_Detr 4.5 del_397'!$A$3:$AAA$1192,MATCH($A80,'IN_Detr 4.5 del_397'!$A$3:$A$1192,0),MATCH(E$3,'IN_Detr 4.5 del_397'!$A$3:$AAA$3,0))</f>
        <v>0</v>
      </c>
      <c r="F80" s="28">
        <f>INDEX('IN_Detr 4.5 del_397'!$A$3:$AAA$1192,MATCH($A80,'IN_Detr 4.5 del_397'!$A$3:$A$1192,0),MATCH(F$3,'IN_Detr 4.5 del_397'!$A$3:$AAA$3,0))</f>
        <v>0</v>
      </c>
      <c r="G80" s="28">
        <f>INDEX('IN_Detr 4.5 del_397'!$A$3:$AAA$1192,MATCH($A80,'IN_Detr 4.5 del_397'!$A$3:$A$1192,0),MATCH(G$3,'IN_Detr 4.5 del_397'!$A$3:$AAA$3,0))</f>
        <v>0</v>
      </c>
    </row>
    <row r="81" spans="1:7" ht="11.4" outlineLevel="1" x14ac:dyDescent="0.2">
      <c r="A81" s="7" t="s">
        <v>4354</v>
      </c>
      <c r="B81" s="52" t="s">
        <v>16</v>
      </c>
      <c r="C81" s="53">
        <f t="shared" si="19"/>
        <v>0</v>
      </c>
      <c r="D81" s="6"/>
      <c r="E81" s="54">
        <f>INDEX('IN_Detr 4.5 del_397'!$A$3:$AAA$1192,MATCH($A81,'IN_Detr 4.5 del_397'!$A$3:$A$1192,0),MATCH(E$3,'IN_Detr 4.5 del_397'!$A$3:$AAA$3,0))</f>
        <v>0</v>
      </c>
      <c r="F81" s="54">
        <f>INDEX('IN_Detr 4.5 del_397'!$A$3:$AAA$1192,MATCH($A81,'IN_Detr 4.5 del_397'!$A$3:$A$1192,0),MATCH(F$3,'IN_Detr 4.5 del_397'!$A$3:$AAA$3,0))</f>
        <v>0</v>
      </c>
      <c r="G81" s="54">
        <f>INDEX('IN_Detr 4.5 del_397'!$A$3:$AAA$1192,MATCH($A81,'IN_Detr 4.5 del_397'!$A$3:$A$1192,0),MATCH(G$3,'IN_Detr 4.5 del_397'!$A$3:$AAA$3,0))</f>
        <v>0</v>
      </c>
    </row>
    <row r="82" spans="1:7" outlineLevel="1" x14ac:dyDescent="0.2">
      <c r="A82" s="7" t="s">
        <v>5591</v>
      </c>
      <c r="B82" s="684" t="s">
        <v>12</v>
      </c>
      <c r="C82" s="685">
        <f t="shared" si="19"/>
        <v>2506490.0488760001</v>
      </c>
      <c r="D82" s="6"/>
      <c r="E82" s="686">
        <f>SUM(E78:E81)</f>
        <v>2405257.7832800001</v>
      </c>
      <c r="F82" s="686">
        <f>SUM(F78:F81)</f>
        <v>52656.265596000005</v>
      </c>
      <c r="G82" s="686">
        <f>SUM(G78:G81)</f>
        <v>48576</v>
      </c>
    </row>
    <row r="83" spans="1:7" outlineLevel="1" x14ac:dyDescent="0.2">
      <c r="A83" s="85" t="s">
        <v>4360</v>
      </c>
      <c r="B83" s="26" t="s">
        <v>18</v>
      </c>
      <c r="C83" s="27">
        <f t="shared" si="19"/>
        <v>544021.66856343171</v>
      </c>
      <c r="D83" s="6"/>
      <c r="E83" s="28">
        <f>INDEX('IN_Detr 4.5 del_397'!$A$3:$AAA$1192,MATCH($A83,'IN_Detr 4.5 del_397'!$A$3:$A$1192,0),MATCH(E$3,'IN_Detr 4.5 del_397'!$A$3:$AAA$3,0))</f>
        <v>510556.06046451128</v>
      </c>
      <c r="F83" s="28">
        <f>INDEX('IN_Detr 4.5 del_397'!$A$3:$AAA$1192,MATCH($A83,'IN_Detr 4.5 del_397'!$A$3:$A$1192,0),MATCH(F$3,'IN_Detr 4.5 del_397'!$A$3:$AAA$3,0))</f>
        <v>33465.608098920478</v>
      </c>
      <c r="G83" s="28">
        <f>INDEX('IN_Detr 4.5 del_397'!$A$3:$AAA$1192,MATCH($A83,'IN_Detr 4.5 del_397'!$A$3:$A$1192,0),MATCH(G$3,'IN_Detr 4.5 del_397'!$A$3:$AAA$3,0))</f>
        <v>0</v>
      </c>
    </row>
    <row r="84" spans="1:7" outlineLevel="1" x14ac:dyDescent="0.2">
      <c r="A84" s="7" t="s">
        <v>4378</v>
      </c>
      <c r="B84" s="687" t="s">
        <v>19</v>
      </c>
      <c r="C84" s="688">
        <f t="shared" si="19"/>
        <v>455055</v>
      </c>
      <c r="D84" s="6"/>
      <c r="E84" s="689">
        <f>SUM(E85:E88)</f>
        <v>455055</v>
      </c>
      <c r="F84" s="689">
        <f>SUM(F85:F88)</f>
        <v>0</v>
      </c>
      <c r="G84" s="689">
        <f>SUM(G85:G88)</f>
        <v>0</v>
      </c>
    </row>
    <row r="85" spans="1:7" outlineLevel="1" x14ac:dyDescent="0.2">
      <c r="A85" s="85" t="s">
        <v>4366</v>
      </c>
      <c r="B85" s="690" t="s">
        <v>20</v>
      </c>
      <c r="C85" s="691">
        <f t="shared" si="19"/>
        <v>0</v>
      </c>
      <c r="D85" s="6"/>
      <c r="E85" s="696">
        <f>INDEX('IN_Detr 4.5 del_397'!$A$3:$AAA$1192,MATCH($A85,'IN_Detr 4.5 del_397'!$A$3:$A$1192,0),MATCH(E$3,'IN_Detr 4.5 del_397'!$A$3:$AAA$3,0))</f>
        <v>0</v>
      </c>
      <c r="F85" s="696">
        <f>INDEX('IN_Detr 4.5 del_397'!$A$3:$AAA$1192,MATCH($A85,'IN_Detr 4.5 del_397'!$A$3:$A$1192,0),MATCH(F$3,'IN_Detr 4.5 del_397'!$A$3:$AAA$3,0))</f>
        <v>0</v>
      </c>
      <c r="G85" s="696">
        <f>INDEX('IN_Detr 4.5 del_397'!$A$3:$AAA$1192,MATCH($A85,'IN_Detr 4.5 del_397'!$A$3:$A$1192,0),MATCH(G$3,'IN_Detr 4.5 del_397'!$A$3:$AAA$3,0))</f>
        <v>0</v>
      </c>
    </row>
    <row r="86" spans="1:7" outlineLevel="1" x14ac:dyDescent="0.2">
      <c r="A86" s="85" t="s">
        <v>4369</v>
      </c>
      <c r="B86" s="692" t="s">
        <v>21</v>
      </c>
      <c r="C86" s="693">
        <f t="shared" si="19"/>
        <v>455055</v>
      </c>
      <c r="D86" s="6"/>
      <c r="E86" s="697">
        <f>INDEX('IN_Detr 4.5 del_397'!$A$3:$AAA$1192,MATCH($A86,'IN_Detr 4.5 del_397'!$A$3:$A$1192,0),MATCH(E$3,'IN_Detr 4.5 del_397'!$A$3:$AAA$3,0))</f>
        <v>455055</v>
      </c>
      <c r="F86" s="697">
        <f>INDEX('IN_Detr 4.5 del_397'!$A$3:$AAA$1192,MATCH($A86,'IN_Detr 4.5 del_397'!$A$3:$A$1192,0),MATCH(F$3,'IN_Detr 4.5 del_397'!$A$3:$AAA$3,0))</f>
        <v>0</v>
      </c>
      <c r="G86" s="697">
        <f>INDEX('IN_Detr 4.5 del_397'!$A$3:$AAA$1192,MATCH($A86,'IN_Detr 4.5 del_397'!$A$3:$A$1192,0),MATCH(G$3,'IN_Detr 4.5 del_397'!$A$3:$AAA$3,0))</f>
        <v>0</v>
      </c>
    </row>
    <row r="87" spans="1:7" outlineLevel="1" x14ac:dyDescent="0.2">
      <c r="A87" s="85" t="s">
        <v>4372</v>
      </c>
      <c r="B87" s="692" t="s">
        <v>22</v>
      </c>
      <c r="C87" s="693">
        <f t="shared" si="19"/>
        <v>0</v>
      </c>
      <c r="D87" s="6"/>
      <c r="E87" s="697">
        <f>INDEX('IN_Detr 4.5 del_397'!$A$3:$AAA$1192,MATCH($A87,'IN_Detr 4.5 del_397'!$A$3:$A$1192,0),MATCH(E$3,'IN_Detr 4.5 del_397'!$A$3:$AAA$3,0))</f>
        <v>0</v>
      </c>
      <c r="F87" s="697">
        <f>INDEX('IN_Detr 4.5 del_397'!$A$3:$AAA$1192,MATCH($A87,'IN_Detr 4.5 del_397'!$A$3:$A$1192,0),MATCH(F$3,'IN_Detr 4.5 del_397'!$A$3:$AAA$3,0))</f>
        <v>0</v>
      </c>
      <c r="G87" s="697">
        <f>INDEX('IN_Detr 4.5 del_397'!$A$3:$AAA$1192,MATCH($A87,'IN_Detr 4.5 del_397'!$A$3:$A$1192,0),MATCH(G$3,'IN_Detr 4.5 del_397'!$A$3:$AAA$3,0))</f>
        <v>0</v>
      </c>
    </row>
    <row r="88" spans="1:7" outlineLevel="1" x14ac:dyDescent="0.2">
      <c r="A88" s="85" t="s">
        <v>4375</v>
      </c>
      <c r="B88" s="694" t="s">
        <v>23</v>
      </c>
      <c r="C88" s="695">
        <f t="shared" si="19"/>
        <v>0</v>
      </c>
      <c r="D88" s="6"/>
      <c r="E88" s="698">
        <f>INDEX('IN_Detr 4.5 del_397'!$A$3:$AAA$1192,MATCH($A88,'IN_Detr 4.5 del_397'!$A$3:$A$1192,0),MATCH(E$3,'IN_Detr 4.5 del_397'!$A$3:$AAA$3,0))</f>
        <v>0</v>
      </c>
      <c r="F88" s="698">
        <f>INDEX('IN_Detr 4.5 del_397'!$A$3:$AAA$1192,MATCH($A88,'IN_Detr 4.5 del_397'!$A$3:$A$1192,0),MATCH(F$3,'IN_Detr 4.5 del_397'!$A$3:$AAA$3,0))</f>
        <v>0</v>
      </c>
      <c r="G88" s="698">
        <f>INDEX('IN_Detr 4.5 del_397'!$A$3:$AAA$1192,MATCH($A88,'IN_Detr 4.5 del_397'!$A$3:$A$1192,0),MATCH(G$3,'IN_Detr 4.5 del_397'!$A$3:$AAA$3,0))</f>
        <v>0</v>
      </c>
    </row>
    <row r="89" spans="1:7" outlineLevel="1" x14ac:dyDescent="0.2">
      <c r="A89" s="85" t="s">
        <v>4396</v>
      </c>
      <c r="B89" s="26" t="s">
        <v>24</v>
      </c>
      <c r="C89" s="27">
        <f t="shared" si="19"/>
        <v>537313.33194454387</v>
      </c>
      <c r="D89" s="6"/>
      <c r="E89" s="28">
        <f>INDEX('IN_Detr 4.5 del_397'!$A$3:$AAA$1192,MATCH($A89,'IN_Detr 4.5 del_397'!$A$3:$A$1192,0),MATCH(E$3,'IN_Detr 4.5 del_397'!$A$3:$AAA$3,0))</f>
        <v>492038.4513588674</v>
      </c>
      <c r="F89" s="28">
        <f>INDEX('IN_Detr 4.5 del_397'!$A$3:$AAA$1192,MATCH($A89,'IN_Detr 4.5 del_397'!$A$3:$A$1192,0),MATCH(F$3,'IN_Detr 4.5 del_397'!$A$3:$AAA$3,0))</f>
        <v>26714.304253045604</v>
      </c>
      <c r="G89" s="28">
        <f>INDEX('IN_Detr 4.5 del_397'!$A$3:$AAA$1192,MATCH($A89,'IN_Detr 4.5 del_397'!$A$3:$A$1192,0),MATCH(G$3,'IN_Detr 4.5 del_397'!$A$3:$AAA$3,0))</f>
        <v>18560.576332630921</v>
      </c>
    </row>
    <row r="90" spans="1:7" ht="11.4" outlineLevel="1" x14ac:dyDescent="0.2">
      <c r="A90" s="85" t="s">
        <v>4402</v>
      </c>
      <c r="B90" s="52" t="s">
        <v>25</v>
      </c>
      <c r="C90" s="53">
        <f t="shared" si="19"/>
        <v>0</v>
      </c>
      <c r="D90" s="6"/>
      <c r="E90" s="54">
        <f>INDEX('IN_Detr 4.5 del_397'!$A$3:$AAA$1192,MATCH($A90,'IN_Detr 4.5 del_397'!$A$3:$A$1192,0),MATCH(E$3,'IN_Detr 4.5 del_397'!$A$3:$AAA$3,0))</f>
        <v>0</v>
      </c>
      <c r="F90" s="54">
        <f>INDEX('IN_Detr 4.5 del_397'!$A$3:$AAA$1192,MATCH($A90,'IN_Detr 4.5 del_397'!$A$3:$A$1192,0),MATCH(F$3,'IN_Detr 4.5 del_397'!$A$3:$AAA$3,0))</f>
        <v>0</v>
      </c>
      <c r="G90" s="54">
        <f>INDEX('IN_Detr 4.5 del_397'!$A$3:$AAA$1192,MATCH($A90,'IN_Detr 4.5 del_397'!$A$3:$A$1192,0),MATCH(G$3,'IN_Detr 4.5 del_397'!$A$3:$AAA$3,0))</f>
        <v>0</v>
      </c>
    </row>
    <row r="91" spans="1:7" ht="11.4" outlineLevel="1" x14ac:dyDescent="0.2">
      <c r="A91" s="85" t="s">
        <v>4408</v>
      </c>
      <c r="B91" s="52" t="s">
        <v>5474</v>
      </c>
      <c r="C91" s="53">
        <f t="shared" si="19"/>
        <v>0</v>
      </c>
      <c r="D91" s="6"/>
      <c r="E91" s="54">
        <f>INDEX('IN_Detr 4.5 del_397'!$A$3:$AAA$1192,MATCH($A91,'IN_Detr 4.5 del_397'!$A$3:$A$1192,0),MATCH(E$3,'IN_Detr 4.5 del_397'!$A$3:$AAA$3,0))</f>
        <v>0</v>
      </c>
      <c r="F91" s="54">
        <f>INDEX('IN_Detr 4.5 del_397'!$A$3:$AAA$1192,MATCH($A91,'IN_Detr 4.5 del_397'!$A$3:$A$1192,0),MATCH(F$3,'IN_Detr 4.5 del_397'!$A$3:$AAA$3,0))</f>
        <v>0</v>
      </c>
      <c r="G91" s="54">
        <f>INDEX('IN_Detr 4.5 del_397'!$A$3:$AAA$1192,MATCH($A91,'IN_Detr 4.5 del_397'!$A$3:$A$1192,0),MATCH(G$3,'IN_Detr 4.5 del_397'!$A$3:$AAA$3,0))</f>
        <v>0</v>
      </c>
    </row>
    <row r="92" spans="1:7" outlineLevel="1" x14ac:dyDescent="0.2">
      <c r="A92" s="7" t="s">
        <v>5592</v>
      </c>
      <c r="B92" s="684" t="s">
        <v>17</v>
      </c>
      <c r="C92" s="685">
        <f t="shared" si="19"/>
        <v>1536390.0005079757</v>
      </c>
      <c r="D92" s="6"/>
      <c r="E92" s="686">
        <f>E83+E84+E89+E90+E91</f>
        <v>1457649.5118233787</v>
      </c>
      <c r="F92" s="686">
        <f>F83+F84+F89+F90+F91</f>
        <v>60179.912351966079</v>
      </c>
      <c r="G92" s="686">
        <f>G83+G84+G89+G90+G91</f>
        <v>18560.576332630921</v>
      </c>
    </row>
    <row r="93" spans="1:7" ht="11.4" outlineLevel="1" x14ac:dyDescent="0.2">
      <c r="A93" s="85" t="s">
        <v>5593</v>
      </c>
      <c r="B93" s="14" t="s">
        <v>5447</v>
      </c>
      <c r="C93" s="17">
        <f t="shared" si="19"/>
        <v>0</v>
      </c>
      <c r="D93" s="6"/>
      <c r="E93" s="16">
        <f>E41</f>
        <v>0</v>
      </c>
      <c r="F93" s="16">
        <f>F41</f>
        <v>0</v>
      </c>
      <c r="G93" s="16">
        <f>G41</f>
        <v>0</v>
      </c>
    </row>
    <row r="94" spans="1:7" ht="11.4" outlineLevel="1" x14ac:dyDescent="0.2">
      <c r="A94" s="85" t="s">
        <v>5594</v>
      </c>
      <c r="B94" s="14" t="s">
        <v>5448</v>
      </c>
      <c r="C94" s="17">
        <f t="shared" si="19"/>
        <v>0</v>
      </c>
      <c r="D94" s="6"/>
      <c r="E94" s="16">
        <f t="shared" ref="E94:E97" si="20">E42</f>
        <v>0</v>
      </c>
      <c r="F94" s="16">
        <f t="shared" ref="F94:G94" si="21">F42</f>
        <v>0</v>
      </c>
      <c r="G94" s="16">
        <f t="shared" si="21"/>
        <v>0</v>
      </c>
    </row>
    <row r="95" spans="1:7" ht="11.4" outlineLevel="1" x14ac:dyDescent="0.2">
      <c r="A95" s="85" t="s">
        <v>5595</v>
      </c>
      <c r="B95" s="14" t="s">
        <v>6410</v>
      </c>
      <c r="C95" s="17">
        <f t="shared" si="19"/>
        <v>0</v>
      </c>
      <c r="D95" s="6"/>
      <c r="E95" s="18">
        <f t="shared" si="20"/>
        <v>0</v>
      </c>
      <c r="F95" s="18">
        <f t="shared" ref="F95:G95" si="22">F43</f>
        <v>0</v>
      </c>
      <c r="G95" s="18">
        <f t="shared" si="22"/>
        <v>0</v>
      </c>
    </row>
    <row r="96" spans="1:7" ht="11.4" outlineLevel="1" x14ac:dyDescent="0.2">
      <c r="A96" s="85" t="s">
        <v>5596</v>
      </c>
      <c r="B96" s="14" t="s">
        <v>6411</v>
      </c>
      <c r="C96" s="17">
        <f t="shared" si="19"/>
        <v>0</v>
      </c>
      <c r="D96" s="6"/>
      <c r="E96" s="18">
        <f t="shared" si="20"/>
        <v>0</v>
      </c>
      <c r="F96" s="18">
        <f t="shared" ref="F96:G96" si="23">F44</f>
        <v>0</v>
      </c>
      <c r="G96" s="18">
        <f t="shared" si="23"/>
        <v>0</v>
      </c>
    </row>
    <row r="97" spans="1:7" ht="11.4" outlineLevel="1" x14ac:dyDescent="0.2">
      <c r="A97" s="85" t="s">
        <v>5597</v>
      </c>
      <c r="B97" s="14" t="s">
        <v>5449</v>
      </c>
      <c r="C97" s="17">
        <f t="shared" si="19"/>
        <v>0</v>
      </c>
      <c r="D97" s="6"/>
      <c r="E97" s="16">
        <f t="shared" si="20"/>
        <v>0</v>
      </c>
      <c r="F97" s="16">
        <f t="shared" ref="F97:G97" si="24">F45</f>
        <v>0</v>
      </c>
      <c r="G97" s="16">
        <f t="shared" si="24"/>
        <v>0</v>
      </c>
    </row>
    <row r="98" spans="1:7" ht="11.4" outlineLevel="1" x14ac:dyDescent="0.2">
      <c r="A98" s="85" t="s">
        <v>4429</v>
      </c>
      <c r="B98" s="703" t="s">
        <v>26</v>
      </c>
      <c r="C98" s="704">
        <f t="shared" si="19"/>
        <v>0</v>
      </c>
      <c r="D98" s="6"/>
      <c r="E98" s="706">
        <f>INDEX('IN_Detr 4.5 del_397'!$A$3:$AAA$1192,MATCH($A98,'IN_Detr 4.5 del_397'!$A$3:$A$1192,0),MATCH(E$3,'IN_Detr 4.5 del_397'!$A$3:$AAA$3,0))</f>
        <v>0</v>
      </c>
      <c r="F98" s="706">
        <f>INDEX('IN_Detr 4.5 del_397'!$A$3:$AAA$1192,MATCH($A98,'IN_Detr 4.5 del_397'!$A$3:$A$1192,0),MATCH(F$3,'IN_Detr 4.5 del_397'!$A$3:$AAA$3,0))</f>
        <v>0</v>
      </c>
      <c r="G98" s="706">
        <f>INDEX('IN_Detr 4.5 del_397'!$A$3:$AAA$1192,MATCH($A98,'IN_Detr 4.5 del_397'!$A$3:$A$1192,0),MATCH(G$3,'IN_Detr 4.5 del_397'!$A$3:$AAA$3,0))</f>
        <v>0</v>
      </c>
    </row>
    <row r="99" spans="1:7" ht="11.4" outlineLevel="1" x14ac:dyDescent="0.2">
      <c r="A99" s="7" t="s">
        <v>6944</v>
      </c>
      <c r="B99" s="705" t="s">
        <v>5450</v>
      </c>
      <c r="C99" s="987">
        <f t="shared" si="19"/>
        <v>0</v>
      </c>
      <c r="D99" s="988"/>
      <c r="E99" s="989">
        <f>INDEX('IN_Detr 4.5 del_397'!$A$3:$AAA$1192,MATCH($A99,'IN_Detr 4.5 del_397'!$A$3:$A$1192,0),MATCH(E$3,'IN_Detr 4.5 del_397'!$A$3:$AAA$3,0))</f>
        <v>0</v>
      </c>
      <c r="F99" s="989">
        <f>INDEX('IN_Detr 4.5 del_397'!$A$3:$AAA$1192,MATCH($A99,'IN_Detr 4.5 del_397'!$A$3:$A$1192,0),MATCH(F$3,'IN_Detr 4.5 del_397'!$A$3:$AAA$3,0))</f>
        <v>0</v>
      </c>
      <c r="G99" s="989">
        <f>INDEX('IN_Detr 4.5 del_397'!$A$3:$AAA$1192,MATCH($A99,'IN_Detr 4.5 del_397'!$A$3:$A$1192,0),MATCH(G$3,'IN_Detr 4.5 del_397'!$A$3:$AAA$3,0))</f>
        <v>0</v>
      </c>
    </row>
    <row r="100" spans="1:7" outlineLevel="1" x14ac:dyDescent="0.2">
      <c r="A100" s="85" t="s">
        <v>5598</v>
      </c>
      <c r="B100" s="21" t="s">
        <v>10</v>
      </c>
      <c r="C100" s="22">
        <f t="shared" si="19"/>
        <v>0</v>
      </c>
      <c r="D100" s="6"/>
      <c r="E100" s="23"/>
      <c r="F100" s="23"/>
      <c r="G100" s="23"/>
    </row>
    <row r="101" spans="1:7" x14ac:dyDescent="0.2">
      <c r="C101" s="25"/>
      <c r="D101" s="6"/>
      <c r="E101" s="5"/>
      <c r="F101" s="5"/>
      <c r="G101" s="5"/>
    </row>
    <row r="102" spans="1:7" ht="19.5" customHeight="1" x14ac:dyDescent="0.2">
      <c r="A102" s="31" t="s">
        <v>5599</v>
      </c>
      <c r="B102" s="680" t="s">
        <v>5605</v>
      </c>
      <c r="C102" s="11">
        <f>SUM(E102:G102)</f>
        <v>16232966.803433575</v>
      </c>
      <c r="D102" s="6"/>
      <c r="E102" s="12">
        <f t="shared" ref="E102" si="25">E56+E76</f>
        <v>14158496.137235379</v>
      </c>
      <c r="F102" s="12">
        <f t="shared" ref="F102:G102" si="26">F56+F76</f>
        <v>1234128.0285455661</v>
      </c>
      <c r="G102" s="12">
        <f t="shared" si="26"/>
        <v>840342.63765263092</v>
      </c>
    </row>
  </sheetData>
  <sheetProtection formatColumns="0" formatRows="0"/>
  <pageMargins left="0.70866141732283472" right="0.70866141732283472" top="0.74803149606299213" bottom="0.74803149606299213" header="0.31496062992125984" footer="0.31496062992125984"/>
  <pageSetup paperSize="9" scale="26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261A6-5344-408D-BFF0-634F492CD852}">
  <sheetPr codeName="Foglio29">
    <tabColor rgb="FF92D050"/>
    <pageSetUpPr fitToPage="1"/>
  </sheetPr>
  <dimension ref="A1:G102"/>
  <sheetViews>
    <sheetView showGridLines="0" zoomScaleNormal="100" workbookViewId="0">
      <pane xSplit="4" ySplit="3" topLeftCell="E32" activePane="bottomRight" state="frozen"/>
      <selection activeCell="C72" sqref="C72:F72"/>
      <selection pane="topRight" activeCell="C72" sqref="C72:F72"/>
      <selection pane="bottomLeft" activeCell="C72" sqref="C72:F72"/>
      <selection pane="bottomRight" activeCell="G1" sqref="G1:G1048576"/>
    </sheetView>
  </sheetViews>
  <sheetFormatPr defaultColWidth="17.6640625" defaultRowHeight="10.199999999999999" outlineLevelRow="1" x14ac:dyDescent="0.2"/>
  <cols>
    <col min="1" max="1" width="22.44140625" style="7" bestFit="1" customWidth="1"/>
    <col min="2" max="2" width="94.33203125" style="5" bestFit="1" customWidth="1"/>
    <col min="3" max="3" width="10.33203125" style="3" bestFit="1" customWidth="1"/>
    <col min="4" max="4" width="1.109375" style="2" customWidth="1"/>
    <col min="5" max="7" width="12.88671875" style="4" customWidth="1"/>
    <col min="8" max="16384" width="17.6640625" style="5"/>
  </cols>
  <sheetData>
    <row r="1" spans="1:7" x14ac:dyDescent="0.2">
      <c r="B1" s="699" t="s">
        <v>5606</v>
      </c>
    </row>
    <row r="2" spans="1:7" x14ac:dyDescent="0.2">
      <c r="B2" s="134"/>
    </row>
    <row r="3" spans="1:7" s="359" customFormat="1" ht="20.399999999999999" x14ac:dyDescent="0.2">
      <c r="A3" s="356"/>
      <c r="B3" s="357"/>
      <c r="C3" s="358" t="s">
        <v>0</v>
      </c>
      <c r="D3" s="357"/>
      <c r="E3" s="358" t="str">
        <f>Ambiti!B4</f>
        <v>BUSTO ARSIZIO</v>
      </c>
      <c r="F3" s="358" t="str">
        <f>Ambiti!C4</f>
        <v>FAGNANO OLONA</v>
      </c>
      <c r="G3" s="358" t="str">
        <f>Ambiti!D4</f>
        <v>VENEGONO SUPERIORE</v>
      </c>
    </row>
    <row r="4" spans="1:7" s="10" customFormat="1" x14ac:dyDescent="0.2">
      <c r="A4" s="7"/>
      <c r="B4" s="8"/>
      <c r="C4" s="9"/>
      <c r="D4" s="8"/>
      <c r="E4" s="8"/>
      <c r="F4" s="8"/>
      <c r="G4" s="8"/>
    </row>
    <row r="5" spans="1:7" s="13" customFormat="1" ht="11.4" x14ac:dyDescent="0.3">
      <c r="A5" s="31" t="s">
        <v>5476</v>
      </c>
      <c r="B5" s="700" t="s">
        <v>5445</v>
      </c>
      <c r="C5" s="701">
        <f t="shared" ref="C5:C15" si="0">SUM(E5:G5)</f>
        <v>0</v>
      </c>
      <c r="D5" s="6"/>
      <c r="E5" s="702">
        <f>SUM(E6:E15)-E19+E20+E22</f>
        <v>0</v>
      </c>
      <c r="F5" s="702">
        <f>SUM(F6:F15)-F19+F20+F22</f>
        <v>0</v>
      </c>
      <c r="G5" s="702">
        <f>SUM(G6:G15)-G19+G20+G22</f>
        <v>0</v>
      </c>
    </row>
    <row r="6" spans="1:7" outlineLevel="1" x14ac:dyDescent="0.2">
      <c r="A6" s="7" t="s">
        <v>3114</v>
      </c>
      <c r="B6" s="14" t="s">
        <v>1</v>
      </c>
      <c r="C6" s="15">
        <f t="shared" si="0"/>
        <v>0</v>
      </c>
      <c r="D6" s="6"/>
      <c r="E6" s="16">
        <f>INDEX(Import_CO_Comuni!$A$4:$AAA$323,MATCH($A6,Import_CO_Comuni!$A$4:$A$323,0),MATCH(E$3,Import_CO_Comuni!$A$4:$AAA$4,0))
*(1+'Parametri MTR-3'!$I$6)
*(1+'Parametri MTR-3'!$J$6)</f>
        <v>0</v>
      </c>
      <c r="F6" s="16">
        <f>INDEX(Import_CO_Comuni!$A$4:$AAA$323,MATCH($A6,Import_CO_Comuni!$A$4:$A$323,0),MATCH(F$3,Import_CO_Comuni!$A$4:$AAA$4,0))
*(1+'Parametri MTR-3'!$I$6)
*(1+'Parametri MTR-3'!$J$6)</f>
        <v>0</v>
      </c>
      <c r="G6" s="16">
        <f>INDEX(Import_CO_Comuni!$A$4:$AAA$323,MATCH($A6,Import_CO_Comuni!$A$4:$A$323,0),MATCH(G$3,Import_CO_Comuni!$A$4:$AAA$4,0))
*(1+'Parametri MTR-3'!$I$6)
*(1+'Parametri MTR-3'!$J$6)</f>
        <v>0</v>
      </c>
    </row>
    <row r="7" spans="1:7" outlineLevel="1" x14ac:dyDescent="0.2">
      <c r="A7" s="7" t="s">
        <v>3120</v>
      </c>
      <c r="B7" s="14" t="s">
        <v>3</v>
      </c>
      <c r="C7" s="15">
        <f t="shared" si="0"/>
        <v>0</v>
      </c>
      <c r="D7" s="6"/>
      <c r="E7" s="16">
        <f>INDEX(Import_CO_Comuni!$A$4:$AAA$323,MATCH($A7,Import_CO_Comuni!$A$4:$A$323,0),MATCH(E$3,Import_CO_Comuni!$A$4:$AAA$4,0))
*(1+'Parametri MTR-3'!$I$6)
*(1+'Parametri MTR-3'!$J$6)</f>
        <v>0</v>
      </c>
      <c r="F7" s="16">
        <f>INDEX(Import_CO_Comuni!$A$4:$AAA$323,MATCH($A7,Import_CO_Comuni!$A$4:$A$323,0),MATCH(F$3,Import_CO_Comuni!$A$4:$AAA$4,0))
*(1+'Parametri MTR-3'!$I$6)
*(1+'Parametri MTR-3'!$J$6)</f>
        <v>0</v>
      </c>
      <c r="G7" s="16">
        <f>INDEX(Import_CO_Comuni!$A$4:$AAA$323,MATCH($A7,Import_CO_Comuni!$A$4:$A$323,0),MATCH(G$3,Import_CO_Comuni!$A$4:$AAA$4,0))
*(1+'Parametri MTR-3'!$I$6)
*(1+'Parametri MTR-3'!$J$6)</f>
        <v>0</v>
      </c>
    </row>
    <row r="8" spans="1:7" outlineLevel="1" x14ac:dyDescent="0.2">
      <c r="A8" s="7" t="s">
        <v>3126</v>
      </c>
      <c r="B8" s="14" t="s">
        <v>4</v>
      </c>
      <c r="C8" s="15">
        <f t="shared" si="0"/>
        <v>0</v>
      </c>
      <c r="D8" s="6"/>
      <c r="E8" s="16">
        <f>INDEX(Import_CO_Comuni!$A$4:$AAA$323,MATCH($A8,Import_CO_Comuni!$A$4:$A$323,0),MATCH(E$3,Import_CO_Comuni!$A$4:$AAA$4,0))
*(1+'Parametri MTR-3'!$I$6)
*(1+'Parametri MTR-3'!$J$6)</f>
        <v>0</v>
      </c>
      <c r="F8" s="16">
        <f>INDEX(Import_CO_Comuni!$A$4:$AAA$323,MATCH($A8,Import_CO_Comuni!$A$4:$A$323,0),MATCH(F$3,Import_CO_Comuni!$A$4:$AAA$4,0))
*(1+'Parametri MTR-3'!$I$6)
*(1+'Parametri MTR-3'!$J$6)</f>
        <v>0</v>
      </c>
      <c r="G8" s="16">
        <f>INDEX(Import_CO_Comuni!$A$4:$AAA$323,MATCH($A8,Import_CO_Comuni!$A$4:$A$323,0),MATCH(G$3,Import_CO_Comuni!$A$4:$AAA$4,0))
*(1+'Parametri MTR-3'!$I$6)
*(1+'Parametri MTR-3'!$J$6)</f>
        <v>0</v>
      </c>
    </row>
    <row r="9" spans="1:7" outlineLevel="1" x14ac:dyDescent="0.2">
      <c r="A9" s="7" t="s">
        <v>3132</v>
      </c>
      <c r="B9" s="14" t="s">
        <v>5</v>
      </c>
      <c r="C9" s="15">
        <f t="shared" si="0"/>
        <v>0</v>
      </c>
      <c r="D9" s="6"/>
      <c r="E9" s="16">
        <f>INDEX(Import_CO_Comuni!$A$4:$AAA$323,MATCH($A9,Import_CO_Comuni!$A$4:$A$323,0),MATCH(E$3,Import_CO_Comuni!$A$4:$AAA$4,0))
*(1+'Parametri MTR-3'!$I$6)
*(1+'Parametri MTR-3'!$J$6)</f>
        <v>0</v>
      </c>
      <c r="F9" s="16">
        <f>INDEX(Import_CO_Comuni!$A$4:$AAA$323,MATCH($A9,Import_CO_Comuni!$A$4:$A$323,0),MATCH(F$3,Import_CO_Comuni!$A$4:$AAA$4,0))
*(1+'Parametri MTR-3'!$I$6)
*(1+'Parametri MTR-3'!$J$6)</f>
        <v>0</v>
      </c>
      <c r="G9" s="16">
        <f>INDEX(Import_CO_Comuni!$A$4:$AAA$323,MATCH($A9,Import_CO_Comuni!$A$4:$A$323,0),MATCH(G$3,Import_CO_Comuni!$A$4:$AAA$4,0))
*(1+'Parametri MTR-3'!$I$6)
*(1+'Parametri MTR-3'!$J$6)</f>
        <v>0</v>
      </c>
    </row>
    <row r="10" spans="1:7" ht="11.4" outlineLevel="1" x14ac:dyDescent="0.2">
      <c r="A10" s="85" t="s">
        <v>2492</v>
      </c>
      <c r="B10" s="14" t="s">
        <v>5438</v>
      </c>
      <c r="C10" s="17">
        <f t="shared" si="0"/>
        <v>0</v>
      </c>
      <c r="D10" s="6"/>
      <c r="E10" s="16">
        <f>INDEX(IN_COexp!$A$3:$AAA$269,MATCH($A10,IN_COexp!$A$3:$A$269,0),MATCH(E$3,IN_COexp!$A$3:$AAA$3,0))</f>
        <v>0</v>
      </c>
      <c r="F10" s="16">
        <f>INDEX(IN_COexp!$A$3:$AAA$269,MATCH($A10,IN_COexp!$A$3:$A$269,0),MATCH(F$3,IN_COexp!$A$3:$AAA$3,0))</f>
        <v>0</v>
      </c>
      <c r="G10" s="16">
        <f>INDEX(IN_COexp!$A$3:$AAA$269,MATCH($A10,IN_COexp!$A$3:$A$269,0),MATCH(G$3,IN_COexp!$A$3:$AAA$3,0))</f>
        <v>0</v>
      </c>
    </row>
    <row r="11" spans="1:7" ht="11.4" outlineLevel="1" x14ac:dyDescent="0.2">
      <c r="A11" s="85" t="s">
        <v>1045</v>
      </c>
      <c r="B11" s="14" t="s">
        <v>5439</v>
      </c>
      <c r="C11" s="17">
        <f t="shared" si="0"/>
        <v>0</v>
      </c>
      <c r="D11" s="6"/>
      <c r="E11" s="18">
        <f>INDEX(IN_COexp!$A$3:$AAA$269,MATCH($A11,IN_COexp!$A$3:$A$269,0),MATCH(E$3,IN_COexp!$A$3:$AAA$3,0))</f>
        <v>0</v>
      </c>
      <c r="F11" s="18">
        <f>INDEX(IN_COexp!$A$3:$AAA$269,MATCH($A11,IN_COexp!$A$3:$A$269,0),MATCH(F$3,IN_COexp!$A$3:$AAA$3,0))</f>
        <v>0</v>
      </c>
      <c r="G11" s="18">
        <f>INDEX(IN_COexp!$A$3:$AAA$269,MATCH($A11,IN_COexp!$A$3:$A$269,0),MATCH(G$3,IN_COexp!$A$3:$AAA$3,0))</f>
        <v>0</v>
      </c>
    </row>
    <row r="12" spans="1:7" ht="11.4" outlineLevel="1" x14ac:dyDescent="0.2">
      <c r="A12" s="85" t="s">
        <v>1054</v>
      </c>
      <c r="B12" s="14" t="s">
        <v>5440</v>
      </c>
      <c r="C12" s="17">
        <f t="shared" si="0"/>
        <v>0</v>
      </c>
      <c r="D12" s="6"/>
      <c r="E12" s="18">
        <f>INDEX(IN_COexp!$A$3:$AAA$269,MATCH($A12,IN_COexp!$A$3:$A$269,0),MATCH(E$3,IN_COexp!$A$3:$AAA$3,0))</f>
        <v>0</v>
      </c>
      <c r="F12" s="18">
        <f>INDEX(IN_COexp!$A$3:$AAA$269,MATCH($A12,IN_COexp!$A$3:$A$269,0),MATCH(F$3,IN_COexp!$A$3:$AAA$3,0))</f>
        <v>0</v>
      </c>
      <c r="G12" s="18">
        <f>INDEX(IN_COexp!$A$3:$AAA$269,MATCH($A12,IN_COexp!$A$3:$A$269,0),MATCH(G$3,IN_COexp!$A$3:$AAA$3,0))</f>
        <v>0</v>
      </c>
    </row>
    <row r="13" spans="1:7" ht="11.4" outlineLevel="1" x14ac:dyDescent="0.2">
      <c r="A13" s="85" t="s">
        <v>2211</v>
      </c>
      <c r="B13" s="14" t="s">
        <v>5441</v>
      </c>
      <c r="C13" s="17">
        <f t="shared" si="0"/>
        <v>0</v>
      </c>
      <c r="D13" s="6"/>
      <c r="E13" s="18">
        <f>INDEX(IN_COexp!$A$3:$AAA$269,MATCH($A13,IN_COexp!$A$3:$A$269,0),MATCH(E$3,IN_COexp!$A$3:$AAA$3,0))</f>
        <v>0</v>
      </c>
      <c r="F13" s="18">
        <f>INDEX(IN_COexp!$A$3:$AAA$269,MATCH($A13,IN_COexp!$A$3:$A$269,0),MATCH(F$3,IN_COexp!$A$3:$AAA$3,0))</f>
        <v>0</v>
      </c>
      <c r="G13" s="18">
        <f>INDEX(IN_COexp!$A$3:$AAA$269,MATCH($A13,IN_COexp!$A$3:$A$269,0),MATCH(G$3,IN_COexp!$A$3:$AAA$3,0))</f>
        <v>0</v>
      </c>
    </row>
    <row r="14" spans="1:7" ht="11.4" outlineLevel="1" x14ac:dyDescent="0.2">
      <c r="A14" s="85" t="s">
        <v>2283</v>
      </c>
      <c r="B14" s="14" t="s">
        <v>5442</v>
      </c>
      <c r="C14" s="17">
        <f t="shared" si="0"/>
        <v>0</v>
      </c>
      <c r="D14" s="6"/>
      <c r="E14" s="18">
        <f>INDEX(IN_COexp!$A$3:$AAA$269,MATCH($A14,IN_COexp!$A$3:$A$269,0),MATCH(E$3,IN_COexp!$A$3:$AAA$3,0))</f>
        <v>0</v>
      </c>
      <c r="F14" s="18">
        <f>INDEX(IN_COexp!$A$3:$AAA$269,MATCH($A14,IN_COexp!$A$3:$A$269,0),MATCH(F$3,IN_COexp!$A$3:$AAA$3,0))</f>
        <v>0</v>
      </c>
      <c r="G14" s="18">
        <f>INDEX(IN_COexp!$A$3:$AAA$269,MATCH($A14,IN_COexp!$A$3:$A$269,0),MATCH(G$3,IN_COexp!$A$3:$AAA$3,0))</f>
        <v>0</v>
      </c>
    </row>
    <row r="15" spans="1:7" ht="11.4" outlineLevel="1" x14ac:dyDescent="0.2">
      <c r="A15" s="85" t="s">
        <v>1063</v>
      </c>
      <c r="B15" s="14" t="s">
        <v>5443</v>
      </c>
      <c r="C15" s="17">
        <f t="shared" si="0"/>
        <v>0</v>
      </c>
      <c r="D15" s="6"/>
      <c r="E15" s="18">
        <f>INDEX(IN_COexp!$A$3:$AAA$269,MATCH($A15,IN_COexp!$A$3:$A$269,0),MATCH(E$3,IN_COexp!$A$3:$AAA$3,0))</f>
        <v>0</v>
      </c>
      <c r="F15" s="18">
        <f>INDEX(IN_COexp!$A$3:$AAA$269,MATCH($A15,IN_COexp!$A$3:$A$269,0),MATCH(F$3,IN_COexp!$A$3:$AAA$3,0))</f>
        <v>0</v>
      </c>
      <c r="G15" s="18">
        <f>INDEX(IN_COexp!$A$3:$AAA$269,MATCH($A15,IN_COexp!$A$3:$A$269,0),MATCH(G$3,IN_COexp!$A$3:$AAA$3,0))</f>
        <v>0</v>
      </c>
    </row>
    <row r="16" spans="1:7" outlineLevel="1" x14ac:dyDescent="0.2">
      <c r="A16" s="85" t="s">
        <v>968</v>
      </c>
      <c r="B16" s="736" t="s">
        <v>7</v>
      </c>
      <c r="C16" s="737"/>
      <c r="D16" s="19"/>
      <c r="E16" s="740">
        <f>INDEX(IN_PAR!$A$3:$YE$413,MATCH($A16,IN_PAR!$A$3:$A$413,0),MATCH(E$3,IN_PAR!$A$3:$YE$3,0))</f>
        <v>0.7</v>
      </c>
      <c r="F16" s="740">
        <f>INDEX(IN_PAR!$A$3:$YE$413,MATCH($A16,IN_PAR!$A$3:$A$413,0),MATCH(F$3,IN_PAR!$A$3:$YE$3,0))</f>
        <v>0</v>
      </c>
      <c r="G16" s="740">
        <f>INDEX(IN_PAR!$A$3:$YE$413,MATCH($A16,IN_PAR!$A$3:$A$413,0),MATCH(G$3,IN_PAR!$A$3:$YE$3,0))</f>
        <v>0</v>
      </c>
    </row>
    <row r="17" spans="1:7" outlineLevel="1" x14ac:dyDescent="0.2">
      <c r="A17" s="7" t="s">
        <v>5208</v>
      </c>
      <c r="B17" s="26" t="s">
        <v>6</v>
      </c>
      <c r="C17" s="27">
        <f t="shared" ref="C17:C22" si="1">SUM(E17:G17)</f>
        <v>0</v>
      </c>
      <c r="D17" s="6"/>
      <c r="E17" s="28">
        <f>INDEX(Import_CO_Comuni!$A$4:$AAA$323,MATCH($A17,Import_CO_Comuni!$A$4:$A$323,0),MATCH(E$3,Import_CO_Comuni!$A$4:$AAA$4,0))
*(1+'Parametri MTR-3'!$I$6)
*(1+'Parametri MTR-3'!$J$6)</f>
        <v>0</v>
      </c>
      <c r="F17" s="28">
        <f>INDEX(Import_CO_Comuni!$A$4:$AAA$323,MATCH($A17,Import_CO_Comuni!$A$4:$A$323,0),MATCH(F$3,Import_CO_Comuni!$A$4:$AAA$4,0))
*(1+'Parametri MTR-3'!$I$6)
*(1+'Parametri MTR-3'!$J$6)</f>
        <v>0</v>
      </c>
      <c r="G17" s="28">
        <f>INDEX(Import_CO_Comuni!$A$4:$AAA$323,MATCH($A17,Import_CO_Comuni!$A$4:$A$323,0),MATCH(G$3,Import_CO_Comuni!$A$4:$AAA$4,0))
*(1+'Parametri MTR-3'!$I$6)
*(1+'Parametri MTR-3'!$J$6)</f>
        <v>0</v>
      </c>
    </row>
    <row r="18" spans="1:7" ht="11.4" outlineLevel="1" x14ac:dyDescent="0.2">
      <c r="A18" s="7" t="s">
        <v>5213</v>
      </c>
      <c r="B18" s="26" t="s">
        <v>101</v>
      </c>
      <c r="C18" s="27">
        <f t="shared" si="1"/>
        <v>0</v>
      </c>
      <c r="D18" s="6"/>
      <c r="E18" s="28">
        <f>INDEX(Import_CO_Comuni!$A$4:$AAA$323,MATCH($A18,Import_CO_Comuni!$A$4:$A$323,0),MATCH(E$3,Import_CO_Comuni!$A$4:$AAA$4,0))
*(1+'Parametri MTR-3'!$I$6)
*(1+'Parametri MTR-3'!$J$6)</f>
        <v>0</v>
      </c>
      <c r="F18" s="28">
        <f>INDEX(Import_CO_Comuni!$A$4:$AAA$323,MATCH($A18,Import_CO_Comuni!$A$4:$A$323,0),MATCH(F$3,Import_CO_Comuni!$A$4:$AAA$4,0))
*(1+'Parametri MTR-3'!$I$6)
*(1+'Parametri MTR-3'!$J$6)</f>
        <v>0</v>
      </c>
      <c r="G18" s="28">
        <f>INDEX(Import_CO_Comuni!$A$4:$AAA$323,MATCH($A18,Import_CO_Comuni!$A$4:$A$323,0),MATCH(G$3,Import_CO_Comuni!$A$4:$AAA$4,0))
*(1+'Parametri MTR-3'!$I$6)
*(1+'Parametri MTR-3'!$J$6)</f>
        <v>0</v>
      </c>
    </row>
    <row r="19" spans="1:7" ht="11.4" outlineLevel="1" x14ac:dyDescent="0.2">
      <c r="A19" s="7" t="s">
        <v>5268</v>
      </c>
      <c r="B19" s="738" t="s">
        <v>5437</v>
      </c>
      <c r="C19" s="739">
        <f t="shared" si="1"/>
        <v>0</v>
      </c>
      <c r="D19" s="6"/>
      <c r="E19" s="741">
        <f>E16*(E17+E18)</f>
        <v>0</v>
      </c>
      <c r="F19" s="741">
        <f>F16*(F17+F18)</f>
        <v>0</v>
      </c>
      <c r="G19" s="741">
        <f>G16*(G17+G18)</f>
        <v>0</v>
      </c>
    </row>
    <row r="20" spans="1:7" ht="11.4" outlineLevel="1" x14ac:dyDescent="0.2">
      <c r="A20" s="85" t="s">
        <v>3028</v>
      </c>
      <c r="B20" s="703" t="s">
        <v>102</v>
      </c>
      <c r="C20" s="704">
        <f t="shared" si="1"/>
        <v>0</v>
      </c>
      <c r="D20" s="6"/>
      <c r="E20" s="706">
        <f>INDEX('IN_RC-T'!$A$3:$AAA$865,MATCH($A20,'IN_RC-T'!$A$3:$A$865,0),MATCH(E$3,'IN_RC-T'!$A$3:$AAA$3,0))</f>
        <v>0</v>
      </c>
      <c r="F20" s="706">
        <f>INDEX('IN_RC-T'!$A$3:$AAA$865,MATCH($A20,'IN_RC-T'!$A$3:$A$865,0),MATCH(F$3,'IN_RC-T'!$A$3:$AAA$3,0))</f>
        <v>0</v>
      </c>
      <c r="G20" s="706">
        <f>INDEX('IN_RC-T'!$A$3:$AAA$865,MATCH($A20,'IN_RC-T'!$A$3:$A$865,0),MATCH(G$3,'IN_RC-T'!$A$3:$AAA$3,0))</f>
        <v>0</v>
      </c>
    </row>
    <row r="21" spans="1:7" ht="11.4" outlineLevel="1" x14ac:dyDescent="0.2">
      <c r="A21" s="7" t="s">
        <v>6794</v>
      </c>
      <c r="B21" s="705" t="s">
        <v>5444</v>
      </c>
      <c r="C21" s="985">
        <f t="shared" si="1"/>
        <v>0</v>
      </c>
      <c r="D21" s="986"/>
      <c r="E21" s="984">
        <f>INDEX('IN_RC-T'!$A$3:$AAA$865,MATCH($A21,'IN_RC-T'!$A$3:$A$865,0),MATCH(E$3,'IN_RC-T'!$A$3:$AAA$3,0))</f>
        <v>0</v>
      </c>
      <c r="F21" s="984">
        <f>INDEX('IN_RC-T'!$A$3:$AAA$865,MATCH($A21,'IN_RC-T'!$A$3:$A$865,0),MATCH(F$3,'IN_RC-T'!$A$3:$AAA$3,0))</f>
        <v>0</v>
      </c>
      <c r="G21" s="984">
        <f>INDEX('IN_RC-T'!$A$3:$AAA$865,MATCH($A21,'IN_RC-T'!$A$3:$A$865,0),MATCH(G$3,'IN_RC-T'!$A$3:$AAA$3,0))</f>
        <v>0</v>
      </c>
    </row>
    <row r="22" spans="1:7" outlineLevel="1" x14ac:dyDescent="0.2">
      <c r="A22" s="85" t="s">
        <v>3151</v>
      </c>
      <c r="B22" s="14" t="s">
        <v>109</v>
      </c>
      <c r="C22" s="15">
        <f t="shared" si="1"/>
        <v>0</v>
      </c>
      <c r="D22" s="6"/>
      <c r="E22" s="16">
        <f>INDEX(Import_CO_Comuni!$A$4:$AAA$323,MATCH($A22,Import_CO_Comuni!$A$4:$A$323,0),MATCH(E$3,Import_CO_Comuni!$A$4:$AAA$4,0))</f>
        <v>0</v>
      </c>
      <c r="F22" s="16">
        <f>INDEX(Import_CO_Comuni!$A$4:$AAA$323,MATCH($A22,Import_CO_Comuni!$A$4:$A$323,0),MATCH(F$3,Import_CO_Comuni!$A$4:$AAA$4,0))</f>
        <v>0</v>
      </c>
      <c r="G22" s="16">
        <f>INDEX(Import_CO_Comuni!$A$4:$AAA$323,MATCH($A22,Import_CO_Comuni!$A$4:$A$323,0),MATCH(G$3,Import_CO_Comuni!$A$4:$AAA$4,0))</f>
        <v>0</v>
      </c>
    </row>
    <row r="23" spans="1:7" outlineLevel="1" x14ac:dyDescent="0.2">
      <c r="B23" s="24"/>
      <c r="C23" s="25"/>
      <c r="D23" s="6"/>
      <c r="E23" s="5"/>
      <c r="F23" s="5"/>
      <c r="G23" s="5"/>
    </row>
    <row r="24" spans="1:7" s="13" customFormat="1" ht="11.4" outlineLevel="1" x14ac:dyDescent="0.3">
      <c r="A24" s="31" t="s">
        <v>5477</v>
      </c>
      <c r="B24" s="700" t="s">
        <v>5446</v>
      </c>
      <c r="C24" s="701">
        <f t="shared" ref="C24:C48" si="2">SUM(E24:G24)</f>
        <v>54149.194963047281</v>
      </c>
      <c r="D24" s="6"/>
      <c r="E24" s="702">
        <f>E25+E30+E40+SUM(E41:E46)+E48</f>
        <v>0</v>
      </c>
      <c r="F24" s="702">
        <f>F25+F30+F40+SUM(F41:F46)+F48</f>
        <v>0</v>
      </c>
      <c r="G24" s="702">
        <f>G25+G30+G40+SUM(G41:G46)+G48</f>
        <v>54149.194963047281</v>
      </c>
    </row>
    <row r="25" spans="1:7" outlineLevel="1" x14ac:dyDescent="0.2">
      <c r="A25" s="7" t="s">
        <v>3157</v>
      </c>
      <c r="B25" s="14" t="s">
        <v>11</v>
      </c>
      <c r="C25" s="15">
        <f t="shared" si="2"/>
        <v>0</v>
      </c>
      <c r="D25" s="6"/>
      <c r="E25" s="16">
        <f>INDEX(Import_CO_Comuni!$A$4:$AAA$323,MATCH($A25,Import_CO_Comuni!$A$4:$A$323,0),MATCH(E$3,Import_CO_Comuni!$A$4:$AAA$4,0))
*(1+'Parametri MTR-3'!$I$6)
*(1+'Parametri MTR-3'!$J$6)</f>
        <v>0</v>
      </c>
      <c r="F25" s="16">
        <f>INDEX(Import_CO_Comuni!$A$4:$AAA$323,MATCH($A25,Import_CO_Comuni!$A$4:$A$323,0),MATCH(F$3,Import_CO_Comuni!$A$4:$AAA$4,0))
*(1+'Parametri MTR-3'!$I$6)
*(1+'Parametri MTR-3'!$J$6)</f>
        <v>0</v>
      </c>
      <c r="G25" s="16">
        <f>INDEX(Import_CO_Comuni!$A$4:$AAA$323,MATCH($A25,Import_CO_Comuni!$A$4:$A$323,0),MATCH(G$3,Import_CO_Comuni!$A$4:$AAA$4,0))
*(1+'Parametri MTR-3'!$I$6)
*(1+'Parametri MTR-3'!$J$6)</f>
        <v>0</v>
      </c>
    </row>
    <row r="26" spans="1:7" outlineLevel="1" x14ac:dyDescent="0.2">
      <c r="A26" s="7" t="s">
        <v>3163</v>
      </c>
      <c r="B26" s="26" t="s">
        <v>13</v>
      </c>
      <c r="C26" s="27">
        <f t="shared" si="2"/>
        <v>0</v>
      </c>
      <c r="D26" s="6"/>
      <c r="E26" s="28">
        <f>INDEX(Import_CO_Comuni!$A$4:$AAA$323,MATCH($A26,Import_CO_Comuni!$A$4:$A$323,0),MATCH(E$3,Import_CO_Comuni!$A$4:$AAA$4,0))
*(1+'Parametri MTR-3'!$I$6)
*(1+'Parametri MTR-3'!$J$6)</f>
        <v>0</v>
      </c>
      <c r="F26" s="28">
        <f>INDEX(Import_CO_Comuni!$A$4:$AAA$323,MATCH($A26,Import_CO_Comuni!$A$4:$A$323,0),MATCH(F$3,Import_CO_Comuni!$A$4:$AAA$4,0))
*(1+'Parametri MTR-3'!$I$6)
*(1+'Parametri MTR-3'!$J$6)</f>
        <v>0</v>
      </c>
      <c r="G26" s="28">
        <f>INDEX(Import_CO_Comuni!$A$4:$AAA$323,MATCH($A26,Import_CO_Comuni!$A$4:$A$323,0),MATCH(G$3,Import_CO_Comuni!$A$4:$AAA$4,0))
*(1+'Parametri MTR-3'!$I$6)
*(1+'Parametri MTR-3'!$J$6)</f>
        <v>0</v>
      </c>
    </row>
    <row r="27" spans="1:7" outlineLevel="1" x14ac:dyDescent="0.2">
      <c r="A27" s="7" t="s">
        <v>3169</v>
      </c>
      <c r="B27" s="26" t="s">
        <v>14</v>
      </c>
      <c r="C27" s="27">
        <f t="shared" si="2"/>
        <v>0</v>
      </c>
      <c r="D27" s="6"/>
      <c r="E27" s="28">
        <f>INDEX(Import_CO_Comuni!$A$4:$AAA$323,MATCH($A27,Import_CO_Comuni!$A$4:$A$323,0),MATCH(E$3,Import_CO_Comuni!$A$4:$AAA$4,0))
*(1+'Parametri MTR-3'!$I$6)
*(1+'Parametri MTR-3'!$J$6)</f>
        <v>0</v>
      </c>
      <c r="F27" s="28">
        <f>INDEX(Import_CO_Comuni!$A$4:$AAA$323,MATCH($A27,Import_CO_Comuni!$A$4:$A$323,0),MATCH(F$3,Import_CO_Comuni!$A$4:$AAA$4,0))
*(1+'Parametri MTR-3'!$I$6)
*(1+'Parametri MTR-3'!$J$6)</f>
        <v>0</v>
      </c>
      <c r="G27" s="28">
        <f>INDEX(Import_CO_Comuni!$A$4:$AAA$323,MATCH($A27,Import_CO_Comuni!$A$4:$A$323,0),MATCH(G$3,Import_CO_Comuni!$A$4:$AAA$4,0))
*(1+'Parametri MTR-3'!$I$6)
*(1+'Parametri MTR-3'!$J$6)</f>
        <v>0</v>
      </c>
    </row>
    <row r="28" spans="1:7" outlineLevel="1" x14ac:dyDescent="0.2">
      <c r="A28" s="7" t="s">
        <v>3175</v>
      </c>
      <c r="B28" s="26" t="s">
        <v>15</v>
      </c>
      <c r="C28" s="27">
        <f t="shared" si="2"/>
        <v>0</v>
      </c>
      <c r="D28" s="6"/>
      <c r="E28" s="28">
        <f>INDEX(Import_CO_Comuni!$A$4:$AAA$323,MATCH($A28,Import_CO_Comuni!$A$4:$A$323,0),MATCH(E$3,Import_CO_Comuni!$A$4:$AAA$4,0))
*(1+'Parametri MTR-3'!$I$6)
*(1+'Parametri MTR-3'!$J$6)</f>
        <v>0</v>
      </c>
      <c r="F28" s="28">
        <f>INDEX(Import_CO_Comuni!$A$4:$AAA$323,MATCH($A28,Import_CO_Comuni!$A$4:$A$323,0),MATCH(F$3,Import_CO_Comuni!$A$4:$AAA$4,0))
*(1+'Parametri MTR-3'!$I$6)
*(1+'Parametri MTR-3'!$J$6)</f>
        <v>0</v>
      </c>
      <c r="G28" s="28">
        <f>INDEX(Import_CO_Comuni!$A$4:$AAA$323,MATCH($A28,Import_CO_Comuni!$A$4:$A$323,0),MATCH(G$3,Import_CO_Comuni!$A$4:$AAA$4,0))
*(1+'Parametri MTR-3'!$I$6)
*(1+'Parametri MTR-3'!$J$6)</f>
        <v>0</v>
      </c>
    </row>
    <row r="29" spans="1:7" ht="11.4" outlineLevel="1" x14ac:dyDescent="0.2">
      <c r="A29" s="7" t="s">
        <v>3181</v>
      </c>
      <c r="B29" s="52" t="s">
        <v>16</v>
      </c>
      <c r="C29" s="53">
        <f t="shared" si="2"/>
        <v>0</v>
      </c>
      <c r="D29" s="6"/>
      <c r="E29" s="54">
        <f>INDEX(Import_CO_Comuni!$A$4:$AAA$323,MATCH($A29,Import_CO_Comuni!$A$4:$A$323,0),MATCH(E$3,Import_CO_Comuni!$A$4:$AAA$4,0))
*(1+'Parametri MTR-3'!$I$6)
*(1+'Parametri MTR-3'!$J$6)</f>
        <v>0</v>
      </c>
      <c r="F29" s="54">
        <f>INDEX(Import_CO_Comuni!$A$4:$AAA$323,MATCH($A29,Import_CO_Comuni!$A$4:$A$323,0),MATCH(F$3,Import_CO_Comuni!$A$4:$AAA$4,0))
*(1+'Parametri MTR-3'!$I$6)
*(1+'Parametri MTR-3'!$J$6)</f>
        <v>0</v>
      </c>
      <c r="G29" s="54">
        <f>INDEX(Import_CO_Comuni!$A$4:$AAA$323,MATCH($A29,Import_CO_Comuni!$A$4:$A$323,0),MATCH(G$3,Import_CO_Comuni!$A$4:$AAA$4,0))
*(1+'Parametri MTR-3'!$I$6)
*(1+'Parametri MTR-3'!$J$6)</f>
        <v>0</v>
      </c>
    </row>
    <row r="30" spans="1:7" outlineLevel="1" x14ac:dyDescent="0.2">
      <c r="A30" s="7" t="s">
        <v>5261</v>
      </c>
      <c r="B30" s="684" t="s">
        <v>12</v>
      </c>
      <c r="C30" s="685">
        <f t="shared" si="2"/>
        <v>0</v>
      </c>
      <c r="D30" s="6"/>
      <c r="E30" s="686">
        <f>SUM(E26:E29)</f>
        <v>0</v>
      </c>
      <c r="F30" s="686">
        <f>SUM(F26:F29)</f>
        <v>0</v>
      </c>
      <c r="G30" s="686">
        <f>SUM(G26:G29)</f>
        <v>0</v>
      </c>
    </row>
    <row r="31" spans="1:7" outlineLevel="1" x14ac:dyDescent="0.2">
      <c r="A31" s="85" t="s">
        <v>3187</v>
      </c>
      <c r="B31" s="26" t="s">
        <v>18</v>
      </c>
      <c r="C31" s="27">
        <f t="shared" si="2"/>
        <v>23913.992320676058</v>
      </c>
      <c r="D31" s="6"/>
      <c r="E31" s="28">
        <f>INDEX(CK_COM!$A$3:$AAA$158,MATCH($A31,CK_COM!$A$3:$A$158,0),MATCH(E$3,CK_COM!$A$3:$AAA$3,0))</f>
        <v>0</v>
      </c>
      <c r="F31" s="28">
        <f>INDEX(CK_COM!$A$3:$AAA$158,MATCH($A31,CK_COM!$A$3:$A$158,0),MATCH(F$3,CK_COM!$A$3:$AAA$3,0))</f>
        <v>0</v>
      </c>
      <c r="G31" s="28">
        <f>INDEX(CK_COM!$A$3:$AAA$158,MATCH($A31,CK_COM!$A$3:$A$158,0),MATCH(G$3,CK_COM!$A$3:$AAA$3,0))</f>
        <v>23913.992320676058</v>
      </c>
    </row>
    <row r="32" spans="1:7" outlineLevel="1" x14ac:dyDescent="0.2">
      <c r="A32" s="7" t="s">
        <v>3217</v>
      </c>
      <c r="B32" s="687" t="s">
        <v>19</v>
      </c>
      <c r="C32" s="688">
        <f t="shared" si="2"/>
        <v>0</v>
      </c>
      <c r="D32" s="6"/>
      <c r="E32" s="689">
        <f>SUM(E33:E36)</f>
        <v>0</v>
      </c>
      <c r="F32" s="689">
        <f>SUM(F33:F36)</f>
        <v>0</v>
      </c>
      <c r="G32" s="689">
        <f>SUM(G33:G36)</f>
        <v>0</v>
      </c>
    </row>
    <row r="33" spans="1:7" outlineLevel="1" x14ac:dyDescent="0.2">
      <c r="A33" s="85" t="s">
        <v>3205</v>
      </c>
      <c r="B33" s="690" t="s">
        <v>20</v>
      </c>
      <c r="C33" s="691">
        <f t="shared" si="2"/>
        <v>0</v>
      </c>
      <c r="D33" s="6"/>
      <c r="E33" s="696">
        <f>INDEX(Import_CO_Comuni!$A$4:$AAA$323,MATCH($A33,Import_CO_Comuni!$A$4:$A$323,0),MATCH(E$3,Import_CO_Comuni!$A$4:$AAA$4,0))
*(1+'Parametri MTR-3'!$I$6)
*(1+'Parametri MTR-3'!$J$6)</f>
        <v>0</v>
      </c>
      <c r="F33" s="696">
        <f>INDEX(Import_CO_Comuni!$A$4:$AAA$323,MATCH($A33,Import_CO_Comuni!$A$4:$A$323,0),MATCH(F$3,Import_CO_Comuni!$A$4:$AAA$4,0))
*(1+'Parametri MTR-3'!$I$6)
*(1+'Parametri MTR-3'!$J$6)</f>
        <v>0</v>
      </c>
      <c r="G33" s="696">
        <f>INDEX(Import_CO_Comuni!$A$4:$AAA$323,MATCH($A33,Import_CO_Comuni!$A$4:$A$323,0),MATCH(G$3,Import_CO_Comuni!$A$4:$AAA$4,0))
*(1+'Parametri MTR-3'!$I$6)
*(1+'Parametri MTR-3'!$J$6)</f>
        <v>0</v>
      </c>
    </row>
    <row r="34" spans="1:7" outlineLevel="1" x14ac:dyDescent="0.2">
      <c r="A34" s="85" t="s">
        <v>3208</v>
      </c>
      <c r="B34" s="692" t="s">
        <v>21</v>
      </c>
      <c r="C34" s="693">
        <f t="shared" si="2"/>
        <v>0</v>
      </c>
      <c r="D34" s="6"/>
      <c r="E34" s="697">
        <f>INDEX(Import_CO_Comuni!$A$4:$AAA$323,MATCH($A34,Import_CO_Comuni!$A$4:$A$323,0),MATCH(E$3,Import_CO_Comuni!$A$4:$AAA$4,0))
*(1+'Parametri MTR-3'!$I$6)
*(1+'Parametri MTR-3'!$J$6)</f>
        <v>0</v>
      </c>
      <c r="F34" s="697">
        <f>INDEX(Import_CO_Comuni!$A$4:$AAA$323,MATCH($A34,Import_CO_Comuni!$A$4:$A$323,0),MATCH(F$3,Import_CO_Comuni!$A$4:$AAA$4,0))
*(1+'Parametri MTR-3'!$I$6)
*(1+'Parametri MTR-3'!$J$6)</f>
        <v>0</v>
      </c>
      <c r="G34" s="697">
        <f>INDEX(Import_CO_Comuni!$A$4:$AAA$323,MATCH($A34,Import_CO_Comuni!$A$4:$A$323,0),MATCH(G$3,Import_CO_Comuni!$A$4:$AAA$4,0))
*(1+'Parametri MTR-3'!$I$6)
*(1+'Parametri MTR-3'!$J$6)</f>
        <v>0</v>
      </c>
    </row>
    <row r="35" spans="1:7" outlineLevel="1" x14ac:dyDescent="0.2">
      <c r="A35" s="85" t="s">
        <v>3211</v>
      </c>
      <c r="B35" s="692" t="s">
        <v>22</v>
      </c>
      <c r="C35" s="693">
        <f t="shared" si="2"/>
        <v>0</v>
      </c>
      <c r="D35" s="6"/>
      <c r="E35" s="697">
        <f>INDEX(Import_CO_Comuni!$A$4:$AAA$323,MATCH($A35,Import_CO_Comuni!$A$4:$A$323,0),MATCH(E$3,Import_CO_Comuni!$A$4:$AAA$4,0))
*(1+'Parametri MTR-3'!$I$6)
*(1+'Parametri MTR-3'!$J$6)</f>
        <v>0</v>
      </c>
      <c r="F35" s="697">
        <f>INDEX(Import_CO_Comuni!$A$4:$AAA$323,MATCH($A35,Import_CO_Comuni!$A$4:$A$323,0),MATCH(F$3,Import_CO_Comuni!$A$4:$AAA$4,0))
*(1+'Parametri MTR-3'!$I$6)
*(1+'Parametri MTR-3'!$J$6)</f>
        <v>0</v>
      </c>
      <c r="G35" s="697">
        <f>INDEX(Import_CO_Comuni!$A$4:$AAA$323,MATCH($A35,Import_CO_Comuni!$A$4:$A$323,0),MATCH(G$3,Import_CO_Comuni!$A$4:$AAA$4,0))
*(1+'Parametri MTR-3'!$I$6)
*(1+'Parametri MTR-3'!$J$6)</f>
        <v>0</v>
      </c>
    </row>
    <row r="36" spans="1:7" outlineLevel="1" x14ac:dyDescent="0.2">
      <c r="A36" s="85" t="s">
        <v>3214</v>
      </c>
      <c r="B36" s="694" t="s">
        <v>23</v>
      </c>
      <c r="C36" s="695">
        <f t="shared" si="2"/>
        <v>0</v>
      </c>
      <c r="D36" s="6"/>
      <c r="E36" s="698">
        <f>INDEX(Import_CO_Comuni!$A$4:$AAA$323,MATCH($A36,Import_CO_Comuni!$A$4:$A$323,0),MATCH(E$3,Import_CO_Comuni!$A$4:$AAA$4,0))
*(1+'Parametri MTR-3'!$I$6)
*(1+'Parametri MTR-3'!$J$6)</f>
        <v>0</v>
      </c>
      <c r="F36" s="698">
        <f>INDEX(Import_CO_Comuni!$A$4:$AAA$323,MATCH($A36,Import_CO_Comuni!$A$4:$A$323,0),MATCH(F$3,Import_CO_Comuni!$A$4:$AAA$4,0))
*(1+'Parametri MTR-3'!$I$6)
*(1+'Parametri MTR-3'!$J$6)</f>
        <v>0</v>
      </c>
      <c r="G36" s="698">
        <f>INDEX(Import_CO_Comuni!$A$4:$AAA$323,MATCH($A36,Import_CO_Comuni!$A$4:$A$323,0),MATCH(G$3,Import_CO_Comuni!$A$4:$AAA$4,0))
*(1+'Parametri MTR-3'!$I$6)
*(1+'Parametri MTR-3'!$J$6)</f>
        <v>0</v>
      </c>
    </row>
    <row r="37" spans="1:7" outlineLevel="1" x14ac:dyDescent="0.2">
      <c r="A37" s="85" t="s">
        <v>3223</v>
      </c>
      <c r="B37" s="26" t="s">
        <v>24</v>
      </c>
      <c r="C37" s="27">
        <f t="shared" si="2"/>
        <v>30235.202642371227</v>
      </c>
      <c r="D37" s="6"/>
      <c r="E37" s="28">
        <f>INDEX(CK_COM!$A$3:$AAA$158,MATCH($A37,CK_COM!$A$3:$A$158,0),MATCH(E$3,CK_COM!$A$3:$AAA$3,0))</f>
        <v>0</v>
      </c>
      <c r="F37" s="28">
        <f>INDEX(CK_COM!$A$3:$AAA$158,MATCH($A37,CK_COM!$A$3:$A$158,0),MATCH(F$3,CK_COM!$A$3:$AAA$3,0))</f>
        <v>0</v>
      </c>
      <c r="G37" s="28">
        <f>INDEX(CK_COM!$A$3:$AAA$158,MATCH($A37,CK_COM!$A$3:$A$158,0),MATCH(G$3,CK_COM!$A$3:$AAA$3,0))</f>
        <v>30235.202642371227</v>
      </c>
    </row>
    <row r="38" spans="1:7" ht="11.4" outlineLevel="1" x14ac:dyDescent="0.2">
      <c r="A38" s="85" t="s">
        <v>3229</v>
      </c>
      <c r="B38" s="52" t="s">
        <v>25</v>
      </c>
      <c r="C38" s="53">
        <f t="shared" si="2"/>
        <v>0</v>
      </c>
      <c r="D38" s="6"/>
      <c r="E38" s="54">
        <f>INDEX(CK_COM!$A$3:$AAA$158,MATCH($A38,CK_COM!$A$3:$A$158,0),MATCH(E$3,CK_COM!$A$3:$AAA$3,0))</f>
        <v>0</v>
      </c>
      <c r="F38" s="54">
        <f>INDEX(CK_COM!$A$3:$AAA$158,MATCH($A38,CK_COM!$A$3:$A$158,0),MATCH(F$3,CK_COM!$A$3:$AAA$3,0))</f>
        <v>0</v>
      </c>
      <c r="G38" s="54">
        <f>INDEX(CK_COM!$A$3:$AAA$158,MATCH($A38,CK_COM!$A$3:$A$158,0),MATCH(G$3,CK_COM!$A$3:$AAA$3,0))</f>
        <v>0</v>
      </c>
    </row>
    <row r="39" spans="1:7" ht="11.4" outlineLevel="1" x14ac:dyDescent="0.2">
      <c r="A39" s="85" t="s">
        <v>3235</v>
      </c>
      <c r="B39" s="52" t="s">
        <v>5474</v>
      </c>
      <c r="C39" s="53">
        <f t="shared" si="2"/>
        <v>0</v>
      </c>
      <c r="D39" s="6"/>
      <c r="E39" s="54">
        <f>INDEX(CK_COM!$A$3:$AAA$158,MATCH($A39,CK_COM!$A$3:$A$158,0),MATCH(E$3,CK_COM!$A$3:$AAA$3,0))</f>
        <v>0</v>
      </c>
      <c r="F39" s="54">
        <f>INDEX(CK_COM!$A$3:$AAA$158,MATCH($A39,CK_COM!$A$3:$A$158,0),MATCH(F$3,CK_COM!$A$3:$AAA$3,0))</f>
        <v>0</v>
      </c>
      <c r="G39" s="54">
        <f>INDEX(CK_COM!$A$3:$AAA$158,MATCH($A39,CK_COM!$A$3:$A$158,0),MATCH(G$3,CK_COM!$A$3:$AAA$3,0))</f>
        <v>0</v>
      </c>
    </row>
    <row r="40" spans="1:7" outlineLevel="1" x14ac:dyDescent="0.2">
      <c r="A40" s="7" t="s">
        <v>5478</v>
      </c>
      <c r="B40" s="684" t="s">
        <v>17</v>
      </c>
      <c r="C40" s="685">
        <f t="shared" si="2"/>
        <v>54149.194963047281</v>
      </c>
      <c r="D40" s="6"/>
      <c r="E40" s="686">
        <f>E31+E32+E37+E38+E39</f>
        <v>0</v>
      </c>
      <c r="F40" s="686">
        <f>F31+F32+F37+F38+F39</f>
        <v>0</v>
      </c>
      <c r="G40" s="686">
        <f>G31+G32+G37+G38+G39</f>
        <v>54149.194963047281</v>
      </c>
    </row>
    <row r="41" spans="1:7" ht="11.4" outlineLevel="1" x14ac:dyDescent="0.2">
      <c r="A41" s="85" t="s">
        <v>1048</v>
      </c>
      <c r="B41" s="14" t="s">
        <v>5447</v>
      </c>
      <c r="C41" s="17">
        <f t="shared" si="2"/>
        <v>0</v>
      </c>
      <c r="D41" s="6"/>
      <c r="E41" s="16">
        <f>INDEX(IN_COexp!$A$3:$AAA$269,MATCH($A41,IN_COexp!$A$3:$A$269,0),MATCH(E$3,IN_COexp!$A$3:$AAA$3,0))</f>
        <v>0</v>
      </c>
      <c r="F41" s="16">
        <f>INDEX(IN_COexp!$A$3:$AAA$269,MATCH($A41,IN_COexp!$A$3:$A$269,0),MATCH(F$3,IN_COexp!$A$3:$AAA$3,0))</f>
        <v>0</v>
      </c>
      <c r="G41" s="16">
        <f>INDEX(IN_COexp!$A$3:$AAA$269,MATCH($A41,IN_COexp!$A$3:$A$269,0),MATCH(G$3,IN_COexp!$A$3:$AAA$3,0))</f>
        <v>0</v>
      </c>
    </row>
    <row r="42" spans="1:7" ht="11.4" outlineLevel="1" x14ac:dyDescent="0.2">
      <c r="A42" s="85" t="s">
        <v>1057</v>
      </c>
      <c r="B42" s="14" t="s">
        <v>5448</v>
      </c>
      <c r="C42" s="17">
        <f t="shared" si="2"/>
        <v>0</v>
      </c>
      <c r="D42" s="6"/>
      <c r="E42" s="16">
        <f>INDEX(IN_COexp!$A$3:$AAA$269,MATCH($A42,IN_COexp!$A$3:$A$269,0),MATCH(E$3,IN_COexp!$A$3:$AAA$3,0))</f>
        <v>0</v>
      </c>
      <c r="F42" s="16">
        <f>INDEX(IN_COexp!$A$3:$AAA$269,MATCH($A42,IN_COexp!$A$3:$A$269,0),MATCH(F$3,IN_COexp!$A$3:$AAA$3,0))</f>
        <v>0</v>
      </c>
      <c r="G42" s="16">
        <f>INDEX(IN_COexp!$A$3:$AAA$269,MATCH($A42,IN_COexp!$A$3:$A$269,0),MATCH(G$3,IN_COexp!$A$3:$AAA$3,0))</f>
        <v>0</v>
      </c>
    </row>
    <row r="43" spans="1:7" ht="11.4" outlineLevel="1" x14ac:dyDescent="0.2">
      <c r="A43" s="85" t="s">
        <v>2214</v>
      </c>
      <c r="B43" s="14" t="s">
        <v>6410</v>
      </c>
      <c r="C43" s="17">
        <f t="shared" si="2"/>
        <v>0</v>
      </c>
      <c r="D43" s="6"/>
      <c r="E43" s="18">
        <f>INDEX(IN_COexp!$A$3:$AAA$269,MATCH($A43,IN_COexp!$A$3:$A$269,0),MATCH(E$3,IN_COexp!$A$3:$AAA$3,0))</f>
        <v>0</v>
      </c>
      <c r="F43" s="18">
        <f>INDEX(IN_COexp!$A$3:$AAA$269,MATCH($A43,IN_COexp!$A$3:$A$269,0),MATCH(F$3,IN_COexp!$A$3:$AAA$3,0))</f>
        <v>0</v>
      </c>
      <c r="G43" s="18">
        <f>INDEX(IN_COexp!$A$3:$AAA$269,MATCH($A43,IN_COexp!$A$3:$A$269,0),MATCH(G$3,IN_COexp!$A$3:$AAA$3,0))</f>
        <v>0</v>
      </c>
    </row>
    <row r="44" spans="1:7" ht="11.4" outlineLevel="1" x14ac:dyDescent="0.2">
      <c r="A44" s="85" t="s">
        <v>2286</v>
      </c>
      <c r="B44" s="14" t="s">
        <v>6411</v>
      </c>
      <c r="C44" s="17">
        <f t="shared" si="2"/>
        <v>0</v>
      </c>
      <c r="D44" s="6"/>
      <c r="E44" s="18">
        <f>INDEX(IN_COexp!$A$3:$AAA$269,MATCH($A44,IN_COexp!$A$3:$A$269,0),MATCH(E$3,IN_COexp!$A$3:$AAA$3,0))</f>
        <v>0</v>
      </c>
      <c r="F44" s="18">
        <f>INDEX(IN_COexp!$A$3:$AAA$269,MATCH($A44,IN_COexp!$A$3:$A$269,0),MATCH(F$3,IN_COexp!$A$3:$AAA$3,0))</f>
        <v>0</v>
      </c>
      <c r="G44" s="18">
        <f>INDEX(IN_COexp!$A$3:$AAA$269,MATCH($A44,IN_COexp!$A$3:$A$269,0),MATCH(G$3,IN_COexp!$A$3:$AAA$3,0))</f>
        <v>0</v>
      </c>
    </row>
    <row r="45" spans="1:7" ht="11.4" outlineLevel="1" x14ac:dyDescent="0.2">
      <c r="A45" s="85" t="s">
        <v>1066</v>
      </c>
      <c r="B45" s="14" t="s">
        <v>5449</v>
      </c>
      <c r="C45" s="17">
        <f t="shared" si="2"/>
        <v>0</v>
      </c>
      <c r="D45" s="6"/>
      <c r="E45" s="16">
        <f>INDEX(IN_COexp!$A$3:$AAA$269,MATCH($A45,IN_COexp!$A$3:$A$269,0),MATCH(E$3,IN_COexp!$A$3:$AAA$3,0))</f>
        <v>0</v>
      </c>
      <c r="F45" s="16">
        <f>INDEX(IN_COexp!$A$3:$AAA$269,MATCH($A45,IN_COexp!$A$3:$A$269,0),MATCH(F$3,IN_COexp!$A$3:$AAA$3,0))</f>
        <v>0</v>
      </c>
      <c r="G45" s="16">
        <f>INDEX(IN_COexp!$A$3:$AAA$269,MATCH($A45,IN_COexp!$A$3:$A$269,0),MATCH(G$3,IN_COexp!$A$3:$AAA$3,0))</f>
        <v>0</v>
      </c>
    </row>
    <row r="46" spans="1:7" ht="11.4" outlineLevel="1" x14ac:dyDescent="0.2">
      <c r="A46" s="85" t="s">
        <v>3053</v>
      </c>
      <c r="B46" s="703" t="s">
        <v>26</v>
      </c>
      <c r="C46" s="704">
        <f t="shared" si="2"/>
        <v>0</v>
      </c>
      <c r="D46" s="6"/>
      <c r="E46" s="706">
        <f>INDEX('IN_RC-T'!$A$3:$AAA$865,MATCH($A46,'IN_RC-T'!$A$3:$A$865,0),MATCH(E$3,'IN_RC-T'!$A$3:$AAA$3,0))</f>
        <v>0</v>
      </c>
      <c r="F46" s="706">
        <f>INDEX('IN_RC-T'!$A$3:$AAA$865,MATCH($A46,'IN_RC-T'!$A$3:$A$865,0),MATCH(F$3,'IN_RC-T'!$A$3:$AAA$3,0))</f>
        <v>0</v>
      </c>
      <c r="G46" s="706">
        <f>INDEX('IN_RC-T'!$A$3:$AAA$865,MATCH($A46,'IN_RC-T'!$A$3:$A$865,0),MATCH(G$3,'IN_RC-T'!$A$3:$AAA$3,0))</f>
        <v>0</v>
      </c>
    </row>
    <row r="47" spans="1:7" ht="11.4" outlineLevel="1" x14ac:dyDescent="0.2">
      <c r="A47" s="7" t="s">
        <v>6796</v>
      </c>
      <c r="B47" s="705" t="s">
        <v>5450</v>
      </c>
      <c r="C47" s="985">
        <f t="shared" si="2"/>
        <v>0</v>
      </c>
      <c r="D47" s="986"/>
      <c r="E47" s="984">
        <f>INDEX('IN_RC-T'!$A$3:$AAA$865,MATCH($A47,'IN_RC-T'!$A$3:$A$865,0),MATCH(E$3,'IN_RC-T'!$A$3:$AAA$3,0))</f>
        <v>0</v>
      </c>
      <c r="F47" s="984">
        <f>INDEX('IN_RC-T'!$A$3:$AAA$865,MATCH($A47,'IN_RC-T'!$A$3:$A$865,0),MATCH(F$3,'IN_RC-T'!$A$3:$AAA$3,0))</f>
        <v>0</v>
      </c>
      <c r="G47" s="984">
        <f>INDEX('IN_RC-T'!$A$3:$AAA$865,MATCH($A47,'IN_RC-T'!$A$3:$A$865,0),MATCH(G$3,'IN_RC-T'!$A$3:$AAA$3,0))</f>
        <v>0</v>
      </c>
    </row>
    <row r="48" spans="1:7" outlineLevel="1" x14ac:dyDescent="0.2">
      <c r="A48" s="85" t="s">
        <v>3250</v>
      </c>
      <c r="B48" s="14" t="s">
        <v>10</v>
      </c>
      <c r="C48" s="15">
        <f t="shared" si="2"/>
        <v>0</v>
      </c>
      <c r="D48" s="6"/>
      <c r="E48" s="16">
        <f>INDEX(Import_CO_Comuni!$A$4:$AAA$323,MATCH($A48,Import_CO_Comuni!$A$4:$A$323,0),MATCH(E$3,Import_CO_Comuni!$A$4:$AAA$4,0))</f>
        <v>0</v>
      </c>
      <c r="F48" s="16">
        <f>INDEX(Import_CO_Comuni!$A$4:$AAA$323,MATCH($A48,Import_CO_Comuni!$A$4:$A$323,0),MATCH(F$3,Import_CO_Comuni!$A$4:$AAA$4,0))</f>
        <v>0</v>
      </c>
      <c r="G48" s="16">
        <f>INDEX(Import_CO_Comuni!$A$4:$AAA$323,MATCH($A48,Import_CO_Comuni!$A$4:$A$323,0),MATCH(G$3,Import_CO_Comuni!$A$4:$AAA$4,0))</f>
        <v>0</v>
      </c>
    </row>
    <row r="49" spans="1:7" x14ac:dyDescent="0.2">
      <c r="C49" s="25"/>
      <c r="D49" s="6"/>
      <c r="E49" s="5"/>
      <c r="F49" s="5"/>
      <c r="G49" s="5"/>
    </row>
    <row r="50" spans="1:7" s="13" customFormat="1" ht="19.5" customHeight="1" x14ac:dyDescent="0.3">
      <c r="A50" s="31" t="s">
        <v>5263</v>
      </c>
      <c r="B50" s="700" t="s">
        <v>5451</v>
      </c>
      <c r="C50" s="701">
        <f>SUM(E50:G50)</f>
        <v>54149.194963047281</v>
      </c>
      <c r="D50" s="6"/>
      <c r="E50" s="702">
        <f t="shared" ref="E50" si="3">E5+E24</f>
        <v>0</v>
      </c>
      <c r="F50" s="702">
        <f t="shared" ref="F50:G50" si="4">F5+F24</f>
        <v>0</v>
      </c>
      <c r="G50" s="702">
        <f t="shared" si="4"/>
        <v>54149.194963047281</v>
      </c>
    </row>
    <row r="51" spans="1:7" x14ac:dyDescent="0.2">
      <c r="B51" s="24"/>
      <c r="C51" s="25"/>
      <c r="D51" s="6"/>
      <c r="E51" s="5"/>
      <c r="F51" s="5"/>
      <c r="G51" s="5"/>
    </row>
    <row r="52" spans="1:7" x14ac:dyDescent="0.2">
      <c r="A52" s="85" t="s">
        <v>3646</v>
      </c>
      <c r="B52" s="682" t="s">
        <v>5453</v>
      </c>
      <c r="C52" s="213">
        <f>SUM(E52:G52)</f>
        <v>0</v>
      </c>
      <c r="D52" s="6"/>
      <c r="E52" s="215">
        <f>INDEX('IN_Detr 4.5 del_397'!$A$3:$AAA$1192,MATCH($A52,'IN_Detr 4.5 del_397'!$A$3:$A$1192,0),MATCH(E$3,'IN_Detr 4.5 del_397'!$A$3:$AAA$3,0))</f>
        <v>0</v>
      </c>
      <c r="F52" s="215">
        <f>INDEX('IN_Detr 4.5 del_397'!$A$3:$AAA$1192,MATCH($A52,'IN_Detr 4.5 del_397'!$A$3:$A$1192,0),MATCH(F$3,'IN_Detr 4.5 del_397'!$A$3:$AAA$3,0))</f>
        <v>0</v>
      </c>
      <c r="G52" s="215">
        <f>INDEX('IN_Detr 4.5 del_397'!$A$3:$AAA$1192,MATCH($A52,'IN_Detr 4.5 del_397'!$A$3:$A$1192,0),MATCH(G$3,'IN_Detr 4.5 del_397'!$A$3:$AAA$3,0))</f>
        <v>0</v>
      </c>
    </row>
    <row r="53" spans="1:7" x14ac:dyDescent="0.2">
      <c r="A53" s="85" t="s">
        <v>3643</v>
      </c>
      <c r="B53" s="683" t="s">
        <v>5454</v>
      </c>
      <c r="C53" s="214">
        <f>SUM(E53:G53)</f>
        <v>0</v>
      </c>
      <c r="D53" s="6"/>
      <c r="E53" s="216">
        <f>INDEX('IN_Detr 4.5 del_397'!$A$3:$AAA$1192,MATCH($A53,'IN_Detr 4.5 del_397'!$A$3:$A$1192,0),MATCH(E$3,'IN_Detr 4.5 del_397'!$A$3:$AAA$3,0))</f>
        <v>0</v>
      </c>
      <c r="F53" s="216">
        <f>INDEX('IN_Detr 4.5 del_397'!$A$3:$AAA$1192,MATCH($A53,'IN_Detr 4.5 del_397'!$A$3:$A$1192,0),MATCH(F$3,'IN_Detr 4.5 del_397'!$A$3:$AAA$3,0))</f>
        <v>0</v>
      </c>
      <c r="G53" s="216">
        <f>INDEX('IN_Detr 4.5 del_397'!$A$3:$AAA$1192,MATCH($A53,'IN_Detr 4.5 del_397'!$A$3:$A$1192,0),MATCH(G$3,'IN_Detr 4.5 del_397'!$A$3:$AAA$3,0))</f>
        <v>0</v>
      </c>
    </row>
    <row r="54" spans="1:7" ht="19.5" customHeight="1" x14ac:dyDescent="0.2">
      <c r="A54" s="85" t="s">
        <v>5479</v>
      </c>
      <c r="B54" s="681" t="s">
        <v>5455</v>
      </c>
      <c r="C54" s="131">
        <f>SUM(E54:G54)</f>
        <v>0</v>
      </c>
      <c r="D54" s="130"/>
      <c r="E54" s="132">
        <f>E52+E53</f>
        <v>0</v>
      </c>
      <c r="F54" s="132">
        <f>F52+F53</f>
        <v>0</v>
      </c>
      <c r="G54" s="132">
        <f>G52+G53</f>
        <v>0</v>
      </c>
    </row>
    <row r="56" spans="1:7" ht="11.4" x14ac:dyDescent="0.2">
      <c r="A56" s="31" t="s">
        <v>5480</v>
      </c>
      <c r="B56" s="700" t="s">
        <v>5471</v>
      </c>
      <c r="C56" s="701">
        <f t="shared" ref="C56:C66" si="5">SUM(E56:G56)</f>
        <v>0</v>
      </c>
      <c r="D56" s="6"/>
      <c r="E56" s="702">
        <f>SUM(E57:E66)-E70+E71+E73</f>
        <v>0</v>
      </c>
      <c r="F56" s="702">
        <f>SUM(F57:F66)-F70+F71+F73</f>
        <v>0</v>
      </c>
      <c r="G56" s="702">
        <f>SUM(G57:G66)-G70+G71+G73</f>
        <v>0</v>
      </c>
    </row>
    <row r="57" spans="1:7" outlineLevel="1" x14ac:dyDescent="0.2">
      <c r="A57" s="7" t="s">
        <v>3116</v>
      </c>
      <c r="B57" s="14" t="s">
        <v>1</v>
      </c>
      <c r="C57" s="15">
        <f t="shared" si="5"/>
        <v>0</v>
      </c>
      <c r="D57" s="6"/>
      <c r="E57" s="16">
        <f>INDEX('IN_Detr 4.5 del_397'!$A$3:$AAA$1192,MATCH($A57,'IN_Detr 4.5 del_397'!$A$3:$A$1192,0),MATCH(E$3,'IN_Detr 4.5 del_397'!$A$3:$AAA$3,0))</f>
        <v>0</v>
      </c>
      <c r="F57" s="16">
        <f>INDEX('IN_Detr 4.5 del_397'!$A$3:$AAA$1192,MATCH($A57,'IN_Detr 4.5 del_397'!$A$3:$A$1192,0),MATCH(F$3,'IN_Detr 4.5 del_397'!$A$3:$AAA$3,0))</f>
        <v>0</v>
      </c>
      <c r="G57" s="16">
        <f>INDEX('IN_Detr 4.5 del_397'!$A$3:$AAA$1192,MATCH($A57,'IN_Detr 4.5 del_397'!$A$3:$A$1192,0),MATCH(G$3,'IN_Detr 4.5 del_397'!$A$3:$AAA$3,0))</f>
        <v>0</v>
      </c>
    </row>
    <row r="58" spans="1:7" outlineLevel="1" x14ac:dyDescent="0.2">
      <c r="A58" s="7" t="s">
        <v>3122</v>
      </c>
      <c r="B58" s="14" t="s">
        <v>3</v>
      </c>
      <c r="C58" s="15">
        <f t="shared" si="5"/>
        <v>0</v>
      </c>
      <c r="D58" s="6"/>
      <c r="E58" s="16">
        <f>INDEX('IN_Detr 4.5 del_397'!$A$3:$AAA$1192,MATCH($A58,'IN_Detr 4.5 del_397'!$A$3:$A$1192,0),MATCH(E$3,'IN_Detr 4.5 del_397'!$A$3:$AAA$3,0))</f>
        <v>0</v>
      </c>
      <c r="F58" s="16">
        <f>INDEX('IN_Detr 4.5 del_397'!$A$3:$AAA$1192,MATCH($A58,'IN_Detr 4.5 del_397'!$A$3:$A$1192,0),MATCH(F$3,'IN_Detr 4.5 del_397'!$A$3:$AAA$3,0))</f>
        <v>0</v>
      </c>
      <c r="G58" s="16">
        <f>INDEX('IN_Detr 4.5 del_397'!$A$3:$AAA$1192,MATCH($A58,'IN_Detr 4.5 del_397'!$A$3:$A$1192,0),MATCH(G$3,'IN_Detr 4.5 del_397'!$A$3:$AAA$3,0))</f>
        <v>0</v>
      </c>
    </row>
    <row r="59" spans="1:7" outlineLevel="1" x14ac:dyDescent="0.2">
      <c r="A59" s="7" t="s">
        <v>3128</v>
      </c>
      <c r="B59" s="14" t="s">
        <v>4</v>
      </c>
      <c r="C59" s="15">
        <f t="shared" si="5"/>
        <v>0</v>
      </c>
      <c r="D59" s="6"/>
      <c r="E59" s="16">
        <f>INDEX('IN_Detr 4.5 del_397'!$A$3:$AAA$1192,MATCH($A59,'IN_Detr 4.5 del_397'!$A$3:$A$1192,0),MATCH(E$3,'IN_Detr 4.5 del_397'!$A$3:$AAA$3,0))</f>
        <v>0</v>
      </c>
      <c r="F59" s="16">
        <f>INDEX('IN_Detr 4.5 del_397'!$A$3:$AAA$1192,MATCH($A59,'IN_Detr 4.5 del_397'!$A$3:$A$1192,0),MATCH(F$3,'IN_Detr 4.5 del_397'!$A$3:$AAA$3,0))</f>
        <v>0</v>
      </c>
      <c r="G59" s="16">
        <f>INDEX('IN_Detr 4.5 del_397'!$A$3:$AAA$1192,MATCH($A59,'IN_Detr 4.5 del_397'!$A$3:$A$1192,0),MATCH(G$3,'IN_Detr 4.5 del_397'!$A$3:$AAA$3,0))</f>
        <v>0</v>
      </c>
    </row>
    <row r="60" spans="1:7" outlineLevel="1" x14ac:dyDescent="0.2">
      <c r="A60" s="7" t="s">
        <v>3134</v>
      </c>
      <c r="B60" s="14" t="s">
        <v>5</v>
      </c>
      <c r="C60" s="15">
        <f t="shared" si="5"/>
        <v>0</v>
      </c>
      <c r="D60" s="6"/>
      <c r="E60" s="16">
        <f>INDEX('IN_Detr 4.5 del_397'!$A$3:$AAA$1192,MATCH($A60,'IN_Detr 4.5 del_397'!$A$3:$A$1192,0),MATCH(E$3,'IN_Detr 4.5 del_397'!$A$3:$AAA$3,0))</f>
        <v>0</v>
      </c>
      <c r="F60" s="16">
        <f>INDEX('IN_Detr 4.5 del_397'!$A$3:$AAA$1192,MATCH($A60,'IN_Detr 4.5 del_397'!$A$3:$A$1192,0),MATCH(F$3,'IN_Detr 4.5 del_397'!$A$3:$AAA$3,0))</f>
        <v>0</v>
      </c>
      <c r="G60" s="16">
        <f>INDEX('IN_Detr 4.5 del_397'!$A$3:$AAA$1192,MATCH($A60,'IN_Detr 4.5 del_397'!$A$3:$A$1192,0),MATCH(G$3,'IN_Detr 4.5 del_397'!$A$3:$AAA$3,0))</f>
        <v>0</v>
      </c>
    </row>
    <row r="61" spans="1:7" ht="11.4" outlineLevel="1" x14ac:dyDescent="0.2">
      <c r="A61" s="85" t="s">
        <v>5481</v>
      </c>
      <c r="B61" s="14" t="s">
        <v>5438</v>
      </c>
      <c r="C61" s="17">
        <f t="shared" si="5"/>
        <v>0</v>
      </c>
      <c r="D61" s="6"/>
      <c r="E61" s="16">
        <f>E10</f>
        <v>0</v>
      </c>
      <c r="F61" s="16">
        <f>F10</f>
        <v>0</v>
      </c>
      <c r="G61" s="16">
        <f>G10</f>
        <v>0</v>
      </c>
    </row>
    <row r="62" spans="1:7" ht="11.4" outlineLevel="1" x14ac:dyDescent="0.2">
      <c r="A62" s="85" t="s">
        <v>5482</v>
      </c>
      <c r="B62" s="14" t="s">
        <v>5439</v>
      </c>
      <c r="C62" s="17">
        <f t="shared" si="5"/>
        <v>0</v>
      </c>
      <c r="D62" s="6"/>
      <c r="E62" s="18">
        <f t="shared" ref="E62:E66" si="6">E11</f>
        <v>0</v>
      </c>
      <c r="F62" s="18">
        <f t="shared" ref="F62:G62" si="7">F11</f>
        <v>0</v>
      </c>
      <c r="G62" s="18">
        <f t="shared" si="7"/>
        <v>0</v>
      </c>
    </row>
    <row r="63" spans="1:7" ht="11.4" outlineLevel="1" x14ac:dyDescent="0.2">
      <c r="A63" s="85" t="s">
        <v>5483</v>
      </c>
      <c r="B63" s="14" t="s">
        <v>5440</v>
      </c>
      <c r="C63" s="17">
        <f t="shared" si="5"/>
        <v>0</v>
      </c>
      <c r="D63" s="6"/>
      <c r="E63" s="18">
        <f t="shared" si="6"/>
        <v>0</v>
      </c>
      <c r="F63" s="18">
        <f t="shared" ref="F63:G63" si="8">F12</f>
        <v>0</v>
      </c>
      <c r="G63" s="18">
        <f t="shared" si="8"/>
        <v>0</v>
      </c>
    </row>
    <row r="64" spans="1:7" ht="11.4" outlineLevel="1" x14ac:dyDescent="0.2">
      <c r="A64" s="85" t="s">
        <v>5484</v>
      </c>
      <c r="B64" s="14" t="s">
        <v>5441</v>
      </c>
      <c r="C64" s="17">
        <f t="shared" si="5"/>
        <v>0</v>
      </c>
      <c r="D64" s="6"/>
      <c r="E64" s="18">
        <f t="shared" si="6"/>
        <v>0</v>
      </c>
      <c r="F64" s="18">
        <f t="shared" ref="F64:G64" si="9">F13</f>
        <v>0</v>
      </c>
      <c r="G64" s="18">
        <f t="shared" si="9"/>
        <v>0</v>
      </c>
    </row>
    <row r="65" spans="1:7" ht="11.4" outlineLevel="1" x14ac:dyDescent="0.2">
      <c r="A65" s="85" t="s">
        <v>5485</v>
      </c>
      <c r="B65" s="14" t="s">
        <v>5442</v>
      </c>
      <c r="C65" s="17">
        <f t="shared" si="5"/>
        <v>0</v>
      </c>
      <c r="D65" s="6"/>
      <c r="E65" s="18">
        <f t="shared" si="6"/>
        <v>0</v>
      </c>
      <c r="F65" s="18">
        <f t="shared" ref="F65:G65" si="10">F14</f>
        <v>0</v>
      </c>
      <c r="G65" s="18">
        <f t="shared" si="10"/>
        <v>0</v>
      </c>
    </row>
    <row r="66" spans="1:7" ht="11.4" outlineLevel="1" x14ac:dyDescent="0.2">
      <c r="A66" s="85" t="s">
        <v>5486</v>
      </c>
      <c r="B66" s="14" t="s">
        <v>5443</v>
      </c>
      <c r="C66" s="17">
        <f t="shared" si="5"/>
        <v>0</v>
      </c>
      <c r="D66" s="6"/>
      <c r="E66" s="18">
        <f t="shared" si="6"/>
        <v>0</v>
      </c>
      <c r="F66" s="18">
        <f t="shared" ref="F66:G66" si="11">F15</f>
        <v>0</v>
      </c>
      <c r="G66" s="18">
        <f t="shared" si="11"/>
        <v>0</v>
      </c>
    </row>
    <row r="67" spans="1:7" outlineLevel="1" x14ac:dyDescent="0.2">
      <c r="A67" s="85" t="s">
        <v>968</v>
      </c>
      <c r="B67" s="736" t="s">
        <v>7</v>
      </c>
      <c r="C67" s="737"/>
      <c r="D67" s="19"/>
      <c r="E67" s="740">
        <f t="shared" ref="E67:E69" si="12">E16</f>
        <v>0.7</v>
      </c>
      <c r="F67" s="740">
        <f t="shared" ref="F67:G67" si="13">F16</f>
        <v>0</v>
      </c>
      <c r="G67" s="740">
        <f t="shared" si="13"/>
        <v>0</v>
      </c>
    </row>
    <row r="68" spans="1:7" outlineLevel="1" x14ac:dyDescent="0.2">
      <c r="A68" s="7" t="s">
        <v>5487</v>
      </c>
      <c r="B68" s="26" t="s">
        <v>6</v>
      </c>
      <c r="C68" s="27">
        <f t="shared" ref="C68:C73" si="14">SUM(E68:G68)</f>
        <v>0</v>
      </c>
      <c r="D68" s="6"/>
      <c r="E68" s="28">
        <f t="shared" si="12"/>
        <v>0</v>
      </c>
      <c r="F68" s="28">
        <f t="shared" ref="F68:G68" si="15">F17</f>
        <v>0</v>
      </c>
      <c r="G68" s="28">
        <f t="shared" si="15"/>
        <v>0</v>
      </c>
    </row>
    <row r="69" spans="1:7" ht="11.4" outlineLevel="1" x14ac:dyDescent="0.2">
      <c r="A69" s="7" t="s">
        <v>5488</v>
      </c>
      <c r="B69" s="26" t="s">
        <v>101</v>
      </c>
      <c r="C69" s="27">
        <f t="shared" si="14"/>
        <v>0</v>
      </c>
      <c r="D69" s="6"/>
      <c r="E69" s="28">
        <f t="shared" si="12"/>
        <v>0</v>
      </c>
      <c r="F69" s="28">
        <f t="shared" ref="F69:G69" si="16">F18</f>
        <v>0</v>
      </c>
      <c r="G69" s="28">
        <f t="shared" si="16"/>
        <v>0</v>
      </c>
    </row>
    <row r="70" spans="1:7" ht="11.4" outlineLevel="1" x14ac:dyDescent="0.2">
      <c r="A70" s="7" t="s">
        <v>5911</v>
      </c>
      <c r="B70" s="738" t="s">
        <v>5437</v>
      </c>
      <c r="C70" s="739">
        <f t="shared" si="14"/>
        <v>0</v>
      </c>
      <c r="D70" s="6"/>
      <c r="E70" s="741">
        <f>E67*(E68+E69)</f>
        <v>0</v>
      </c>
      <c r="F70" s="741">
        <f>F67*(F68+F69)</f>
        <v>0</v>
      </c>
      <c r="G70" s="741">
        <f>G67*(G68+G69)</f>
        <v>0</v>
      </c>
    </row>
    <row r="71" spans="1:7" ht="11.4" outlineLevel="1" x14ac:dyDescent="0.2">
      <c r="A71" s="85" t="s">
        <v>3150</v>
      </c>
      <c r="B71" s="703" t="s">
        <v>102</v>
      </c>
      <c r="C71" s="704">
        <f t="shared" si="14"/>
        <v>0</v>
      </c>
      <c r="D71" s="6"/>
      <c r="E71" s="706">
        <f>INDEX('IN_Detr 4.5 del_397'!$A$3:$AAA$1192,MATCH($A71,'IN_Detr 4.5 del_397'!$A$3:$A$1192,0),MATCH(E$3,'IN_Detr 4.5 del_397'!$A$3:$AAA$3,0))</f>
        <v>0</v>
      </c>
      <c r="F71" s="706">
        <f>INDEX('IN_Detr 4.5 del_397'!$A$3:$AAA$1192,MATCH($A71,'IN_Detr 4.5 del_397'!$A$3:$A$1192,0),MATCH(F$3,'IN_Detr 4.5 del_397'!$A$3:$AAA$3,0))</f>
        <v>0</v>
      </c>
      <c r="G71" s="706">
        <f>INDEX('IN_Detr 4.5 del_397'!$A$3:$AAA$1192,MATCH($A71,'IN_Detr 4.5 del_397'!$A$3:$A$1192,0),MATCH(G$3,'IN_Detr 4.5 del_397'!$A$3:$AAA$3,0))</f>
        <v>0</v>
      </c>
    </row>
    <row r="72" spans="1:7" ht="11.4" outlineLevel="1" x14ac:dyDescent="0.2">
      <c r="A72" s="7" t="s">
        <v>6945</v>
      </c>
      <c r="B72" s="705" t="s">
        <v>5444</v>
      </c>
      <c r="C72" s="987">
        <f t="shared" si="14"/>
        <v>0</v>
      </c>
      <c r="D72" s="988"/>
      <c r="E72" s="989">
        <f>INDEX('IN_Detr 4.5 del_397'!$A$3:$AAA$1192,MATCH($A72,'IN_Detr 4.5 del_397'!$A$3:$A$1192,0),MATCH(E$3,'IN_Detr 4.5 del_397'!$A$3:$AAA$3,0))</f>
        <v>0</v>
      </c>
      <c r="F72" s="989">
        <f>INDEX('IN_Detr 4.5 del_397'!$A$3:$AAA$1192,MATCH($A72,'IN_Detr 4.5 del_397'!$A$3:$A$1192,0),MATCH(F$3,'IN_Detr 4.5 del_397'!$A$3:$AAA$3,0))</f>
        <v>0</v>
      </c>
      <c r="G72" s="989">
        <f>INDEX('IN_Detr 4.5 del_397'!$A$3:$AAA$1192,MATCH($A72,'IN_Detr 4.5 del_397'!$A$3:$A$1192,0),MATCH(G$3,'IN_Detr 4.5 del_397'!$A$3:$AAA$3,0))</f>
        <v>0</v>
      </c>
    </row>
    <row r="73" spans="1:7" outlineLevel="1" x14ac:dyDescent="0.2">
      <c r="A73" s="85" t="s">
        <v>3153</v>
      </c>
      <c r="B73" s="14" t="s">
        <v>109</v>
      </c>
      <c r="C73" s="15">
        <f t="shared" si="14"/>
        <v>0</v>
      </c>
      <c r="D73" s="6"/>
      <c r="E73" s="16">
        <f>INDEX('IN_Detr 4.5 del_397'!$A$3:$AAA$1192,MATCH($A73,'IN_Detr 4.5 del_397'!$A$3:$A$1192,0),MATCH(E$3,'IN_Detr 4.5 del_397'!$A$3:$AAA$3,0))</f>
        <v>0</v>
      </c>
      <c r="F73" s="16">
        <f>INDEX('IN_Detr 4.5 del_397'!$A$3:$AAA$1192,MATCH($A73,'IN_Detr 4.5 del_397'!$A$3:$A$1192,0),MATCH(F$3,'IN_Detr 4.5 del_397'!$A$3:$AAA$3,0))</f>
        <v>0</v>
      </c>
      <c r="G73" s="16">
        <f>INDEX('IN_Detr 4.5 del_397'!$A$3:$AAA$1192,MATCH($A73,'IN_Detr 4.5 del_397'!$A$3:$A$1192,0),MATCH(G$3,'IN_Detr 4.5 del_397'!$A$3:$AAA$3,0))</f>
        <v>0</v>
      </c>
    </row>
    <row r="74" spans="1:7" outlineLevel="1" x14ac:dyDescent="0.2">
      <c r="B74" s="24"/>
      <c r="C74" s="25"/>
      <c r="D74" s="6"/>
      <c r="E74" s="5"/>
      <c r="F74" s="5"/>
      <c r="G74" s="5"/>
    </row>
    <row r="75" spans="1:7" s="359" customFormat="1" ht="20.399999999999999" outlineLevel="1" x14ac:dyDescent="0.2">
      <c r="A75" s="356"/>
      <c r="B75" s="360"/>
      <c r="C75" s="358" t="str">
        <f>C3</f>
        <v>TOTALE</v>
      </c>
      <c r="D75" s="357"/>
      <c r="E75" s="358" t="str">
        <f t="shared" ref="E75" si="17">E3</f>
        <v>BUSTO ARSIZIO</v>
      </c>
      <c r="F75" s="358" t="str">
        <f t="shared" ref="F75:G75" si="18">F3</f>
        <v>FAGNANO OLONA</v>
      </c>
      <c r="G75" s="358" t="str">
        <f t="shared" si="18"/>
        <v>VENEGONO SUPERIORE</v>
      </c>
    </row>
    <row r="76" spans="1:7" ht="11.4" outlineLevel="1" x14ac:dyDescent="0.2">
      <c r="A76" s="31" t="s">
        <v>5489</v>
      </c>
      <c r="B76" s="700" t="s">
        <v>5472</v>
      </c>
      <c r="C76" s="701">
        <f t="shared" ref="C76:C100" si="19">SUM(E76:G76)</f>
        <v>54149.194963047281</v>
      </c>
      <c r="D76" s="6"/>
      <c r="E76" s="702">
        <f>E77+E82+E92+SUM(E93:E98)+E100</f>
        <v>0</v>
      </c>
      <c r="F76" s="702">
        <f>F77+F82+F92+SUM(F93:F98)+F100</f>
        <v>0</v>
      </c>
      <c r="G76" s="702">
        <f>G77+G82+G92+SUM(G93:G98)+G100</f>
        <v>54149.194963047281</v>
      </c>
    </row>
    <row r="77" spans="1:7" outlineLevel="1" x14ac:dyDescent="0.2">
      <c r="A77" s="7" t="s">
        <v>3159</v>
      </c>
      <c r="B77" s="14" t="s">
        <v>11</v>
      </c>
      <c r="C77" s="15">
        <f t="shared" si="19"/>
        <v>0</v>
      </c>
      <c r="D77" s="6"/>
      <c r="E77" s="16">
        <f>INDEX('IN_Detr 4.5 del_397'!$A$3:$AAA$1192,MATCH($A77,'IN_Detr 4.5 del_397'!$A$3:$A$1192,0),MATCH(E$3,'IN_Detr 4.5 del_397'!$A$3:$AAA$3,0))</f>
        <v>0</v>
      </c>
      <c r="F77" s="16">
        <f>INDEX('IN_Detr 4.5 del_397'!$A$3:$AAA$1192,MATCH($A77,'IN_Detr 4.5 del_397'!$A$3:$A$1192,0),MATCH(F$3,'IN_Detr 4.5 del_397'!$A$3:$AAA$3,0))</f>
        <v>0</v>
      </c>
      <c r="G77" s="16">
        <f>INDEX('IN_Detr 4.5 del_397'!$A$3:$AAA$1192,MATCH($A77,'IN_Detr 4.5 del_397'!$A$3:$A$1192,0),MATCH(G$3,'IN_Detr 4.5 del_397'!$A$3:$AAA$3,0))</f>
        <v>0</v>
      </c>
    </row>
    <row r="78" spans="1:7" outlineLevel="1" x14ac:dyDescent="0.2">
      <c r="A78" s="7" t="s">
        <v>3165</v>
      </c>
      <c r="B78" s="26" t="s">
        <v>13</v>
      </c>
      <c r="C78" s="27">
        <f t="shared" si="19"/>
        <v>0</v>
      </c>
      <c r="D78" s="6"/>
      <c r="E78" s="28">
        <f>INDEX('IN_Detr 4.5 del_397'!$A$3:$AAA$1192,MATCH($A78,'IN_Detr 4.5 del_397'!$A$3:$A$1192,0),MATCH(E$3,'IN_Detr 4.5 del_397'!$A$3:$AAA$3,0))</f>
        <v>0</v>
      </c>
      <c r="F78" s="28">
        <f>INDEX('IN_Detr 4.5 del_397'!$A$3:$AAA$1192,MATCH($A78,'IN_Detr 4.5 del_397'!$A$3:$A$1192,0),MATCH(F$3,'IN_Detr 4.5 del_397'!$A$3:$AAA$3,0))</f>
        <v>0</v>
      </c>
      <c r="G78" s="28">
        <f>INDEX('IN_Detr 4.5 del_397'!$A$3:$AAA$1192,MATCH($A78,'IN_Detr 4.5 del_397'!$A$3:$A$1192,0),MATCH(G$3,'IN_Detr 4.5 del_397'!$A$3:$AAA$3,0))</f>
        <v>0</v>
      </c>
    </row>
    <row r="79" spans="1:7" outlineLevel="1" x14ac:dyDescent="0.2">
      <c r="A79" s="7" t="s">
        <v>3171</v>
      </c>
      <c r="B79" s="26" t="s">
        <v>14</v>
      </c>
      <c r="C79" s="27">
        <f t="shared" si="19"/>
        <v>0</v>
      </c>
      <c r="D79" s="6"/>
      <c r="E79" s="28">
        <f>INDEX('IN_Detr 4.5 del_397'!$A$3:$AAA$1192,MATCH($A79,'IN_Detr 4.5 del_397'!$A$3:$A$1192,0),MATCH(E$3,'IN_Detr 4.5 del_397'!$A$3:$AAA$3,0))</f>
        <v>0</v>
      </c>
      <c r="F79" s="28">
        <f>INDEX('IN_Detr 4.5 del_397'!$A$3:$AAA$1192,MATCH($A79,'IN_Detr 4.5 del_397'!$A$3:$A$1192,0),MATCH(F$3,'IN_Detr 4.5 del_397'!$A$3:$AAA$3,0))</f>
        <v>0</v>
      </c>
      <c r="G79" s="28">
        <f>INDEX('IN_Detr 4.5 del_397'!$A$3:$AAA$1192,MATCH($A79,'IN_Detr 4.5 del_397'!$A$3:$A$1192,0),MATCH(G$3,'IN_Detr 4.5 del_397'!$A$3:$AAA$3,0))</f>
        <v>0</v>
      </c>
    </row>
    <row r="80" spans="1:7" outlineLevel="1" x14ac:dyDescent="0.2">
      <c r="A80" s="7" t="s">
        <v>3177</v>
      </c>
      <c r="B80" s="26" t="s">
        <v>15</v>
      </c>
      <c r="C80" s="27">
        <f t="shared" si="19"/>
        <v>0</v>
      </c>
      <c r="D80" s="6"/>
      <c r="E80" s="28">
        <f>INDEX('IN_Detr 4.5 del_397'!$A$3:$AAA$1192,MATCH($A80,'IN_Detr 4.5 del_397'!$A$3:$A$1192,0),MATCH(E$3,'IN_Detr 4.5 del_397'!$A$3:$AAA$3,0))</f>
        <v>0</v>
      </c>
      <c r="F80" s="28">
        <f>INDEX('IN_Detr 4.5 del_397'!$A$3:$AAA$1192,MATCH($A80,'IN_Detr 4.5 del_397'!$A$3:$A$1192,0),MATCH(F$3,'IN_Detr 4.5 del_397'!$A$3:$AAA$3,0))</f>
        <v>0</v>
      </c>
      <c r="G80" s="28">
        <f>INDEX('IN_Detr 4.5 del_397'!$A$3:$AAA$1192,MATCH($A80,'IN_Detr 4.5 del_397'!$A$3:$A$1192,0),MATCH(G$3,'IN_Detr 4.5 del_397'!$A$3:$AAA$3,0))</f>
        <v>0</v>
      </c>
    </row>
    <row r="81" spans="1:7" ht="11.4" outlineLevel="1" x14ac:dyDescent="0.2">
      <c r="A81" s="7" t="s">
        <v>3183</v>
      </c>
      <c r="B81" s="52" t="s">
        <v>16</v>
      </c>
      <c r="C81" s="53">
        <f t="shared" si="19"/>
        <v>0</v>
      </c>
      <c r="D81" s="6"/>
      <c r="E81" s="54">
        <f>INDEX('IN_Detr 4.5 del_397'!$A$3:$AAA$1192,MATCH($A81,'IN_Detr 4.5 del_397'!$A$3:$A$1192,0),MATCH(E$3,'IN_Detr 4.5 del_397'!$A$3:$AAA$3,0))</f>
        <v>0</v>
      </c>
      <c r="F81" s="54">
        <f>INDEX('IN_Detr 4.5 del_397'!$A$3:$AAA$1192,MATCH($A81,'IN_Detr 4.5 del_397'!$A$3:$A$1192,0),MATCH(F$3,'IN_Detr 4.5 del_397'!$A$3:$AAA$3,0))</f>
        <v>0</v>
      </c>
      <c r="G81" s="54">
        <f>INDEX('IN_Detr 4.5 del_397'!$A$3:$AAA$1192,MATCH($A81,'IN_Detr 4.5 del_397'!$A$3:$A$1192,0),MATCH(G$3,'IN_Detr 4.5 del_397'!$A$3:$AAA$3,0))</f>
        <v>0</v>
      </c>
    </row>
    <row r="82" spans="1:7" outlineLevel="1" x14ac:dyDescent="0.2">
      <c r="A82" s="7" t="s">
        <v>5490</v>
      </c>
      <c r="B82" s="684" t="s">
        <v>12</v>
      </c>
      <c r="C82" s="685">
        <f t="shared" si="19"/>
        <v>0</v>
      </c>
      <c r="D82" s="6"/>
      <c r="E82" s="686">
        <f>SUM(E78:E81)</f>
        <v>0</v>
      </c>
      <c r="F82" s="686">
        <f>SUM(F78:F81)</f>
        <v>0</v>
      </c>
      <c r="G82" s="686">
        <f>SUM(G78:G81)</f>
        <v>0</v>
      </c>
    </row>
    <row r="83" spans="1:7" outlineLevel="1" x14ac:dyDescent="0.2">
      <c r="A83" s="85" t="s">
        <v>3189</v>
      </c>
      <c r="B83" s="26" t="s">
        <v>18</v>
      </c>
      <c r="C83" s="27">
        <f t="shared" si="19"/>
        <v>23913.992320676058</v>
      </c>
      <c r="D83" s="6"/>
      <c r="E83" s="28">
        <f>INDEX('IN_Detr 4.5 del_397'!$A$3:$AAA$1192,MATCH($A83,'IN_Detr 4.5 del_397'!$A$3:$A$1192,0),MATCH(E$3,'IN_Detr 4.5 del_397'!$A$3:$AAA$3,0))</f>
        <v>0</v>
      </c>
      <c r="F83" s="28">
        <f>INDEX('IN_Detr 4.5 del_397'!$A$3:$AAA$1192,MATCH($A83,'IN_Detr 4.5 del_397'!$A$3:$A$1192,0),MATCH(F$3,'IN_Detr 4.5 del_397'!$A$3:$AAA$3,0))</f>
        <v>0</v>
      </c>
      <c r="G83" s="28">
        <f>INDEX('IN_Detr 4.5 del_397'!$A$3:$AAA$1192,MATCH($A83,'IN_Detr 4.5 del_397'!$A$3:$A$1192,0),MATCH(G$3,'IN_Detr 4.5 del_397'!$A$3:$AAA$3,0))</f>
        <v>23913.992320676058</v>
      </c>
    </row>
    <row r="84" spans="1:7" outlineLevel="1" x14ac:dyDescent="0.2">
      <c r="A84" s="7" t="s">
        <v>3219</v>
      </c>
      <c r="B84" s="687" t="s">
        <v>19</v>
      </c>
      <c r="C84" s="688">
        <f t="shared" si="19"/>
        <v>0</v>
      </c>
      <c r="D84" s="6"/>
      <c r="E84" s="689">
        <f>SUM(E85:E88)</f>
        <v>0</v>
      </c>
      <c r="F84" s="689">
        <f>SUM(F85:F88)</f>
        <v>0</v>
      </c>
      <c r="G84" s="689">
        <f>SUM(G85:G88)</f>
        <v>0</v>
      </c>
    </row>
    <row r="85" spans="1:7" outlineLevel="1" x14ac:dyDescent="0.2">
      <c r="A85" s="85" t="s">
        <v>3207</v>
      </c>
      <c r="B85" s="690" t="s">
        <v>20</v>
      </c>
      <c r="C85" s="691">
        <f t="shared" si="19"/>
        <v>0</v>
      </c>
      <c r="D85" s="6"/>
      <c r="E85" s="696">
        <f>INDEX('IN_Detr 4.5 del_397'!$A$3:$AAA$1192,MATCH($A85,'IN_Detr 4.5 del_397'!$A$3:$A$1192,0),MATCH(E$3,'IN_Detr 4.5 del_397'!$A$3:$AAA$3,0))</f>
        <v>0</v>
      </c>
      <c r="F85" s="696">
        <f>INDEX('IN_Detr 4.5 del_397'!$A$3:$AAA$1192,MATCH($A85,'IN_Detr 4.5 del_397'!$A$3:$A$1192,0),MATCH(F$3,'IN_Detr 4.5 del_397'!$A$3:$AAA$3,0))</f>
        <v>0</v>
      </c>
      <c r="G85" s="696">
        <f>INDEX('IN_Detr 4.5 del_397'!$A$3:$AAA$1192,MATCH($A85,'IN_Detr 4.5 del_397'!$A$3:$A$1192,0),MATCH(G$3,'IN_Detr 4.5 del_397'!$A$3:$AAA$3,0))</f>
        <v>0</v>
      </c>
    </row>
    <row r="86" spans="1:7" outlineLevel="1" x14ac:dyDescent="0.2">
      <c r="A86" s="85" t="s">
        <v>3210</v>
      </c>
      <c r="B86" s="692" t="s">
        <v>21</v>
      </c>
      <c r="C86" s="693">
        <f t="shared" si="19"/>
        <v>0</v>
      </c>
      <c r="D86" s="6"/>
      <c r="E86" s="697">
        <f>INDEX('IN_Detr 4.5 del_397'!$A$3:$AAA$1192,MATCH($A86,'IN_Detr 4.5 del_397'!$A$3:$A$1192,0),MATCH(E$3,'IN_Detr 4.5 del_397'!$A$3:$AAA$3,0))</f>
        <v>0</v>
      </c>
      <c r="F86" s="697">
        <f>INDEX('IN_Detr 4.5 del_397'!$A$3:$AAA$1192,MATCH($A86,'IN_Detr 4.5 del_397'!$A$3:$A$1192,0),MATCH(F$3,'IN_Detr 4.5 del_397'!$A$3:$AAA$3,0))</f>
        <v>0</v>
      </c>
      <c r="G86" s="697">
        <f>INDEX('IN_Detr 4.5 del_397'!$A$3:$AAA$1192,MATCH($A86,'IN_Detr 4.5 del_397'!$A$3:$A$1192,0),MATCH(G$3,'IN_Detr 4.5 del_397'!$A$3:$AAA$3,0))</f>
        <v>0</v>
      </c>
    </row>
    <row r="87" spans="1:7" outlineLevel="1" x14ac:dyDescent="0.2">
      <c r="A87" s="85" t="s">
        <v>3213</v>
      </c>
      <c r="B87" s="692" t="s">
        <v>22</v>
      </c>
      <c r="C87" s="693">
        <f t="shared" si="19"/>
        <v>0</v>
      </c>
      <c r="D87" s="6"/>
      <c r="E87" s="697">
        <f>INDEX('IN_Detr 4.5 del_397'!$A$3:$AAA$1192,MATCH($A87,'IN_Detr 4.5 del_397'!$A$3:$A$1192,0),MATCH(E$3,'IN_Detr 4.5 del_397'!$A$3:$AAA$3,0))</f>
        <v>0</v>
      </c>
      <c r="F87" s="697">
        <f>INDEX('IN_Detr 4.5 del_397'!$A$3:$AAA$1192,MATCH($A87,'IN_Detr 4.5 del_397'!$A$3:$A$1192,0),MATCH(F$3,'IN_Detr 4.5 del_397'!$A$3:$AAA$3,0))</f>
        <v>0</v>
      </c>
      <c r="G87" s="697">
        <f>INDEX('IN_Detr 4.5 del_397'!$A$3:$AAA$1192,MATCH($A87,'IN_Detr 4.5 del_397'!$A$3:$A$1192,0),MATCH(G$3,'IN_Detr 4.5 del_397'!$A$3:$AAA$3,0))</f>
        <v>0</v>
      </c>
    </row>
    <row r="88" spans="1:7" outlineLevel="1" x14ac:dyDescent="0.2">
      <c r="A88" s="85" t="s">
        <v>3216</v>
      </c>
      <c r="B88" s="694" t="s">
        <v>23</v>
      </c>
      <c r="C88" s="695">
        <f t="shared" si="19"/>
        <v>0</v>
      </c>
      <c r="D88" s="6"/>
      <c r="E88" s="698">
        <f>INDEX('IN_Detr 4.5 del_397'!$A$3:$AAA$1192,MATCH($A88,'IN_Detr 4.5 del_397'!$A$3:$A$1192,0),MATCH(E$3,'IN_Detr 4.5 del_397'!$A$3:$AAA$3,0))</f>
        <v>0</v>
      </c>
      <c r="F88" s="698">
        <f>INDEX('IN_Detr 4.5 del_397'!$A$3:$AAA$1192,MATCH($A88,'IN_Detr 4.5 del_397'!$A$3:$A$1192,0),MATCH(F$3,'IN_Detr 4.5 del_397'!$A$3:$AAA$3,0))</f>
        <v>0</v>
      </c>
      <c r="G88" s="698">
        <f>INDEX('IN_Detr 4.5 del_397'!$A$3:$AAA$1192,MATCH($A88,'IN_Detr 4.5 del_397'!$A$3:$A$1192,0),MATCH(G$3,'IN_Detr 4.5 del_397'!$A$3:$AAA$3,0))</f>
        <v>0</v>
      </c>
    </row>
    <row r="89" spans="1:7" outlineLevel="1" x14ac:dyDescent="0.2">
      <c r="A89" s="85" t="s">
        <v>3225</v>
      </c>
      <c r="B89" s="26" t="s">
        <v>24</v>
      </c>
      <c r="C89" s="27">
        <f t="shared" si="19"/>
        <v>30235.202642371227</v>
      </c>
      <c r="D89" s="6"/>
      <c r="E89" s="28">
        <f>INDEX('IN_Detr 4.5 del_397'!$A$3:$AAA$1192,MATCH($A89,'IN_Detr 4.5 del_397'!$A$3:$A$1192,0),MATCH(E$3,'IN_Detr 4.5 del_397'!$A$3:$AAA$3,0))</f>
        <v>0</v>
      </c>
      <c r="F89" s="28">
        <f>INDEX('IN_Detr 4.5 del_397'!$A$3:$AAA$1192,MATCH($A89,'IN_Detr 4.5 del_397'!$A$3:$A$1192,0),MATCH(F$3,'IN_Detr 4.5 del_397'!$A$3:$AAA$3,0))</f>
        <v>0</v>
      </c>
      <c r="G89" s="28">
        <f>INDEX('IN_Detr 4.5 del_397'!$A$3:$AAA$1192,MATCH($A89,'IN_Detr 4.5 del_397'!$A$3:$A$1192,0),MATCH(G$3,'IN_Detr 4.5 del_397'!$A$3:$AAA$3,0))</f>
        <v>30235.202642371227</v>
      </c>
    </row>
    <row r="90" spans="1:7" ht="11.4" outlineLevel="1" x14ac:dyDescent="0.2">
      <c r="A90" s="85" t="s">
        <v>3231</v>
      </c>
      <c r="B90" s="52" t="s">
        <v>25</v>
      </c>
      <c r="C90" s="53">
        <f t="shared" si="19"/>
        <v>0</v>
      </c>
      <c r="D90" s="6"/>
      <c r="E90" s="54">
        <f>INDEX('IN_Detr 4.5 del_397'!$A$3:$AAA$1192,MATCH($A90,'IN_Detr 4.5 del_397'!$A$3:$A$1192,0),MATCH(E$3,'IN_Detr 4.5 del_397'!$A$3:$AAA$3,0))</f>
        <v>0</v>
      </c>
      <c r="F90" s="54">
        <f>INDEX('IN_Detr 4.5 del_397'!$A$3:$AAA$1192,MATCH($A90,'IN_Detr 4.5 del_397'!$A$3:$A$1192,0),MATCH(F$3,'IN_Detr 4.5 del_397'!$A$3:$AAA$3,0))</f>
        <v>0</v>
      </c>
      <c r="G90" s="54">
        <f>INDEX('IN_Detr 4.5 del_397'!$A$3:$AAA$1192,MATCH($A90,'IN_Detr 4.5 del_397'!$A$3:$A$1192,0),MATCH(G$3,'IN_Detr 4.5 del_397'!$A$3:$AAA$3,0))</f>
        <v>0</v>
      </c>
    </row>
    <row r="91" spans="1:7" ht="11.4" outlineLevel="1" x14ac:dyDescent="0.2">
      <c r="A91" s="85" t="s">
        <v>3237</v>
      </c>
      <c r="B91" s="52" t="s">
        <v>5474</v>
      </c>
      <c r="C91" s="53">
        <f t="shared" si="19"/>
        <v>0</v>
      </c>
      <c r="D91" s="6"/>
      <c r="E91" s="54">
        <f>INDEX('IN_Detr 4.5 del_397'!$A$3:$AAA$1192,MATCH($A91,'IN_Detr 4.5 del_397'!$A$3:$A$1192,0),MATCH(E$3,'IN_Detr 4.5 del_397'!$A$3:$AAA$3,0))</f>
        <v>0</v>
      </c>
      <c r="F91" s="54">
        <f>INDEX('IN_Detr 4.5 del_397'!$A$3:$AAA$1192,MATCH($A91,'IN_Detr 4.5 del_397'!$A$3:$A$1192,0),MATCH(F$3,'IN_Detr 4.5 del_397'!$A$3:$AAA$3,0))</f>
        <v>0</v>
      </c>
      <c r="G91" s="54">
        <f>INDEX('IN_Detr 4.5 del_397'!$A$3:$AAA$1192,MATCH($A91,'IN_Detr 4.5 del_397'!$A$3:$A$1192,0),MATCH(G$3,'IN_Detr 4.5 del_397'!$A$3:$AAA$3,0))</f>
        <v>0</v>
      </c>
    </row>
    <row r="92" spans="1:7" outlineLevel="1" x14ac:dyDescent="0.2">
      <c r="A92" s="7" t="s">
        <v>5491</v>
      </c>
      <c r="B92" s="684" t="s">
        <v>17</v>
      </c>
      <c r="C92" s="685">
        <f t="shared" si="19"/>
        <v>54149.194963047281</v>
      </c>
      <c r="D92" s="6"/>
      <c r="E92" s="686">
        <f>E83+E84+E89+E90+E91</f>
        <v>0</v>
      </c>
      <c r="F92" s="686">
        <f>F83+F84+F89+F90+F91</f>
        <v>0</v>
      </c>
      <c r="G92" s="686">
        <f>G83+G84+G89+G90+G91</f>
        <v>54149.194963047281</v>
      </c>
    </row>
    <row r="93" spans="1:7" ht="11.4" outlineLevel="1" x14ac:dyDescent="0.2">
      <c r="A93" s="85" t="s">
        <v>5492</v>
      </c>
      <c r="B93" s="14" t="s">
        <v>5447</v>
      </c>
      <c r="C93" s="17">
        <f t="shared" si="19"/>
        <v>0</v>
      </c>
      <c r="D93" s="6"/>
      <c r="E93" s="16">
        <f>E41</f>
        <v>0</v>
      </c>
      <c r="F93" s="16">
        <f>F41</f>
        <v>0</v>
      </c>
      <c r="G93" s="16">
        <f>G41</f>
        <v>0</v>
      </c>
    </row>
    <row r="94" spans="1:7" ht="11.4" outlineLevel="1" x14ac:dyDescent="0.2">
      <c r="A94" s="85" t="s">
        <v>5493</v>
      </c>
      <c r="B94" s="14" t="s">
        <v>5448</v>
      </c>
      <c r="C94" s="17">
        <f t="shared" si="19"/>
        <v>0</v>
      </c>
      <c r="D94" s="6"/>
      <c r="E94" s="16">
        <f t="shared" ref="E94:E97" si="20">E42</f>
        <v>0</v>
      </c>
      <c r="F94" s="16">
        <f t="shared" ref="F94:G94" si="21">F42</f>
        <v>0</v>
      </c>
      <c r="G94" s="16">
        <f t="shared" si="21"/>
        <v>0</v>
      </c>
    </row>
    <row r="95" spans="1:7" ht="11.4" outlineLevel="1" x14ac:dyDescent="0.2">
      <c r="A95" s="85" t="s">
        <v>5494</v>
      </c>
      <c r="B95" s="14" t="s">
        <v>6410</v>
      </c>
      <c r="C95" s="17">
        <f t="shared" si="19"/>
        <v>0</v>
      </c>
      <c r="D95" s="6"/>
      <c r="E95" s="18">
        <f t="shared" si="20"/>
        <v>0</v>
      </c>
      <c r="F95" s="18">
        <f t="shared" ref="F95:G95" si="22">F43</f>
        <v>0</v>
      </c>
      <c r="G95" s="18">
        <f t="shared" si="22"/>
        <v>0</v>
      </c>
    </row>
    <row r="96" spans="1:7" ht="11.4" outlineLevel="1" x14ac:dyDescent="0.2">
      <c r="A96" s="85" t="s">
        <v>5495</v>
      </c>
      <c r="B96" s="14" t="s">
        <v>6411</v>
      </c>
      <c r="C96" s="17">
        <f t="shared" si="19"/>
        <v>0</v>
      </c>
      <c r="D96" s="6"/>
      <c r="E96" s="18">
        <f t="shared" si="20"/>
        <v>0</v>
      </c>
      <c r="F96" s="18">
        <f t="shared" ref="F96:G96" si="23">F44</f>
        <v>0</v>
      </c>
      <c r="G96" s="18">
        <f t="shared" si="23"/>
        <v>0</v>
      </c>
    </row>
    <row r="97" spans="1:7" ht="11.4" outlineLevel="1" x14ac:dyDescent="0.2">
      <c r="A97" s="85" t="s">
        <v>5496</v>
      </c>
      <c r="B97" s="14" t="s">
        <v>5449</v>
      </c>
      <c r="C97" s="17">
        <f t="shared" si="19"/>
        <v>0</v>
      </c>
      <c r="D97" s="6"/>
      <c r="E97" s="16">
        <f t="shared" si="20"/>
        <v>0</v>
      </c>
      <c r="F97" s="16">
        <f t="shared" ref="F97:G97" si="24">F45</f>
        <v>0</v>
      </c>
      <c r="G97" s="16">
        <f t="shared" si="24"/>
        <v>0</v>
      </c>
    </row>
    <row r="98" spans="1:7" ht="11.4" outlineLevel="1" x14ac:dyDescent="0.2">
      <c r="A98" s="85" t="s">
        <v>3249</v>
      </c>
      <c r="B98" s="703" t="s">
        <v>26</v>
      </c>
      <c r="C98" s="704">
        <f t="shared" si="19"/>
        <v>0</v>
      </c>
      <c r="D98" s="6"/>
      <c r="E98" s="706">
        <f>INDEX('IN_Detr 4.5 del_397'!$A$3:$AAA$1192,MATCH($A98,'IN_Detr 4.5 del_397'!$A$3:$A$1192,0),MATCH(E$3,'IN_Detr 4.5 del_397'!$A$3:$AAA$3,0))</f>
        <v>0</v>
      </c>
      <c r="F98" s="706">
        <f>INDEX('IN_Detr 4.5 del_397'!$A$3:$AAA$1192,MATCH($A98,'IN_Detr 4.5 del_397'!$A$3:$A$1192,0),MATCH(F$3,'IN_Detr 4.5 del_397'!$A$3:$AAA$3,0))</f>
        <v>0</v>
      </c>
      <c r="G98" s="706">
        <f>INDEX('IN_Detr 4.5 del_397'!$A$3:$AAA$1192,MATCH($A98,'IN_Detr 4.5 del_397'!$A$3:$A$1192,0),MATCH(G$3,'IN_Detr 4.5 del_397'!$A$3:$AAA$3,0))</f>
        <v>0</v>
      </c>
    </row>
    <row r="99" spans="1:7" ht="11.4" outlineLevel="1" x14ac:dyDescent="0.2">
      <c r="A99" s="7" t="s">
        <v>6946</v>
      </c>
      <c r="B99" s="705" t="s">
        <v>5450</v>
      </c>
      <c r="C99" s="987">
        <f t="shared" si="19"/>
        <v>0</v>
      </c>
      <c r="D99" s="988"/>
      <c r="E99" s="989">
        <f>INDEX('IN_Detr 4.5 del_397'!$A$3:$AAA$1192,MATCH($A99,'IN_Detr 4.5 del_397'!$A$3:$A$1192,0),MATCH(E$3,'IN_Detr 4.5 del_397'!$A$3:$AAA$3,0))</f>
        <v>0</v>
      </c>
      <c r="F99" s="989">
        <f>INDEX('IN_Detr 4.5 del_397'!$A$3:$AAA$1192,MATCH($A99,'IN_Detr 4.5 del_397'!$A$3:$A$1192,0),MATCH(F$3,'IN_Detr 4.5 del_397'!$A$3:$AAA$3,0))</f>
        <v>0</v>
      </c>
      <c r="G99" s="989">
        <f>INDEX('IN_Detr 4.5 del_397'!$A$3:$AAA$1192,MATCH($A99,'IN_Detr 4.5 del_397'!$A$3:$A$1192,0),MATCH(G$3,'IN_Detr 4.5 del_397'!$A$3:$AAA$3,0))</f>
        <v>0</v>
      </c>
    </row>
    <row r="100" spans="1:7" outlineLevel="1" x14ac:dyDescent="0.2">
      <c r="A100" s="85" t="s">
        <v>3252</v>
      </c>
      <c r="B100" s="14" t="s">
        <v>10</v>
      </c>
      <c r="C100" s="15">
        <f t="shared" si="19"/>
        <v>0</v>
      </c>
      <c r="D100" s="6"/>
      <c r="E100" s="16">
        <f>INDEX('IN_Detr 4.5 del_397'!$A$3:$AAA$1192,MATCH($A100,'IN_Detr 4.5 del_397'!$A$3:$A$1192,0),MATCH(E$3,'IN_Detr 4.5 del_397'!$A$3:$AAA$3,0))</f>
        <v>0</v>
      </c>
      <c r="F100" s="16">
        <f>INDEX('IN_Detr 4.5 del_397'!$A$3:$AAA$1192,MATCH($A100,'IN_Detr 4.5 del_397'!$A$3:$A$1192,0),MATCH(F$3,'IN_Detr 4.5 del_397'!$A$3:$AAA$3,0))</f>
        <v>0</v>
      </c>
      <c r="G100" s="16">
        <f>INDEX('IN_Detr 4.5 del_397'!$A$3:$AAA$1192,MATCH($A100,'IN_Detr 4.5 del_397'!$A$3:$A$1192,0),MATCH(G$3,'IN_Detr 4.5 del_397'!$A$3:$AAA$3,0))</f>
        <v>0</v>
      </c>
    </row>
    <row r="101" spans="1:7" x14ac:dyDescent="0.2">
      <c r="C101" s="25"/>
      <c r="D101" s="6"/>
      <c r="E101" s="5"/>
      <c r="F101" s="5"/>
      <c r="G101" s="5"/>
    </row>
    <row r="102" spans="1:7" ht="19.5" customHeight="1" x14ac:dyDescent="0.2">
      <c r="A102" s="31" t="s">
        <v>5497</v>
      </c>
      <c r="B102" s="700" t="s">
        <v>5473</v>
      </c>
      <c r="C102" s="701">
        <f>SUM(E102:G102)</f>
        <v>54149.194963047281</v>
      </c>
      <c r="D102" s="6"/>
      <c r="E102" s="702">
        <f t="shared" ref="E102" si="25">E56+E76</f>
        <v>0</v>
      </c>
      <c r="F102" s="702">
        <f t="shared" ref="F102:G102" si="26">F56+F76</f>
        <v>0</v>
      </c>
      <c r="G102" s="702">
        <f t="shared" si="26"/>
        <v>54149.194963047281</v>
      </c>
    </row>
  </sheetData>
  <sheetProtection formatColumns="0" formatRows="0"/>
  <pageMargins left="0.70866141732283472" right="0.70866141732283472" top="0.74803149606299213" bottom="0.74803149606299213" header="0.31496062992125984" footer="0.31496062992125984"/>
  <pageSetup paperSize="9" scale="2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4096B-F74D-46FC-8DC3-3C22AC53205D}">
  <sheetPr codeName="Foglio4">
    <tabColor rgb="FFFFFFCC"/>
  </sheetPr>
  <dimension ref="A1:D94"/>
  <sheetViews>
    <sheetView showGridLines="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C8" sqref="C8"/>
    </sheetView>
  </sheetViews>
  <sheetFormatPr defaultColWidth="9.109375" defaultRowHeight="10.199999999999999" x14ac:dyDescent="0.2"/>
  <cols>
    <col min="1" max="1" width="38.109375" style="51" customWidth="1"/>
    <col min="2" max="2" width="11" style="51" bestFit="1" customWidth="1"/>
    <col min="3" max="3" width="11.88671875" style="51" bestFit="1" customWidth="1"/>
    <col min="4" max="4" width="15.6640625" style="51" bestFit="1" customWidth="1"/>
    <col min="5" max="16384" width="9.109375" style="51"/>
  </cols>
  <sheetData>
    <row r="1" spans="1:4" x14ac:dyDescent="0.2">
      <c r="A1" s="999" t="s">
        <v>785</v>
      </c>
    </row>
    <row r="3" spans="1:4" x14ac:dyDescent="0.2">
      <c r="A3" s="49" t="str">
        <f>"Numero Ambiti - "&amp;COUNTA(B4:YD4)</f>
        <v>Numero Ambiti - 3</v>
      </c>
      <c r="B3" s="49">
        <f>IF(B4="","",1)</f>
        <v>1</v>
      </c>
      <c r="C3" s="49">
        <f>IF(C4="","",1)</f>
        <v>1</v>
      </c>
      <c r="D3" s="49">
        <f>IF(D4="","",1)</f>
        <v>1</v>
      </c>
    </row>
    <row r="4" spans="1:4" x14ac:dyDescent="0.2">
      <c r="A4" s="50" t="s">
        <v>1186</v>
      </c>
      <c r="B4" s="1007" t="s">
        <v>8759</v>
      </c>
      <c r="C4" s="1007" t="s">
        <v>8760</v>
      </c>
      <c r="D4" s="1007" t="s">
        <v>8761</v>
      </c>
    </row>
    <row r="7" spans="1:4" ht="63.75" customHeight="1" x14ac:dyDescent="0.2">
      <c r="A7" s="572" t="s">
        <v>614</v>
      </c>
      <c r="B7" s="566" t="s">
        <v>8765</v>
      </c>
      <c r="C7" s="566" t="s">
        <v>8766</v>
      </c>
      <c r="D7" s="566" t="s">
        <v>8767</v>
      </c>
    </row>
    <row r="8" spans="1:4" ht="79.5" customHeight="1" x14ac:dyDescent="0.2">
      <c r="A8" s="572" t="s">
        <v>615</v>
      </c>
      <c r="B8" s="566" t="s">
        <v>8768</v>
      </c>
      <c r="C8" s="566" t="s">
        <v>8769</v>
      </c>
      <c r="D8" s="566">
        <v>14427</v>
      </c>
    </row>
    <row r="11" spans="1:4" ht="63.75" customHeight="1" x14ac:dyDescent="0.2">
      <c r="A11" s="572" t="s">
        <v>1188</v>
      </c>
      <c r="B11" s="568" t="s">
        <v>1190</v>
      </c>
      <c r="C11" s="568" t="s">
        <v>1189</v>
      </c>
      <c r="D11" s="568" t="s">
        <v>1189</v>
      </c>
    </row>
    <row r="12" spans="1:4" x14ac:dyDescent="0.2">
      <c r="B12" s="61"/>
      <c r="C12" s="61"/>
      <c r="D12" s="61"/>
    </row>
    <row r="13" spans="1:4" ht="78" x14ac:dyDescent="0.2">
      <c r="A13" s="343" t="s">
        <v>1192</v>
      </c>
      <c r="B13" s="568" t="s">
        <v>1194</v>
      </c>
      <c r="C13" s="568" t="s">
        <v>1193</v>
      </c>
      <c r="D13" s="568" t="s">
        <v>1194</v>
      </c>
    </row>
    <row r="14" spans="1:4" x14ac:dyDescent="0.2">
      <c r="B14" s="61"/>
      <c r="C14" s="61"/>
      <c r="D14" s="61"/>
    </row>
    <row r="15" spans="1:4" ht="14.4" x14ac:dyDescent="0.2">
      <c r="A15" s="343" t="s">
        <v>1197</v>
      </c>
      <c r="B15" s="568" t="s">
        <v>221</v>
      </c>
      <c r="C15" s="568" t="s">
        <v>221</v>
      </c>
      <c r="D15" s="568" t="s">
        <v>221</v>
      </c>
    </row>
    <row r="17" spans="1:4" ht="60" customHeight="1" x14ac:dyDescent="0.2">
      <c r="A17" s="903" t="s">
        <v>6742</v>
      </c>
      <c r="B17" s="569"/>
      <c r="C17" s="569"/>
      <c r="D17" s="569"/>
    </row>
    <row r="19" spans="1:4" ht="60" customHeight="1" x14ac:dyDescent="0.2">
      <c r="A19" s="573" t="s">
        <v>6746</v>
      </c>
      <c r="B19" s="904">
        <v>45539</v>
      </c>
      <c r="C19" s="904">
        <v>43556</v>
      </c>
      <c r="D19" s="904">
        <v>45658</v>
      </c>
    </row>
    <row r="21" spans="1:4" ht="60" customHeight="1" x14ac:dyDescent="0.2">
      <c r="A21" s="573" t="s">
        <v>1199</v>
      </c>
      <c r="B21" s="904">
        <v>49674</v>
      </c>
      <c r="C21" s="904">
        <v>46387</v>
      </c>
      <c r="D21" s="904">
        <v>49674</v>
      </c>
    </row>
    <row r="23" spans="1:4" x14ac:dyDescent="0.2">
      <c r="A23" s="574" t="s">
        <v>1200</v>
      </c>
    </row>
    <row r="24" spans="1:4" x14ac:dyDescent="0.2">
      <c r="A24" s="589" t="s">
        <v>1201</v>
      </c>
      <c r="B24" s="570" t="s">
        <v>219</v>
      </c>
      <c r="C24" s="570" t="s">
        <v>219</v>
      </c>
      <c r="D24" s="570" t="s">
        <v>219</v>
      </c>
    </row>
    <row r="25" spans="1:4" x14ac:dyDescent="0.2">
      <c r="A25" s="589" t="s">
        <v>1202</v>
      </c>
      <c r="B25" s="570" t="s">
        <v>219</v>
      </c>
      <c r="C25" s="570" t="s">
        <v>219</v>
      </c>
      <c r="D25" s="570" t="s">
        <v>219</v>
      </c>
    </row>
    <row r="26" spans="1:4" x14ac:dyDescent="0.2">
      <c r="A26" s="589" t="s">
        <v>1203</v>
      </c>
      <c r="B26" s="570" t="s">
        <v>219</v>
      </c>
      <c r="C26" s="570" t="s">
        <v>219</v>
      </c>
      <c r="D26" s="570" t="s">
        <v>219</v>
      </c>
    </row>
    <row r="27" spans="1:4" x14ac:dyDescent="0.2">
      <c r="A27" s="589" t="s">
        <v>1204</v>
      </c>
      <c r="B27" s="570" t="s">
        <v>219</v>
      </c>
      <c r="C27" s="570" t="s">
        <v>219</v>
      </c>
      <c r="D27" s="570" t="s">
        <v>219</v>
      </c>
    </row>
    <row r="28" spans="1:4" x14ac:dyDescent="0.2">
      <c r="A28" s="589" t="s">
        <v>1205</v>
      </c>
      <c r="B28" s="570" t="s">
        <v>219</v>
      </c>
      <c r="C28" s="570" t="s">
        <v>219</v>
      </c>
      <c r="D28" s="570" t="s">
        <v>219</v>
      </c>
    </row>
    <row r="30" spans="1:4" x14ac:dyDescent="0.2">
      <c r="A30" s="571" t="s">
        <v>1187</v>
      </c>
      <c r="B30" s="565" t="s">
        <v>221</v>
      </c>
      <c r="C30" s="565" t="s">
        <v>221</v>
      </c>
      <c r="D30" s="565" t="s">
        <v>221</v>
      </c>
    </row>
    <row r="32" spans="1:4" ht="20.399999999999999" x14ac:dyDescent="0.2">
      <c r="A32" s="567" t="s">
        <v>1191</v>
      </c>
    </row>
    <row r="34" spans="1:4" x14ac:dyDescent="0.2">
      <c r="A34" s="82" t="s">
        <v>6533</v>
      </c>
    </row>
    <row r="35" spans="1:4" x14ac:dyDescent="0.2">
      <c r="A35" s="59"/>
      <c r="B35" s="59"/>
      <c r="C35" s="59"/>
      <c r="D35" s="59"/>
    </row>
    <row r="36" spans="1:4" x14ac:dyDescent="0.2">
      <c r="A36" s="59"/>
      <c r="B36" s="59"/>
      <c r="C36" s="59"/>
      <c r="D36" s="59"/>
    </row>
    <row r="37" spans="1:4" x14ac:dyDescent="0.2">
      <c r="A37" s="59"/>
      <c r="B37" s="59"/>
      <c r="C37" s="59"/>
      <c r="D37" s="59"/>
    </row>
    <row r="38" spans="1:4" x14ac:dyDescent="0.2">
      <c r="A38" s="59"/>
      <c r="B38" s="59"/>
      <c r="C38" s="59"/>
      <c r="D38" s="59"/>
    </row>
    <row r="39" spans="1:4" x14ac:dyDescent="0.2">
      <c r="A39" s="59"/>
      <c r="B39" s="59"/>
      <c r="C39" s="59"/>
      <c r="D39" s="59"/>
    </row>
    <row r="40" spans="1:4" x14ac:dyDescent="0.2">
      <c r="A40" s="59"/>
      <c r="B40" s="59"/>
      <c r="C40" s="59"/>
      <c r="D40" s="59"/>
    </row>
    <row r="41" spans="1:4" x14ac:dyDescent="0.2">
      <c r="A41" s="59"/>
      <c r="B41" s="59"/>
      <c r="C41" s="59"/>
      <c r="D41" s="59"/>
    </row>
    <row r="42" spans="1:4" x14ac:dyDescent="0.2">
      <c r="A42" s="59"/>
      <c r="B42" s="59"/>
      <c r="C42" s="59"/>
      <c r="D42" s="59"/>
    </row>
    <row r="43" spans="1:4" x14ac:dyDescent="0.2">
      <c r="A43" s="59"/>
      <c r="B43" s="59"/>
      <c r="C43" s="59"/>
      <c r="D43" s="59"/>
    </row>
    <row r="44" spans="1:4" x14ac:dyDescent="0.2">
      <c r="A44" s="59"/>
      <c r="B44" s="59"/>
      <c r="C44" s="59"/>
      <c r="D44" s="59"/>
    </row>
    <row r="45" spans="1:4" x14ac:dyDescent="0.2">
      <c r="A45" s="59"/>
      <c r="B45" s="59"/>
      <c r="C45" s="59"/>
      <c r="D45" s="59"/>
    </row>
    <row r="46" spans="1:4" x14ac:dyDescent="0.2">
      <c r="A46" s="59"/>
      <c r="B46" s="59"/>
      <c r="C46" s="59"/>
      <c r="D46" s="59"/>
    </row>
    <row r="47" spans="1:4" x14ac:dyDescent="0.2">
      <c r="A47" s="59"/>
      <c r="B47" s="59"/>
      <c r="C47" s="59"/>
      <c r="D47" s="59"/>
    </row>
    <row r="48" spans="1:4" x14ac:dyDescent="0.2">
      <c r="A48" s="59"/>
      <c r="B48" s="59"/>
      <c r="C48" s="59"/>
      <c r="D48" s="59"/>
    </row>
    <row r="49" spans="1:4" x14ac:dyDescent="0.2">
      <c r="A49" s="59"/>
      <c r="B49" s="59"/>
      <c r="C49" s="59"/>
      <c r="D49" s="59"/>
    </row>
    <row r="50" spans="1:4" x14ac:dyDescent="0.2">
      <c r="A50" s="59"/>
      <c r="B50" s="59"/>
      <c r="C50" s="59"/>
      <c r="D50" s="59"/>
    </row>
    <row r="51" spans="1:4" x14ac:dyDescent="0.2">
      <c r="A51" s="59"/>
      <c r="B51" s="59"/>
      <c r="C51" s="59"/>
      <c r="D51" s="59"/>
    </row>
    <row r="52" spans="1:4" x14ac:dyDescent="0.2">
      <c r="A52" s="59"/>
      <c r="B52" s="59"/>
      <c r="C52" s="59"/>
      <c r="D52" s="59"/>
    </row>
    <row r="53" spans="1:4" x14ac:dyDescent="0.2">
      <c r="A53" s="59"/>
      <c r="B53" s="59"/>
      <c r="C53" s="59"/>
      <c r="D53" s="59"/>
    </row>
    <row r="54" spans="1:4" x14ac:dyDescent="0.2">
      <c r="A54" s="59"/>
      <c r="B54" s="59"/>
      <c r="C54" s="59"/>
      <c r="D54" s="59"/>
    </row>
    <row r="55" spans="1:4" x14ac:dyDescent="0.2">
      <c r="A55" s="59"/>
      <c r="B55" s="59"/>
      <c r="C55" s="59"/>
      <c r="D55" s="59"/>
    </row>
    <row r="56" spans="1:4" x14ac:dyDescent="0.2">
      <c r="A56" s="59"/>
      <c r="B56" s="59"/>
      <c r="C56" s="59"/>
      <c r="D56" s="59"/>
    </row>
    <row r="57" spans="1:4" x14ac:dyDescent="0.2">
      <c r="A57" s="59"/>
      <c r="B57" s="59"/>
      <c r="C57" s="59"/>
      <c r="D57" s="59"/>
    </row>
    <row r="58" spans="1:4" x14ac:dyDescent="0.2">
      <c r="A58" s="59"/>
      <c r="B58" s="59"/>
      <c r="C58" s="59"/>
      <c r="D58" s="59"/>
    </row>
    <row r="59" spans="1:4" x14ac:dyDescent="0.2">
      <c r="A59" s="59"/>
      <c r="B59" s="59"/>
      <c r="C59" s="59"/>
      <c r="D59" s="59"/>
    </row>
    <row r="60" spans="1:4" x14ac:dyDescent="0.2">
      <c r="A60" s="59"/>
      <c r="B60" s="59"/>
      <c r="C60" s="59"/>
      <c r="D60" s="59"/>
    </row>
    <row r="61" spans="1:4" x14ac:dyDescent="0.2">
      <c r="A61" s="59"/>
      <c r="B61" s="59"/>
      <c r="C61" s="59"/>
      <c r="D61" s="59"/>
    </row>
    <row r="62" spans="1:4" x14ac:dyDescent="0.2">
      <c r="A62" s="59"/>
      <c r="B62" s="59"/>
      <c r="C62" s="59"/>
      <c r="D62" s="59"/>
    </row>
    <row r="63" spans="1:4" x14ac:dyDescent="0.2">
      <c r="A63" s="59"/>
      <c r="B63" s="59"/>
      <c r="C63" s="59"/>
      <c r="D63" s="59"/>
    </row>
    <row r="64" spans="1:4" x14ac:dyDescent="0.2">
      <c r="A64" s="59"/>
      <c r="B64" s="59"/>
      <c r="C64" s="59"/>
      <c r="D64" s="59"/>
    </row>
    <row r="65" spans="1:4" x14ac:dyDescent="0.2">
      <c r="A65" s="59"/>
      <c r="B65" s="59"/>
      <c r="C65" s="59"/>
      <c r="D65" s="59"/>
    </row>
    <row r="66" spans="1:4" x14ac:dyDescent="0.2">
      <c r="A66" s="59"/>
      <c r="B66" s="59"/>
      <c r="C66" s="59"/>
      <c r="D66" s="59"/>
    </row>
    <row r="67" spans="1:4" x14ac:dyDescent="0.2">
      <c r="A67" s="59"/>
      <c r="B67" s="59"/>
      <c r="C67" s="59"/>
      <c r="D67" s="59"/>
    </row>
    <row r="68" spans="1:4" x14ac:dyDescent="0.2">
      <c r="A68" s="59"/>
      <c r="B68" s="59"/>
      <c r="C68" s="59"/>
      <c r="D68" s="59"/>
    </row>
    <row r="69" spans="1:4" x14ac:dyDescent="0.2">
      <c r="A69" s="59"/>
      <c r="B69" s="59"/>
      <c r="C69" s="59"/>
      <c r="D69" s="59"/>
    </row>
    <row r="70" spans="1:4" x14ac:dyDescent="0.2">
      <c r="A70" s="59"/>
      <c r="B70" s="59"/>
      <c r="C70" s="59"/>
      <c r="D70" s="59"/>
    </row>
    <row r="71" spans="1:4" x14ac:dyDescent="0.2">
      <c r="A71" s="59"/>
      <c r="B71" s="59"/>
      <c r="C71" s="59"/>
      <c r="D71" s="59"/>
    </row>
    <row r="72" spans="1:4" x14ac:dyDescent="0.2">
      <c r="A72" s="59"/>
      <c r="B72" s="59"/>
      <c r="C72" s="59"/>
      <c r="D72" s="59"/>
    </row>
    <row r="73" spans="1:4" x14ac:dyDescent="0.2">
      <c r="A73" s="59"/>
      <c r="B73" s="59"/>
      <c r="C73" s="59"/>
      <c r="D73" s="59"/>
    </row>
    <row r="74" spans="1:4" x14ac:dyDescent="0.2">
      <c r="A74" s="59"/>
      <c r="B74" s="59"/>
      <c r="C74" s="59"/>
      <c r="D74" s="59"/>
    </row>
    <row r="75" spans="1:4" x14ac:dyDescent="0.2">
      <c r="A75" s="59"/>
      <c r="B75" s="59"/>
      <c r="C75" s="59"/>
      <c r="D75" s="59"/>
    </row>
    <row r="76" spans="1:4" x14ac:dyDescent="0.2">
      <c r="A76" s="59"/>
      <c r="B76" s="59"/>
      <c r="C76" s="59"/>
      <c r="D76" s="59"/>
    </row>
    <row r="77" spans="1:4" x14ac:dyDescent="0.2">
      <c r="A77" s="59"/>
      <c r="B77" s="59"/>
      <c r="C77" s="59"/>
      <c r="D77" s="59"/>
    </row>
    <row r="78" spans="1:4" x14ac:dyDescent="0.2">
      <c r="A78" s="59"/>
      <c r="B78" s="59"/>
      <c r="C78" s="59"/>
      <c r="D78" s="59"/>
    </row>
    <row r="79" spans="1:4" x14ac:dyDescent="0.2">
      <c r="A79" s="59"/>
      <c r="B79" s="59"/>
      <c r="C79" s="59"/>
      <c r="D79" s="59"/>
    </row>
    <row r="80" spans="1:4" x14ac:dyDescent="0.2">
      <c r="A80" s="59"/>
      <c r="B80" s="59"/>
      <c r="C80" s="59"/>
      <c r="D80" s="59"/>
    </row>
    <row r="81" spans="1:4" x14ac:dyDescent="0.2">
      <c r="A81" s="59"/>
      <c r="B81" s="59"/>
      <c r="C81" s="59"/>
      <c r="D81" s="59"/>
    </row>
    <row r="82" spans="1:4" x14ac:dyDescent="0.2">
      <c r="A82" s="59"/>
      <c r="B82" s="59"/>
      <c r="C82" s="59"/>
      <c r="D82" s="59"/>
    </row>
    <row r="83" spans="1:4" x14ac:dyDescent="0.2">
      <c r="A83" s="59"/>
      <c r="B83" s="59"/>
      <c r="C83" s="59"/>
      <c r="D83" s="59"/>
    </row>
    <row r="84" spans="1:4" x14ac:dyDescent="0.2">
      <c r="A84" s="59"/>
      <c r="B84" s="59"/>
      <c r="C84" s="59"/>
      <c r="D84" s="59"/>
    </row>
    <row r="85" spans="1:4" x14ac:dyDescent="0.2">
      <c r="A85" s="59"/>
      <c r="B85" s="59"/>
      <c r="C85" s="59"/>
      <c r="D85" s="59"/>
    </row>
    <row r="86" spans="1:4" x14ac:dyDescent="0.2">
      <c r="A86" s="59"/>
      <c r="B86" s="59"/>
      <c r="C86" s="59"/>
      <c r="D86" s="59"/>
    </row>
    <row r="87" spans="1:4" x14ac:dyDescent="0.2">
      <c r="A87" s="59"/>
      <c r="B87" s="59"/>
      <c r="C87" s="59"/>
      <c r="D87" s="59"/>
    </row>
    <row r="88" spans="1:4" x14ac:dyDescent="0.2">
      <c r="A88" s="59"/>
      <c r="B88" s="59"/>
      <c r="C88" s="59"/>
      <c r="D88" s="59"/>
    </row>
    <row r="89" spans="1:4" x14ac:dyDescent="0.2">
      <c r="A89" s="59"/>
      <c r="B89" s="59"/>
      <c r="C89" s="59"/>
      <c r="D89" s="59"/>
    </row>
    <row r="90" spans="1:4" x14ac:dyDescent="0.2">
      <c r="A90" s="59"/>
      <c r="B90" s="59"/>
      <c r="C90" s="59"/>
      <c r="D90" s="59"/>
    </row>
    <row r="91" spans="1:4" x14ac:dyDescent="0.2">
      <c r="A91" s="59"/>
      <c r="B91" s="59"/>
      <c r="C91" s="59"/>
      <c r="D91" s="59"/>
    </row>
    <row r="92" spans="1:4" x14ac:dyDescent="0.2">
      <c r="A92" s="59"/>
      <c r="B92" s="59"/>
      <c r="C92" s="59"/>
      <c r="D92" s="59"/>
    </row>
    <row r="93" spans="1:4" x14ac:dyDescent="0.2">
      <c r="A93" s="59"/>
      <c r="B93" s="59"/>
      <c r="C93" s="59"/>
      <c r="D93" s="59"/>
    </row>
    <row r="94" spans="1:4" x14ac:dyDescent="0.2">
      <c r="A94" s="59"/>
      <c r="B94" s="59"/>
      <c r="C94" s="59"/>
      <c r="D94" s="59"/>
    </row>
  </sheetData>
  <conditionalFormatting sqref="B17:C17">
    <cfRule type="expression" dxfId="123" priority="55">
      <formula>B$15:D$15="NO"</formula>
    </cfRule>
  </conditionalFormatting>
  <conditionalFormatting sqref="B35:D94">
    <cfRule type="expression" dxfId="122" priority="2">
      <formula>B$30="NO"</formula>
    </cfRule>
  </conditionalFormatting>
  <conditionalFormatting sqref="D17">
    <cfRule type="expression" dxfId="121" priority="1">
      <formula>D$15:E$15="NO"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5">
        <x14:dataValidation type="list" allowBlank="1" showInputMessage="1" showErrorMessage="1" xr:uid="{62D5C9FA-6EA3-4B9D-B808-8F2DBA315EA0}">
          <x14:formula1>
            <xm:f>'Parametri MTR-3'!$C$44:$C$45</xm:f>
          </x14:formula1>
          <xm:sqref>B11:D11</xm:sqref>
        </x14:dataValidation>
        <x14:dataValidation type="list" allowBlank="1" showInputMessage="1" showErrorMessage="1" xr:uid="{B4447D37-6F90-4E58-9056-52C7FCE9F1DE}">
          <x14:formula1>
            <xm:f>'Parametri MTR-3'!$C$47:$C$49</xm:f>
          </x14:formula1>
          <xm:sqref>B13:D13</xm:sqref>
        </x14:dataValidation>
        <x14:dataValidation type="list" allowBlank="1" showInputMessage="1" showErrorMessage="1" xr:uid="{1F45C3CA-240F-4E18-83EC-C711DC16C8A3}">
          <x14:formula1>
            <xm:f>'Parametri MTR-3'!$C$51:$C$52</xm:f>
          </x14:formula1>
          <xm:sqref>B15:D15</xm:sqref>
        </x14:dataValidation>
        <x14:dataValidation type="list" allowBlank="1" showInputMessage="1" showErrorMessage="1" xr:uid="{D2EAD572-4926-40D1-8ADA-E49F2DC86198}">
          <x14:formula1>
            <xm:f>'Parametri MTR-3'!$C$54:$C$55</xm:f>
          </x14:formula1>
          <xm:sqref>B24:D28</xm:sqref>
        </x14:dataValidation>
        <x14:dataValidation type="list" allowBlank="1" showInputMessage="1" showErrorMessage="1" xr:uid="{D2825CD1-FEF8-468B-B55D-6EAEFF251A9C}">
          <x14:formula1>
            <xm:f>'Parametri MTR-3'!$C$80:$C$82</xm:f>
          </x14:formula1>
          <xm:sqref>B17:D17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CFBC0-4ADE-4632-B49C-48A6754CC37F}">
  <sheetPr codeName="Foglio30">
    <tabColor rgb="FF92D050"/>
    <pageSetUpPr fitToPage="1"/>
  </sheetPr>
  <dimension ref="A1:G102"/>
  <sheetViews>
    <sheetView showGridLines="0" zoomScaleNormal="100" workbookViewId="0">
      <pane xSplit="4" ySplit="3" topLeftCell="E27" activePane="bottomRight" state="frozen"/>
      <selection activeCell="C72" sqref="C72:F72"/>
      <selection pane="topRight" activeCell="C72" sqref="C72:F72"/>
      <selection pane="bottomLeft" activeCell="C72" sqref="C72:F72"/>
      <selection pane="bottomRight" activeCell="G1" sqref="G1:G1048576"/>
    </sheetView>
  </sheetViews>
  <sheetFormatPr defaultColWidth="17.6640625" defaultRowHeight="10.199999999999999" outlineLevelRow="1" x14ac:dyDescent="0.2"/>
  <cols>
    <col min="1" max="1" width="22.44140625" style="7" bestFit="1" customWidth="1"/>
    <col min="2" max="2" width="94.33203125" style="5" bestFit="1" customWidth="1"/>
    <col min="3" max="3" width="10.33203125" style="3" bestFit="1" customWidth="1"/>
    <col min="4" max="4" width="1.109375" style="2" customWidth="1"/>
    <col min="5" max="7" width="12.88671875" style="4" customWidth="1"/>
    <col min="8" max="16384" width="17.6640625" style="5"/>
  </cols>
  <sheetData>
    <row r="1" spans="1:7" x14ac:dyDescent="0.2">
      <c r="B1" s="699" t="s">
        <v>5606</v>
      </c>
    </row>
    <row r="2" spans="1:7" x14ac:dyDescent="0.2">
      <c r="B2" s="134"/>
    </row>
    <row r="3" spans="1:7" s="359" customFormat="1" ht="20.399999999999999" x14ac:dyDescent="0.2">
      <c r="A3" s="356"/>
      <c r="B3" s="357"/>
      <c r="C3" s="358" t="s">
        <v>0</v>
      </c>
      <c r="D3" s="357"/>
      <c r="E3" s="358" t="str">
        <f>Ambiti!B4</f>
        <v>BUSTO ARSIZIO</v>
      </c>
      <c r="F3" s="358" t="str">
        <f>Ambiti!C4</f>
        <v>FAGNANO OLONA</v>
      </c>
      <c r="G3" s="358" t="str">
        <f>Ambiti!D4</f>
        <v>VENEGONO SUPERIORE</v>
      </c>
    </row>
    <row r="4" spans="1:7" s="10" customFormat="1" x14ac:dyDescent="0.2">
      <c r="A4" s="7"/>
      <c r="B4" s="8"/>
      <c r="C4" s="9"/>
      <c r="D4" s="8"/>
      <c r="E4" s="8"/>
      <c r="F4" s="8"/>
      <c r="G4" s="8"/>
    </row>
    <row r="5" spans="1:7" s="13" customFormat="1" ht="11.4" x14ac:dyDescent="0.3">
      <c r="A5" s="31" t="s">
        <v>5659</v>
      </c>
      <c r="B5" s="700" t="s">
        <v>5557</v>
      </c>
      <c r="C5" s="701">
        <f t="shared" ref="C5:C15" si="0">SUM(E5:G5)</f>
        <v>0</v>
      </c>
      <c r="D5" s="6"/>
      <c r="E5" s="702">
        <f>SUM(E6:E15)-E19+E20+E22</f>
        <v>0</v>
      </c>
      <c r="F5" s="702">
        <f>SUM(F6:F15)-F19+F20+F22</f>
        <v>0</v>
      </c>
      <c r="G5" s="702">
        <f>SUM(G6:G15)-G19+G20+G22</f>
        <v>0</v>
      </c>
    </row>
    <row r="6" spans="1:7" outlineLevel="1" x14ac:dyDescent="0.2">
      <c r="A6" s="7" t="s">
        <v>3271</v>
      </c>
      <c r="B6" s="14" t="s">
        <v>1</v>
      </c>
      <c r="C6" s="15">
        <f t="shared" si="0"/>
        <v>0</v>
      </c>
      <c r="D6" s="6"/>
      <c r="E6" s="16">
        <f>INDEX(Import_CO_Comuni!$A$4:$AAA$323,MATCH($A6,Import_CO_Comuni!$A$4:$A$323,0),MATCH(E$3,Import_CO_Comuni!$A$4:$AAA$4,0))
*(1+'Parametri MTR-3'!$J$6)
*(1+'Parametri MTR-3'!$K$6)</f>
        <v>0</v>
      </c>
      <c r="F6" s="16">
        <f>INDEX(Import_CO_Comuni!$A$4:$AAA$323,MATCH($A6,Import_CO_Comuni!$A$4:$A$323,0),MATCH(F$3,Import_CO_Comuni!$A$4:$AAA$4,0))
*(1+'Parametri MTR-3'!$J$6)
*(1+'Parametri MTR-3'!$K$6)</f>
        <v>0</v>
      </c>
      <c r="G6" s="16">
        <f>INDEX(Import_CO_Comuni!$A$4:$AAA$323,MATCH($A6,Import_CO_Comuni!$A$4:$A$323,0),MATCH(G$3,Import_CO_Comuni!$A$4:$AAA$4,0))
*(1+'Parametri MTR-3'!$J$6)
*(1+'Parametri MTR-3'!$K$6)</f>
        <v>0</v>
      </c>
    </row>
    <row r="7" spans="1:7" outlineLevel="1" x14ac:dyDescent="0.2">
      <c r="A7" s="7" t="s">
        <v>3277</v>
      </c>
      <c r="B7" s="14" t="s">
        <v>3</v>
      </c>
      <c r="C7" s="15">
        <f t="shared" si="0"/>
        <v>0</v>
      </c>
      <c r="D7" s="6"/>
      <c r="E7" s="16">
        <f>INDEX(Import_CO_Comuni!$A$4:$AAA$323,MATCH($A7,Import_CO_Comuni!$A$4:$A$323,0),MATCH(E$3,Import_CO_Comuni!$A$4:$AAA$4,0))
*(1+'Parametri MTR-3'!$J$6)
*(1+'Parametri MTR-3'!$K$6)</f>
        <v>0</v>
      </c>
      <c r="F7" s="16">
        <f>INDEX(Import_CO_Comuni!$A$4:$AAA$323,MATCH($A7,Import_CO_Comuni!$A$4:$A$323,0),MATCH(F$3,Import_CO_Comuni!$A$4:$AAA$4,0))
*(1+'Parametri MTR-3'!$J$6)
*(1+'Parametri MTR-3'!$K$6)</f>
        <v>0</v>
      </c>
      <c r="G7" s="16">
        <f>INDEX(Import_CO_Comuni!$A$4:$AAA$323,MATCH($A7,Import_CO_Comuni!$A$4:$A$323,0),MATCH(G$3,Import_CO_Comuni!$A$4:$AAA$4,0))
*(1+'Parametri MTR-3'!$J$6)
*(1+'Parametri MTR-3'!$K$6)</f>
        <v>0</v>
      </c>
    </row>
    <row r="8" spans="1:7" outlineLevel="1" x14ac:dyDescent="0.2">
      <c r="A8" s="7" t="s">
        <v>3283</v>
      </c>
      <c r="B8" s="14" t="s">
        <v>4</v>
      </c>
      <c r="C8" s="15">
        <f t="shared" si="0"/>
        <v>0</v>
      </c>
      <c r="D8" s="6"/>
      <c r="E8" s="16">
        <f>INDEX(Import_CO_Comuni!$A$4:$AAA$323,MATCH($A8,Import_CO_Comuni!$A$4:$A$323,0),MATCH(E$3,Import_CO_Comuni!$A$4:$AAA$4,0))
*(1+'Parametri MTR-3'!$J$6)
*(1+'Parametri MTR-3'!$K$6)</f>
        <v>0</v>
      </c>
      <c r="F8" s="16">
        <f>INDEX(Import_CO_Comuni!$A$4:$AAA$323,MATCH($A8,Import_CO_Comuni!$A$4:$A$323,0),MATCH(F$3,Import_CO_Comuni!$A$4:$AAA$4,0))
*(1+'Parametri MTR-3'!$J$6)
*(1+'Parametri MTR-3'!$K$6)</f>
        <v>0</v>
      </c>
      <c r="G8" s="16">
        <f>INDEX(Import_CO_Comuni!$A$4:$AAA$323,MATCH($A8,Import_CO_Comuni!$A$4:$A$323,0),MATCH(G$3,Import_CO_Comuni!$A$4:$AAA$4,0))
*(1+'Parametri MTR-3'!$J$6)
*(1+'Parametri MTR-3'!$K$6)</f>
        <v>0</v>
      </c>
    </row>
    <row r="9" spans="1:7" outlineLevel="1" x14ac:dyDescent="0.2">
      <c r="A9" s="7" t="s">
        <v>3289</v>
      </c>
      <c r="B9" s="14" t="s">
        <v>5</v>
      </c>
      <c r="C9" s="15">
        <f t="shared" si="0"/>
        <v>0</v>
      </c>
      <c r="D9" s="6"/>
      <c r="E9" s="16">
        <f>INDEX(Import_CO_Comuni!$A$4:$AAA$323,MATCH($A9,Import_CO_Comuni!$A$4:$A$323,0),MATCH(E$3,Import_CO_Comuni!$A$4:$AAA$4,0))
*(1+'Parametri MTR-3'!$J$6)
*(1+'Parametri MTR-3'!$K$6)</f>
        <v>0</v>
      </c>
      <c r="F9" s="16">
        <f>INDEX(Import_CO_Comuni!$A$4:$AAA$323,MATCH($A9,Import_CO_Comuni!$A$4:$A$323,0),MATCH(F$3,Import_CO_Comuni!$A$4:$AAA$4,0))
*(1+'Parametri MTR-3'!$J$6)
*(1+'Parametri MTR-3'!$K$6)</f>
        <v>0</v>
      </c>
      <c r="G9" s="16">
        <f>INDEX(Import_CO_Comuni!$A$4:$AAA$323,MATCH($A9,Import_CO_Comuni!$A$4:$A$323,0),MATCH(G$3,Import_CO_Comuni!$A$4:$AAA$4,0))
*(1+'Parametri MTR-3'!$J$6)
*(1+'Parametri MTR-3'!$K$6)</f>
        <v>0</v>
      </c>
    </row>
    <row r="10" spans="1:7" ht="11.4" outlineLevel="1" x14ac:dyDescent="0.2">
      <c r="A10" s="85" t="s">
        <v>2495</v>
      </c>
      <c r="B10" s="14" t="s">
        <v>5438</v>
      </c>
      <c r="C10" s="17">
        <f t="shared" si="0"/>
        <v>0</v>
      </c>
      <c r="D10" s="6"/>
      <c r="E10" s="16">
        <f>INDEX(IN_COexp!$A$3:$AAA$269,MATCH($A10,IN_COexp!$A$3:$A$269,0),MATCH(E$3,IN_COexp!$A$3:$AAA$3,0))</f>
        <v>0</v>
      </c>
      <c r="F10" s="16">
        <f>INDEX(IN_COexp!$A$3:$AAA$269,MATCH($A10,IN_COexp!$A$3:$A$269,0),MATCH(F$3,IN_COexp!$A$3:$AAA$3,0))</f>
        <v>0</v>
      </c>
      <c r="G10" s="16">
        <f>INDEX(IN_COexp!$A$3:$AAA$269,MATCH($A10,IN_COexp!$A$3:$A$269,0),MATCH(G$3,IN_COexp!$A$3:$AAA$3,0))</f>
        <v>0</v>
      </c>
    </row>
    <row r="11" spans="1:7" ht="11.4" outlineLevel="1" x14ac:dyDescent="0.2">
      <c r="A11" s="85" t="s">
        <v>1018</v>
      </c>
      <c r="B11" s="14" t="s">
        <v>5439</v>
      </c>
      <c r="C11" s="17">
        <f t="shared" si="0"/>
        <v>0</v>
      </c>
      <c r="D11" s="6"/>
      <c r="E11" s="18">
        <f>INDEX(IN_COexp!$A$3:$AAA$269,MATCH($A11,IN_COexp!$A$3:$A$269,0),MATCH(E$3,IN_COexp!$A$3:$AAA$3,0))</f>
        <v>0</v>
      </c>
      <c r="F11" s="18">
        <f>INDEX(IN_COexp!$A$3:$AAA$269,MATCH($A11,IN_COexp!$A$3:$A$269,0),MATCH(F$3,IN_COexp!$A$3:$AAA$3,0))</f>
        <v>0</v>
      </c>
      <c r="G11" s="18">
        <f>INDEX(IN_COexp!$A$3:$AAA$269,MATCH($A11,IN_COexp!$A$3:$A$269,0),MATCH(G$3,IN_COexp!$A$3:$AAA$3,0))</f>
        <v>0</v>
      </c>
    </row>
    <row r="12" spans="1:7" ht="11.4" outlineLevel="1" x14ac:dyDescent="0.2">
      <c r="A12" s="85" t="s">
        <v>1027</v>
      </c>
      <c r="B12" s="14" t="s">
        <v>5440</v>
      </c>
      <c r="C12" s="17">
        <f t="shared" si="0"/>
        <v>0</v>
      </c>
      <c r="D12" s="6"/>
      <c r="E12" s="18">
        <f>INDEX(IN_COexp!$A$3:$AAA$269,MATCH($A12,IN_COexp!$A$3:$A$269,0),MATCH(E$3,IN_COexp!$A$3:$AAA$3,0))</f>
        <v>0</v>
      </c>
      <c r="F12" s="18">
        <f>INDEX(IN_COexp!$A$3:$AAA$269,MATCH($A12,IN_COexp!$A$3:$A$269,0),MATCH(F$3,IN_COexp!$A$3:$AAA$3,0))</f>
        <v>0</v>
      </c>
      <c r="G12" s="18">
        <f>INDEX(IN_COexp!$A$3:$AAA$269,MATCH($A12,IN_COexp!$A$3:$A$269,0),MATCH(G$3,IN_COexp!$A$3:$AAA$3,0))</f>
        <v>0</v>
      </c>
    </row>
    <row r="13" spans="1:7" ht="11.4" outlineLevel="1" x14ac:dyDescent="0.2">
      <c r="A13" s="85" t="s">
        <v>2220</v>
      </c>
      <c r="B13" s="14" t="s">
        <v>5441</v>
      </c>
      <c r="C13" s="17">
        <f t="shared" si="0"/>
        <v>0</v>
      </c>
      <c r="D13" s="6"/>
      <c r="E13" s="18">
        <f>INDEX(IN_COexp!$A$3:$AAA$269,MATCH($A13,IN_COexp!$A$3:$A$269,0),MATCH(E$3,IN_COexp!$A$3:$AAA$3,0))</f>
        <v>0</v>
      </c>
      <c r="F13" s="18">
        <f>INDEX(IN_COexp!$A$3:$AAA$269,MATCH($A13,IN_COexp!$A$3:$A$269,0),MATCH(F$3,IN_COexp!$A$3:$AAA$3,0))</f>
        <v>0</v>
      </c>
      <c r="G13" s="18">
        <f>INDEX(IN_COexp!$A$3:$AAA$269,MATCH($A13,IN_COexp!$A$3:$A$269,0),MATCH(G$3,IN_COexp!$A$3:$AAA$3,0))</f>
        <v>0</v>
      </c>
    </row>
    <row r="14" spans="1:7" ht="11.4" outlineLevel="1" x14ac:dyDescent="0.2">
      <c r="A14" s="85" t="s">
        <v>2292</v>
      </c>
      <c r="B14" s="14" t="s">
        <v>5442</v>
      </c>
      <c r="C14" s="17">
        <f t="shared" si="0"/>
        <v>0</v>
      </c>
      <c r="D14" s="6"/>
      <c r="E14" s="18">
        <f>INDEX(IN_COexp!$A$3:$AAA$269,MATCH($A14,IN_COexp!$A$3:$A$269,0),MATCH(E$3,IN_COexp!$A$3:$AAA$3,0))</f>
        <v>0</v>
      </c>
      <c r="F14" s="18">
        <f>INDEX(IN_COexp!$A$3:$AAA$269,MATCH($A14,IN_COexp!$A$3:$A$269,0),MATCH(F$3,IN_COexp!$A$3:$AAA$3,0))</f>
        <v>0</v>
      </c>
      <c r="G14" s="18">
        <f>INDEX(IN_COexp!$A$3:$AAA$269,MATCH($A14,IN_COexp!$A$3:$A$269,0),MATCH(G$3,IN_COexp!$A$3:$AAA$3,0))</f>
        <v>0</v>
      </c>
    </row>
    <row r="15" spans="1:7" ht="11.4" outlineLevel="1" x14ac:dyDescent="0.2">
      <c r="A15" s="85" t="s">
        <v>1036</v>
      </c>
      <c r="B15" s="14" t="s">
        <v>5443</v>
      </c>
      <c r="C15" s="17">
        <f t="shared" si="0"/>
        <v>0</v>
      </c>
      <c r="D15" s="6"/>
      <c r="E15" s="18">
        <f>INDEX(IN_COexp!$A$3:$AAA$269,MATCH($A15,IN_COexp!$A$3:$A$269,0),MATCH(E$3,IN_COexp!$A$3:$AAA$3,0))</f>
        <v>0</v>
      </c>
      <c r="F15" s="18">
        <f>INDEX(IN_COexp!$A$3:$AAA$269,MATCH($A15,IN_COexp!$A$3:$A$269,0),MATCH(F$3,IN_COexp!$A$3:$AAA$3,0))</f>
        <v>0</v>
      </c>
      <c r="G15" s="18">
        <f>INDEX(IN_COexp!$A$3:$AAA$269,MATCH($A15,IN_COexp!$A$3:$A$269,0),MATCH(G$3,IN_COexp!$A$3:$AAA$3,0))</f>
        <v>0</v>
      </c>
    </row>
    <row r="16" spans="1:7" outlineLevel="1" x14ac:dyDescent="0.2">
      <c r="A16" s="85" t="s">
        <v>983</v>
      </c>
      <c r="B16" s="736" t="s">
        <v>7</v>
      </c>
      <c r="C16" s="737"/>
      <c r="D16" s="19"/>
      <c r="E16" s="740">
        <f>INDEX(IN_PAR!$A$3:$YE$413,MATCH($A16,IN_PAR!$A$3:$A$413,0),MATCH(E$3,IN_PAR!$A$3:$YE$3,0))</f>
        <v>0.7</v>
      </c>
      <c r="F16" s="740">
        <f>INDEX(IN_PAR!$A$3:$YE$413,MATCH($A16,IN_PAR!$A$3:$A$413,0),MATCH(F$3,IN_PAR!$A$3:$YE$3,0))</f>
        <v>0</v>
      </c>
      <c r="G16" s="740">
        <f>INDEX(IN_PAR!$A$3:$YE$413,MATCH($A16,IN_PAR!$A$3:$A$413,0),MATCH(G$3,IN_PAR!$A$3:$YE$3,0))</f>
        <v>0</v>
      </c>
    </row>
    <row r="17" spans="1:7" outlineLevel="1" x14ac:dyDescent="0.2">
      <c r="A17" s="7" t="s">
        <v>5660</v>
      </c>
      <c r="B17" s="26" t="s">
        <v>6</v>
      </c>
      <c r="C17" s="27">
        <f t="shared" ref="C17:C22" si="1">SUM(E17:G17)</f>
        <v>0</v>
      </c>
      <c r="D17" s="6"/>
      <c r="E17" s="28">
        <f>INDEX(Import_CO_Comuni!$A$4:$AAA$323,MATCH($A17,Import_CO_Comuni!$A$4:$A$323,0),MATCH(E$3,Import_CO_Comuni!$A$4:$AAA$4,0))
*(1+'Parametri MTR-3'!$J$6)
*(1+'Parametri MTR-3'!$K$6)</f>
        <v>0</v>
      </c>
      <c r="F17" s="28">
        <f>INDEX(Import_CO_Comuni!$A$4:$AAA$323,MATCH($A17,Import_CO_Comuni!$A$4:$A$323,0),MATCH(F$3,Import_CO_Comuni!$A$4:$AAA$4,0))
*(1+'Parametri MTR-3'!$J$6)
*(1+'Parametri MTR-3'!$K$6)</f>
        <v>0</v>
      </c>
      <c r="G17" s="28">
        <f>INDEX(Import_CO_Comuni!$A$4:$AAA$323,MATCH($A17,Import_CO_Comuni!$A$4:$A$323,0),MATCH(G$3,Import_CO_Comuni!$A$4:$AAA$4,0))
*(1+'Parametri MTR-3'!$J$6)
*(1+'Parametri MTR-3'!$K$6)</f>
        <v>0</v>
      </c>
    </row>
    <row r="18" spans="1:7" ht="11.4" outlineLevel="1" x14ac:dyDescent="0.2">
      <c r="A18" s="7" t="s">
        <v>5661</v>
      </c>
      <c r="B18" s="26" t="s">
        <v>101</v>
      </c>
      <c r="C18" s="27">
        <f t="shared" si="1"/>
        <v>0</v>
      </c>
      <c r="D18" s="6"/>
      <c r="E18" s="28">
        <f>INDEX(Import_CO_Comuni!$A$4:$AAA$323,MATCH($A18,Import_CO_Comuni!$A$4:$A$323,0),MATCH(E$3,Import_CO_Comuni!$A$4:$AAA$4,0))
*(1+'Parametri MTR-3'!$J$6)
*(1+'Parametri MTR-3'!$K$6)</f>
        <v>0</v>
      </c>
      <c r="F18" s="28">
        <f>INDEX(Import_CO_Comuni!$A$4:$AAA$323,MATCH($A18,Import_CO_Comuni!$A$4:$A$323,0),MATCH(F$3,Import_CO_Comuni!$A$4:$AAA$4,0))
*(1+'Parametri MTR-3'!$J$6)
*(1+'Parametri MTR-3'!$K$6)</f>
        <v>0</v>
      </c>
      <c r="G18" s="28">
        <f>INDEX(Import_CO_Comuni!$A$4:$AAA$323,MATCH($A18,Import_CO_Comuni!$A$4:$A$323,0),MATCH(G$3,Import_CO_Comuni!$A$4:$AAA$4,0))
*(1+'Parametri MTR-3'!$J$6)
*(1+'Parametri MTR-3'!$K$6)</f>
        <v>0</v>
      </c>
    </row>
    <row r="19" spans="1:7" ht="11.4" outlineLevel="1" x14ac:dyDescent="0.2">
      <c r="A19" s="7" t="s">
        <v>5905</v>
      </c>
      <c r="B19" s="738" t="s">
        <v>5437</v>
      </c>
      <c r="C19" s="739">
        <f t="shared" si="1"/>
        <v>0</v>
      </c>
      <c r="D19" s="6"/>
      <c r="E19" s="741">
        <f>E16*(E17+E18)</f>
        <v>0</v>
      </c>
      <c r="F19" s="741">
        <f>F16*(F17+F18)</f>
        <v>0</v>
      </c>
      <c r="G19" s="741">
        <f>G16*(G17+G18)</f>
        <v>0</v>
      </c>
    </row>
    <row r="20" spans="1:7" ht="11.4" outlineLevel="1" x14ac:dyDescent="0.2">
      <c r="A20" s="85" t="s">
        <v>3055</v>
      </c>
      <c r="B20" s="703" t="s">
        <v>102</v>
      </c>
      <c r="C20" s="704">
        <f t="shared" si="1"/>
        <v>0</v>
      </c>
      <c r="D20" s="6"/>
      <c r="E20" s="706">
        <f>INDEX('IN_RC-T'!$A$3:$AAA$865,MATCH($A20,'IN_RC-T'!$A$3:$A$865,0),MATCH(E$3,'IN_RC-T'!$A$3:$AAA$3,0))</f>
        <v>0</v>
      </c>
      <c r="F20" s="706">
        <f>INDEX('IN_RC-T'!$A$3:$AAA$865,MATCH($A20,'IN_RC-T'!$A$3:$A$865,0),MATCH(F$3,'IN_RC-T'!$A$3:$AAA$3,0))</f>
        <v>0</v>
      </c>
      <c r="G20" s="706">
        <f>INDEX('IN_RC-T'!$A$3:$AAA$865,MATCH($A20,'IN_RC-T'!$A$3:$A$865,0),MATCH(G$3,'IN_RC-T'!$A$3:$AAA$3,0))</f>
        <v>0</v>
      </c>
    </row>
    <row r="21" spans="1:7" ht="11.4" outlineLevel="1" x14ac:dyDescent="0.2">
      <c r="A21" s="7" t="s">
        <v>6798</v>
      </c>
      <c r="B21" s="705" t="s">
        <v>5444</v>
      </c>
      <c r="C21" s="985">
        <f t="shared" si="1"/>
        <v>0</v>
      </c>
      <c r="D21" s="986"/>
      <c r="E21" s="984">
        <f>INDEX('IN_RC-T'!$A$3:$AAA$865,MATCH($A21,'IN_RC-T'!$A$3:$A$865,0),MATCH(E$3,'IN_RC-T'!$A$3:$AAA$3,0))</f>
        <v>0</v>
      </c>
      <c r="F21" s="984">
        <f>INDEX('IN_RC-T'!$A$3:$AAA$865,MATCH($A21,'IN_RC-T'!$A$3:$A$865,0),MATCH(F$3,'IN_RC-T'!$A$3:$AAA$3,0))</f>
        <v>0</v>
      </c>
      <c r="G21" s="984">
        <f>INDEX('IN_RC-T'!$A$3:$AAA$865,MATCH($A21,'IN_RC-T'!$A$3:$A$865,0),MATCH(G$3,'IN_RC-T'!$A$3:$AAA$3,0))</f>
        <v>0</v>
      </c>
    </row>
    <row r="22" spans="1:7" outlineLevel="1" x14ac:dyDescent="0.2">
      <c r="A22" s="85" t="s">
        <v>3308</v>
      </c>
      <c r="B22" s="14" t="s">
        <v>109</v>
      </c>
      <c r="C22" s="15">
        <f t="shared" si="1"/>
        <v>0</v>
      </c>
      <c r="D22" s="6"/>
      <c r="E22" s="16">
        <f>INDEX(Import_CO_Comuni!$A$4:$AAA$323,MATCH($A22,Import_CO_Comuni!$A$4:$A$323,0),MATCH(E$3,Import_CO_Comuni!$A$4:$AAA$4,0))</f>
        <v>0</v>
      </c>
      <c r="F22" s="16">
        <f>INDEX(Import_CO_Comuni!$A$4:$AAA$323,MATCH($A22,Import_CO_Comuni!$A$4:$A$323,0),MATCH(F$3,Import_CO_Comuni!$A$4:$AAA$4,0))</f>
        <v>0</v>
      </c>
      <c r="G22" s="16">
        <f>INDEX(Import_CO_Comuni!$A$4:$AAA$323,MATCH($A22,Import_CO_Comuni!$A$4:$A$323,0),MATCH(G$3,Import_CO_Comuni!$A$4:$AAA$4,0))</f>
        <v>0</v>
      </c>
    </row>
    <row r="23" spans="1:7" outlineLevel="1" x14ac:dyDescent="0.2">
      <c r="B23" s="24"/>
      <c r="C23" s="25"/>
      <c r="D23" s="6"/>
      <c r="E23" s="5"/>
      <c r="F23" s="5"/>
      <c r="G23" s="5"/>
    </row>
    <row r="24" spans="1:7" s="13" customFormat="1" ht="11.4" outlineLevel="1" x14ac:dyDescent="0.3">
      <c r="A24" s="31" t="s">
        <v>5662</v>
      </c>
      <c r="B24" s="700" t="s">
        <v>5558</v>
      </c>
      <c r="C24" s="701">
        <f t="shared" ref="C24:C48" si="2">SUM(E24:G24)</f>
        <v>52902.058472230645</v>
      </c>
      <c r="D24" s="6"/>
      <c r="E24" s="702">
        <f>E25+E30+E40+SUM(E41:E46)+E48</f>
        <v>0</v>
      </c>
      <c r="F24" s="702">
        <f>F25+F30+F40+SUM(F41:F46)+F48</f>
        <v>0</v>
      </c>
      <c r="G24" s="702">
        <f>G25+G30+G40+SUM(G41:G46)+G48</f>
        <v>52902.058472230645</v>
      </c>
    </row>
    <row r="25" spans="1:7" outlineLevel="1" x14ac:dyDescent="0.2">
      <c r="A25" s="7" t="s">
        <v>3314</v>
      </c>
      <c r="B25" s="14" t="s">
        <v>11</v>
      </c>
      <c r="C25" s="15">
        <f t="shared" si="2"/>
        <v>0</v>
      </c>
      <c r="D25" s="6"/>
      <c r="E25" s="16">
        <f>INDEX(Import_CO_Comuni!$A$4:$AAA$323,MATCH($A25,Import_CO_Comuni!$A$4:$A$323,0),MATCH(E$3,Import_CO_Comuni!$A$4:$AAA$4,0))
*(1+'Parametri MTR-3'!$J$6)
*(1+'Parametri MTR-3'!$K$6)</f>
        <v>0</v>
      </c>
      <c r="F25" s="16">
        <f>INDEX(Import_CO_Comuni!$A$4:$AAA$323,MATCH($A25,Import_CO_Comuni!$A$4:$A$323,0),MATCH(F$3,Import_CO_Comuni!$A$4:$AAA$4,0))
*(1+'Parametri MTR-3'!$J$6)
*(1+'Parametri MTR-3'!$K$6)</f>
        <v>0</v>
      </c>
      <c r="G25" s="16">
        <f>INDEX(Import_CO_Comuni!$A$4:$AAA$323,MATCH($A25,Import_CO_Comuni!$A$4:$A$323,0),MATCH(G$3,Import_CO_Comuni!$A$4:$AAA$4,0))
*(1+'Parametri MTR-3'!$J$6)
*(1+'Parametri MTR-3'!$K$6)</f>
        <v>0</v>
      </c>
    </row>
    <row r="26" spans="1:7" outlineLevel="1" x14ac:dyDescent="0.2">
      <c r="A26" s="7" t="s">
        <v>3320</v>
      </c>
      <c r="B26" s="26" t="s">
        <v>13</v>
      </c>
      <c r="C26" s="27">
        <f t="shared" si="2"/>
        <v>0</v>
      </c>
      <c r="D26" s="6"/>
      <c r="E26" s="28">
        <f>INDEX(Import_CO_Comuni!$A$4:$AAA$323,MATCH($A26,Import_CO_Comuni!$A$4:$A$323,0),MATCH(E$3,Import_CO_Comuni!$A$4:$AAA$4,0))
*(1+'Parametri MTR-3'!$J$6)
*(1+'Parametri MTR-3'!$K$6)</f>
        <v>0</v>
      </c>
      <c r="F26" s="28">
        <f>INDEX(Import_CO_Comuni!$A$4:$AAA$323,MATCH($A26,Import_CO_Comuni!$A$4:$A$323,0),MATCH(F$3,Import_CO_Comuni!$A$4:$AAA$4,0))
*(1+'Parametri MTR-3'!$J$6)
*(1+'Parametri MTR-3'!$K$6)</f>
        <v>0</v>
      </c>
      <c r="G26" s="28">
        <f>INDEX(Import_CO_Comuni!$A$4:$AAA$323,MATCH($A26,Import_CO_Comuni!$A$4:$A$323,0),MATCH(G$3,Import_CO_Comuni!$A$4:$AAA$4,0))
*(1+'Parametri MTR-3'!$J$6)
*(1+'Parametri MTR-3'!$K$6)</f>
        <v>0</v>
      </c>
    </row>
    <row r="27" spans="1:7" outlineLevel="1" x14ac:dyDescent="0.2">
      <c r="A27" s="7" t="s">
        <v>3326</v>
      </c>
      <c r="B27" s="26" t="s">
        <v>14</v>
      </c>
      <c r="C27" s="27">
        <f t="shared" si="2"/>
        <v>0</v>
      </c>
      <c r="D27" s="6"/>
      <c r="E27" s="28">
        <f>INDEX(Import_CO_Comuni!$A$4:$AAA$323,MATCH($A27,Import_CO_Comuni!$A$4:$A$323,0),MATCH(E$3,Import_CO_Comuni!$A$4:$AAA$4,0))
*(1+'Parametri MTR-3'!$J$6)
*(1+'Parametri MTR-3'!$K$6)</f>
        <v>0</v>
      </c>
      <c r="F27" s="28">
        <f>INDEX(Import_CO_Comuni!$A$4:$AAA$323,MATCH($A27,Import_CO_Comuni!$A$4:$A$323,0),MATCH(F$3,Import_CO_Comuni!$A$4:$AAA$4,0))
*(1+'Parametri MTR-3'!$J$6)
*(1+'Parametri MTR-3'!$K$6)</f>
        <v>0</v>
      </c>
      <c r="G27" s="28">
        <f>INDEX(Import_CO_Comuni!$A$4:$AAA$323,MATCH($A27,Import_CO_Comuni!$A$4:$A$323,0),MATCH(G$3,Import_CO_Comuni!$A$4:$AAA$4,0))
*(1+'Parametri MTR-3'!$J$6)
*(1+'Parametri MTR-3'!$K$6)</f>
        <v>0</v>
      </c>
    </row>
    <row r="28" spans="1:7" outlineLevel="1" x14ac:dyDescent="0.2">
      <c r="A28" s="7" t="s">
        <v>3332</v>
      </c>
      <c r="B28" s="26" t="s">
        <v>15</v>
      </c>
      <c r="C28" s="27">
        <f t="shared" si="2"/>
        <v>0</v>
      </c>
      <c r="D28" s="6"/>
      <c r="E28" s="28">
        <f>INDEX(Import_CO_Comuni!$A$4:$AAA$323,MATCH($A28,Import_CO_Comuni!$A$4:$A$323,0),MATCH(E$3,Import_CO_Comuni!$A$4:$AAA$4,0))
*(1+'Parametri MTR-3'!$J$6)
*(1+'Parametri MTR-3'!$K$6)</f>
        <v>0</v>
      </c>
      <c r="F28" s="28">
        <f>INDEX(Import_CO_Comuni!$A$4:$AAA$323,MATCH($A28,Import_CO_Comuni!$A$4:$A$323,0),MATCH(F$3,Import_CO_Comuni!$A$4:$AAA$4,0))
*(1+'Parametri MTR-3'!$J$6)
*(1+'Parametri MTR-3'!$K$6)</f>
        <v>0</v>
      </c>
      <c r="G28" s="28">
        <f>INDEX(Import_CO_Comuni!$A$4:$AAA$323,MATCH($A28,Import_CO_Comuni!$A$4:$A$323,0),MATCH(G$3,Import_CO_Comuni!$A$4:$AAA$4,0))
*(1+'Parametri MTR-3'!$J$6)
*(1+'Parametri MTR-3'!$K$6)</f>
        <v>0</v>
      </c>
    </row>
    <row r="29" spans="1:7" ht="11.4" outlineLevel="1" x14ac:dyDescent="0.2">
      <c r="A29" s="7" t="s">
        <v>3338</v>
      </c>
      <c r="B29" s="52" t="s">
        <v>16</v>
      </c>
      <c r="C29" s="53">
        <f t="shared" si="2"/>
        <v>0</v>
      </c>
      <c r="D29" s="6"/>
      <c r="E29" s="54">
        <f>INDEX(Import_CO_Comuni!$A$4:$AAA$323,MATCH($A29,Import_CO_Comuni!$A$4:$A$323,0),MATCH(E$3,Import_CO_Comuni!$A$4:$AAA$4,0))
*(1+'Parametri MTR-3'!$J$6)
*(1+'Parametri MTR-3'!$K$6)</f>
        <v>0</v>
      </c>
      <c r="F29" s="54">
        <f>INDEX(Import_CO_Comuni!$A$4:$AAA$323,MATCH($A29,Import_CO_Comuni!$A$4:$A$323,0),MATCH(F$3,Import_CO_Comuni!$A$4:$AAA$4,0))
*(1+'Parametri MTR-3'!$J$6)
*(1+'Parametri MTR-3'!$K$6)</f>
        <v>0</v>
      </c>
      <c r="G29" s="54">
        <f>INDEX(Import_CO_Comuni!$A$4:$AAA$323,MATCH($A29,Import_CO_Comuni!$A$4:$A$323,0),MATCH(G$3,Import_CO_Comuni!$A$4:$AAA$4,0))
*(1+'Parametri MTR-3'!$J$6)
*(1+'Parametri MTR-3'!$K$6)</f>
        <v>0</v>
      </c>
    </row>
    <row r="30" spans="1:7" outlineLevel="1" x14ac:dyDescent="0.2">
      <c r="A30" s="7" t="s">
        <v>5663</v>
      </c>
      <c r="B30" s="684" t="s">
        <v>12</v>
      </c>
      <c r="C30" s="685">
        <f t="shared" si="2"/>
        <v>0</v>
      </c>
      <c r="D30" s="6"/>
      <c r="E30" s="686">
        <f>SUM(E26:E29)</f>
        <v>0</v>
      </c>
      <c r="F30" s="686">
        <f>SUM(F26:F29)</f>
        <v>0</v>
      </c>
      <c r="G30" s="686">
        <f>SUM(G26:G29)</f>
        <v>0</v>
      </c>
    </row>
    <row r="31" spans="1:7" outlineLevel="1" x14ac:dyDescent="0.2">
      <c r="A31" s="85" t="s">
        <v>3344</v>
      </c>
      <c r="B31" s="26" t="s">
        <v>18</v>
      </c>
      <c r="C31" s="27">
        <f t="shared" si="2"/>
        <v>24185.690890676058</v>
      </c>
      <c r="D31" s="6"/>
      <c r="E31" s="28">
        <f>INDEX(CK_COM!$A$3:$AAA$158,MATCH($A31,CK_COM!$A$3:$A$158,0),MATCH(E$3,CK_COM!$A$3:$AAA$3,0))</f>
        <v>0</v>
      </c>
      <c r="F31" s="28">
        <f>INDEX(CK_COM!$A$3:$AAA$158,MATCH($A31,CK_COM!$A$3:$A$158,0),MATCH(F$3,CK_COM!$A$3:$AAA$3,0))</f>
        <v>0</v>
      </c>
      <c r="G31" s="28">
        <f>INDEX(CK_COM!$A$3:$AAA$158,MATCH($A31,CK_COM!$A$3:$A$158,0),MATCH(G$3,CK_COM!$A$3:$AAA$3,0))</f>
        <v>24185.690890676058</v>
      </c>
    </row>
    <row r="32" spans="1:7" outlineLevel="1" x14ac:dyDescent="0.2">
      <c r="A32" s="7" t="s">
        <v>3374</v>
      </c>
      <c r="B32" s="687" t="s">
        <v>19</v>
      </c>
      <c r="C32" s="688">
        <f t="shared" si="2"/>
        <v>0</v>
      </c>
      <c r="D32" s="6"/>
      <c r="E32" s="689">
        <f>SUM(E33:E36)</f>
        <v>0</v>
      </c>
      <c r="F32" s="689">
        <f>SUM(F33:F36)</f>
        <v>0</v>
      </c>
      <c r="G32" s="689">
        <f>SUM(G33:G36)</f>
        <v>0</v>
      </c>
    </row>
    <row r="33" spans="1:7" outlineLevel="1" x14ac:dyDescent="0.2">
      <c r="A33" s="85" t="s">
        <v>3362</v>
      </c>
      <c r="B33" s="690" t="s">
        <v>20</v>
      </c>
      <c r="C33" s="691">
        <f t="shared" si="2"/>
        <v>0</v>
      </c>
      <c r="D33" s="6"/>
      <c r="E33" s="696">
        <f>INDEX(Import_CO_Comuni!$A$4:$AAA$323,MATCH($A33,Import_CO_Comuni!$A$4:$A$323,0),MATCH(E$3,Import_CO_Comuni!$A$4:$AAA$4,0))
*(1+'Parametri MTR-3'!$J$6)
*(1+'Parametri MTR-3'!$K$6)</f>
        <v>0</v>
      </c>
      <c r="F33" s="696">
        <f>INDEX(Import_CO_Comuni!$A$4:$AAA$323,MATCH($A33,Import_CO_Comuni!$A$4:$A$323,0),MATCH(F$3,Import_CO_Comuni!$A$4:$AAA$4,0))
*(1+'Parametri MTR-3'!$J$6)
*(1+'Parametri MTR-3'!$K$6)</f>
        <v>0</v>
      </c>
      <c r="G33" s="696">
        <f>INDEX(Import_CO_Comuni!$A$4:$AAA$323,MATCH($A33,Import_CO_Comuni!$A$4:$A$323,0),MATCH(G$3,Import_CO_Comuni!$A$4:$AAA$4,0))
*(1+'Parametri MTR-3'!$J$6)
*(1+'Parametri MTR-3'!$K$6)</f>
        <v>0</v>
      </c>
    </row>
    <row r="34" spans="1:7" outlineLevel="1" x14ac:dyDescent="0.2">
      <c r="A34" s="85" t="s">
        <v>3365</v>
      </c>
      <c r="B34" s="692" t="s">
        <v>21</v>
      </c>
      <c r="C34" s="693">
        <f t="shared" si="2"/>
        <v>0</v>
      </c>
      <c r="D34" s="6"/>
      <c r="E34" s="697">
        <f>INDEX(Import_CO_Comuni!$A$4:$AAA$323,MATCH($A34,Import_CO_Comuni!$A$4:$A$323,0),MATCH(E$3,Import_CO_Comuni!$A$4:$AAA$4,0))
*(1+'Parametri MTR-3'!$J$6)
*(1+'Parametri MTR-3'!$K$6)</f>
        <v>0</v>
      </c>
      <c r="F34" s="697">
        <f>INDEX(Import_CO_Comuni!$A$4:$AAA$323,MATCH($A34,Import_CO_Comuni!$A$4:$A$323,0),MATCH(F$3,Import_CO_Comuni!$A$4:$AAA$4,0))
*(1+'Parametri MTR-3'!$J$6)
*(1+'Parametri MTR-3'!$K$6)</f>
        <v>0</v>
      </c>
      <c r="G34" s="697">
        <f>INDEX(Import_CO_Comuni!$A$4:$AAA$323,MATCH($A34,Import_CO_Comuni!$A$4:$A$323,0),MATCH(G$3,Import_CO_Comuni!$A$4:$AAA$4,0))
*(1+'Parametri MTR-3'!$J$6)
*(1+'Parametri MTR-3'!$K$6)</f>
        <v>0</v>
      </c>
    </row>
    <row r="35" spans="1:7" outlineLevel="1" x14ac:dyDescent="0.2">
      <c r="A35" s="85" t="s">
        <v>3368</v>
      </c>
      <c r="B35" s="692" t="s">
        <v>22</v>
      </c>
      <c r="C35" s="693">
        <f t="shared" si="2"/>
        <v>0</v>
      </c>
      <c r="D35" s="6"/>
      <c r="E35" s="697">
        <f>INDEX(Import_CO_Comuni!$A$4:$AAA$323,MATCH($A35,Import_CO_Comuni!$A$4:$A$323,0),MATCH(E$3,Import_CO_Comuni!$A$4:$AAA$4,0))
*(1+'Parametri MTR-3'!$J$6)
*(1+'Parametri MTR-3'!$K$6)</f>
        <v>0</v>
      </c>
      <c r="F35" s="697">
        <f>INDEX(Import_CO_Comuni!$A$4:$AAA$323,MATCH($A35,Import_CO_Comuni!$A$4:$A$323,0),MATCH(F$3,Import_CO_Comuni!$A$4:$AAA$4,0))
*(1+'Parametri MTR-3'!$J$6)
*(1+'Parametri MTR-3'!$K$6)</f>
        <v>0</v>
      </c>
      <c r="G35" s="697">
        <f>INDEX(Import_CO_Comuni!$A$4:$AAA$323,MATCH($A35,Import_CO_Comuni!$A$4:$A$323,0),MATCH(G$3,Import_CO_Comuni!$A$4:$AAA$4,0))
*(1+'Parametri MTR-3'!$J$6)
*(1+'Parametri MTR-3'!$K$6)</f>
        <v>0</v>
      </c>
    </row>
    <row r="36" spans="1:7" outlineLevel="1" x14ac:dyDescent="0.2">
      <c r="A36" s="85" t="s">
        <v>3371</v>
      </c>
      <c r="B36" s="694" t="s">
        <v>23</v>
      </c>
      <c r="C36" s="695">
        <f t="shared" si="2"/>
        <v>0</v>
      </c>
      <c r="D36" s="6"/>
      <c r="E36" s="698">
        <f>INDEX(Import_CO_Comuni!$A$4:$AAA$323,MATCH($A36,Import_CO_Comuni!$A$4:$A$323,0),MATCH(E$3,Import_CO_Comuni!$A$4:$AAA$4,0))
*(1+'Parametri MTR-3'!$J$6)
*(1+'Parametri MTR-3'!$K$6)</f>
        <v>0</v>
      </c>
      <c r="F36" s="698">
        <f>INDEX(Import_CO_Comuni!$A$4:$AAA$323,MATCH($A36,Import_CO_Comuni!$A$4:$A$323,0),MATCH(F$3,Import_CO_Comuni!$A$4:$AAA$4,0))
*(1+'Parametri MTR-3'!$J$6)
*(1+'Parametri MTR-3'!$K$6)</f>
        <v>0</v>
      </c>
      <c r="G36" s="698">
        <f>INDEX(Import_CO_Comuni!$A$4:$AAA$323,MATCH($A36,Import_CO_Comuni!$A$4:$A$323,0),MATCH(G$3,Import_CO_Comuni!$A$4:$AAA$4,0))
*(1+'Parametri MTR-3'!$J$6)
*(1+'Parametri MTR-3'!$K$6)</f>
        <v>0</v>
      </c>
    </row>
    <row r="37" spans="1:7" outlineLevel="1" x14ac:dyDescent="0.2">
      <c r="A37" s="85" t="s">
        <v>3380</v>
      </c>
      <c r="B37" s="26" t="s">
        <v>24</v>
      </c>
      <c r="C37" s="27">
        <f t="shared" si="2"/>
        <v>28716.367581554587</v>
      </c>
      <c r="D37" s="6"/>
      <c r="E37" s="28">
        <f>INDEX(CK_COM!$A$3:$AAA$158,MATCH($A37,CK_COM!$A$3:$A$158,0),MATCH(E$3,CK_COM!$A$3:$AAA$3,0))</f>
        <v>0</v>
      </c>
      <c r="F37" s="28">
        <f>INDEX(CK_COM!$A$3:$AAA$158,MATCH($A37,CK_COM!$A$3:$A$158,0),MATCH(F$3,CK_COM!$A$3:$AAA$3,0))</f>
        <v>0</v>
      </c>
      <c r="G37" s="28">
        <f>INDEX(CK_COM!$A$3:$AAA$158,MATCH($A37,CK_COM!$A$3:$A$158,0),MATCH(G$3,CK_COM!$A$3:$AAA$3,0))</f>
        <v>28716.367581554587</v>
      </c>
    </row>
    <row r="38" spans="1:7" ht="11.4" outlineLevel="1" x14ac:dyDescent="0.2">
      <c r="A38" s="85" t="s">
        <v>3386</v>
      </c>
      <c r="B38" s="52" t="s">
        <v>25</v>
      </c>
      <c r="C38" s="53">
        <f t="shared" si="2"/>
        <v>0</v>
      </c>
      <c r="D38" s="6"/>
      <c r="E38" s="54">
        <f>INDEX(CK_COM!$A$3:$AAA$158,MATCH($A38,CK_COM!$A$3:$A$158,0),MATCH(E$3,CK_COM!$A$3:$AAA$3,0))</f>
        <v>0</v>
      </c>
      <c r="F38" s="54">
        <f>INDEX(CK_COM!$A$3:$AAA$158,MATCH($A38,CK_COM!$A$3:$A$158,0),MATCH(F$3,CK_COM!$A$3:$AAA$3,0))</f>
        <v>0</v>
      </c>
      <c r="G38" s="54">
        <f>INDEX(CK_COM!$A$3:$AAA$158,MATCH($A38,CK_COM!$A$3:$A$158,0),MATCH(G$3,CK_COM!$A$3:$AAA$3,0))</f>
        <v>0</v>
      </c>
    </row>
    <row r="39" spans="1:7" ht="11.4" outlineLevel="1" x14ac:dyDescent="0.2">
      <c r="A39" s="85" t="s">
        <v>3392</v>
      </c>
      <c r="B39" s="52" t="s">
        <v>5474</v>
      </c>
      <c r="C39" s="53">
        <f t="shared" si="2"/>
        <v>0</v>
      </c>
      <c r="D39" s="6"/>
      <c r="E39" s="54">
        <f>INDEX(CK_COM!$A$3:$AAA$158,MATCH($A39,CK_COM!$A$3:$A$158,0),MATCH(E$3,CK_COM!$A$3:$AAA$3,0))</f>
        <v>0</v>
      </c>
      <c r="F39" s="54">
        <f>INDEX(CK_COM!$A$3:$AAA$158,MATCH($A39,CK_COM!$A$3:$A$158,0),MATCH(F$3,CK_COM!$A$3:$AAA$3,0))</f>
        <v>0</v>
      </c>
      <c r="G39" s="54">
        <f>INDEX(CK_COM!$A$3:$AAA$158,MATCH($A39,CK_COM!$A$3:$A$158,0),MATCH(G$3,CK_COM!$A$3:$AAA$3,0))</f>
        <v>0</v>
      </c>
    </row>
    <row r="40" spans="1:7" outlineLevel="1" x14ac:dyDescent="0.2">
      <c r="A40" s="7" t="s">
        <v>5664</v>
      </c>
      <c r="B40" s="684" t="s">
        <v>17</v>
      </c>
      <c r="C40" s="685">
        <f t="shared" si="2"/>
        <v>52902.058472230645</v>
      </c>
      <c r="D40" s="6"/>
      <c r="E40" s="686">
        <f>E31+E32+E37+E38+E39</f>
        <v>0</v>
      </c>
      <c r="F40" s="686">
        <f>F31+F32+F37+F38+F39</f>
        <v>0</v>
      </c>
      <c r="G40" s="686">
        <f>G31+G32+G37+G38+G39</f>
        <v>52902.058472230645</v>
      </c>
    </row>
    <row r="41" spans="1:7" ht="11.4" outlineLevel="1" x14ac:dyDescent="0.2">
      <c r="A41" s="85" t="s">
        <v>1021</v>
      </c>
      <c r="B41" s="14" t="s">
        <v>5447</v>
      </c>
      <c r="C41" s="17">
        <f t="shared" si="2"/>
        <v>0</v>
      </c>
      <c r="D41" s="6"/>
      <c r="E41" s="16">
        <f>INDEX(IN_COexp!$A$3:$AAA$269,MATCH($A41,IN_COexp!$A$3:$A$269,0),MATCH(E$3,IN_COexp!$A$3:$AAA$3,0))</f>
        <v>0</v>
      </c>
      <c r="F41" s="16">
        <f>INDEX(IN_COexp!$A$3:$AAA$269,MATCH($A41,IN_COexp!$A$3:$A$269,0),MATCH(F$3,IN_COexp!$A$3:$AAA$3,0))</f>
        <v>0</v>
      </c>
      <c r="G41" s="16">
        <f>INDEX(IN_COexp!$A$3:$AAA$269,MATCH($A41,IN_COexp!$A$3:$A$269,0),MATCH(G$3,IN_COexp!$A$3:$AAA$3,0))</f>
        <v>0</v>
      </c>
    </row>
    <row r="42" spans="1:7" ht="11.4" outlineLevel="1" x14ac:dyDescent="0.2">
      <c r="A42" s="85" t="s">
        <v>1030</v>
      </c>
      <c r="B42" s="14" t="s">
        <v>5448</v>
      </c>
      <c r="C42" s="17">
        <f t="shared" si="2"/>
        <v>0</v>
      </c>
      <c r="D42" s="6"/>
      <c r="E42" s="16">
        <f>INDEX(IN_COexp!$A$3:$AAA$269,MATCH($A42,IN_COexp!$A$3:$A$269,0),MATCH(E$3,IN_COexp!$A$3:$AAA$3,0))</f>
        <v>0</v>
      </c>
      <c r="F42" s="16">
        <f>INDEX(IN_COexp!$A$3:$AAA$269,MATCH($A42,IN_COexp!$A$3:$A$269,0),MATCH(F$3,IN_COexp!$A$3:$AAA$3,0))</f>
        <v>0</v>
      </c>
      <c r="G42" s="16">
        <f>INDEX(IN_COexp!$A$3:$AAA$269,MATCH($A42,IN_COexp!$A$3:$A$269,0),MATCH(G$3,IN_COexp!$A$3:$AAA$3,0))</f>
        <v>0</v>
      </c>
    </row>
    <row r="43" spans="1:7" ht="11.4" outlineLevel="1" x14ac:dyDescent="0.2">
      <c r="A43" s="85" t="s">
        <v>2223</v>
      </c>
      <c r="B43" s="14" t="s">
        <v>6410</v>
      </c>
      <c r="C43" s="17">
        <f t="shared" si="2"/>
        <v>0</v>
      </c>
      <c r="D43" s="6"/>
      <c r="E43" s="18">
        <f>INDEX(IN_COexp!$A$3:$AAA$269,MATCH($A43,IN_COexp!$A$3:$A$269,0),MATCH(E$3,IN_COexp!$A$3:$AAA$3,0))</f>
        <v>0</v>
      </c>
      <c r="F43" s="18">
        <f>INDEX(IN_COexp!$A$3:$AAA$269,MATCH($A43,IN_COexp!$A$3:$A$269,0),MATCH(F$3,IN_COexp!$A$3:$AAA$3,0))</f>
        <v>0</v>
      </c>
      <c r="G43" s="18">
        <f>INDEX(IN_COexp!$A$3:$AAA$269,MATCH($A43,IN_COexp!$A$3:$A$269,0),MATCH(G$3,IN_COexp!$A$3:$AAA$3,0))</f>
        <v>0</v>
      </c>
    </row>
    <row r="44" spans="1:7" ht="11.4" outlineLevel="1" x14ac:dyDescent="0.2">
      <c r="A44" s="85" t="s">
        <v>2295</v>
      </c>
      <c r="B44" s="14" t="s">
        <v>6411</v>
      </c>
      <c r="C44" s="17">
        <f t="shared" si="2"/>
        <v>0</v>
      </c>
      <c r="D44" s="6"/>
      <c r="E44" s="18">
        <f>INDEX(IN_COexp!$A$3:$AAA$269,MATCH($A44,IN_COexp!$A$3:$A$269,0),MATCH(E$3,IN_COexp!$A$3:$AAA$3,0))</f>
        <v>0</v>
      </c>
      <c r="F44" s="18">
        <f>INDEX(IN_COexp!$A$3:$AAA$269,MATCH($A44,IN_COexp!$A$3:$A$269,0),MATCH(F$3,IN_COexp!$A$3:$AAA$3,0))</f>
        <v>0</v>
      </c>
      <c r="G44" s="18">
        <f>INDEX(IN_COexp!$A$3:$AAA$269,MATCH($A44,IN_COexp!$A$3:$A$269,0),MATCH(G$3,IN_COexp!$A$3:$AAA$3,0))</f>
        <v>0</v>
      </c>
    </row>
    <row r="45" spans="1:7" ht="11.4" outlineLevel="1" x14ac:dyDescent="0.2">
      <c r="A45" s="85" t="s">
        <v>1039</v>
      </c>
      <c r="B45" s="14" t="s">
        <v>5449</v>
      </c>
      <c r="C45" s="17">
        <f t="shared" si="2"/>
        <v>0</v>
      </c>
      <c r="D45" s="6"/>
      <c r="E45" s="16">
        <f>INDEX(IN_COexp!$A$3:$AAA$269,MATCH($A45,IN_COexp!$A$3:$A$269,0),MATCH(E$3,IN_COexp!$A$3:$AAA$3,0))</f>
        <v>0</v>
      </c>
      <c r="F45" s="16">
        <f>INDEX(IN_COexp!$A$3:$AAA$269,MATCH($A45,IN_COexp!$A$3:$A$269,0),MATCH(F$3,IN_COexp!$A$3:$AAA$3,0))</f>
        <v>0</v>
      </c>
      <c r="G45" s="16">
        <f>INDEX(IN_COexp!$A$3:$AAA$269,MATCH($A45,IN_COexp!$A$3:$A$269,0),MATCH(G$3,IN_COexp!$A$3:$AAA$3,0))</f>
        <v>0</v>
      </c>
    </row>
    <row r="46" spans="1:7" ht="11.4" outlineLevel="1" x14ac:dyDescent="0.2">
      <c r="A46" s="85" t="s">
        <v>3056</v>
      </c>
      <c r="B46" s="703" t="s">
        <v>26</v>
      </c>
      <c r="C46" s="704">
        <f t="shared" si="2"/>
        <v>0</v>
      </c>
      <c r="D46" s="6"/>
      <c r="E46" s="706">
        <f>INDEX('IN_RC-T'!$A$3:$AAA$865,MATCH($A46,'IN_RC-T'!$A$3:$A$865,0),MATCH(E$3,'IN_RC-T'!$A$3:$AAA$3,0))</f>
        <v>0</v>
      </c>
      <c r="F46" s="706">
        <f>INDEX('IN_RC-T'!$A$3:$AAA$865,MATCH($A46,'IN_RC-T'!$A$3:$A$865,0),MATCH(F$3,'IN_RC-T'!$A$3:$AAA$3,0))</f>
        <v>0</v>
      </c>
      <c r="G46" s="706">
        <f>INDEX('IN_RC-T'!$A$3:$AAA$865,MATCH($A46,'IN_RC-T'!$A$3:$A$865,0),MATCH(G$3,'IN_RC-T'!$A$3:$AAA$3,0))</f>
        <v>0</v>
      </c>
    </row>
    <row r="47" spans="1:7" ht="11.4" outlineLevel="1" x14ac:dyDescent="0.2">
      <c r="A47" s="7" t="s">
        <v>6800</v>
      </c>
      <c r="B47" s="705" t="s">
        <v>5450</v>
      </c>
      <c r="C47" s="985">
        <f t="shared" si="2"/>
        <v>0</v>
      </c>
      <c r="D47" s="986"/>
      <c r="E47" s="984">
        <f>INDEX('IN_RC-T'!$A$3:$AAA$865,MATCH($A47,'IN_RC-T'!$A$3:$A$865,0),MATCH(E$3,'IN_RC-T'!$A$3:$AAA$3,0))</f>
        <v>0</v>
      </c>
      <c r="F47" s="984">
        <f>INDEX('IN_RC-T'!$A$3:$AAA$865,MATCH($A47,'IN_RC-T'!$A$3:$A$865,0),MATCH(F$3,'IN_RC-T'!$A$3:$AAA$3,0))</f>
        <v>0</v>
      </c>
      <c r="G47" s="984">
        <f>INDEX('IN_RC-T'!$A$3:$AAA$865,MATCH($A47,'IN_RC-T'!$A$3:$A$865,0),MATCH(G$3,'IN_RC-T'!$A$3:$AAA$3,0))</f>
        <v>0</v>
      </c>
    </row>
    <row r="48" spans="1:7" outlineLevel="1" x14ac:dyDescent="0.2">
      <c r="A48" s="85" t="s">
        <v>3407</v>
      </c>
      <c r="B48" s="14" t="s">
        <v>10</v>
      </c>
      <c r="C48" s="15">
        <f t="shared" si="2"/>
        <v>0</v>
      </c>
      <c r="D48" s="6"/>
      <c r="E48" s="16">
        <f>INDEX(Import_CO_Comuni!$A$4:$AAA$323,MATCH($A48,Import_CO_Comuni!$A$4:$A$323,0),MATCH(E$3,Import_CO_Comuni!$A$4:$AAA$4,0))</f>
        <v>0</v>
      </c>
      <c r="F48" s="16">
        <f>INDEX(Import_CO_Comuni!$A$4:$AAA$323,MATCH($A48,Import_CO_Comuni!$A$4:$A$323,0),MATCH(F$3,Import_CO_Comuni!$A$4:$AAA$4,0))</f>
        <v>0</v>
      </c>
      <c r="G48" s="16">
        <f>INDEX(Import_CO_Comuni!$A$4:$AAA$323,MATCH($A48,Import_CO_Comuni!$A$4:$A$323,0),MATCH(G$3,Import_CO_Comuni!$A$4:$AAA$4,0))</f>
        <v>0</v>
      </c>
    </row>
    <row r="49" spans="1:7" x14ac:dyDescent="0.2">
      <c r="C49" s="25"/>
      <c r="D49" s="6"/>
      <c r="E49" s="5"/>
      <c r="F49" s="5"/>
      <c r="G49" s="5"/>
    </row>
    <row r="50" spans="1:7" s="13" customFormat="1" ht="19.5" customHeight="1" x14ac:dyDescent="0.3">
      <c r="A50" s="31" t="s">
        <v>5665</v>
      </c>
      <c r="B50" s="700" t="s">
        <v>5559</v>
      </c>
      <c r="C50" s="701">
        <f>SUM(E50:G50)</f>
        <v>52902.058472230645</v>
      </c>
      <c r="D50" s="6"/>
      <c r="E50" s="702">
        <f t="shared" ref="E50" si="3">E5+E24</f>
        <v>0</v>
      </c>
      <c r="F50" s="702">
        <f t="shared" ref="F50:G50" si="4">F5+F24</f>
        <v>0</v>
      </c>
      <c r="G50" s="702">
        <f t="shared" si="4"/>
        <v>52902.058472230645</v>
      </c>
    </row>
    <row r="51" spans="1:7" x14ac:dyDescent="0.2">
      <c r="B51" s="24"/>
      <c r="C51" s="25"/>
      <c r="D51" s="6"/>
      <c r="E51" s="5"/>
      <c r="F51" s="5"/>
      <c r="G51" s="5"/>
    </row>
    <row r="52" spans="1:7" x14ac:dyDescent="0.2">
      <c r="A52" s="85" t="s">
        <v>3650</v>
      </c>
      <c r="B52" s="682" t="s">
        <v>5453</v>
      </c>
      <c r="C52" s="213">
        <f>SUM(E52:G52)</f>
        <v>0</v>
      </c>
      <c r="D52" s="6"/>
      <c r="E52" s="215">
        <f>INDEX('IN_Detr 4.5 del_397'!$A$3:$AAA$1192,MATCH($A52,'IN_Detr 4.5 del_397'!$A$3:$A$1192,0),MATCH(E$3,'IN_Detr 4.5 del_397'!$A$3:$AAA$3,0))</f>
        <v>0</v>
      </c>
      <c r="F52" s="215">
        <f>INDEX('IN_Detr 4.5 del_397'!$A$3:$AAA$1192,MATCH($A52,'IN_Detr 4.5 del_397'!$A$3:$A$1192,0),MATCH(F$3,'IN_Detr 4.5 del_397'!$A$3:$AAA$3,0))</f>
        <v>0</v>
      </c>
      <c r="G52" s="215">
        <f>INDEX('IN_Detr 4.5 del_397'!$A$3:$AAA$1192,MATCH($A52,'IN_Detr 4.5 del_397'!$A$3:$A$1192,0),MATCH(G$3,'IN_Detr 4.5 del_397'!$A$3:$AAA$3,0))</f>
        <v>0</v>
      </c>
    </row>
    <row r="53" spans="1:7" x14ac:dyDescent="0.2">
      <c r="A53" s="85" t="s">
        <v>3653</v>
      </c>
      <c r="B53" s="683" t="s">
        <v>5454</v>
      </c>
      <c r="C53" s="214">
        <f>SUM(E53:G53)</f>
        <v>0</v>
      </c>
      <c r="D53" s="6"/>
      <c r="E53" s="216">
        <f>INDEX('IN_Detr 4.5 del_397'!$A$3:$AAA$1192,MATCH($A53,'IN_Detr 4.5 del_397'!$A$3:$A$1192,0),MATCH(E$3,'IN_Detr 4.5 del_397'!$A$3:$AAA$3,0))</f>
        <v>0</v>
      </c>
      <c r="F53" s="216">
        <f>INDEX('IN_Detr 4.5 del_397'!$A$3:$AAA$1192,MATCH($A53,'IN_Detr 4.5 del_397'!$A$3:$A$1192,0),MATCH(F$3,'IN_Detr 4.5 del_397'!$A$3:$AAA$3,0))</f>
        <v>0</v>
      </c>
      <c r="G53" s="216">
        <f>INDEX('IN_Detr 4.5 del_397'!$A$3:$AAA$1192,MATCH($A53,'IN_Detr 4.5 del_397'!$A$3:$A$1192,0),MATCH(G$3,'IN_Detr 4.5 del_397'!$A$3:$AAA$3,0))</f>
        <v>0</v>
      </c>
    </row>
    <row r="54" spans="1:7" ht="19.5" customHeight="1" x14ac:dyDescent="0.2">
      <c r="A54" s="85" t="s">
        <v>5666</v>
      </c>
      <c r="B54" s="681" t="s">
        <v>5455</v>
      </c>
      <c r="C54" s="131">
        <f>SUM(E54:G54)</f>
        <v>0</v>
      </c>
      <c r="D54" s="130"/>
      <c r="E54" s="132">
        <f>E52+E53</f>
        <v>0</v>
      </c>
      <c r="F54" s="132">
        <f>F52+F53</f>
        <v>0</v>
      </c>
      <c r="G54" s="132">
        <f>G52+G53</f>
        <v>0</v>
      </c>
    </row>
    <row r="56" spans="1:7" ht="11.4" x14ac:dyDescent="0.2">
      <c r="A56" s="31" t="s">
        <v>5667</v>
      </c>
      <c r="B56" s="700" t="s">
        <v>5560</v>
      </c>
      <c r="C56" s="701">
        <f t="shared" ref="C56:C66" si="5">SUM(E56:G56)</f>
        <v>0</v>
      </c>
      <c r="D56" s="6"/>
      <c r="E56" s="702">
        <f>SUM(E57:E66)-E70+E71+E73</f>
        <v>0</v>
      </c>
      <c r="F56" s="702">
        <f>SUM(F57:F66)-F70+F71+F73</f>
        <v>0</v>
      </c>
      <c r="G56" s="702">
        <f>SUM(G57:G66)-G70+G71+G73</f>
        <v>0</v>
      </c>
    </row>
    <row r="57" spans="1:7" outlineLevel="1" x14ac:dyDescent="0.2">
      <c r="A57" s="7" t="s">
        <v>3273</v>
      </c>
      <c r="B57" s="14" t="s">
        <v>1</v>
      </c>
      <c r="C57" s="15">
        <f t="shared" si="5"/>
        <v>0</v>
      </c>
      <c r="D57" s="6"/>
      <c r="E57" s="16">
        <f>INDEX('IN_Detr 4.5 del_397'!$A$3:$AAA$1192,MATCH($A57,'IN_Detr 4.5 del_397'!$A$3:$A$1192,0),MATCH(E$3,'IN_Detr 4.5 del_397'!$A$3:$AAA$3,0))</f>
        <v>0</v>
      </c>
      <c r="F57" s="16">
        <f>INDEX('IN_Detr 4.5 del_397'!$A$3:$AAA$1192,MATCH($A57,'IN_Detr 4.5 del_397'!$A$3:$A$1192,0),MATCH(F$3,'IN_Detr 4.5 del_397'!$A$3:$AAA$3,0))</f>
        <v>0</v>
      </c>
      <c r="G57" s="16">
        <f>INDEX('IN_Detr 4.5 del_397'!$A$3:$AAA$1192,MATCH($A57,'IN_Detr 4.5 del_397'!$A$3:$A$1192,0),MATCH(G$3,'IN_Detr 4.5 del_397'!$A$3:$AAA$3,0))</f>
        <v>0</v>
      </c>
    </row>
    <row r="58" spans="1:7" outlineLevel="1" x14ac:dyDescent="0.2">
      <c r="A58" s="7" t="s">
        <v>3279</v>
      </c>
      <c r="B58" s="14" t="s">
        <v>3</v>
      </c>
      <c r="C58" s="15">
        <f t="shared" si="5"/>
        <v>0</v>
      </c>
      <c r="D58" s="6"/>
      <c r="E58" s="16">
        <f>INDEX('IN_Detr 4.5 del_397'!$A$3:$AAA$1192,MATCH($A58,'IN_Detr 4.5 del_397'!$A$3:$A$1192,0),MATCH(E$3,'IN_Detr 4.5 del_397'!$A$3:$AAA$3,0))</f>
        <v>0</v>
      </c>
      <c r="F58" s="16">
        <f>INDEX('IN_Detr 4.5 del_397'!$A$3:$AAA$1192,MATCH($A58,'IN_Detr 4.5 del_397'!$A$3:$A$1192,0),MATCH(F$3,'IN_Detr 4.5 del_397'!$A$3:$AAA$3,0))</f>
        <v>0</v>
      </c>
      <c r="G58" s="16">
        <f>INDEX('IN_Detr 4.5 del_397'!$A$3:$AAA$1192,MATCH($A58,'IN_Detr 4.5 del_397'!$A$3:$A$1192,0),MATCH(G$3,'IN_Detr 4.5 del_397'!$A$3:$AAA$3,0))</f>
        <v>0</v>
      </c>
    </row>
    <row r="59" spans="1:7" outlineLevel="1" x14ac:dyDescent="0.2">
      <c r="A59" s="7" t="s">
        <v>3285</v>
      </c>
      <c r="B59" s="14" t="s">
        <v>4</v>
      </c>
      <c r="C59" s="15">
        <f t="shared" si="5"/>
        <v>0</v>
      </c>
      <c r="D59" s="6"/>
      <c r="E59" s="16">
        <f>INDEX('IN_Detr 4.5 del_397'!$A$3:$AAA$1192,MATCH($A59,'IN_Detr 4.5 del_397'!$A$3:$A$1192,0),MATCH(E$3,'IN_Detr 4.5 del_397'!$A$3:$AAA$3,0))</f>
        <v>0</v>
      </c>
      <c r="F59" s="16">
        <f>INDEX('IN_Detr 4.5 del_397'!$A$3:$AAA$1192,MATCH($A59,'IN_Detr 4.5 del_397'!$A$3:$A$1192,0),MATCH(F$3,'IN_Detr 4.5 del_397'!$A$3:$AAA$3,0))</f>
        <v>0</v>
      </c>
      <c r="G59" s="16">
        <f>INDEX('IN_Detr 4.5 del_397'!$A$3:$AAA$1192,MATCH($A59,'IN_Detr 4.5 del_397'!$A$3:$A$1192,0),MATCH(G$3,'IN_Detr 4.5 del_397'!$A$3:$AAA$3,0))</f>
        <v>0</v>
      </c>
    </row>
    <row r="60" spans="1:7" outlineLevel="1" x14ac:dyDescent="0.2">
      <c r="A60" s="7" t="s">
        <v>3291</v>
      </c>
      <c r="B60" s="14" t="s">
        <v>5</v>
      </c>
      <c r="C60" s="15">
        <f t="shared" si="5"/>
        <v>0</v>
      </c>
      <c r="D60" s="6"/>
      <c r="E60" s="16">
        <f>INDEX('IN_Detr 4.5 del_397'!$A$3:$AAA$1192,MATCH($A60,'IN_Detr 4.5 del_397'!$A$3:$A$1192,0),MATCH(E$3,'IN_Detr 4.5 del_397'!$A$3:$AAA$3,0))</f>
        <v>0</v>
      </c>
      <c r="F60" s="16">
        <f>INDEX('IN_Detr 4.5 del_397'!$A$3:$AAA$1192,MATCH($A60,'IN_Detr 4.5 del_397'!$A$3:$A$1192,0),MATCH(F$3,'IN_Detr 4.5 del_397'!$A$3:$AAA$3,0))</f>
        <v>0</v>
      </c>
      <c r="G60" s="16">
        <f>INDEX('IN_Detr 4.5 del_397'!$A$3:$AAA$1192,MATCH($A60,'IN_Detr 4.5 del_397'!$A$3:$A$1192,0),MATCH(G$3,'IN_Detr 4.5 del_397'!$A$3:$AAA$3,0))</f>
        <v>0</v>
      </c>
    </row>
    <row r="61" spans="1:7" ht="11.4" outlineLevel="1" x14ac:dyDescent="0.2">
      <c r="A61" s="85" t="s">
        <v>5668</v>
      </c>
      <c r="B61" s="14" t="s">
        <v>5438</v>
      </c>
      <c r="C61" s="17">
        <f t="shared" si="5"/>
        <v>0</v>
      </c>
      <c r="D61" s="6"/>
      <c r="E61" s="16">
        <f>E10</f>
        <v>0</v>
      </c>
      <c r="F61" s="16">
        <f>F10</f>
        <v>0</v>
      </c>
      <c r="G61" s="16">
        <f>G10</f>
        <v>0</v>
      </c>
    </row>
    <row r="62" spans="1:7" ht="11.4" outlineLevel="1" x14ac:dyDescent="0.2">
      <c r="A62" s="85" t="s">
        <v>5669</v>
      </c>
      <c r="B62" s="14" t="s">
        <v>5439</v>
      </c>
      <c r="C62" s="17">
        <f t="shared" si="5"/>
        <v>0</v>
      </c>
      <c r="D62" s="6"/>
      <c r="E62" s="18">
        <f t="shared" ref="E62:E66" si="6">E11</f>
        <v>0</v>
      </c>
      <c r="F62" s="18">
        <f t="shared" ref="F62:G62" si="7">F11</f>
        <v>0</v>
      </c>
      <c r="G62" s="18">
        <f t="shared" si="7"/>
        <v>0</v>
      </c>
    </row>
    <row r="63" spans="1:7" ht="11.4" outlineLevel="1" x14ac:dyDescent="0.2">
      <c r="A63" s="85" t="s">
        <v>5670</v>
      </c>
      <c r="B63" s="14" t="s">
        <v>5440</v>
      </c>
      <c r="C63" s="17">
        <f t="shared" si="5"/>
        <v>0</v>
      </c>
      <c r="D63" s="6"/>
      <c r="E63" s="18">
        <f t="shared" si="6"/>
        <v>0</v>
      </c>
      <c r="F63" s="18">
        <f t="shared" ref="F63:G63" si="8">F12</f>
        <v>0</v>
      </c>
      <c r="G63" s="18">
        <f t="shared" si="8"/>
        <v>0</v>
      </c>
    </row>
    <row r="64" spans="1:7" ht="11.4" outlineLevel="1" x14ac:dyDescent="0.2">
      <c r="A64" s="85" t="s">
        <v>5671</v>
      </c>
      <c r="B64" s="14" t="s">
        <v>5441</v>
      </c>
      <c r="C64" s="17">
        <f t="shared" si="5"/>
        <v>0</v>
      </c>
      <c r="D64" s="6"/>
      <c r="E64" s="18">
        <f t="shared" si="6"/>
        <v>0</v>
      </c>
      <c r="F64" s="18">
        <f t="shared" ref="F64:G64" si="9">F13</f>
        <v>0</v>
      </c>
      <c r="G64" s="18">
        <f t="shared" si="9"/>
        <v>0</v>
      </c>
    </row>
    <row r="65" spans="1:7" ht="11.4" outlineLevel="1" x14ac:dyDescent="0.2">
      <c r="A65" s="85" t="s">
        <v>5672</v>
      </c>
      <c r="B65" s="14" t="s">
        <v>5442</v>
      </c>
      <c r="C65" s="17">
        <f t="shared" si="5"/>
        <v>0</v>
      </c>
      <c r="D65" s="6"/>
      <c r="E65" s="18">
        <f t="shared" si="6"/>
        <v>0</v>
      </c>
      <c r="F65" s="18">
        <f t="shared" ref="F65:G65" si="10">F14</f>
        <v>0</v>
      </c>
      <c r="G65" s="18">
        <f t="shared" si="10"/>
        <v>0</v>
      </c>
    </row>
    <row r="66" spans="1:7" ht="11.4" outlineLevel="1" x14ac:dyDescent="0.2">
      <c r="A66" s="85" t="s">
        <v>5673</v>
      </c>
      <c r="B66" s="14" t="s">
        <v>5443</v>
      </c>
      <c r="C66" s="17">
        <f t="shared" si="5"/>
        <v>0</v>
      </c>
      <c r="D66" s="6"/>
      <c r="E66" s="18">
        <f t="shared" si="6"/>
        <v>0</v>
      </c>
      <c r="F66" s="18">
        <f t="shared" ref="F66:G66" si="11">F15</f>
        <v>0</v>
      </c>
      <c r="G66" s="18">
        <f t="shared" si="11"/>
        <v>0</v>
      </c>
    </row>
    <row r="67" spans="1:7" outlineLevel="1" x14ac:dyDescent="0.2">
      <c r="A67" s="85" t="s">
        <v>983</v>
      </c>
      <c r="B67" s="736" t="s">
        <v>7</v>
      </c>
      <c r="C67" s="737"/>
      <c r="D67" s="19"/>
      <c r="E67" s="740">
        <f t="shared" ref="E67:E69" si="12">E16</f>
        <v>0.7</v>
      </c>
      <c r="F67" s="740">
        <f t="shared" ref="F67:G67" si="13">F16</f>
        <v>0</v>
      </c>
      <c r="G67" s="740">
        <f t="shared" si="13"/>
        <v>0</v>
      </c>
    </row>
    <row r="68" spans="1:7" outlineLevel="1" x14ac:dyDescent="0.2">
      <c r="A68" s="7" t="s">
        <v>5674</v>
      </c>
      <c r="B68" s="26" t="s">
        <v>6</v>
      </c>
      <c r="C68" s="27">
        <f t="shared" ref="C68:C73" si="14">SUM(E68:G68)</f>
        <v>0</v>
      </c>
      <c r="D68" s="6"/>
      <c r="E68" s="28">
        <f t="shared" si="12"/>
        <v>0</v>
      </c>
      <c r="F68" s="28">
        <f t="shared" ref="F68:G68" si="15">F17</f>
        <v>0</v>
      </c>
      <c r="G68" s="28">
        <f t="shared" si="15"/>
        <v>0</v>
      </c>
    </row>
    <row r="69" spans="1:7" ht="11.4" outlineLevel="1" x14ac:dyDescent="0.2">
      <c r="A69" s="7" t="s">
        <v>5675</v>
      </c>
      <c r="B69" s="26" t="s">
        <v>101</v>
      </c>
      <c r="C69" s="27">
        <f t="shared" si="14"/>
        <v>0</v>
      </c>
      <c r="D69" s="6"/>
      <c r="E69" s="28">
        <f t="shared" si="12"/>
        <v>0</v>
      </c>
      <c r="F69" s="28">
        <f t="shared" ref="F69:G69" si="16">F18</f>
        <v>0</v>
      </c>
      <c r="G69" s="28">
        <f t="shared" si="16"/>
        <v>0</v>
      </c>
    </row>
    <row r="70" spans="1:7" ht="11.4" outlineLevel="1" x14ac:dyDescent="0.2">
      <c r="A70" s="7" t="s">
        <v>5912</v>
      </c>
      <c r="B70" s="738" t="s">
        <v>5437</v>
      </c>
      <c r="C70" s="739">
        <f t="shared" si="14"/>
        <v>0</v>
      </c>
      <c r="D70" s="6"/>
      <c r="E70" s="741">
        <f>E67*(E68+E69)</f>
        <v>0</v>
      </c>
      <c r="F70" s="741">
        <f>F67*(F68+F69)</f>
        <v>0</v>
      </c>
      <c r="G70" s="741">
        <f>G67*(G68+G69)</f>
        <v>0</v>
      </c>
    </row>
    <row r="71" spans="1:7" ht="11.4" outlineLevel="1" x14ac:dyDescent="0.2">
      <c r="A71" s="85" t="s">
        <v>3307</v>
      </c>
      <c r="B71" s="703" t="s">
        <v>102</v>
      </c>
      <c r="C71" s="704">
        <f t="shared" si="14"/>
        <v>0</v>
      </c>
      <c r="D71" s="6"/>
      <c r="E71" s="706">
        <f>INDEX('IN_Detr 4.5 del_397'!$A$3:$AAA$1192,MATCH($A71,'IN_Detr 4.5 del_397'!$A$3:$A$1192,0),MATCH(E$3,'IN_Detr 4.5 del_397'!$A$3:$AAA$3,0))</f>
        <v>0</v>
      </c>
      <c r="F71" s="706">
        <f>INDEX('IN_Detr 4.5 del_397'!$A$3:$AAA$1192,MATCH($A71,'IN_Detr 4.5 del_397'!$A$3:$A$1192,0),MATCH(F$3,'IN_Detr 4.5 del_397'!$A$3:$AAA$3,0))</f>
        <v>0</v>
      </c>
      <c r="G71" s="706">
        <f>INDEX('IN_Detr 4.5 del_397'!$A$3:$AAA$1192,MATCH($A71,'IN_Detr 4.5 del_397'!$A$3:$A$1192,0),MATCH(G$3,'IN_Detr 4.5 del_397'!$A$3:$AAA$3,0))</f>
        <v>0</v>
      </c>
    </row>
    <row r="72" spans="1:7" ht="11.4" outlineLevel="1" x14ac:dyDescent="0.2">
      <c r="A72" s="7" t="s">
        <v>6947</v>
      </c>
      <c r="B72" s="705" t="s">
        <v>5444</v>
      </c>
      <c r="C72" s="987">
        <f t="shared" si="14"/>
        <v>0</v>
      </c>
      <c r="D72" s="988"/>
      <c r="E72" s="989">
        <f>INDEX('IN_Detr 4.5 del_397'!$A$3:$AAA$1192,MATCH($A72,'IN_Detr 4.5 del_397'!$A$3:$A$1192,0),MATCH(E$3,'IN_Detr 4.5 del_397'!$A$3:$AAA$3,0))</f>
        <v>0</v>
      </c>
      <c r="F72" s="989">
        <f>INDEX('IN_Detr 4.5 del_397'!$A$3:$AAA$1192,MATCH($A72,'IN_Detr 4.5 del_397'!$A$3:$A$1192,0),MATCH(F$3,'IN_Detr 4.5 del_397'!$A$3:$AAA$3,0))</f>
        <v>0</v>
      </c>
      <c r="G72" s="989">
        <f>INDEX('IN_Detr 4.5 del_397'!$A$3:$AAA$1192,MATCH($A72,'IN_Detr 4.5 del_397'!$A$3:$A$1192,0),MATCH(G$3,'IN_Detr 4.5 del_397'!$A$3:$AAA$3,0))</f>
        <v>0</v>
      </c>
    </row>
    <row r="73" spans="1:7" outlineLevel="1" x14ac:dyDescent="0.2">
      <c r="A73" s="85" t="s">
        <v>3310</v>
      </c>
      <c r="B73" s="14" t="s">
        <v>109</v>
      </c>
      <c r="C73" s="15">
        <f t="shared" si="14"/>
        <v>0</v>
      </c>
      <c r="D73" s="6"/>
      <c r="E73" s="16">
        <f>INDEX('IN_Detr 4.5 del_397'!$A$3:$AAA$1192,MATCH($A73,'IN_Detr 4.5 del_397'!$A$3:$A$1192,0),MATCH(E$3,'IN_Detr 4.5 del_397'!$A$3:$AAA$3,0))</f>
        <v>0</v>
      </c>
      <c r="F73" s="16">
        <f>INDEX('IN_Detr 4.5 del_397'!$A$3:$AAA$1192,MATCH($A73,'IN_Detr 4.5 del_397'!$A$3:$A$1192,0),MATCH(F$3,'IN_Detr 4.5 del_397'!$A$3:$AAA$3,0))</f>
        <v>0</v>
      </c>
      <c r="G73" s="16">
        <f>INDEX('IN_Detr 4.5 del_397'!$A$3:$AAA$1192,MATCH($A73,'IN_Detr 4.5 del_397'!$A$3:$A$1192,0),MATCH(G$3,'IN_Detr 4.5 del_397'!$A$3:$AAA$3,0))</f>
        <v>0</v>
      </c>
    </row>
    <row r="74" spans="1:7" outlineLevel="1" x14ac:dyDescent="0.2">
      <c r="B74" s="24"/>
      <c r="C74" s="25"/>
      <c r="D74" s="6"/>
      <c r="E74" s="5"/>
      <c r="F74" s="5"/>
      <c r="G74" s="5"/>
    </row>
    <row r="75" spans="1:7" s="359" customFormat="1" ht="20.399999999999999" outlineLevel="1" x14ac:dyDescent="0.2">
      <c r="A75" s="356"/>
      <c r="B75" s="360"/>
      <c r="C75" s="358" t="str">
        <f>C3</f>
        <v>TOTALE</v>
      </c>
      <c r="D75" s="357"/>
      <c r="E75" s="358" t="str">
        <f t="shared" ref="E75" si="17">E3</f>
        <v>BUSTO ARSIZIO</v>
      </c>
      <c r="F75" s="358" t="str">
        <f t="shared" ref="F75:G75" si="18">F3</f>
        <v>FAGNANO OLONA</v>
      </c>
      <c r="G75" s="358" t="str">
        <f t="shared" si="18"/>
        <v>VENEGONO SUPERIORE</v>
      </c>
    </row>
    <row r="76" spans="1:7" ht="11.4" outlineLevel="1" x14ac:dyDescent="0.2">
      <c r="A76" s="31" t="s">
        <v>5676</v>
      </c>
      <c r="B76" s="700" t="s">
        <v>5561</v>
      </c>
      <c r="C76" s="701">
        <f t="shared" ref="C76:C100" si="19">SUM(E76:G76)</f>
        <v>52902.058472230645</v>
      </c>
      <c r="D76" s="6"/>
      <c r="E76" s="702">
        <f>E77+E82+E92+SUM(E93:E98)+E100</f>
        <v>0</v>
      </c>
      <c r="F76" s="702">
        <f>F77+F82+F92+SUM(F93:F98)+F100</f>
        <v>0</v>
      </c>
      <c r="G76" s="702">
        <f>G77+G82+G92+SUM(G93:G98)+G100</f>
        <v>52902.058472230645</v>
      </c>
    </row>
    <row r="77" spans="1:7" outlineLevel="1" x14ac:dyDescent="0.2">
      <c r="A77" s="7" t="s">
        <v>3316</v>
      </c>
      <c r="B77" s="14" t="s">
        <v>11</v>
      </c>
      <c r="C77" s="15">
        <f t="shared" si="19"/>
        <v>0</v>
      </c>
      <c r="D77" s="6"/>
      <c r="E77" s="16">
        <f>INDEX('IN_Detr 4.5 del_397'!$A$3:$AAA$1192,MATCH($A77,'IN_Detr 4.5 del_397'!$A$3:$A$1192,0),MATCH(E$3,'IN_Detr 4.5 del_397'!$A$3:$AAA$3,0))</f>
        <v>0</v>
      </c>
      <c r="F77" s="16">
        <f>INDEX('IN_Detr 4.5 del_397'!$A$3:$AAA$1192,MATCH($A77,'IN_Detr 4.5 del_397'!$A$3:$A$1192,0),MATCH(F$3,'IN_Detr 4.5 del_397'!$A$3:$AAA$3,0))</f>
        <v>0</v>
      </c>
      <c r="G77" s="16">
        <f>INDEX('IN_Detr 4.5 del_397'!$A$3:$AAA$1192,MATCH($A77,'IN_Detr 4.5 del_397'!$A$3:$A$1192,0),MATCH(G$3,'IN_Detr 4.5 del_397'!$A$3:$AAA$3,0))</f>
        <v>0</v>
      </c>
    </row>
    <row r="78" spans="1:7" outlineLevel="1" x14ac:dyDescent="0.2">
      <c r="A78" s="7" t="s">
        <v>3322</v>
      </c>
      <c r="B78" s="26" t="s">
        <v>13</v>
      </c>
      <c r="C78" s="27">
        <f t="shared" si="19"/>
        <v>0</v>
      </c>
      <c r="D78" s="6"/>
      <c r="E78" s="28">
        <f>INDEX('IN_Detr 4.5 del_397'!$A$3:$AAA$1192,MATCH($A78,'IN_Detr 4.5 del_397'!$A$3:$A$1192,0),MATCH(E$3,'IN_Detr 4.5 del_397'!$A$3:$AAA$3,0))</f>
        <v>0</v>
      </c>
      <c r="F78" s="28">
        <f>INDEX('IN_Detr 4.5 del_397'!$A$3:$AAA$1192,MATCH($A78,'IN_Detr 4.5 del_397'!$A$3:$A$1192,0),MATCH(F$3,'IN_Detr 4.5 del_397'!$A$3:$AAA$3,0))</f>
        <v>0</v>
      </c>
      <c r="G78" s="28">
        <f>INDEX('IN_Detr 4.5 del_397'!$A$3:$AAA$1192,MATCH($A78,'IN_Detr 4.5 del_397'!$A$3:$A$1192,0),MATCH(G$3,'IN_Detr 4.5 del_397'!$A$3:$AAA$3,0))</f>
        <v>0</v>
      </c>
    </row>
    <row r="79" spans="1:7" outlineLevel="1" x14ac:dyDescent="0.2">
      <c r="A79" s="7" t="s">
        <v>3328</v>
      </c>
      <c r="B79" s="26" t="s">
        <v>14</v>
      </c>
      <c r="C79" s="27">
        <f t="shared" si="19"/>
        <v>0</v>
      </c>
      <c r="D79" s="6"/>
      <c r="E79" s="28">
        <f>INDEX('IN_Detr 4.5 del_397'!$A$3:$AAA$1192,MATCH($A79,'IN_Detr 4.5 del_397'!$A$3:$A$1192,0),MATCH(E$3,'IN_Detr 4.5 del_397'!$A$3:$AAA$3,0))</f>
        <v>0</v>
      </c>
      <c r="F79" s="28">
        <f>INDEX('IN_Detr 4.5 del_397'!$A$3:$AAA$1192,MATCH($A79,'IN_Detr 4.5 del_397'!$A$3:$A$1192,0),MATCH(F$3,'IN_Detr 4.5 del_397'!$A$3:$AAA$3,0))</f>
        <v>0</v>
      </c>
      <c r="G79" s="28">
        <f>INDEX('IN_Detr 4.5 del_397'!$A$3:$AAA$1192,MATCH($A79,'IN_Detr 4.5 del_397'!$A$3:$A$1192,0),MATCH(G$3,'IN_Detr 4.5 del_397'!$A$3:$AAA$3,0))</f>
        <v>0</v>
      </c>
    </row>
    <row r="80" spans="1:7" outlineLevel="1" x14ac:dyDescent="0.2">
      <c r="A80" s="7" t="s">
        <v>3334</v>
      </c>
      <c r="B80" s="26" t="s">
        <v>15</v>
      </c>
      <c r="C80" s="27">
        <f t="shared" si="19"/>
        <v>0</v>
      </c>
      <c r="D80" s="6"/>
      <c r="E80" s="28">
        <f>INDEX('IN_Detr 4.5 del_397'!$A$3:$AAA$1192,MATCH($A80,'IN_Detr 4.5 del_397'!$A$3:$A$1192,0),MATCH(E$3,'IN_Detr 4.5 del_397'!$A$3:$AAA$3,0))</f>
        <v>0</v>
      </c>
      <c r="F80" s="28">
        <f>INDEX('IN_Detr 4.5 del_397'!$A$3:$AAA$1192,MATCH($A80,'IN_Detr 4.5 del_397'!$A$3:$A$1192,0),MATCH(F$3,'IN_Detr 4.5 del_397'!$A$3:$AAA$3,0))</f>
        <v>0</v>
      </c>
      <c r="G80" s="28">
        <f>INDEX('IN_Detr 4.5 del_397'!$A$3:$AAA$1192,MATCH($A80,'IN_Detr 4.5 del_397'!$A$3:$A$1192,0),MATCH(G$3,'IN_Detr 4.5 del_397'!$A$3:$AAA$3,0))</f>
        <v>0</v>
      </c>
    </row>
    <row r="81" spans="1:7" ht="11.4" outlineLevel="1" x14ac:dyDescent="0.2">
      <c r="A81" s="7" t="s">
        <v>3340</v>
      </c>
      <c r="B81" s="52" t="s">
        <v>16</v>
      </c>
      <c r="C81" s="53">
        <f t="shared" si="19"/>
        <v>0</v>
      </c>
      <c r="D81" s="6"/>
      <c r="E81" s="54">
        <f>INDEX('IN_Detr 4.5 del_397'!$A$3:$AAA$1192,MATCH($A81,'IN_Detr 4.5 del_397'!$A$3:$A$1192,0),MATCH(E$3,'IN_Detr 4.5 del_397'!$A$3:$AAA$3,0))</f>
        <v>0</v>
      </c>
      <c r="F81" s="54">
        <f>INDEX('IN_Detr 4.5 del_397'!$A$3:$AAA$1192,MATCH($A81,'IN_Detr 4.5 del_397'!$A$3:$A$1192,0),MATCH(F$3,'IN_Detr 4.5 del_397'!$A$3:$AAA$3,0))</f>
        <v>0</v>
      </c>
      <c r="G81" s="54">
        <f>INDEX('IN_Detr 4.5 del_397'!$A$3:$AAA$1192,MATCH($A81,'IN_Detr 4.5 del_397'!$A$3:$A$1192,0),MATCH(G$3,'IN_Detr 4.5 del_397'!$A$3:$AAA$3,0))</f>
        <v>0</v>
      </c>
    </row>
    <row r="82" spans="1:7" outlineLevel="1" x14ac:dyDescent="0.2">
      <c r="A82" s="7" t="s">
        <v>5677</v>
      </c>
      <c r="B82" s="684" t="s">
        <v>12</v>
      </c>
      <c r="C82" s="685">
        <f t="shared" si="19"/>
        <v>0</v>
      </c>
      <c r="D82" s="6"/>
      <c r="E82" s="686">
        <f>SUM(E78:E81)</f>
        <v>0</v>
      </c>
      <c r="F82" s="686">
        <f>SUM(F78:F81)</f>
        <v>0</v>
      </c>
      <c r="G82" s="686">
        <f>SUM(G78:G81)</f>
        <v>0</v>
      </c>
    </row>
    <row r="83" spans="1:7" outlineLevel="1" x14ac:dyDescent="0.2">
      <c r="A83" s="85" t="s">
        <v>3346</v>
      </c>
      <c r="B83" s="26" t="s">
        <v>18</v>
      </c>
      <c r="C83" s="27">
        <f t="shared" si="19"/>
        <v>24185.690890676058</v>
      </c>
      <c r="D83" s="6"/>
      <c r="E83" s="28">
        <f>INDEX('IN_Detr 4.5 del_397'!$A$3:$AAA$1192,MATCH($A83,'IN_Detr 4.5 del_397'!$A$3:$A$1192,0),MATCH(E$3,'IN_Detr 4.5 del_397'!$A$3:$AAA$3,0))</f>
        <v>0</v>
      </c>
      <c r="F83" s="28">
        <f>INDEX('IN_Detr 4.5 del_397'!$A$3:$AAA$1192,MATCH($A83,'IN_Detr 4.5 del_397'!$A$3:$A$1192,0),MATCH(F$3,'IN_Detr 4.5 del_397'!$A$3:$AAA$3,0))</f>
        <v>0</v>
      </c>
      <c r="G83" s="28">
        <f>INDEX('IN_Detr 4.5 del_397'!$A$3:$AAA$1192,MATCH($A83,'IN_Detr 4.5 del_397'!$A$3:$A$1192,0),MATCH(G$3,'IN_Detr 4.5 del_397'!$A$3:$AAA$3,0))</f>
        <v>24185.690890676058</v>
      </c>
    </row>
    <row r="84" spans="1:7" outlineLevel="1" x14ac:dyDescent="0.2">
      <c r="A84" s="7" t="s">
        <v>3376</v>
      </c>
      <c r="B84" s="687" t="s">
        <v>19</v>
      </c>
      <c r="C84" s="688">
        <f t="shared" si="19"/>
        <v>0</v>
      </c>
      <c r="D84" s="6"/>
      <c r="E84" s="689">
        <f>SUM(E85:E88)</f>
        <v>0</v>
      </c>
      <c r="F84" s="689">
        <f>SUM(F85:F88)</f>
        <v>0</v>
      </c>
      <c r="G84" s="689">
        <f>SUM(G85:G88)</f>
        <v>0</v>
      </c>
    </row>
    <row r="85" spans="1:7" outlineLevel="1" x14ac:dyDescent="0.2">
      <c r="A85" s="85" t="s">
        <v>3364</v>
      </c>
      <c r="B85" s="690" t="s">
        <v>20</v>
      </c>
      <c r="C85" s="691">
        <f t="shared" si="19"/>
        <v>0</v>
      </c>
      <c r="D85" s="6"/>
      <c r="E85" s="696">
        <f>INDEX('IN_Detr 4.5 del_397'!$A$3:$AAA$1192,MATCH($A85,'IN_Detr 4.5 del_397'!$A$3:$A$1192,0),MATCH(E$3,'IN_Detr 4.5 del_397'!$A$3:$AAA$3,0))</f>
        <v>0</v>
      </c>
      <c r="F85" s="696">
        <f>INDEX('IN_Detr 4.5 del_397'!$A$3:$AAA$1192,MATCH($A85,'IN_Detr 4.5 del_397'!$A$3:$A$1192,0),MATCH(F$3,'IN_Detr 4.5 del_397'!$A$3:$AAA$3,0))</f>
        <v>0</v>
      </c>
      <c r="G85" s="696">
        <f>INDEX('IN_Detr 4.5 del_397'!$A$3:$AAA$1192,MATCH($A85,'IN_Detr 4.5 del_397'!$A$3:$A$1192,0),MATCH(G$3,'IN_Detr 4.5 del_397'!$A$3:$AAA$3,0))</f>
        <v>0</v>
      </c>
    </row>
    <row r="86" spans="1:7" outlineLevel="1" x14ac:dyDescent="0.2">
      <c r="A86" s="85" t="s">
        <v>3367</v>
      </c>
      <c r="B86" s="692" t="s">
        <v>21</v>
      </c>
      <c r="C86" s="693">
        <f t="shared" si="19"/>
        <v>0</v>
      </c>
      <c r="D86" s="6"/>
      <c r="E86" s="697">
        <f>INDEX('IN_Detr 4.5 del_397'!$A$3:$AAA$1192,MATCH($A86,'IN_Detr 4.5 del_397'!$A$3:$A$1192,0),MATCH(E$3,'IN_Detr 4.5 del_397'!$A$3:$AAA$3,0))</f>
        <v>0</v>
      </c>
      <c r="F86" s="697">
        <f>INDEX('IN_Detr 4.5 del_397'!$A$3:$AAA$1192,MATCH($A86,'IN_Detr 4.5 del_397'!$A$3:$A$1192,0),MATCH(F$3,'IN_Detr 4.5 del_397'!$A$3:$AAA$3,0))</f>
        <v>0</v>
      </c>
      <c r="G86" s="697">
        <f>INDEX('IN_Detr 4.5 del_397'!$A$3:$AAA$1192,MATCH($A86,'IN_Detr 4.5 del_397'!$A$3:$A$1192,0),MATCH(G$3,'IN_Detr 4.5 del_397'!$A$3:$AAA$3,0))</f>
        <v>0</v>
      </c>
    </row>
    <row r="87" spans="1:7" outlineLevel="1" x14ac:dyDescent="0.2">
      <c r="A87" s="85" t="s">
        <v>3370</v>
      </c>
      <c r="B87" s="692" t="s">
        <v>22</v>
      </c>
      <c r="C87" s="693">
        <f t="shared" si="19"/>
        <v>0</v>
      </c>
      <c r="D87" s="6"/>
      <c r="E87" s="697">
        <f>INDEX('IN_Detr 4.5 del_397'!$A$3:$AAA$1192,MATCH($A87,'IN_Detr 4.5 del_397'!$A$3:$A$1192,0),MATCH(E$3,'IN_Detr 4.5 del_397'!$A$3:$AAA$3,0))</f>
        <v>0</v>
      </c>
      <c r="F87" s="697">
        <f>INDEX('IN_Detr 4.5 del_397'!$A$3:$AAA$1192,MATCH($A87,'IN_Detr 4.5 del_397'!$A$3:$A$1192,0),MATCH(F$3,'IN_Detr 4.5 del_397'!$A$3:$AAA$3,0))</f>
        <v>0</v>
      </c>
      <c r="G87" s="697">
        <f>INDEX('IN_Detr 4.5 del_397'!$A$3:$AAA$1192,MATCH($A87,'IN_Detr 4.5 del_397'!$A$3:$A$1192,0),MATCH(G$3,'IN_Detr 4.5 del_397'!$A$3:$AAA$3,0))</f>
        <v>0</v>
      </c>
    </row>
    <row r="88" spans="1:7" outlineLevel="1" x14ac:dyDescent="0.2">
      <c r="A88" s="85" t="s">
        <v>3373</v>
      </c>
      <c r="B88" s="694" t="s">
        <v>23</v>
      </c>
      <c r="C88" s="695">
        <f t="shared" si="19"/>
        <v>0</v>
      </c>
      <c r="D88" s="6"/>
      <c r="E88" s="698">
        <f>INDEX('IN_Detr 4.5 del_397'!$A$3:$AAA$1192,MATCH($A88,'IN_Detr 4.5 del_397'!$A$3:$A$1192,0),MATCH(E$3,'IN_Detr 4.5 del_397'!$A$3:$AAA$3,0))</f>
        <v>0</v>
      </c>
      <c r="F88" s="698">
        <f>INDEX('IN_Detr 4.5 del_397'!$A$3:$AAA$1192,MATCH($A88,'IN_Detr 4.5 del_397'!$A$3:$A$1192,0),MATCH(F$3,'IN_Detr 4.5 del_397'!$A$3:$AAA$3,0))</f>
        <v>0</v>
      </c>
      <c r="G88" s="698">
        <f>INDEX('IN_Detr 4.5 del_397'!$A$3:$AAA$1192,MATCH($A88,'IN_Detr 4.5 del_397'!$A$3:$A$1192,0),MATCH(G$3,'IN_Detr 4.5 del_397'!$A$3:$AAA$3,0))</f>
        <v>0</v>
      </c>
    </row>
    <row r="89" spans="1:7" outlineLevel="1" x14ac:dyDescent="0.2">
      <c r="A89" s="85" t="s">
        <v>3382</v>
      </c>
      <c r="B89" s="26" t="s">
        <v>24</v>
      </c>
      <c r="C89" s="27">
        <f t="shared" si="19"/>
        <v>28716.367581554587</v>
      </c>
      <c r="D89" s="6"/>
      <c r="E89" s="28">
        <f>INDEX('IN_Detr 4.5 del_397'!$A$3:$AAA$1192,MATCH($A89,'IN_Detr 4.5 del_397'!$A$3:$A$1192,0),MATCH(E$3,'IN_Detr 4.5 del_397'!$A$3:$AAA$3,0))</f>
        <v>0</v>
      </c>
      <c r="F89" s="28">
        <f>INDEX('IN_Detr 4.5 del_397'!$A$3:$AAA$1192,MATCH($A89,'IN_Detr 4.5 del_397'!$A$3:$A$1192,0),MATCH(F$3,'IN_Detr 4.5 del_397'!$A$3:$AAA$3,0))</f>
        <v>0</v>
      </c>
      <c r="G89" s="28">
        <f>INDEX('IN_Detr 4.5 del_397'!$A$3:$AAA$1192,MATCH($A89,'IN_Detr 4.5 del_397'!$A$3:$A$1192,0),MATCH(G$3,'IN_Detr 4.5 del_397'!$A$3:$AAA$3,0))</f>
        <v>28716.367581554587</v>
      </c>
    </row>
    <row r="90" spans="1:7" ht="11.4" outlineLevel="1" x14ac:dyDescent="0.2">
      <c r="A90" s="85" t="s">
        <v>3388</v>
      </c>
      <c r="B90" s="52" t="s">
        <v>25</v>
      </c>
      <c r="C90" s="53">
        <f t="shared" si="19"/>
        <v>0</v>
      </c>
      <c r="D90" s="6"/>
      <c r="E90" s="54">
        <f>INDEX('IN_Detr 4.5 del_397'!$A$3:$AAA$1192,MATCH($A90,'IN_Detr 4.5 del_397'!$A$3:$A$1192,0),MATCH(E$3,'IN_Detr 4.5 del_397'!$A$3:$AAA$3,0))</f>
        <v>0</v>
      </c>
      <c r="F90" s="54">
        <f>INDEX('IN_Detr 4.5 del_397'!$A$3:$AAA$1192,MATCH($A90,'IN_Detr 4.5 del_397'!$A$3:$A$1192,0),MATCH(F$3,'IN_Detr 4.5 del_397'!$A$3:$AAA$3,0))</f>
        <v>0</v>
      </c>
      <c r="G90" s="54">
        <f>INDEX('IN_Detr 4.5 del_397'!$A$3:$AAA$1192,MATCH($A90,'IN_Detr 4.5 del_397'!$A$3:$A$1192,0),MATCH(G$3,'IN_Detr 4.5 del_397'!$A$3:$AAA$3,0))</f>
        <v>0</v>
      </c>
    </row>
    <row r="91" spans="1:7" ht="11.4" outlineLevel="1" x14ac:dyDescent="0.2">
      <c r="A91" s="85" t="s">
        <v>3394</v>
      </c>
      <c r="B91" s="52" t="s">
        <v>5474</v>
      </c>
      <c r="C91" s="53">
        <f t="shared" si="19"/>
        <v>0</v>
      </c>
      <c r="D91" s="6"/>
      <c r="E91" s="54">
        <f>INDEX('IN_Detr 4.5 del_397'!$A$3:$AAA$1192,MATCH($A91,'IN_Detr 4.5 del_397'!$A$3:$A$1192,0),MATCH(E$3,'IN_Detr 4.5 del_397'!$A$3:$AAA$3,0))</f>
        <v>0</v>
      </c>
      <c r="F91" s="54">
        <f>INDEX('IN_Detr 4.5 del_397'!$A$3:$AAA$1192,MATCH($A91,'IN_Detr 4.5 del_397'!$A$3:$A$1192,0),MATCH(F$3,'IN_Detr 4.5 del_397'!$A$3:$AAA$3,0))</f>
        <v>0</v>
      </c>
      <c r="G91" s="54">
        <f>INDEX('IN_Detr 4.5 del_397'!$A$3:$AAA$1192,MATCH($A91,'IN_Detr 4.5 del_397'!$A$3:$A$1192,0),MATCH(G$3,'IN_Detr 4.5 del_397'!$A$3:$AAA$3,0))</f>
        <v>0</v>
      </c>
    </row>
    <row r="92" spans="1:7" outlineLevel="1" x14ac:dyDescent="0.2">
      <c r="A92" s="7" t="s">
        <v>5678</v>
      </c>
      <c r="B92" s="684" t="s">
        <v>17</v>
      </c>
      <c r="C92" s="685">
        <f t="shared" si="19"/>
        <v>52902.058472230645</v>
      </c>
      <c r="D92" s="6"/>
      <c r="E92" s="686">
        <f>E83+E84+E89+E90+E91</f>
        <v>0</v>
      </c>
      <c r="F92" s="686">
        <f>F83+F84+F89+F90+F91</f>
        <v>0</v>
      </c>
      <c r="G92" s="686">
        <f>G83+G84+G89+G90+G91</f>
        <v>52902.058472230645</v>
      </c>
    </row>
    <row r="93" spans="1:7" ht="11.4" outlineLevel="1" x14ac:dyDescent="0.2">
      <c r="A93" s="85" t="s">
        <v>5679</v>
      </c>
      <c r="B93" s="14" t="s">
        <v>5447</v>
      </c>
      <c r="C93" s="17">
        <f t="shared" si="19"/>
        <v>0</v>
      </c>
      <c r="D93" s="6"/>
      <c r="E93" s="16">
        <f>E41</f>
        <v>0</v>
      </c>
      <c r="F93" s="16">
        <f>F41</f>
        <v>0</v>
      </c>
      <c r="G93" s="16">
        <f>G41</f>
        <v>0</v>
      </c>
    </row>
    <row r="94" spans="1:7" ht="11.4" outlineLevel="1" x14ac:dyDescent="0.2">
      <c r="A94" s="85" t="s">
        <v>5680</v>
      </c>
      <c r="B94" s="14" t="s">
        <v>5448</v>
      </c>
      <c r="C94" s="17">
        <f t="shared" si="19"/>
        <v>0</v>
      </c>
      <c r="D94" s="6"/>
      <c r="E94" s="16">
        <f t="shared" ref="E94:E97" si="20">E42</f>
        <v>0</v>
      </c>
      <c r="F94" s="16">
        <f t="shared" ref="F94:G94" si="21">F42</f>
        <v>0</v>
      </c>
      <c r="G94" s="16">
        <f t="shared" si="21"/>
        <v>0</v>
      </c>
    </row>
    <row r="95" spans="1:7" ht="11.4" outlineLevel="1" x14ac:dyDescent="0.2">
      <c r="A95" s="85" t="s">
        <v>5681</v>
      </c>
      <c r="B95" s="14" t="s">
        <v>6410</v>
      </c>
      <c r="C95" s="17">
        <f t="shared" si="19"/>
        <v>0</v>
      </c>
      <c r="D95" s="6"/>
      <c r="E95" s="18">
        <f t="shared" si="20"/>
        <v>0</v>
      </c>
      <c r="F95" s="18">
        <f t="shared" ref="F95:G95" si="22">F43</f>
        <v>0</v>
      </c>
      <c r="G95" s="18">
        <f t="shared" si="22"/>
        <v>0</v>
      </c>
    </row>
    <row r="96" spans="1:7" ht="11.4" outlineLevel="1" x14ac:dyDescent="0.2">
      <c r="A96" s="85" t="s">
        <v>5682</v>
      </c>
      <c r="B96" s="14" t="s">
        <v>6411</v>
      </c>
      <c r="C96" s="17">
        <f t="shared" si="19"/>
        <v>0</v>
      </c>
      <c r="D96" s="6"/>
      <c r="E96" s="18">
        <f t="shared" si="20"/>
        <v>0</v>
      </c>
      <c r="F96" s="18">
        <f t="shared" ref="F96:G96" si="23">F44</f>
        <v>0</v>
      </c>
      <c r="G96" s="18">
        <f t="shared" si="23"/>
        <v>0</v>
      </c>
    </row>
    <row r="97" spans="1:7" ht="11.4" outlineLevel="1" x14ac:dyDescent="0.2">
      <c r="A97" s="85" t="s">
        <v>5683</v>
      </c>
      <c r="B97" s="14" t="s">
        <v>5449</v>
      </c>
      <c r="C97" s="17">
        <f t="shared" si="19"/>
        <v>0</v>
      </c>
      <c r="D97" s="6"/>
      <c r="E97" s="16">
        <f t="shared" si="20"/>
        <v>0</v>
      </c>
      <c r="F97" s="16">
        <f t="shared" ref="F97:G97" si="24">F45</f>
        <v>0</v>
      </c>
      <c r="G97" s="16">
        <f t="shared" si="24"/>
        <v>0</v>
      </c>
    </row>
    <row r="98" spans="1:7" ht="11.4" outlineLevel="1" x14ac:dyDescent="0.2">
      <c r="A98" s="85" t="s">
        <v>3406</v>
      </c>
      <c r="B98" s="703" t="s">
        <v>26</v>
      </c>
      <c r="C98" s="704">
        <f t="shared" si="19"/>
        <v>0</v>
      </c>
      <c r="D98" s="6"/>
      <c r="E98" s="706">
        <f>INDEX('IN_Detr 4.5 del_397'!$A$3:$AAA$1192,MATCH($A98,'IN_Detr 4.5 del_397'!$A$3:$A$1192,0),MATCH(E$3,'IN_Detr 4.5 del_397'!$A$3:$AAA$3,0))</f>
        <v>0</v>
      </c>
      <c r="F98" s="706">
        <f>INDEX('IN_Detr 4.5 del_397'!$A$3:$AAA$1192,MATCH($A98,'IN_Detr 4.5 del_397'!$A$3:$A$1192,0),MATCH(F$3,'IN_Detr 4.5 del_397'!$A$3:$AAA$3,0))</f>
        <v>0</v>
      </c>
      <c r="G98" s="706">
        <f>INDEX('IN_Detr 4.5 del_397'!$A$3:$AAA$1192,MATCH($A98,'IN_Detr 4.5 del_397'!$A$3:$A$1192,0),MATCH(G$3,'IN_Detr 4.5 del_397'!$A$3:$AAA$3,0))</f>
        <v>0</v>
      </c>
    </row>
    <row r="99" spans="1:7" ht="11.4" outlineLevel="1" x14ac:dyDescent="0.2">
      <c r="A99" s="7" t="s">
        <v>6948</v>
      </c>
      <c r="B99" s="705" t="s">
        <v>5450</v>
      </c>
      <c r="C99" s="987">
        <f t="shared" si="19"/>
        <v>0</v>
      </c>
      <c r="D99" s="988"/>
      <c r="E99" s="989">
        <f>INDEX('IN_Detr 4.5 del_397'!$A$3:$AAA$1192,MATCH($A99,'IN_Detr 4.5 del_397'!$A$3:$A$1192,0),MATCH(E$3,'IN_Detr 4.5 del_397'!$A$3:$AAA$3,0))</f>
        <v>0</v>
      </c>
      <c r="F99" s="989">
        <f>INDEX('IN_Detr 4.5 del_397'!$A$3:$AAA$1192,MATCH($A99,'IN_Detr 4.5 del_397'!$A$3:$A$1192,0),MATCH(F$3,'IN_Detr 4.5 del_397'!$A$3:$AAA$3,0))</f>
        <v>0</v>
      </c>
      <c r="G99" s="989">
        <f>INDEX('IN_Detr 4.5 del_397'!$A$3:$AAA$1192,MATCH($A99,'IN_Detr 4.5 del_397'!$A$3:$A$1192,0),MATCH(G$3,'IN_Detr 4.5 del_397'!$A$3:$AAA$3,0))</f>
        <v>0</v>
      </c>
    </row>
    <row r="100" spans="1:7" outlineLevel="1" x14ac:dyDescent="0.2">
      <c r="A100" s="85" t="s">
        <v>3409</v>
      </c>
      <c r="B100" s="14" t="s">
        <v>10</v>
      </c>
      <c r="C100" s="15">
        <f t="shared" si="19"/>
        <v>0</v>
      </c>
      <c r="D100" s="6"/>
      <c r="E100" s="16">
        <f>INDEX('IN_Detr 4.5 del_397'!$A$3:$AAA$1192,MATCH($A100,'IN_Detr 4.5 del_397'!$A$3:$A$1192,0),MATCH(E$3,'IN_Detr 4.5 del_397'!$A$3:$AAA$3,0))</f>
        <v>0</v>
      </c>
      <c r="F100" s="16">
        <f>INDEX('IN_Detr 4.5 del_397'!$A$3:$AAA$1192,MATCH($A100,'IN_Detr 4.5 del_397'!$A$3:$A$1192,0),MATCH(F$3,'IN_Detr 4.5 del_397'!$A$3:$AAA$3,0))</f>
        <v>0</v>
      </c>
      <c r="G100" s="16">
        <f>INDEX('IN_Detr 4.5 del_397'!$A$3:$AAA$1192,MATCH($A100,'IN_Detr 4.5 del_397'!$A$3:$A$1192,0),MATCH(G$3,'IN_Detr 4.5 del_397'!$A$3:$AAA$3,0))</f>
        <v>0</v>
      </c>
    </row>
    <row r="101" spans="1:7" x14ac:dyDescent="0.2">
      <c r="C101" s="25"/>
      <c r="D101" s="6"/>
      <c r="E101" s="5"/>
      <c r="F101" s="5"/>
      <c r="G101" s="5"/>
    </row>
    <row r="102" spans="1:7" ht="19.5" customHeight="1" x14ac:dyDescent="0.2">
      <c r="A102" s="31" t="s">
        <v>5684</v>
      </c>
      <c r="B102" s="700" t="s">
        <v>5562</v>
      </c>
      <c r="C102" s="701">
        <f>SUM(E102:G102)</f>
        <v>52902.058472230645</v>
      </c>
      <c r="D102" s="6"/>
      <c r="E102" s="702">
        <f t="shared" ref="E102" si="25">E56+E76</f>
        <v>0</v>
      </c>
      <c r="F102" s="702">
        <f t="shared" ref="F102:G102" si="26">F56+F76</f>
        <v>0</v>
      </c>
      <c r="G102" s="702">
        <f t="shared" si="26"/>
        <v>52902.058472230645</v>
      </c>
    </row>
  </sheetData>
  <sheetProtection formatColumns="0" formatRows="0"/>
  <pageMargins left="0.70866141732283472" right="0.70866141732283472" top="0.74803149606299213" bottom="0.74803149606299213" header="0.31496062992125984" footer="0.31496062992125984"/>
  <pageSetup paperSize="9" scale="26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838A07-2160-46A8-A131-A385CD1F6F0A}">
  <sheetPr codeName="Foglio31">
    <tabColor rgb="FF92D050"/>
    <pageSetUpPr fitToPage="1"/>
  </sheetPr>
  <dimension ref="A1:G102"/>
  <sheetViews>
    <sheetView showGridLines="0" zoomScaleNormal="100" workbookViewId="0">
      <pane xSplit="4" ySplit="3" topLeftCell="E63" activePane="bottomRight" state="frozen"/>
      <selection activeCell="C72" sqref="C72:F72"/>
      <selection pane="topRight" activeCell="C72" sqref="C72:F72"/>
      <selection pane="bottomLeft" activeCell="C72" sqref="C72:F72"/>
      <selection pane="bottomRight" activeCell="G1" sqref="G1:G1048576"/>
    </sheetView>
  </sheetViews>
  <sheetFormatPr defaultColWidth="17.6640625" defaultRowHeight="10.199999999999999" outlineLevelRow="1" x14ac:dyDescent="0.2"/>
  <cols>
    <col min="1" max="1" width="22.44140625" style="7" bestFit="1" customWidth="1"/>
    <col min="2" max="2" width="94.33203125" style="5" bestFit="1" customWidth="1"/>
    <col min="3" max="3" width="10.33203125" style="3" bestFit="1" customWidth="1"/>
    <col min="4" max="4" width="1.109375" style="2" customWidth="1"/>
    <col min="5" max="7" width="12.88671875" style="4" customWidth="1"/>
    <col min="8" max="16384" width="17.6640625" style="5"/>
  </cols>
  <sheetData>
    <row r="1" spans="1:7" x14ac:dyDescent="0.2">
      <c r="B1" s="699" t="s">
        <v>5606</v>
      </c>
    </row>
    <row r="2" spans="1:7" x14ac:dyDescent="0.2">
      <c r="B2" s="134"/>
    </row>
    <row r="3" spans="1:7" s="359" customFormat="1" ht="20.399999999999999" x14ac:dyDescent="0.2">
      <c r="A3" s="356"/>
      <c r="B3" s="357"/>
      <c r="C3" s="358" t="s">
        <v>0</v>
      </c>
      <c r="D3" s="357"/>
      <c r="E3" s="358" t="str">
        <f>Ambiti!B4</f>
        <v>BUSTO ARSIZIO</v>
      </c>
      <c r="F3" s="358" t="str">
        <f>Ambiti!C4</f>
        <v>FAGNANO OLONA</v>
      </c>
      <c r="G3" s="358" t="str">
        <f>Ambiti!D4</f>
        <v>VENEGONO SUPERIORE</v>
      </c>
    </row>
    <row r="4" spans="1:7" s="10" customFormat="1" x14ac:dyDescent="0.2">
      <c r="A4" s="7"/>
      <c r="B4" s="8"/>
      <c r="C4" s="9"/>
      <c r="D4" s="8"/>
      <c r="E4" s="8"/>
      <c r="F4" s="8"/>
      <c r="G4" s="8"/>
    </row>
    <row r="5" spans="1:7" s="13" customFormat="1" ht="11.4" x14ac:dyDescent="0.3">
      <c r="A5" s="31" t="s">
        <v>5633</v>
      </c>
      <c r="B5" s="700" t="s">
        <v>5563</v>
      </c>
      <c r="C5" s="701">
        <f t="shared" ref="C5:C15" si="0">SUM(E5:G5)</f>
        <v>0</v>
      </c>
      <c r="D5" s="6"/>
      <c r="E5" s="702">
        <f>SUM(E6:E15)-E19+E20+E22</f>
        <v>0</v>
      </c>
      <c r="F5" s="702">
        <f>SUM(F6:F15)-F19+F20+F22</f>
        <v>0</v>
      </c>
      <c r="G5" s="702">
        <f>SUM(G6:G15)-G19+G20+G22</f>
        <v>0</v>
      </c>
    </row>
    <row r="6" spans="1:7" outlineLevel="1" x14ac:dyDescent="0.2">
      <c r="A6" s="7" t="s">
        <v>4055</v>
      </c>
      <c r="B6" s="14" t="s">
        <v>1</v>
      </c>
      <c r="C6" s="15">
        <f t="shared" si="0"/>
        <v>0</v>
      </c>
      <c r="D6" s="6"/>
      <c r="E6" s="16">
        <f>PEF_COM_27!E6</f>
        <v>0</v>
      </c>
      <c r="F6" s="16">
        <f>PEF_COM_27!F6</f>
        <v>0</v>
      </c>
      <c r="G6" s="16">
        <f>PEF_COM_27!G6</f>
        <v>0</v>
      </c>
    </row>
    <row r="7" spans="1:7" outlineLevel="1" x14ac:dyDescent="0.2">
      <c r="A7" s="7" t="s">
        <v>4061</v>
      </c>
      <c r="B7" s="14" t="s">
        <v>3</v>
      </c>
      <c r="C7" s="15">
        <f t="shared" si="0"/>
        <v>0</v>
      </c>
      <c r="D7" s="6"/>
      <c r="E7" s="16">
        <f>PEF_COM_27!E7</f>
        <v>0</v>
      </c>
      <c r="F7" s="16">
        <f>PEF_COM_27!F7</f>
        <v>0</v>
      </c>
      <c r="G7" s="16">
        <f>PEF_COM_27!G7</f>
        <v>0</v>
      </c>
    </row>
    <row r="8" spans="1:7" outlineLevel="1" x14ac:dyDescent="0.2">
      <c r="A8" s="7" t="s">
        <v>4067</v>
      </c>
      <c r="B8" s="14" t="s">
        <v>4</v>
      </c>
      <c r="C8" s="15">
        <f t="shared" si="0"/>
        <v>0</v>
      </c>
      <c r="D8" s="6"/>
      <c r="E8" s="16">
        <f>PEF_COM_27!E8</f>
        <v>0</v>
      </c>
      <c r="F8" s="16">
        <f>PEF_COM_27!F8</f>
        <v>0</v>
      </c>
      <c r="G8" s="16">
        <f>PEF_COM_27!G8</f>
        <v>0</v>
      </c>
    </row>
    <row r="9" spans="1:7" outlineLevel="1" x14ac:dyDescent="0.2">
      <c r="A9" s="7" t="s">
        <v>4073</v>
      </c>
      <c r="B9" s="14" t="s">
        <v>5</v>
      </c>
      <c r="C9" s="15">
        <f t="shared" si="0"/>
        <v>0</v>
      </c>
      <c r="D9" s="6"/>
      <c r="E9" s="16">
        <f>PEF_COM_27!E9</f>
        <v>0</v>
      </c>
      <c r="F9" s="16">
        <f>PEF_COM_27!F9</f>
        <v>0</v>
      </c>
      <c r="G9" s="16">
        <f>PEF_COM_27!G9</f>
        <v>0</v>
      </c>
    </row>
    <row r="10" spans="1:7" ht="11.4" outlineLevel="1" x14ac:dyDescent="0.2">
      <c r="A10" s="85" t="s">
        <v>2498</v>
      </c>
      <c r="B10" s="14" t="s">
        <v>5438</v>
      </c>
      <c r="C10" s="17">
        <f t="shared" si="0"/>
        <v>0</v>
      </c>
      <c r="D10" s="6"/>
      <c r="E10" s="16">
        <f>INDEX(IN_COexp!$A$3:$AAA$269,MATCH($A10,IN_COexp!$A$3:$A$269,0),MATCH(E$3,IN_COexp!$A$3:$AAA$3,0))</f>
        <v>0</v>
      </c>
      <c r="F10" s="16">
        <f>INDEX(IN_COexp!$A$3:$AAA$269,MATCH($A10,IN_COexp!$A$3:$A$269,0),MATCH(F$3,IN_COexp!$A$3:$AAA$3,0))</f>
        <v>0</v>
      </c>
      <c r="G10" s="16">
        <f>INDEX(IN_COexp!$A$3:$AAA$269,MATCH($A10,IN_COexp!$A$3:$A$269,0),MATCH(G$3,IN_COexp!$A$3:$AAA$3,0))</f>
        <v>0</v>
      </c>
    </row>
    <row r="11" spans="1:7" ht="11.4" outlineLevel="1" x14ac:dyDescent="0.2">
      <c r="A11" s="85" t="s">
        <v>2135</v>
      </c>
      <c r="B11" s="14" t="s">
        <v>5439</v>
      </c>
      <c r="C11" s="17">
        <f t="shared" si="0"/>
        <v>0</v>
      </c>
      <c r="D11" s="6"/>
      <c r="E11" s="18">
        <f>INDEX(IN_COexp!$A$3:$AAA$269,MATCH($A11,IN_COexp!$A$3:$A$269,0),MATCH(E$3,IN_COexp!$A$3:$AAA$3,0))</f>
        <v>0</v>
      </c>
      <c r="F11" s="18">
        <f>INDEX(IN_COexp!$A$3:$AAA$269,MATCH($A11,IN_COexp!$A$3:$A$269,0),MATCH(F$3,IN_COexp!$A$3:$AAA$3,0))</f>
        <v>0</v>
      </c>
      <c r="G11" s="18">
        <f>INDEX(IN_COexp!$A$3:$AAA$269,MATCH($A11,IN_COexp!$A$3:$A$269,0),MATCH(G$3,IN_COexp!$A$3:$AAA$3,0))</f>
        <v>0</v>
      </c>
    </row>
    <row r="12" spans="1:7" ht="11.4" outlineLevel="1" x14ac:dyDescent="0.2">
      <c r="A12" s="85" t="s">
        <v>2179</v>
      </c>
      <c r="B12" s="14" t="s">
        <v>5440</v>
      </c>
      <c r="C12" s="17">
        <f t="shared" si="0"/>
        <v>0</v>
      </c>
      <c r="D12" s="6"/>
      <c r="E12" s="18">
        <f>INDEX(IN_COexp!$A$3:$AAA$269,MATCH($A12,IN_COexp!$A$3:$A$269,0),MATCH(E$3,IN_COexp!$A$3:$AAA$3,0))</f>
        <v>0</v>
      </c>
      <c r="F12" s="18">
        <f>INDEX(IN_COexp!$A$3:$AAA$269,MATCH($A12,IN_COexp!$A$3:$A$269,0),MATCH(F$3,IN_COexp!$A$3:$AAA$3,0))</f>
        <v>0</v>
      </c>
      <c r="G12" s="18">
        <f>INDEX(IN_COexp!$A$3:$AAA$269,MATCH($A12,IN_COexp!$A$3:$A$269,0),MATCH(G$3,IN_COexp!$A$3:$AAA$3,0))</f>
        <v>0</v>
      </c>
    </row>
    <row r="13" spans="1:7" ht="11.4" outlineLevel="1" x14ac:dyDescent="0.2">
      <c r="A13" s="85" t="s">
        <v>2229</v>
      </c>
      <c r="B13" s="14" t="s">
        <v>5441</v>
      </c>
      <c r="C13" s="17">
        <f t="shared" si="0"/>
        <v>0</v>
      </c>
      <c r="D13" s="6"/>
      <c r="E13" s="18">
        <f>INDEX(IN_COexp!$A$3:$AAA$269,MATCH($A13,IN_COexp!$A$3:$A$269,0),MATCH(E$3,IN_COexp!$A$3:$AAA$3,0))</f>
        <v>0</v>
      </c>
      <c r="F13" s="18">
        <f>INDEX(IN_COexp!$A$3:$AAA$269,MATCH($A13,IN_COexp!$A$3:$A$269,0),MATCH(F$3,IN_COexp!$A$3:$AAA$3,0))</f>
        <v>0</v>
      </c>
      <c r="G13" s="18">
        <f>INDEX(IN_COexp!$A$3:$AAA$269,MATCH($A13,IN_COexp!$A$3:$A$269,0),MATCH(G$3,IN_COexp!$A$3:$AAA$3,0))</f>
        <v>0</v>
      </c>
    </row>
    <row r="14" spans="1:7" ht="11.4" outlineLevel="1" x14ac:dyDescent="0.2">
      <c r="A14" s="85" t="s">
        <v>2301</v>
      </c>
      <c r="B14" s="14" t="s">
        <v>5442</v>
      </c>
      <c r="C14" s="17">
        <f t="shared" si="0"/>
        <v>0</v>
      </c>
      <c r="D14" s="6"/>
      <c r="E14" s="18">
        <f>INDEX(IN_COexp!$A$3:$AAA$269,MATCH($A14,IN_COexp!$A$3:$A$269,0),MATCH(E$3,IN_COexp!$A$3:$AAA$3,0))</f>
        <v>0</v>
      </c>
      <c r="F14" s="18">
        <f>INDEX(IN_COexp!$A$3:$AAA$269,MATCH($A14,IN_COexp!$A$3:$A$269,0),MATCH(F$3,IN_COexp!$A$3:$AAA$3,0))</f>
        <v>0</v>
      </c>
      <c r="G14" s="18">
        <f>INDEX(IN_COexp!$A$3:$AAA$269,MATCH($A14,IN_COexp!$A$3:$A$269,0),MATCH(G$3,IN_COexp!$A$3:$AAA$3,0))</f>
        <v>0</v>
      </c>
    </row>
    <row r="15" spans="1:7" ht="11.4" outlineLevel="1" x14ac:dyDescent="0.2">
      <c r="A15" s="85" t="s">
        <v>2356</v>
      </c>
      <c r="B15" s="14" t="s">
        <v>5443</v>
      </c>
      <c r="C15" s="17">
        <f t="shared" si="0"/>
        <v>0</v>
      </c>
      <c r="D15" s="6"/>
      <c r="E15" s="18">
        <f>INDEX(IN_COexp!$A$3:$AAA$269,MATCH($A15,IN_COexp!$A$3:$A$269,0),MATCH(E$3,IN_COexp!$A$3:$AAA$3,0))</f>
        <v>0</v>
      </c>
      <c r="F15" s="18">
        <f>INDEX(IN_COexp!$A$3:$AAA$269,MATCH($A15,IN_COexp!$A$3:$A$269,0),MATCH(F$3,IN_COexp!$A$3:$AAA$3,0))</f>
        <v>0</v>
      </c>
      <c r="G15" s="18">
        <f>INDEX(IN_COexp!$A$3:$AAA$269,MATCH($A15,IN_COexp!$A$3:$A$269,0),MATCH(G$3,IN_COexp!$A$3:$AAA$3,0))</f>
        <v>0</v>
      </c>
    </row>
    <row r="16" spans="1:7" outlineLevel="1" x14ac:dyDescent="0.2">
      <c r="A16" s="85" t="s">
        <v>1288</v>
      </c>
      <c r="B16" s="736" t="s">
        <v>7</v>
      </c>
      <c r="C16" s="737"/>
      <c r="D16" s="19"/>
      <c r="E16" s="740">
        <f>INDEX(IN_PAR!$A$3:$YE$413,MATCH($A16,IN_PAR!$A$3:$A$413,0),MATCH(E$3,IN_PAR!$A$3:$YE$3,0))</f>
        <v>0.7</v>
      </c>
      <c r="F16" s="740">
        <f>INDEX(IN_PAR!$A$3:$YE$413,MATCH($A16,IN_PAR!$A$3:$A$413,0),MATCH(F$3,IN_PAR!$A$3:$YE$3,0))</f>
        <v>0</v>
      </c>
      <c r="G16" s="740">
        <f>INDEX(IN_PAR!$A$3:$YE$413,MATCH($A16,IN_PAR!$A$3:$A$413,0),MATCH(G$3,IN_PAR!$A$3:$YE$3,0))</f>
        <v>0</v>
      </c>
    </row>
    <row r="17" spans="1:7" outlineLevel="1" x14ac:dyDescent="0.2">
      <c r="A17" s="7" t="s">
        <v>5634</v>
      </c>
      <c r="B17" s="26" t="s">
        <v>6</v>
      </c>
      <c r="C17" s="27">
        <f t="shared" ref="C17:C22" si="1">SUM(E17:G17)</f>
        <v>0</v>
      </c>
      <c r="D17" s="6"/>
      <c r="E17" s="28">
        <f>PEF_COM_27!E17</f>
        <v>0</v>
      </c>
      <c r="F17" s="28">
        <f>PEF_COM_27!F17</f>
        <v>0</v>
      </c>
      <c r="G17" s="28">
        <f>PEF_COM_27!G17</f>
        <v>0</v>
      </c>
    </row>
    <row r="18" spans="1:7" ht="11.4" outlineLevel="1" x14ac:dyDescent="0.2">
      <c r="A18" s="7" t="s">
        <v>5635</v>
      </c>
      <c r="B18" s="26" t="s">
        <v>101</v>
      </c>
      <c r="C18" s="27">
        <f t="shared" si="1"/>
        <v>0</v>
      </c>
      <c r="D18" s="6"/>
      <c r="E18" s="28">
        <f>PEF_COM_27!E18</f>
        <v>0</v>
      </c>
      <c r="F18" s="28">
        <f>PEF_COM_27!F18</f>
        <v>0</v>
      </c>
      <c r="G18" s="28">
        <f>PEF_COM_27!G18</f>
        <v>0</v>
      </c>
    </row>
    <row r="19" spans="1:7" ht="11.4" outlineLevel="1" x14ac:dyDescent="0.2">
      <c r="A19" s="7" t="s">
        <v>5906</v>
      </c>
      <c r="B19" s="738" t="s">
        <v>5437</v>
      </c>
      <c r="C19" s="739">
        <f t="shared" si="1"/>
        <v>0</v>
      </c>
      <c r="D19" s="6"/>
      <c r="E19" s="741">
        <f>E16*(E17+E18)</f>
        <v>0</v>
      </c>
      <c r="F19" s="741">
        <f>F16*(F17+F18)</f>
        <v>0</v>
      </c>
      <c r="G19" s="741">
        <f>G16*(G17+G18)</f>
        <v>0</v>
      </c>
    </row>
    <row r="20" spans="1:7" ht="11.4" outlineLevel="1" x14ac:dyDescent="0.2">
      <c r="A20" s="85" t="s">
        <v>3058</v>
      </c>
      <c r="B20" s="703" t="s">
        <v>102</v>
      </c>
      <c r="C20" s="704">
        <f t="shared" si="1"/>
        <v>0</v>
      </c>
      <c r="D20" s="6"/>
      <c r="E20" s="706">
        <f>INDEX('IN_RC-T'!$A$3:$AAA$865,MATCH($A20,'IN_RC-T'!$A$3:$A$865,0),MATCH(E$3,'IN_RC-T'!$A$3:$AAA$3,0))</f>
        <v>0</v>
      </c>
      <c r="F20" s="706">
        <f>INDEX('IN_RC-T'!$A$3:$AAA$865,MATCH($A20,'IN_RC-T'!$A$3:$A$865,0),MATCH(F$3,'IN_RC-T'!$A$3:$AAA$3,0))</f>
        <v>0</v>
      </c>
      <c r="G20" s="706">
        <f>INDEX('IN_RC-T'!$A$3:$AAA$865,MATCH($A20,'IN_RC-T'!$A$3:$A$865,0),MATCH(G$3,'IN_RC-T'!$A$3:$AAA$3,0))</f>
        <v>0</v>
      </c>
    </row>
    <row r="21" spans="1:7" ht="11.4" outlineLevel="1" x14ac:dyDescent="0.2">
      <c r="A21" s="7" t="s">
        <v>6802</v>
      </c>
      <c r="B21" s="705" t="s">
        <v>5444</v>
      </c>
      <c r="C21" s="985">
        <f t="shared" si="1"/>
        <v>0</v>
      </c>
      <c r="D21" s="986"/>
      <c r="E21" s="984">
        <f>INDEX('IN_RC-T'!$A$3:$AAA$865,MATCH($A21,'IN_RC-T'!$A$3:$A$865,0),MATCH(E$3,'IN_RC-T'!$A$3:$AAA$3,0))</f>
        <v>0</v>
      </c>
      <c r="F21" s="984">
        <f>INDEX('IN_RC-T'!$A$3:$AAA$865,MATCH($A21,'IN_RC-T'!$A$3:$A$865,0),MATCH(F$3,'IN_RC-T'!$A$3:$AAA$3,0))</f>
        <v>0</v>
      </c>
      <c r="G21" s="984">
        <f>INDEX('IN_RC-T'!$A$3:$AAA$865,MATCH($A21,'IN_RC-T'!$A$3:$A$865,0),MATCH(G$3,'IN_RC-T'!$A$3:$AAA$3,0))</f>
        <v>0</v>
      </c>
    </row>
    <row r="22" spans="1:7" outlineLevel="1" x14ac:dyDescent="0.2">
      <c r="A22" s="85" t="s">
        <v>4124</v>
      </c>
      <c r="B22" s="14" t="s">
        <v>109</v>
      </c>
      <c r="C22" s="15">
        <f t="shared" si="1"/>
        <v>0</v>
      </c>
      <c r="D22" s="6"/>
      <c r="E22" s="16">
        <f>PEF_COM_27!E22</f>
        <v>0</v>
      </c>
      <c r="F22" s="16">
        <f>PEF_COM_27!F22</f>
        <v>0</v>
      </c>
      <c r="G22" s="16">
        <f>PEF_COM_27!G22</f>
        <v>0</v>
      </c>
    </row>
    <row r="23" spans="1:7" outlineLevel="1" x14ac:dyDescent="0.2">
      <c r="B23" s="24"/>
      <c r="C23" s="25"/>
      <c r="D23" s="6"/>
      <c r="E23" s="5"/>
      <c r="F23" s="5"/>
      <c r="G23" s="5"/>
    </row>
    <row r="24" spans="1:7" s="13" customFormat="1" ht="11.4" outlineLevel="1" x14ac:dyDescent="0.3">
      <c r="A24" s="31" t="s">
        <v>5636</v>
      </c>
      <c r="B24" s="700" t="s">
        <v>5564</v>
      </c>
      <c r="C24" s="701">
        <f t="shared" ref="C24:C48" si="2">SUM(E24:G24)</f>
        <v>48623.568806579729</v>
      </c>
      <c r="D24" s="6"/>
      <c r="E24" s="702">
        <f>E25+E30+E40+SUM(E41:E46)+E48</f>
        <v>0</v>
      </c>
      <c r="F24" s="702">
        <f>F25+F30+F40+SUM(F41:F46)+F48</f>
        <v>0</v>
      </c>
      <c r="G24" s="702">
        <f>G25+G30+G40+SUM(G41:G46)+G48</f>
        <v>48623.568806579729</v>
      </c>
    </row>
    <row r="25" spans="1:7" outlineLevel="1" x14ac:dyDescent="0.2">
      <c r="A25" s="7" t="s">
        <v>4130</v>
      </c>
      <c r="B25" s="14" t="s">
        <v>11</v>
      </c>
      <c r="C25" s="15">
        <f t="shared" si="2"/>
        <v>0</v>
      </c>
      <c r="D25" s="6"/>
      <c r="E25" s="16">
        <f>PEF_COM_27!E25</f>
        <v>0</v>
      </c>
      <c r="F25" s="16">
        <f>PEF_COM_27!F25</f>
        <v>0</v>
      </c>
      <c r="G25" s="16">
        <f>PEF_COM_27!G25</f>
        <v>0</v>
      </c>
    </row>
    <row r="26" spans="1:7" outlineLevel="1" x14ac:dyDescent="0.2">
      <c r="A26" s="7" t="s">
        <v>4136</v>
      </c>
      <c r="B26" s="26" t="s">
        <v>13</v>
      </c>
      <c r="C26" s="27">
        <f t="shared" si="2"/>
        <v>0</v>
      </c>
      <c r="D26" s="6"/>
      <c r="E26" s="28">
        <f>PEF_COM_27!E26</f>
        <v>0</v>
      </c>
      <c r="F26" s="28">
        <f>PEF_COM_27!F26</f>
        <v>0</v>
      </c>
      <c r="G26" s="28">
        <f>PEF_COM_27!G26</f>
        <v>0</v>
      </c>
    </row>
    <row r="27" spans="1:7" outlineLevel="1" x14ac:dyDescent="0.2">
      <c r="A27" s="7" t="s">
        <v>4142</v>
      </c>
      <c r="B27" s="26" t="s">
        <v>14</v>
      </c>
      <c r="C27" s="27">
        <f t="shared" si="2"/>
        <v>0</v>
      </c>
      <c r="D27" s="6"/>
      <c r="E27" s="28">
        <f>PEF_COM_27!E27</f>
        <v>0</v>
      </c>
      <c r="F27" s="28">
        <f>PEF_COM_27!F27</f>
        <v>0</v>
      </c>
      <c r="G27" s="28">
        <f>PEF_COM_27!G27</f>
        <v>0</v>
      </c>
    </row>
    <row r="28" spans="1:7" outlineLevel="1" x14ac:dyDescent="0.2">
      <c r="A28" s="7" t="s">
        <v>4148</v>
      </c>
      <c r="B28" s="26" t="s">
        <v>15</v>
      </c>
      <c r="C28" s="27">
        <f t="shared" si="2"/>
        <v>0</v>
      </c>
      <c r="D28" s="6"/>
      <c r="E28" s="28">
        <f>PEF_COM_27!E28</f>
        <v>0</v>
      </c>
      <c r="F28" s="28">
        <f>PEF_COM_27!F28</f>
        <v>0</v>
      </c>
      <c r="G28" s="28">
        <f>PEF_COM_27!G28</f>
        <v>0</v>
      </c>
    </row>
    <row r="29" spans="1:7" ht="11.4" outlineLevel="1" x14ac:dyDescent="0.2">
      <c r="A29" s="7" t="s">
        <v>4154</v>
      </c>
      <c r="B29" s="52" t="s">
        <v>16</v>
      </c>
      <c r="C29" s="53">
        <f t="shared" si="2"/>
        <v>0</v>
      </c>
      <c r="D29" s="6"/>
      <c r="E29" s="54">
        <f>PEF_COM_27!E29</f>
        <v>0</v>
      </c>
      <c r="F29" s="54">
        <f>PEF_COM_27!F29</f>
        <v>0</v>
      </c>
      <c r="G29" s="54">
        <f>PEF_COM_27!G29</f>
        <v>0</v>
      </c>
    </row>
    <row r="30" spans="1:7" outlineLevel="1" x14ac:dyDescent="0.2">
      <c r="A30" s="7" t="s">
        <v>5637</v>
      </c>
      <c r="B30" s="684" t="s">
        <v>12</v>
      </c>
      <c r="C30" s="685">
        <f t="shared" si="2"/>
        <v>0</v>
      </c>
      <c r="D30" s="6"/>
      <c r="E30" s="686">
        <f>SUM(E26:E29)</f>
        <v>0</v>
      </c>
      <c r="F30" s="686">
        <f>SUM(F26:F29)</f>
        <v>0</v>
      </c>
      <c r="G30" s="686">
        <f>SUM(G26:G29)</f>
        <v>0</v>
      </c>
    </row>
    <row r="31" spans="1:7" outlineLevel="1" x14ac:dyDescent="0.2">
      <c r="A31" s="85" t="s">
        <v>4160</v>
      </c>
      <c r="B31" s="26" t="s">
        <v>18</v>
      </c>
      <c r="C31" s="27">
        <f t="shared" si="2"/>
        <v>21576.013896481796</v>
      </c>
      <c r="D31" s="6"/>
      <c r="E31" s="28">
        <f>INDEX(CK_COM!$A$3:$AAA$158,MATCH($A31,CK_COM!$A$3:$A$158,0),MATCH(E$3,CK_COM!$A$3:$AAA$3,0))</f>
        <v>0</v>
      </c>
      <c r="F31" s="28">
        <f>INDEX(CK_COM!$A$3:$AAA$158,MATCH($A31,CK_COM!$A$3:$A$158,0),MATCH(F$3,CK_COM!$A$3:$AAA$3,0))</f>
        <v>0</v>
      </c>
      <c r="G31" s="28">
        <f>INDEX(CK_COM!$A$3:$AAA$158,MATCH($A31,CK_COM!$A$3:$A$158,0),MATCH(G$3,CK_COM!$A$3:$AAA$3,0))</f>
        <v>21576.013896481796</v>
      </c>
    </row>
    <row r="32" spans="1:7" outlineLevel="1" x14ac:dyDescent="0.2">
      <c r="A32" s="7" t="s">
        <v>4190</v>
      </c>
      <c r="B32" s="687" t="s">
        <v>19</v>
      </c>
      <c r="C32" s="688">
        <f t="shared" si="2"/>
        <v>0</v>
      </c>
      <c r="D32" s="6"/>
      <c r="E32" s="689">
        <f>SUM(E33:E36)</f>
        <v>0</v>
      </c>
      <c r="F32" s="689">
        <f>SUM(F33:F36)</f>
        <v>0</v>
      </c>
      <c r="G32" s="689">
        <f>SUM(G33:G36)</f>
        <v>0</v>
      </c>
    </row>
    <row r="33" spans="1:7" outlineLevel="1" x14ac:dyDescent="0.2">
      <c r="A33" s="85" t="s">
        <v>4178</v>
      </c>
      <c r="B33" s="690" t="s">
        <v>20</v>
      </c>
      <c r="C33" s="691">
        <f t="shared" si="2"/>
        <v>0</v>
      </c>
      <c r="D33" s="6"/>
      <c r="E33" s="696">
        <f>PEF_COM_27!E33</f>
        <v>0</v>
      </c>
      <c r="F33" s="696">
        <f>PEF_COM_27!F33</f>
        <v>0</v>
      </c>
      <c r="G33" s="696">
        <f>PEF_COM_27!G33</f>
        <v>0</v>
      </c>
    </row>
    <row r="34" spans="1:7" outlineLevel="1" x14ac:dyDescent="0.2">
      <c r="A34" s="85" t="s">
        <v>4181</v>
      </c>
      <c r="B34" s="692" t="s">
        <v>21</v>
      </c>
      <c r="C34" s="693">
        <f t="shared" si="2"/>
        <v>0</v>
      </c>
      <c r="D34" s="6"/>
      <c r="E34" s="697">
        <f>PEF_COM_27!E34</f>
        <v>0</v>
      </c>
      <c r="F34" s="697">
        <f>PEF_COM_27!F34</f>
        <v>0</v>
      </c>
      <c r="G34" s="697">
        <f>PEF_COM_27!G34</f>
        <v>0</v>
      </c>
    </row>
    <row r="35" spans="1:7" outlineLevel="1" x14ac:dyDescent="0.2">
      <c r="A35" s="85" t="s">
        <v>4184</v>
      </c>
      <c r="B35" s="692" t="s">
        <v>22</v>
      </c>
      <c r="C35" s="693">
        <f t="shared" si="2"/>
        <v>0</v>
      </c>
      <c r="D35" s="6"/>
      <c r="E35" s="697">
        <f>PEF_COM_27!E35</f>
        <v>0</v>
      </c>
      <c r="F35" s="697">
        <f>PEF_COM_27!F35</f>
        <v>0</v>
      </c>
      <c r="G35" s="697">
        <f>PEF_COM_27!G35</f>
        <v>0</v>
      </c>
    </row>
    <row r="36" spans="1:7" outlineLevel="1" x14ac:dyDescent="0.2">
      <c r="A36" s="85" t="s">
        <v>4187</v>
      </c>
      <c r="B36" s="694" t="s">
        <v>23</v>
      </c>
      <c r="C36" s="695">
        <f t="shared" si="2"/>
        <v>0</v>
      </c>
      <c r="D36" s="6"/>
      <c r="E36" s="698">
        <f>PEF_COM_27!E36</f>
        <v>0</v>
      </c>
      <c r="F36" s="698">
        <f>PEF_COM_27!F36</f>
        <v>0</v>
      </c>
      <c r="G36" s="698">
        <f>PEF_COM_27!G36</f>
        <v>0</v>
      </c>
    </row>
    <row r="37" spans="1:7" outlineLevel="1" x14ac:dyDescent="0.2">
      <c r="A37" s="85" t="s">
        <v>4196</v>
      </c>
      <c r="B37" s="26" t="s">
        <v>24</v>
      </c>
      <c r="C37" s="27">
        <f t="shared" si="2"/>
        <v>27047.554910097933</v>
      </c>
      <c r="D37" s="6"/>
      <c r="E37" s="28">
        <f>INDEX(CK_COM!$A$3:$AAA$158,MATCH($A37,CK_COM!$A$3:$A$158,0),MATCH(E$3,CK_COM!$A$3:$AAA$3,0))</f>
        <v>0</v>
      </c>
      <c r="F37" s="28">
        <f>INDEX(CK_COM!$A$3:$AAA$158,MATCH($A37,CK_COM!$A$3:$A$158,0),MATCH(F$3,CK_COM!$A$3:$AAA$3,0))</f>
        <v>0</v>
      </c>
      <c r="G37" s="28">
        <f>INDEX(CK_COM!$A$3:$AAA$158,MATCH($A37,CK_COM!$A$3:$A$158,0),MATCH(G$3,CK_COM!$A$3:$AAA$3,0))</f>
        <v>27047.554910097933</v>
      </c>
    </row>
    <row r="38" spans="1:7" ht="11.4" outlineLevel="1" x14ac:dyDescent="0.2">
      <c r="A38" s="85" t="s">
        <v>4202</v>
      </c>
      <c r="B38" s="52" t="s">
        <v>25</v>
      </c>
      <c r="C38" s="53">
        <f t="shared" si="2"/>
        <v>0</v>
      </c>
      <c r="D38" s="6"/>
      <c r="E38" s="54">
        <f>INDEX(CK_COM!$A$3:$AAA$158,MATCH($A38,CK_COM!$A$3:$A$158,0),MATCH(E$3,CK_COM!$A$3:$AAA$3,0))</f>
        <v>0</v>
      </c>
      <c r="F38" s="54">
        <f>INDEX(CK_COM!$A$3:$AAA$158,MATCH($A38,CK_COM!$A$3:$A$158,0),MATCH(F$3,CK_COM!$A$3:$AAA$3,0))</f>
        <v>0</v>
      </c>
      <c r="G38" s="54">
        <f>INDEX(CK_COM!$A$3:$AAA$158,MATCH($A38,CK_COM!$A$3:$A$158,0),MATCH(G$3,CK_COM!$A$3:$AAA$3,0))</f>
        <v>0</v>
      </c>
    </row>
    <row r="39" spans="1:7" ht="11.4" outlineLevel="1" x14ac:dyDescent="0.2">
      <c r="A39" s="85" t="s">
        <v>4208</v>
      </c>
      <c r="B39" s="52" t="s">
        <v>5474</v>
      </c>
      <c r="C39" s="53">
        <f t="shared" si="2"/>
        <v>0</v>
      </c>
      <c r="D39" s="6"/>
      <c r="E39" s="54">
        <f>INDEX(CK_COM!$A$3:$AAA$158,MATCH($A39,CK_COM!$A$3:$A$158,0),MATCH(E$3,CK_COM!$A$3:$AAA$3,0))</f>
        <v>0</v>
      </c>
      <c r="F39" s="54">
        <f>INDEX(CK_COM!$A$3:$AAA$158,MATCH($A39,CK_COM!$A$3:$A$158,0),MATCH(F$3,CK_COM!$A$3:$AAA$3,0))</f>
        <v>0</v>
      </c>
      <c r="G39" s="54">
        <f>INDEX(CK_COM!$A$3:$AAA$158,MATCH($A39,CK_COM!$A$3:$A$158,0),MATCH(G$3,CK_COM!$A$3:$AAA$3,0))</f>
        <v>0</v>
      </c>
    </row>
    <row r="40" spans="1:7" outlineLevel="1" x14ac:dyDescent="0.2">
      <c r="A40" s="7" t="s">
        <v>5638</v>
      </c>
      <c r="B40" s="684" t="s">
        <v>17</v>
      </c>
      <c r="C40" s="685">
        <f t="shared" si="2"/>
        <v>48623.568806579729</v>
      </c>
      <c r="D40" s="6"/>
      <c r="E40" s="686">
        <f>E31+E32+E37+E38+E39</f>
        <v>0</v>
      </c>
      <c r="F40" s="686">
        <f>F31+F32+F37+F38+F39</f>
        <v>0</v>
      </c>
      <c r="G40" s="686">
        <f>G31+G32+G37+G38+G39</f>
        <v>48623.568806579729</v>
      </c>
    </row>
    <row r="41" spans="1:7" ht="11.4" outlineLevel="1" x14ac:dyDescent="0.2">
      <c r="A41" s="85" t="s">
        <v>2138</v>
      </c>
      <c r="B41" s="14" t="s">
        <v>5447</v>
      </c>
      <c r="C41" s="17">
        <f t="shared" si="2"/>
        <v>0</v>
      </c>
      <c r="D41" s="6"/>
      <c r="E41" s="16">
        <f>INDEX(IN_COexp!$A$3:$AAA$269,MATCH($A41,IN_COexp!$A$3:$A$269,0),MATCH(E$3,IN_COexp!$A$3:$AAA$3,0))</f>
        <v>0</v>
      </c>
      <c r="F41" s="16">
        <f>INDEX(IN_COexp!$A$3:$AAA$269,MATCH($A41,IN_COexp!$A$3:$A$269,0),MATCH(F$3,IN_COexp!$A$3:$AAA$3,0))</f>
        <v>0</v>
      </c>
      <c r="G41" s="16">
        <f>INDEX(IN_COexp!$A$3:$AAA$269,MATCH($A41,IN_COexp!$A$3:$A$269,0),MATCH(G$3,IN_COexp!$A$3:$AAA$3,0))</f>
        <v>0</v>
      </c>
    </row>
    <row r="42" spans="1:7" ht="11.4" outlineLevel="1" x14ac:dyDescent="0.2">
      <c r="A42" s="85" t="s">
        <v>2182</v>
      </c>
      <c r="B42" s="14" t="s">
        <v>5448</v>
      </c>
      <c r="C42" s="17">
        <f t="shared" si="2"/>
        <v>0</v>
      </c>
      <c r="D42" s="6"/>
      <c r="E42" s="16">
        <f>INDEX(IN_COexp!$A$3:$AAA$269,MATCH($A42,IN_COexp!$A$3:$A$269,0),MATCH(E$3,IN_COexp!$A$3:$AAA$3,0))</f>
        <v>0</v>
      </c>
      <c r="F42" s="16">
        <f>INDEX(IN_COexp!$A$3:$AAA$269,MATCH($A42,IN_COexp!$A$3:$A$269,0),MATCH(F$3,IN_COexp!$A$3:$AAA$3,0))</f>
        <v>0</v>
      </c>
      <c r="G42" s="16">
        <f>INDEX(IN_COexp!$A$3:$AAA$269,MATCH($A42,IN_COexp!$A$3:$A$269,0),MATCH(G$3,IN_COexp!$A$3:$AAA$3,0))</f>
        <v>0</v>
      </c>
    </row>
    <row r="43" spans="1:7" ht="11.4" outlineLevel="1" x14ac:dyDescent="0.2">
      <c r="A43" s="85" t="s">
        <v>2232</v>
      </c>
      <c r="B43" s="14" t="s">
        <v>6410</v>
      </c>
      <c r="C43" s="17">
        <f t="shared" si="2"/>
        <v>0</v>
      </c>
      <c r="D43" s="6"/>
      <c r="E43" s="18">
        <f>INDEX(IN_COexp!$A$3:$AAA$269,MATCH($A43,IN_COexp!$A$3:$A$269,0),MATCH(E$3,IN_COexp!$A$3:$AAA$3,0))</f>
        <v>0</v>
      </c>
      <c r="F43" s="18">
        <f>INDEX(IN_COexp!$A$3:$AAA$269,MATCH($A43,IN_COexp!$A$3:$A$269,0),MATCH(F$3,IN_COexp!$A$3:$AAA$3,0))</f>
        <v>0</v>
      </c>
      <c r="G43" s="18">
        <f>INDEX(IN_COexp!$A$3:$AAA$269,MATCH($A43,IN_COexp!$A$3:$A$269,0),MATCH(G$3,IN_COexp!$A$3:$AAA$3,0))</f>
        <v>0</v>
      </c>
    </row>
    <row r="44" spans="1:7" ht="11.4" outlineLevel="1" x14ac:dyDescent="0.2">
      <c r="A44" s="85" t="s">
        <v>2304</v>
      </c>
      <c r="B44" s="14" t="s">
        <v>6411</v>
      </c>
      <c r="C44" s="17">
        <f t="shared" si="2"/>
        <v>0</v>
      </c>
      <c r="D44" s="6"/>
      <c r="E44" s="18">
        <f>INDEX(IN_COexp!$A$3:$AAA$269,MATCH($A44,IN_COexp!$A$3:$A$269,0),MATCH(E$3,IN_COexp!$A$3:$AAA$3,0))</f>
        <v>0</v>
      </c>
      <c r="F44" s="18">
        <f>INDEX(IN_COexp!$A$3:$AAA$269,MATCH($A44,IN_COexp!$A$3:$A$269,0),MATCH(F$3,IN_COexp!$A$3:$AAA$3,0))</f>
        <v>0</v>
      </c>
      <c r="G44" s="18">
        <f>INDEX(IN_COexp!$A$3:$AAA$269,MATCH($A44,IN_COexp!$A$3:$A$269,0),MATCH(G$3,IN_COexp!$A$3:$AAA$3,0))</f>
        <v>0</v>
      </c>
    </row>
    <row r="45" spans="1:7" ht="11.4" outlineLevel="1" x14ac:dyDescent="0.2">
      <c r="A45" s="85" t="s">
        <v>2359</v>
      </c>
      <c r="B45" s="14" t="s">
        <v>5449</v>
      </c>
      <c r="C45" s="17">
        <f t="shared" si="2"/>
        <v>0</v>
      </c>
      <c r="D45" s="6"/>
      <c r="E45" s="16">
        <f>INDEX(IN_COexp!$A$3:$AAA$269,MATCH($A45,IN_COexp!$A$3:$A$269,0),MATCH(E$3,IN_COexp!$A$3:$AAA$3,0))</f>
        <v>0</v>
      </c>
      <c r="F45" s="16">
        <f>INDEX(IN_COexp!$A$3:$AAA$269,MATCH($A45,IN_COexp!$A$3:$A$269,0),MATCH(F$3,IN_COexp!$A$3:$AAA$3,0))</f>
        <v>0</v>
      </c>
      <c r="G45" s="16">
        <f>INDEX(IN_COexp!$A$3:$AAA$269,MATCH($A45,IN_COexp!$A$3:$A$269,0),MATCH(G$3,IN_COexp!$A$3:$AAA$3,0))</f>
        <v>0</v>
      </c>
    </row>
    <row r="46" spans="1:7" ht="11.4" outlineLevel="1" x14ac:dyDescent="0.2">
      <c r="A46" s="85" t="s">
        <v>3059</v>
      </c>
      <c r="B46" s="703" t="s">
        <v>26</v>
      </c>
      <c r="C46" s="704">
        <f t="shared" si="2"/>
        <v>0</v>
      </c>
      <c r="D46" s="6"/>
      <c r="E46" s="706">
        <f>INDEX('IN_RC-T'!$A$3:$AAA$865,MATCH($A46,'IN_RC-T'!$A$3:$A$865,0),MATCH(E$3,'IN_RC-T'!$A$3:$AAA$3,0))</f>
        <v>0</v>
      </c>
      <c r="F46" s="706">
        <f>INDEX('IN_RC-T'!$A$3:$AAA$865,MATCH($A46,'IN_RC-T'!$A$3:$A$865,0),MATCH(F$3,'IN_RC-T'!$A$3:$AAA$3,0))</f>
        <v>0</v>
      </c>
      <c r="G46" s="706">
        <f>INDEX('IN_RC-T'!$A$3:$AAA$865,MATCH($A46,'IN_RC-T'!$A$3:$A$865,0),MATCH(G$3,'IN_RC-T'!$A$3:$AAA$3,0))</f>
        <v>0</v>
      </c>
    </row>
    <row r="47" spans="1:7" ht="11.4" outlineLevel="1" x14ac:dyDescent="0.2">
      <c r="A47" s="7" t="s">
        <v>6804</v>
      </c>
      <c r="B47" s="705" t="s">
        <v>5450</v>
      </c>
      <c r="C47" s="985">
        <f t="shared" si="2"/>
        <v>0</v>
      </c>
      <c r="D47" s="986"/>
      <c r="E47" s="984">
        <f>INDEX('IN_RC-T'!$A$3:$AAA$865,MATCH($A47,'IN_RC-T'!$A$3:$A$865,0),MATCH(E$3,'IN_RC-T'!$A$3:$AAA$3,0))</f>
        <v>0</v>
      </c>
      <c r="F47" s="984">
        <f>INDEX('IN_RC-T'!$A$3:$AAA$865,MATCH($A47,'IN_RC-T'!$A$3:$A$865,0),MATCH(F$3,'IN_RC-T'!$A$3:$AAA$3,0))</f>
        <v>0</v>
      </c>
      <c r="G47" s="984">
        <f>INDEX('IN_RC-T'!$A$3:$AAA$865,MATCH($A47,'IN_RC-T'!$A$3:$A$865,0),MATCH(G$3,'IN_RC-T'!$A$3:$AAA$3,0))</f>
        <v>0</v>
      </c>
    </row>
    <row r="48" spans="1:7" outlineLevel="1" x14ac:dyDescent="0.2">
      <c r="A48" s="85" t="s">
        <v>4251</v>
      </c>
      <c r="B48" s="14" t="s">
        <v>10</v>
      </c>
      <c r="C48" s="15">
        <f t="shared" si="2"/>
        <v>0</v>
      </c>
      <c r="D48" s="6"/>
      <c r="E48" s="16">
        <f>PEF_COM_27!E48</f>
        <v>0</v>
      </c>
      <c r="F48" s="16">
        <f>PEF_COM_27!F48</f>
        <v>0</v>
      </c>
      <c r="G48" s="16">
        <f>PEF_COM_27!G48</f>
        <v>0</v>
      </c>
    </row>
    <row r="49" spans="1:7" x14ac:dyDescent="0.2">
      <c r="C49" s="25"/>
      <c r="D49" s="6"/>
      <c r="E49" s="5"/>
      <c r="F49" s="5"/>
      <c r="G49" s="5"/>
    </row>
    <row r="50" spans="1:7" s="13" customFormat="1" ht="19.5" customHeight="1" x14ac:dyDescent="0.3">
      <c r="A50" s="31" t="s">
        <v>5639</v>
      </c>
      <c r="B50" s="700" t="s">
        <v>5565</v>
      </c>
      <c r="C50" s="701">
        <f>SUM(E50:G50)</f>
        <v>48623.568806579729</v>
      </c>
      <c r="D50" s="6"/>
      <c r="E50" s="702">
        <f t="shared" ref="E50" si="3">E5+E24</f>
        <v>0</v>
      </c>
      <c r="F50" s="702">
        <f t="shared" ref="F50:G50" si="4">F5+F24</f>
        <v>0</v>
      </c>
      <c r="G50" s="702">
        <f t="shared" si="4"/>
        <v>48623.568806579729</v>
      </c>
    </row>
    <row r="51" spans="1:7" x14ac:dyDescent="0.2">
      <c r="B51" s="24"/>
      <c r="C51" s="25"/>
      <c r="D51" s="6"/>
      <c r="E51" s="5"/>
      <c r="F51" s="5"/>
      <c r="G51" s="5"/>
    </row>
    <row r="52" spans="1:7" x14ac:dyDescent="0.2">
      <c r="A52" s="85" t="s">
        <v>4971</v>
      </c>
      <c r="B52" s="682" t="s">
        <v>5453</v>
      </c>
      <c r="C52" s="213">
        <f>SUM(E52:G52)</f>
        <v>0</v>
      </c>
      <c r="D52" s="6"/>
      <c r="E52" s="215">
        <f>INDEX('IN_Detr 4.5 del_397'!$A$3:$AAA$1192,MATCH($A52,'IN_Detr 4.5 del_397'!$A$3:$A$1192,0),MATCH(E$3,'IN_Detr 4.5 del_397'!$A$3:$AAA$3,0))</f>
        <v>0</v>
      </c>
      <c r="F52" s="215">
        <f>INDEX('IN_Detr 4.5 del_397'!$A$3:$AAA$1192,MATCH($A52,'IN_Detr 4.5 del_397'!$A$3:$A$1192,0),MATCH(F$3,'IN_Detr 4.5 del_397'!$A$3:$AAA$3,0))</f>
        <v>0</v>
      </c>
      <c r="G52" s="215">
        <f>INDEX('IN_Detr 4.5 del_397'!$A$3:$AAA$1192,MATCH($A52,'IN_Detr 4.5 del_397'!$A$3:$A$1192,0),MATCH(G$3,'IN_Detr 4.5 del_397'!$A$3:$AAA$3,0))</f>
        <v>0</v>
      </c>
    </row>
    <row r="53" spans="1:7" x14ac:dyDescent="0.2">
      <c r="A53" s="85" t="s">
        <v>4255</v>
      </c>
      <c r="B53" s="683" t="s">
        <v>5454</v>
      </c>
      <c r="C53" s="214">
        <f>SUM(E53:G53)</f>
        <v>0</v>
      </c>
      <c r="D53" s="6"/>
      <c r="E53" s="216">
        <f>INDEX('IN_Detr 4.5 del_397'!$A$3:$AAA$1192,MATCH($A53,'IN_Detr 4.5 del_397'!$A$3:$A$1192,0),MATCH(E$3,'IN_Detr 4.5 del_397'!$A$3:$AAA$3,0))</f>
        <v>0</v>
      </c>
      <c r="F53" s="216">
        <f>INDEX('IN_Detr 4.5 del_397'!$A$3:$AAA$1192,MATCH($A53,'IN_Detr 4.5 del_397'!$A$3:$A$1192,0),MATCH(F$3,'IN_Detr 4.5 del_397'!$A$3:$AAA$3,0))</f>
        <v>0</v>
      </c>
      <c r="G53" s="216">
        <f>INDEX('IN_Detr 4.5 del_397'!$A$3:$AAA$1192,MATCH($A53,'IN_Detr 4.5 del_397'!$A$3:$A$1192,0),MATCH(G$3,'IN_Detr 4.5 del_397'!$A$3:$AAA$3,0))</f>
        <v>0</v>
      </c>
    </row>
    <row r="54" spans="1:7" ht="19.5" customHeight="1" x14ac:dyDescent="0.2">
      <c r="A54" s="85" t="s">
        <v>5640</v>
      </c>
      <c r="B54" s="681" t="s">
        <v>5455</v>
      </c>
      <c r="C54" s="131">
        <f>SUM(E54:G54)</f>
        <v>0</v>
      </c>
      <c r="D54" s="130"/>
      <c r="E54" s="132">
        <f>E52+E53</f>
        <v>0</v>
      </c>
      <c r="F54" s="132">
        <f>F52+F53</f>
        <v>0</v>
      </c>
      <c r="G54" s="132">
        <f>G52+G53</f>
        <v>0</v>
      </c>
    </row>
    <row r="56" spans="1:7" ht="11.4" x14ac:dyDescent="0.2">
      <c r="A56" s="31" t="s">
        <v>5641</v>
      </c>
      <c r="B56" s="700" t="s">
        <v>5566</v>
      </c>
      <c r="C56" s="701">
        <f t="shared" ref="C56:C66" si="5">SUM(E56:G56)</f>
        <v>0</v>
      </c>
      <c r="D56" s="6"/>
      <c r="E56" s="702">
        <f>SUM(E57:E66)-E70+E71+E73</f>
        <v>0</v>
      </c>
      <c r="F56" s="702">
        <f>SUM(F57:F66)-F70+F71+F73</f>
        <v>0</v>
      </c>
      <c r="G56" s="702">
        <f>SUM(G57:G66)-G70+G71+G73</f>
        <v>0</v>
      </c>
    </row>
    <row r="57" spans="1:7" outlineLevel="1" x14ac:dyDescent="0.2">
      <c r="A57" s="7" t="s">
        <v>4057</v>
      </c>
      <c r="B57" s="14" t="s">
        <v>1</v>
      </c>
      <c r="C57" s="15">
        <f t="shared" si="5"/>
        <v>0</v>
      </c>
      <c r="D57" s="6"/>
      <c r="E57" s="16">
        <f>INDEX('IN_Detr 4.5 del_397'!$A$3:$AAA$1192,MATCH($A57,'IN_Detr 4.5 del_397'!$A$3:$A$1192,0),MATCH(E$3,'IN_Detr 4.5 del_397'!$A$3:$AAA$3,0))</f>
        <v>0</v>
      </c>
      <c r="F57" s="16">
        <f>INDEX('IN_Detr 4.5 del_397'!$A$3:$AAA$1192,MATCH($A57,'IN_Detr 4.5 del_397'!$A$3:$A$1192,0),MATCH(F$3,'IN_Detr 4.5 del_397'!$A$3:$AAA$3,0))</f>
        <v>0</v>
      </c>
      <c r="G57" s="16">
        <f>INDEX('IN_Detr 4.5 del_397'!$A$3:$AAA$1192,MATCH($A57,'IN_Detr 4.5 del_397'!$A$3:$A$1192,0),MATCH(G$3,'IN_Detr 4.5 del_397'!$A$3:$AAA$3,0))</f>
        <v>0</v>
      </c>
    </row>
    <row r="58" spans="1:7" outlineLevel="1" x14ac:dyDescent="0.2">
      <c r="A58" s="7" t="s">
        <v>4063</v>
      </c>
      <c r="B58" s="14" t="s">
        <v>3</v>
      </c>
      <c r="C58" s="15">
        <f t="shared" si="5"/>
        <v>0</v>
      </c>
      <c r="D58" s="6"/>
      <c r="E58" s="16">
        <f>INDEX('IN_Detr 4.5 del_397'!$A$3:$AAA$1192,MATCH($A58,'IN_Detr 4.5 del_397'!$A$3:$A$1192,0),MATCH(E$3,'IN_Detr 4.5 del_397'!$A$3:$AAA$3,0))</f>
        <v>0</v>
      </c>
      <c r="F58" s="16">
        <f>INDEX('IN_Detr 4.5 del_397'!$A$3:$AAA$1192,MATCH($A58,'IN_Detr 4.5 del_397'!$A$3:$A$1192,0),MATCH(F$3,'IN_Detr 4.5 del_397'!$A$3:$AAA$3,0))</f>
        <v>0</v>
      </c>
      <c r="G58" s="16">
        <f>INDEX('IN_Detr 4.5 del_397'!$A$3:$AAA$1192,MATCH($A58,'IN_Detr 4.5 del_397'!$A$3:$A$1192,0),MATCH(G$3,'IN_Detr 4.5 del_397'!$A$3:$AAA$3,0))</f>
        <v>0</v>
      </c>
    </row>
    <row r="59" spans="1:7" outlineLevel="1" x14ac:dyDescent="0.2">
      <c r="A59" s="7" t="s">
        <v>4069</v>
      </c>
      <c r="B59" s="14" t="s">
        <v>4</v>
      </c>
      <c r="C59" s="15">
        <f t="shared" si="5"/>
        <v>0</v>
      </c>
      <c r="D59" s="6"/>
      <c r="E59" s="16">
        <f>INDEX('IN_Detr 4.5 del_397'!$A$3:$AAA$1192,MATCH($A59,'IN_Detr 4.5 del_397'!$A$3:$A$1192,0),MATCH(E$3,'IN_Detr 4.5 del_397'!$A$3:$AAA$3,0))</f>
        <v>0</v>
      </c>
      <c r="F59" s="16">
        <f>INDEX('IN_Detr 4.5 del_397'!$A$3:$AAA$1192,MATCH($A59,'IN_Detr 4.5 del_397'!$A$3:$A$1192,0),MATCH(F$3,'IN_Detr 4.5 del_397'!$A$3:$AAA$3,0))</f>
        <v>0</v>
      </c>
      <c r="G59" s="16">
        <f>INDEX('IN_Detr 4.5 del_397'!$A$3:$AAA$1192,MATCH($A59,'IN_Detr 4.5 del_397'!$A$3:$A$1192,0),MATCH(G$3,'IN_Detr 4.5 del_397'!$A$3:$AAA$3,0))</f>
        <v>0</v>
      </c>
    </row>
    <row r="60" spans="1:7" outlineLevel="1" x14ac:dyDescent="0.2">
      <c r="A60" s="7" t="s">
        <v>4075</v>
      </c>
      <c r="B60" s="14" t="s">
        <v>5</v>
      </c>
      <c r="C60" s="15">
        <f t="shared" si="5"/>
        <v>0</v>
      </c>
      <c r="D60" s="6"/>
      <c r="E60" s="16">
        <f>INDEX('IN_Detr 4.5 del_397'!$A$3:$AAA$1192,MATCH($A60,'IN_Detr 4.5 del_397'!$A$3:$A$1192,0),MATCH(E$3,'IN_Detr 4.5 del_397'!$A$3:$AAA$3,0))</f>
        <v>0</v>
      </c>
      <c r="F60" s="16">
        <f>INDEX('IN_Detr 4.5 del_397'!$A$3:$AAA$1192,MATCH($A60,'IN_Detr 4.5 del_397'!$A$3:$A$1192,0),MATCH(F$3,'IN_Detr 4.5 del_397'!$A$3:$AAA$3,0))</f>
        <v>0</v>
      </c>
      <c r="G60" s="16">
        <f>INDEX('IN_Detr 4.5 del_397'!$A$3:$AAA$1192,MATCH($A60,'IN_Detr 4.5 del_397'!$A$3:$A$1192,0),MATCH(G$3,'IN_Detr 4.5 del_397'!$A$3:$AAA$3,0))</f>
        <v>0</v>
      </c>
    </row>
    <row r="61" spans="1:7" ht="11.4" outlineLevel="1" x14ac:dyDescent="0.2">
      <c r="A61" s="85" t="s">
        <v>5642</v>
      </c>
      <c r="B61" s="14" t="s">
        <v>5438</v>
      </c>
      <c r="C61" s="17">
        <f t="shared" si="5"/>
        <v>0</v>
      </c>
      <c r="D61" s="6"/>
      <c r="E61" s="16">
        <f>E10</f>
        <v>0</v>
      </c>
      <c r="F61" s="16">
        <f>F10</f>
        <v>0</v>
      </c>
      <c r="G61" s="16">
        <f>G10</f>
        <v>0</v>
      </c>
    </row>
    <row r="62" spans="1:7" ht="11.4" outlineLevel="1" x14ac:dyDescent="0.2">
      <c r="A62" s="85" t="s">
        <v>5643</v>
      </c>
      <c r="B62" s="14" t="s">
        <v>5439</v>
      </c>
      <c r="C62" s="17">
        <f t="shared" si="5"/>
        <v>0</v>
      </c>
      <c r="D62" s="6"/>
      <c r="E62" s="18">
        <f t="shared" ref="E62:E66" si="6">E11</f>
        <v>0</v>
      </c>
      <c r="F62" s="18">
        <f t="shared" ref="F62:G62" si="7">F11</f>
        <v>0</v>
      </c>
      <c r="G62" s="18">
        <f t="shared" si="7"/>
        <v>0</v>
      </c>
    </row>
    <row r="63" spans="1:7" ht="11.4" outlineLevel="1" x14ac:dyDescent="0.2">
      <c r="A63" s="85" t="s">
        <v>5644</v>
      </c>
      <c r="B63" s="14" t="s">
        <v>5440</v>
      </c>
      <c r="C63" s="17">
        <f t="shared" si="5"/>
        <v>0</v>
      </c>
      <c r="D63" s="6"/>
      <c r="E63" s="18">
        <f t="shared" si="6"/>
        <v>0</v>
      </c>
      <c r="F63" s="18">
        <f t="shared" ref="F63:G63" si="8">F12</f>
        <v>0</v>
      </c>
      <c r="G63" s="18">
        <f t="shared" si="8"/>
        <v>0</v>
      </c>
    </row>
    <row r="64" spans="1:7" ht="11.4" outlineLevel="1" x14ac:dyDescent="0.2">
      <c r="A64" s="85" t="s">
        <v>5645</v>
      </c>
      <c r="B64" s="14" t="s">
        <v>5441</v>
      </c>
      <c r="C64" s="17">
        <f t="shared" si="5"/>
        <v>0</v>
      </c>
      <c r="D64" s="6"/>
      <c r="E64" s="18">
        <f t="shared" si="6"/>
        <v>0</v>
      </c>
      <c r="F64" s="18">
        <f t="shared" ref="F64:G64" si="9">F13</f>
        <v>0</v>
      </c>
      <c r="G64" s="18">
        <f t="shared" si="9"/>
        <v>0</v>
      </c>
    </row>
    <row r="65" spans="1:7" ht="11.4" outlineLevel="1" x14ac:dyDescent="0.2">
      <c r="A65" s="85" t="s">
        <v>5646</v>
      </c>
      <c r="B65" s="14" t="s">
        <v>5442</v>
      </c>
      <c r="C65" s="17">
        <f t="shared" si="5"/>
        <v>0</v>
      </c>
      <c r="D65" s="6"/>
      <c r="E65" s="18">
        <f t="shared" si="6"/>
        <v>0</v>
      </c>
      <c r="F65" s="18">
        <f t="shared" ref="F65:G65" si="10">F14</f>
        <v>0</v>
      </c>
      <c r="G65" s="18">
        <f t="shared" si="10"/>
        <v>0</v>
      </c>
    </row>
    <row r="66" spans="1:7" ht="11.4" outlineLevel="1" x14ac:dyDescent="0.2">
      <c r="A66" s="85" t="s">
        <v>5647</v>
      </c>
      <c r="B66" s="14" t="s">
        <v>5443</v>
      </c>
      <c r="C66" s="17">
        <f t="shared" si="5"/>
        <v>0</v>
      </c>
      <c r="D66" s="6"/>
      <c r="E66" s="18">
        <f t="shared" si="6"/>
        <v>0</v>
      </c>
      <c r="F66" s="18">
        <f t="shared" ref="F66:G66" si="11">F15</f>
        <v>0</v>
      </c>
      <c r="G66" s="18">
        <f t="shared" si="11"/>
        <v>0</v>
      </c>
    </row>
    <row r="67" spans="1:7" outlineLevel="1" x14ac:dyDescent="0.2">
      <c r="A67" s="85" t="s">
        <v>1288</v>
      </c>
      <c r="B67" s="736" t="s">
        <v>7</v>
      </c>
      <c r="C67" s="737"/>
      <c r="D67" s="19"/>
      <c r="E67" s="740">
        <f t="shared" ref="E67:E69" si="12">E16</f>
        <v>0.7</v>
      </c>
      <c r="F67" s="740">
        <f t="shared" ref="F67:G67" si="13">F16</f>
        <v>0</v>
      </c>
      <c r="G67" s="740">
        <f t="shared" si="13"/>
        <v>0</v>
      </c>
    </row>
    <row r="68" spans="1:7" outlineLevel="1" x14ac:dyDescent="0.2">
      <c r="A68" s="7" t="s">
        <v>5648</v>
      </c>
      <c r="B68" s="26" t="s">
        <v>6</v>
      </c>
      <c r="C68" s="27">
        <f t="shared" ref="C68:C73" si="14">SUM(E68:G68)</f>
        <v>0</v>
      </c>
      <c r="D68" s="6"/>
      <c r="E68" s="28">
        <f t="shared" si="12"/>
        <v>0</v>
      </c>
      <c r="F68" s="28">
        <f t="shared" ref="F68:G68" si="15">F17</f>
        <v>0</v>
      </c>
      <c r="G68" s="28">
        <f t="shared" si="15"/>
        <v>0</v>
      </c>
    </row>
    <row r="69" spans="1:7" ht="11.4" outlineLevel="1" x14ac:dyDescent="0.2">
      <c r="A69" s="7" t="s">
        <v>5649</v>
      </c>
      <c r="B69" s="26" t="s">
        <v>101</v>
      </c>
      <c r="C69" s="27">
        <f t="shared" si="14"/>
        <v>0</v>
      </c>
      <c r="D69" s="6"/>
      <c r="E69" s="28">
        <f t="shared" si="12"/>
        <v>0</v>
      </c>
      <c r="F69" s="28">
        <f t="shared" ref="F69:G69" si="16">F18</f>
        <v>0</v>
      </c>
      <c r="G69" s="28">
        <f t="shared" si="16"/>
        <v>0</v>
      </c>
    </row>
    <row r="70" spans="1:7" ht="11.4" outlineLevel="1" x14ac:dyDescent="0.2">
      <c r="A70" s="7" t="s">
        <v>5913</v>
      </c>
      <c r="B70" s="738" t="s">
        <v>5437</v>
      </c>
      <c r="C70" s="739">
        <f t="shared" si="14"/>
        <v>0</v>
      </c>
      <c r="D70" s="6"/>
      <c r="E70" s="741">
        <f>E67*(E68+E69)</f>
        <v>0</v>
      </c>
      <c r="F70" s="741">
        <f>F67*(F68+F69)</f>
        <v>0</v>
      </c>
      <c r="G70" s="741">
        <f>G67*(G68+G69)</f>
        <v>0</v>
      </c>
    </row>
    <row r="71" spans="1:7" ht="11.4" outlineLevel="1" x14ac:dyDescent="0.2">
      <c r="A71" s="85" t="s">
        <v>4123</v>
      </c>
      <c r="B71" s="703" t="s">
        <v>102</v>
      </c>
      <c r="C71" s="704">
        <f t="shared" si="14"/>
        <v>0</v>
      </c>
      <c r="D71" s="6"/>
      <c r="E71" s="706">
        <f>INDEX('IN_Detr 4.5 del_397'!$A$3:$AAA$1192,MATCH($A71,'IN_Detr 4.5 del_397'!$A$3:$A$1192,0),MATCH(E$3,'IN_Detr 4.5 del_397'!$A$3:$AAA$3,0))</f>
        <v>0</v>
      </c>
      <c r="F71" s="706">
        <f>INDEX('IN_Detr 4.5 del_397'!$A$3:$AAA$1192,MATCH($A71,'IN_Detr 4.5 del_397'!$A$3:$A$1192,0),MATCH(F$3,'IN_Detr 4.5 del_397'!$A$3:$AAA$3,0))</f>
        <v>0</v>
      </c>
      <c r="G71" s="706">
        <f>INDEX('IN_Detr 4.5 del_397'!$A$3:$AAA$1192,MATCH($A71,'IN_Detr 4.5 del_397'!$A$3:$A$1192,0),MATCH(G$3,'IN_Detr 4.5 del_397'!$A$3:$AAA$3,0))</f>
        <v>0</v>
      </c>
    </row>
    <row r="72" spans="1:7" ht="11.4" outlineLevel="1" x14ac:dyDescent="0.2">
      <c r="A72" s="7" t="s">
        <v>6949</v>
      </c>
      <c r="B72" s="705" t="s">
        <v>5444</v>
      </c>
      <c r="C72" s="987">
        <f t="shared" si="14"/>
        <v>0</v>
      </c>
      <c r="D72" s="988"/>
      <c r="E72" s="989">
        <f>INDEX('IN_Detr 4.5 del_397'!$A$3:$AAA$1192,MATCH($A72,'IN_Detr 4.5 del_397'!$A$3:$A$1192,0),MATCH(E$3,'IN_Detr 4.5 del_397'!$A$3:$AAA$3,0))</f>
        <v>0</v>
      </c>
      <c r="F72" s="989">
        <f>INDEX('IN_Detr 4.5 del_397'!$A$3:$AAA$1192,MATCH($A72,'IN_Detr 4.5 del_397'!$A$3:$A$1192,0),MATCH(F$3,'IN_Detr 4.5 del_397'!$A$3:$AAA$3,0))</f>
        <v>0</v>
      </c>
      <c r="G72" s="989">
        <f>INDEX('IN_Detr 4.5 del_397'!$A$3:$AAA$1192,MATCH($A72,'IN_Detr 4.5 del_397'!$A$3:$A$1192,0),MATCH(G$3,'IN_Detr 4.5 del_397'!$A$3:$AAA$3,0))</f>
        <v>0</v>
      </c>
    </row>
    <row r="73" spans="1:7" outlineLevel="1" x14ac:dyDescent="0.2">
      <c r="A73" s="85" t="s">
        <v>4126</v>
      </c>
      <c r="B73" s="14" t="s">
        <v>109</v>
      </c>
      <c r="C73" s="15">
        <f t="shared" si="14"/>
        <v>0</v>
      </c>
      <c r="D73" s="6"/>
      <c r="E73" s="16">
        <f>INDEX('IN_Detr 4.5 del_397'!$A$3:$AAA$1192,MATCH($A73,'IN_Detr 4.5 del_397'!$A$3:$A$1192,0),MATCH(E$3,'IN_Detr 4.5 del_397'!$A$3:$AAA$3,0))</f>
        <v>0</v>
      </c>
      <c r="F73" s="16">
        <f>INDEX('IN_Detr 4.5 del_397'!$A$3:$AAA$1192,MATCH($A73,'IN_Detr 4.5 del_397'!$A$3:$A$1192,0),MATCH(F$3,'IN_Detr 4.5 del_397'!$A$3:$AAA$3,0))</f>
        <v>0</v>
      </c>
      <c r="G73" s="16">
        <f>INDEX('IN_Detr 4.5 del_397'!$A$3:$AAA$1192,MATCH($A73,'IN_Detr 4.5 del_397'!$A$3:$A$1192,0),MATCH(G$3,'IN_Detr 4.5 del_397'!$A$3:$AAA$3,0))</f>
        <v>0</v>
      </c>
    </row>
    <row r="74" spans="1:7" outlineLevel="1" x14ac:dyDescent="0.2">
      <c r="B74" s="24"/>
      <c r="C74" s="25"/>
      <c r="D74" s="6"/>
      <c r="E74" s="5"/>
      <c r="F74" s="5"/>
      <c r="G74" s="5"/>
    </row>
    <row r="75" spans="1:7" s="359" customFormat="1" ht="20.399999999999999" outlineLevel="1" x14ac:dyDescent="0.2">
      <c r="A75" s="356"/>
      <c r="B75" s="360"/>
      <c r="C75" s="358" t="str">
        <f>C3</f>
        <v>TOTALE</v>
      </c>
      <c r="D75" s="357"/>
      <c r="E75" s="358" t="str">
        <f t="shared" ref="E75" si="17">E3</f>
        <v>BUSTO ARSIZIO</v>
      </c>
      <c r="F75" s="358" t="str">
        <f t="shared" ref="F75:G75" si="18">F3</f>
        <v>FAGNANO OLONA</v>
      </c>
      <c r="G75" s="358" t="str">
        <f t="shared" si="18"/>
        <v>VENEGONO SUPERIORE</v>
      </c>
    </row>
    <row r="76" spans="1:7" ht="11.4" outlineLevel="1" x14ac:dyDescent="0.2">
      <c r="A76" s="31" t="s">
        <v>5650</v>
      </c>
      <c r="B76" s="700" t="s">
        <v>5567</v>
      </c>
      <c r="C76" s="701">
        <f t="shared" ref="C76:C100" si="19">SUM(E76:G76)</f>
        <v>48623.568806579729</v>
      </c>
      <c r="D76" s="6"/>
      <c r="E76" s="702">
        <f>E77+E82+E92+SUM(E93:E98)+E100</f>
        <v>0</v>
      </c>
      <c r="F76" s="702">
        <f>F77+F82+F92+SUM(F93:F98)+F100</f>
        <v>0</v>
      </c>
      <c r="G76" s="702">
        <f>G77+G82+G92+SUM(G93:G98)+G100</f>
        <v>48623.568806579729</v>
      </c>
    </row>
    <row r="77" spans="1:7" outlineLevel="1" x14ac:dyDescent="0.2">
      <c r="A77" s="7" t="s">
        <v>4132</v>
      </c>
      <c r="B77" s="14" t="s">
        <v>11</v>
      </c>
      <c r="C77" s="15">
        <f t="shared" si="19"/>
        <v>0</v>
      </c>
      <c r="D77" s="6"/>
      <c r="E77" s="16">
        <f>INDEX('IN_Detr 4.5 del_397'!$A$3:$AAA$1192,MATCH($A77,'IN_Detr 4.5 del_397'!$A$3:$A$1192,0),MATCH(E$3,'IN_Detr 4.5 del_397'!$A$3:$AAA$3,0))</f>
        <v>0</v>
      </c>
      <c r="F77" s="16">
        <f>INDEX('IN_Detr 4.5 del_397'!$A$3:$AAA$1192,MATCH($A77,'IN_Detr 4.5 del_397'!$A$3:$A$1192,0),MATCH(F$3,'IN_Detr 4.5 del_397'!$A$3:$AAA$3,0))</f>
        <v>0</v>
      </c>
      <c r="G77" s="16">
        <f>INDEX('IN_Detr 4.5 del_397'!$A$3:$AAA$1192,MATCH($A77,'IN_Detr 4.5 del_397'!$A$3:$A$1192,0),MATCH(G$3,'IN_Detr 4.5 del_397'!$A$3:$AAA$3,0))</f>
        <v>0</v>
      </c>
    </row>
    <row r="78" spans="1:7" outlineLevel="1" x14ac:dyDescent="0.2">
      <c r="A78" s="7" t="s">
        <v>4138</v>
      </c>
      <c r="B78" s="26" t="s">
        <v>13</v>
      </c>
      <c r="C78" s="27">
        <f t="shared" si="19"/>
        <v>0</v>
      </c>
      <c r="D78" s="6"/>
      <c r="E78" s="28">
        <f>INDEX('IN_Detr 4.5 del_397'!$A$3:$AAA$1192,MATCH($A78,'IN_Detr 4.5 del_397'!$A$3:$A$1192,0),MATCH(E$3,'IN_Detr 4.5 del_397'!$A$3:$AAA$3,0))</f>
        <v>0</v>
      </c>
      <c r="F78" s="28">
        <f>INDEX('IN_Detr 4.5 del_397'!$A$3:$AAA$1192,MATCH($A78,'IN_Detr 4.5 del_397'!$A$3:$A$1192,0),MATCH(F$3,'IN_Detr 4.5 del_397'!$A$3:$AAA$3,0))</f>
        <v>0</v>
      </c>
      <c r="G78" s="28">
        <f>INDEX('IN_Detr 4.5 del_397'!$A$3:$AAA$1192,MATCH($A78,'IN_Detr 4.5 del_397'!$A$3:$A$1192,0),MATCH(G$3,'IN_Detr 4.5 del_397'!$A$3:$AAA$3,0))</f>
        <v>0</v>
      </c>
    </row>
    <row r="79" spans="1:7" outlineLevel="1" x14ac:dyDescent="0.2">
      <c r="A79" s="7" t="s">
        <v>4144</v>
      </c>
      <c r="B79" s="26" t="s">
        <v>14</v>
      </c>
      <c r="C79" s="27">
        <f t="shared" si="19"/>
        <v>0</v>
      </c>
      <c r="D79" s="6"/>
      <c r="E79" s="28">
        <f>INDEX('IN_Detr 4.5 del_397'!$A$3:$AAA$1192,MATCH($A79,'IN_Detr 4.5 del_397'!$A$3:$A$1192,0),MATCH(E$3,'IN_Detr 4.5 del_397'!$A$3:$AAA$3,0))</f>
        <v>0</v>
      </c>
      <c r="F79" s="28">
        <f>INDEX('IN_Detr 4.5 del_397'!$A$3:$AAA$1192,MATCH($A79,'IN_Detr 4.5 del_397'!$A$3:$A$1192,0),MATCH(F$3,'IN_Detr 4.5 del_397'!$A$3:$AAA$3,0))</f>
        <v>0</v>
      </c>
      <c r="G79" s="28">
        <f>INDEX('IN_Detr 4.5 del_397'!$A$3:$AAA$1192,MATCH($A79,'IN_Detr 4.5 del_397'!$A$3:$A$1192,0),MATCH(G$3,'IN_Detr 4.5 del_397'!$A$3:$AAA$3,0))</f>
        <v>0</v>
      </c>
    </row>
    <row r="80" spans="1:7" outlineLevel="1" x14ac:dyDescent="0.2">
      <c r="A80" s="7" t="s">
        <v>4150</v>
      </c>
      <c r="B80" s="26" t="s">
        <v>15</v>
      </c>
      <c r="C80" s="27">
        <f t="shared" si="19"/>
        <v>0</v>
      </c>
      <c r="D80" s="6"/>
      <c r="E80" s="28">
        <f>INDEX('IN_Detr 4.5 del_397'!$A$3:$AAA$1192,MATCH($A80,'IN_Detr 4.5 del_397'!$A$3:$A$1192,0),MATCH(E$3,'IN_Detr 4.5 del_397'!$A$3:$AAA$3,0))</f>
        <v>0</v>
      </c>
      <c r="F80" s="28">
        <f>INDEX('IN_Detr 4.5 del_397'!$A$3:$AAA$1192,MATCH($A80,'IN_Detr 4.5 del_397'!$A$3:$A$1192,0),MATCH(F$3,'IN_Detr 4.5 del_397'!$A$3:$AAA$3,0))</f>
        <v>0</v>
      </c>
      <c r="G80" s="28">
        <f>INDEX('IN_Detr 4.5 del_397'!$A$3:$AAA$1192,MATCH($A80,'IN_Detr 4.5 del_397'!$A$3:$A$1192,0),MATCH(G$3,'IN_Detr 4.5 del_397'!$A$3:$AAA$3,0))</f>
        <v>0</v>
      </c>
    </row>
    <row r="81" spans="1:7" ht="11.4" outlineLevel="1" x14ac:dyDescent="0.2">
      <c r="A81" s="7" t="s">
        <v>4156</v>
      </c>
      <c r="B81" s="52" t="s">
        <v>16</v>
      </c>
      <c r="C81" s="53">
        <f t="shared" si="19"/>
        <v>0</v>
      </c>
      <c r="D81" s="6"/>
      <c r="E81" s="54">
        <f>INDEX('IN_Detr 4.5 del_397'!$A$3:$AAA$1192,MATCH($A81,'IN_Detr 4.5 del_397'!$A$3:$A$1192,0),MATCH(E$3,'IN_Detr 4.5 del_397'!$A$3:$AAA$3,0))</f>
        <v>0</v>
      </c>
      <c r="F81" s="54">
        <f>INDEX('IN_Detr 4.5 del_397'!$A$3:$AAA$1192,MATCH($A81,'IN_Detr 4.5 del_397'!$A$3:$A$1192,0),MATCH(F$3,'IN_Detr 4.5 del_397'!$A$3:$AAA$3,0))</f>
        <v>0</v>
      </c>
      <c r="G81" s="54">
        <f>INDEX('IN_Detr 4.5 del_397'!$A$3:$AAA$1192,MATCH($A81,'IN_Detr 4.5 del_397'!$A$3:$A$1192,0),MATCH(G$3,'IN_Detr 4.5 del_397'!$A$3:$AAA$3,0))</f>
        <v>0</v>
      </c>
    </row>
    <row r="82" spans="1:7" outlineLevel="1" x14ac:dyDescent="0.2">
      <c r="A82" s="7" t="s">
        <v>5651</v>
      </c>
      <c r="B82" s="684" t="s">
        <v>12</v>
      </c>
      <c r="C82" s="685">
        <f t="shared" si="19"/>
        <v>0</v>
      </c>
      <c r="D82" s="6"/>
      <c r="E82" s="686">
        <f>SUM(E78:E81)</f>
        <v>0</v>
      </c>
      <c r="F82" s="686">
        <f>SUM(F78:F81)</f>
        <v>0</v>
      </c>
      <c r="G82" s="686">
        <f>SUM(G78:G81)</f>
        <v>0</v>
      </c>
    </row>
    <row r="83" spans="1:7" outlineLevel="1" x14ac:dyDescent="0.2">
      <c r="A83" s="85" t="s">
        <v>4162</v>
      </c>
      <c r="B83" s="26" t="s">
        <v>18</v>
      </c>
      <c r="C83" s="27">
        <f t="shared" si="19"/>
        <v>21576.013896481796</v>
      </c>
      <c r="D83" s="6"/>
      <c r="E83" s="28">
        <f>INDEX('IN_Detr 4.5 del_397'!$A$3:$AAA$1192,MATCH($A83,'IN_Detr 4.5 del_397'!$A$3:$A$1192,0),MATCH(E$3,'IN_Detr 4.5 del_397'!$A$3:$AAA$3,0))</f>
        <v>0</v>
      </c>
      <c r="F83" s="28">
        <f>INDEX('IN_Detr 4.5 del_397'!$A$3:$AAA$1192,MATCH($A83,'IN_Detr 4.5 del_397'!$A$3:$A$1192,0),MATCH(F$3,'IN_Detr 4.5 del_397'!$A$3:$AAA$3,0))</f>
        <v>0</v>
      </c>
      <c r="G83" s="28">
        <f>INDEX('IN_Detr 4.5 del_397'!$A$3:$AAA$1192,MATCH($A83,'IN_Detr 4.5 del_397'!$A$3:$A$1192,0),MATCH(G$3,'IN_Detr 4.5 del_397'!$A$3:$AAA$3,0))</f>
        <v>21576.013896481796</v>
      </c>
    </row>
    <row r="84" spans="1:7" outlineLevel="1" x14ac:dyDescent="0.2">
      <c r="A84" s="7" t="s">
        <v>4192</v>
      </c>
      <c r="B84" s="687" t="s">
        <v>19</v>
      </c>
      <c r="C84" s="688">
        <f t="shared" si="19"/>
        <v>0</v>
      </c>
      <c r="D84" s="6"/>
      <c r="E84" s="689">
        <f>SUM(E85:E88)</f>
        <v>0</v>
      </c>
      <c r="F84" s="689">
        <f>SUM(F85:F88)</f>
        <v>0</v>
      </c>
      <c r="G84" s="689">
        <f>SUM(G85:G88)</f>
        <v>0</v>
      </c>
    </row>
    <row r="85" spans="1:7" outlineLevel="1" x14ac:dyDescent="0.2">
      <c r="A85" s="85" t="s">
        <v>4180</v>
      </c>
      <c r="B85" s="690" t="s">
        <v>20</v>
      </c>
      <c r="C85" s="691">
        <f t="shared" si="19"/>
        <v>0</v>
      </c>
      <c r="D85" s="6"/>
      <c r="E85" s="696">
        <f>INDEX('IN_Detr 4.5 del_397'!$A$3:$AAA$1192,MATCH($A85,'IN_Detr 4.5 del_397'!$A$3:$A$1192,0),MATCH(E$3,'IN_Detr 4.5 del_397'!$A$3:$AAA$3,0))</f>
        <v>0</v>
      </c>
      <c r="F85" s="696">
        <f>INDEX('IN_Detr 4.5 del_397'!$A$3:$AAA$1192,MATCH($A85,'IN_Detr 4.5 del_397'!$A$3:$A$1192,0),MATCH(F$3,'IN_Detr 4.5 del_397'!$A$3:$AAA$3,0))</f>
        <v>0</v>
      </c>
      <c r="G85" s="696">
        <f>INDEX('IN_Detr 4.5 del_397'!$A$3:$AAA$1192,MATCH($A85,'IN_Detr 4.5 del_397'!$A$3:$A$1192,0),MATCH(G$3,'IN_Detr 4.5 del_397'!$A$3:$AAA$3,0))</f>
        <v>0</v>
      </c>
    </row>
    <row r="86" spans="1:7" outlineLevel="1" x14ac:dyDescent="0.2">
      <c r="A86" s="85" t="s">
        <v>4183</v>
      </c>
      <c r="B86" s="692" t="s">
        <v>21</v>
      </c>
      <c r="C86" s="693">
        <f t="shared" si="19"/>
        <v>0</v>
      </c>
      <c r="D86" s="6"/>
      <c r="E86" s="697">
        <f>INDEX('IN_Detr 4.5 del_397'!$A$3:$AAA$1192,MATCH($A86,'IN_Detr 4.5 del_397'!$A$3:$A$1192,0),MATCH(E$3,'IN_Detr 4.5 del_397'!$A$3:$AAA$3,0))</f>
        <v>0</v>
      </c>
      <c r="F86" s="697">
        <f>INDEX('IN_Detr 4.5 del_397'!$A$3:$AAA$1192,MATCH($A86,'IN_Detr 4.5 del_397'!$A$3:$A$1192,0),MATCH(F$3,'IN_Detr 4.5 del_397'!$A$3:$AAA$3,0))</f>
        <v>0</v>
      </c>
      <c r="G86" s="697">
        <f>INDEX('IN_Detr 4.5 del_397'!$A$3:$AAA$1192,MATCH($A86,'IN_Detr 4.5 del_397'!$A$3:$A$1192,0),MATCH(G$3,'IN_Detr 4.5 del_397'!$A$3:$AAA$3,0))</f>
        <v>0</v>
      </c>
    </row>
    <row r="87" spans="1:7" outlineLevel="1" x14ac:dyDescent="0.2">
      <c r="A87" s="85" t="s">
        <v>4186</v>
      </c>
      <c r="B87" s="692" t="s">
        <v>22</v>
      </c>
      <c r="C87" s="693">
        <f t="shared" si="19"/>
        <v>0</v>
      </c>
      <c r="D87" s="6"/>
      <c r="E87" s="697">
        <f>INDEX('IN_Detr 4.5 del_397'!$A$3:$AAA$1192,MATCH($A87,'IN_Detr 4.5 del_397'!$A$3:$A$1192,0),MATCH(E$3,'IN_Detr 4.5 del_397'!$A$3:$AAA$3,0))</f>
        <v>0</v>
      </c>
      <c r="F87" s="697">
        <f>INDEX('IN_Detr 4.5 del_397'!$A$3:$AAA$1192,MATCH($A87,'IN_Detr 4.5 del_397'!$A$3:$A$1192,0),MATCH(F$3,'IN_Detr 4.5 del_397'!$A$3:$AAA$3,0))</f>
        <v>0</v>
      </c>
      <c r="G87" s="697">
        <f>INDEX('IN_Detr 4.5 del_397'!$A$3:$AAA$1192,MATCH($A87,'IN_Detr 4.5 del_397'!$A$3:$A$1192,0),MATCH(G$3,'IN_Detr 4.5 del_397'!$A$3:$AAA$3,0))</f>
        <v>0</v>
      </c>
    </row>
    <row r="88" spans="1:7" outlineLevel="1" x14ac:dyDescent="0.2">
      <c r="A88" s="85" t="s">
        <v>4189</v>
      </c>
      <c r="B88" s="694" t="s">
        <v>23</v>
      </c>
      <c r="C88" s="695">
        <f t="shared" si="19"/>
        <v>0</v>
      </c>
      <c r="D88" s="6"/>
      <c r="E88" s="698">
        <f>INDEX('IN_Detr 4.5 del_397'!$A$3:$AAA$1192,MATCH($A88,'IN_Detr 4.5 del_397'!$A$3:$A$1192,0),MATCH(E$3,'IN_Detr 4.5 del_397'!$A$3:$AAA$3,0))</f>
        <v>0</v>
      </c>
      <c r="F88" s="698">
        <f>INDEX('IN_Detr 4.5 del_397'!$A$3:$AAA$1192,MATCH($A88,'IN_Detr 4.5 del_397'!$A$3:$A$1192,0),MATCH(F$3,'IN_Detr 4.5 del_397'!$A$3:$AAA$3,0))</f>
        <v>0</v>
      </c>
      <c r="G88" s="698">
        <f>INDEX('IN_Detr 4.5 del_397'!$A$3:$AAA$1192,MATCH($A88,'IN_Detr 4.5 del_397'!$A$3:$A$1192,0),MATCH(G$3,'IN_Detr 4.5 del_397'!$A$3:$AAA$3,0))</f>
        <v>0</v>
      </c>
    </row>
    <row r="89" spans="1:7" outlineLevel="1" x14ac:dyDescent="0.2">
      <c r="A89" s="85" t="s">
        <v>4198</v>
      </c>
      <c r="B89" s="26" t="s">
        <v>24</v>
      </c>
      <c r="C89" s="27">
        <f t="shared" si="19"/>
        <v>27047.554910097933</v>
      </c>
      <c r="D89" s="6"/>
      <c r="E89" s="28">
        <f>INDEX('IN_Detr 4.5 del_397'!$A$3:$AAA$1192,MATCH($A89,'IN_Detr 4.5 del_397'!$A$3:$A$1192,0),MATCH(E$3,'IN_Detr 4.5 del_397'!$A$3:$AAA$3,0))</f>
        <v>0</v>
      </c>
      <c r="F89" s="28">
        <f>INDEX('IN_Detr 4.5 del_397'!$A$3:$AAA$1192,MATCH($A89,'IN_Detr 4.5 del_397'!$A$3:$A$1192,0),MATCH(F$3,'IN_Detr 4.5 del_397'!$A$3:$AAA$3,0))</f>
        <v>0</v>
      </c>
      <c r="G89" s="28">
        <f>INDEX('IN_Detr 4.5 del_397'!$A$3:$AAA$1192,MATCH($A89,'IN_Detr 4.5 del_397'!$A$3:$A$1192,0),MATCH(G$3,'IN_Detr 4.5 del_397'!$A$3:$AAA$3,0))</f>
        <v>27047.554910097933</v>
      </c>
    </row>
    <row r="90" spans="1:7" ht="11.4" outlineLevel="1" x14ac:dyDescent="0.2">
      <c r="A90" s="85" t="s">
        <v>4204</v>
      </c>
      <c r="B90" s="52" t="s">
        <v>25</v>
      </c>
      <c r="C90" s="53">
        <f t="shared" si="19"/>
        <v>0</v>
      </c>
      <c r="D90" s="6"/>
      <c r="E90" s="54">
        <f>INDEX('IN_Detr 4.5 del_397'!$A$3:$AAA$1192,MATCH($A90,'IN_Detr 4.5 del_397'!$A$3:$A$1192,0),MATCH(E$3,'IN_Detr 4.5 del_397'!$A$3:$AAA$3,0))</f>
        <v>0</v>
      </c>
      <c r="F90" s="54">
        <f>INDEX('IN_Detr 4.5 del_397'!$A$3:$AAA$1192,MATCH($A90,'IN_Detr 4.5 del_397'!$A$3:$A$1192,0),MATCH(F$3,'IN_Detr 4.5 del_397'!$A$3:$AAA$3,0))</f>
        <v>0</v>
      </c>
      <c r="G90" s="54">
        <f>INDEX('IN_Detr 4.5 del_397'!$A$3:$AAA$1192,MATCH($A90,'IN_Detr 4.5 del_397'!$A$3:$A$1192,0),MATCH(G$3,'IN_Detr 4.5 del_397'!$A$3:$AAA$3,0))</f>
        <v>0</v>
      </c>
    </row>
    <row r="91" spans="1:7" ht="11.4" outlineLevel="1" x14ac:dyDescent="0.2">
      <c r="A91" s="85" t="s">
        <v>4210</v>
      </c>
      <c r="B91" s="52" t="s">
        <v>5474</v>
      </c>
      <c r="C91" s="53">
        <f t="shared" si="19"/>
        <v>0</v>
      </c>
      <c r="D91" s="6"/>
      <c r="E91" s="54">
        <f>INDEX('IN_Detr 4.5 del_397'!$A$3:$AAA$1192,MATCH($A91,'IN_Detr 4.5 del_397'!$A$3:$A$1192,0),MATCH(E$3,'IN_Detr 4.5 del_397'!$A$3:$AAA$3,0))</f>
        <v>0</v>
      </c>
      <c r="F91" s="54">
        <f>INDEX('IN_Detr 4.5 del_397'!$A$3:$AAA$1192,MATCH($A91,'IN_Detr 4.5 del_397'!$A$3:$A$1192,0),MATCH(F$3,'IN_Detr 4.5 del_397'!$A$3:$AAA$3,0))</f>
        <v>0</v>
      </c>
      <c r="G91" s="54">
        <f>INDEX('IN_Detr 4.5 del_397'!$A$3:$AAA$1192,MATCH($A91,'IN_Detr 4.5 del_397'!$A$3:$A$1192,0),MATCH(G$3,'IN_Detr 4.5 del_397'!$A$3:$AAA$3,0))</f>
        <v>0</v>
      </c>
    </row>
    <row r="92" spans="1:7" outlineLevel="1" x14ac:dyDescent="0.2">
      <c r="A92" s="7" t="s">
        <v>5652</v>
      </c>
      <c r="B92" s="684" t="s">
        <v>17</v>
      </c>
      <c r="C92" s="685">
        <f t="shared" si="19"/>
        <v>48623.568806579729</v>
      </c>
      <c r="D92" s="6"/>
      <c r="E92" s="686">
        <f>E83+E84+E89+E90+E91</f>
        <v>0</v>
      </c>
      <c r="F92" s="686">
        <f>F83+F84+F89+F90+F91</f>
        <v>0</v>
      </c>
      <c r="G92" s="686">
        <f>G83+G84+G89+G90+G91</f>
        <v>48623.568806579729</v>
      </c>
    </row>
    <row r="93" spans="1:7" ht="11.4" outlineLevel="1" x14ac:dyDescent="0.2">
      <c r="A93" s="85" t="s">
        <v>5653</v>
      </c>
      <c r="B93" s="14" t="s">
        <v>5447</v>
      </c>
      <c r="C93" s="17">
        <f t="shared" si="19"/>
        <v>0</v>
      </c>
      <c r="D93" s="6"/>
      <c r="E93" s="16">
        <f>E41</f>
        <v>0</v>
      </c>
      <c r="F93" s="16">
        <f>F41</f>
        <v>0</v>
      </c>
      <c r="G93" s="16">
        <f>G41</f>
        <v>0</v>
      </c>
    </row>
    <row r="94" spans="1:7" ht="11.4" outlineLevel="1" x14ac:dyDescent="0.2">
      <c r="A94" s="85" t="s">
        <v>5654</v>
      </c>
      <c r="B94" s="14" t="s">
        <v>5448</v>
      </c>
      <c r="C94" s="17">
        <f t="shared" si="19"/>
        <v>0</v>
      </c>
      <c r="D94" s="6"/>
      <c r="E94" s="16">
        <f t="shared" ref="E94:E97" si="20">E42</f>
        <v>0</v>
      </c>
      <c r="F94" s="16">
        <f t="shared" ref="F94:G94" si="21">F42</f>
        <v>0</v>
      </c>
      <c r="G94" s="16">
        <f t="shared" si="21"/>
        <v>0</v>
      </c>
    </row>
    <row r="95" spans="1:7" ht="11.4" outlineLevel="1" x14ac:dyDescent="0.2">
      <c r="A95" s="85" t="s">
        <v>5655</v>
      </c>
      <c r="B95" s="14" t="s">
        <v>6410</v>
      </c>
      <c r="C95" s="17">
        <f t="shared" si="19"/>
        <v>0</v>
      </c>
      <c r="D95" s="6"/>
      <c r="E95" s="18">
        <f t="shared" si="20"/>
        <v>0</v>
      </c>
      <c r="F95" s="18">
        <f t="shared" ref="F95:G95" si="22">F43</f>
        <v>0</v>
      </c>
      <c r="G95" s="18">
        <f t="shared" si="22"/>
        <v>0</v>
      </c>
    </row>
    <row r="96" spans="1:7" ht="11.4" outlineLevel="1" x14ac:dyDescent="0.2">
      <c r="A96" s="85" t="s">
        <v>5656</v>
      </c>
      <c r="B96" s="14" t="s">
        <v>6411</v>
      </c>
      <c r="C96" s="17">
        <f t="shared" si="19"/>
        <v>0</v>
      </c>
      <c r="D96" s="6"/>
      <c r="E96" s="18">
        <f t="shared" si="20"/>
        <v>0</v>
      </c>
      <c r="F96" s="18">
        <f t="shared" ref="F96:G96" si="23">F44</f>
        <v>0</v>
      </c>
      <c r="G96" s="18">
        <f t="shared" si="23"/>
        <v>0</v>
      </c>
    </row>
    <row r="97" spans="1:7" ht="11.4" outlineLevel="1" x14ac:dyDescent="0.2">
      <c r="A97" s="85" t="s">
        <v>5657</v>
      </c>
      <c r="B97" s="14" t="s">
        <v>5449</v>
      </c>
      <c r="C97" s="17">
        <f t="shared" si="19"/>
        <v>0</v>
      </c>
      <c r="D97" s="6"/>
      <c r="E97" s="16">
        <f t="shared" si="20"/>
        <v>0</v>
      </c>
      <c r="F97" s="16">
        <f t="shared" ref="F97:G97" si="24">F45</f>
        <v>0</v>
      </c>
      <c r="G97" s="16">
        <f t="shared" si="24"/>
        <v>0</v>
      </c>
    </row>
    <row r="98" spans="1:7" ht="11.4" outlineLevel="1" x14ac:dyDescent="0.2">
      <c r="A98" s="85" t="s">
        <v>4250</v>
      </c>
      <c r="B98" s="703" t="s">
        <v>26</v>
      </c>
      <c r="C98" s="704">
        <f t="shared" si="19"/>
        <v>0</v>
      </c>
      <c r="D98" s="6"/>
      <c r="E98" s="706">
        <f>INDEX('IN_Detr 4.5 del_397'!$A$3:$AAA$1192,MATCH($A98,'IN_Detr 4.5 del_397'!$A$3:$A$1192,0),MATCH(E$3,'IN_Detr 4.5 del_397'!$A$3:$AAA$3,0))</f>
        <v>0</v>
      </c>
      <c r="F98" s="706">
        <f>INDEX('IN_Detr 4.5 del_397'!$A$3:$AAA$1192,MATCH($A98,'IN_Detr 4.5 del_397'!$A$3:$A$1192,0),MATCH(F$3,'IN_Detr 4.5 del_397'!$A$3:$AAA$3,0))</f>
        <v>0</v>
      </c>
      <c r="G98" s="706">
        <f>INDEX('IN_Detr 4.5 del_397'!$A$3:$AAA$1192,MATCH($A98,'IN_Detr 4.5 del_397'!$A$3:$A$1192,0),MATCH(G$3,'IN_Detr 4.5 del_397'!$A$3:$AAA$3,0))</f>
        <v>0</v>
      </c>
    </row>
    <row r="99" spans="1:7" ht="11.4" outlineLevel="1" x14ac:dyDescent="0.2">
      <c r="A99" s="7" t="s">
        <v>6950</v>
      </c>
      <c r="B99" s="705" t="s">
        <v>5450</v>
      </c>
      <c r="C99" s="987">
        <f t="shared" si="19"/>
        <v>0</v>
      </c>
      <c r="D99" s="988"/>
      <c r="E99" s="989">
        <f>INDEX('IN_Detr 4.5 del_397'!$A$3:$AAA$1192,MATCH($A99,'IN_Detr 4.5 del_397'!$A$3:$A$1192,0),MATCH(E$3,'IN_Detr 4.5 del_397'!$A$3:$AAA$3,0))</f>
        <v>0</v>
      </c>
      <c r="F99" s="989">
        <f>INDEX('IN_Detr 4.5 del_397'!$A$3:$AAA$1192,MATCH($A99,'IN_Detr 4.5 del_397'!$A$3:$A$1192,0),MATCH(F$3,'IN_Detr 4.5 del_397'!$A$3:$AAA$3,0))</f>
        <v>0</v>
      </c>
      <c r="G99" s="989">
        <f>INDEX('IN_Detr 4.5 del_397'!$A$3:$AAA$1192,MATCH($A99,'IN_Detr 4.5 del_397'!$A$3:$A$1192,0),MATCH(G$3,'IN_Detr 4.5 del_397'!$A$3:$AAA$3,0))</f>
        <v>0</v>
      </c>
    </row>
    <row r="100" spans="1:7" outlineLevel="1" x14ac:dyDescent="0.2">
      <c r="A100" s="85" t="s">
        <v>4253</v>
      </c>
      <c r="B100" s="14" t="s">
        <v>10</v>
      </c>
      <c r="C100" s="15">
        <f t="shared" si="19"/>
        <v>0</v>
      </c>
      <c r="D100" s="6"/>
      <c r="E100" s="16">
        <f>INDEX('IN_Detr 4.5 del_397'!$A$3:$AAA$1192,MATCH($A100,'IN_Detr 4.5 del_397'!$A$3:$A$1192,0),MATCH(E$3,'IN_Detr 4.5 del_397'!$A$3:$AAA$3,0))</f>
        <v>0</v>
      </c>
      <c r="F100" s="16">
        <f>INDEX('IN_Detr 4.5 del_397'!$A$3:$AAA$1192,MATCH($A100,'IN_Detr 4.5 del_397'!$A$3:$A$1192,0),MATCH(F$3,'IN_Detr 4.5 del_397'!$A$3:$AAA$3,0))</f>
        <v>0</v>
      </c>
      <c r="G100" s="16">
        <f>INDEX('IN_Detr 4.5 del_397'!$A$3:$AAA$1192,MATCH($A100,'IN_Detr 4.5 del_397'!$A$3:$A$1192,0),MATCH(G$3,'IN_Detr 4.5 del_397'!$A$3:$AAA$3,0))</f>
        <v>0</v>
      </c>
    </row>
    <row r="101" spans="1:7" x14ac:dyDescent="0.2">
      <c r="C101" s="25"/>
      <c r="D101" s="6"/>
      <c r="E101" s="5"/>
      <c r="F101" s="5"/>
      <c r="G101" s="5"/>
    </row>
    <row r="102" spans="1:7" ht="19.5" customHeight="1" x14ac:dyDescent="0.2">
      <c r="A102" s="31" t="s">
        <v>5658</v>
      </c>
      <c r="B102" s="700" t="s">
        <v>5568</v>
      </c>
      <c r="C102" s="701">
        <f>SUM(E102:G102)</f>
        <v>48623.568806579729</v>
      </c>
      <c r="D102" s="6"/>
      <c r="E102" s="702">
        <f t="shared" ref="E102" si="25">E56+E76</f>
        <v>0</v>
      </c>
      <c r="F102" s="702">
        <f t="shared" ref="F102:G102" si="26">F56+F76</f>
        <v>0</v>
      </c>
      <c r="G102" s="702">
        <f t="shared" si="26"/>
        <v>48623.568806579729</v>
      </c>
    </row>
  </sheetData>
  <sheetProtection formatColumns="0" formatRows="0"/>
  <pageMargins left="0.70866141732283472" right="0.70866141732283472" top="0.74803149606299213" bottom="0.74803149606299213" header="0.31496062992125984" footer="0.31496062992125984"/>
  <pageSetup paperSize="9" scale="26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839A2-3301-4D18-BA38-F94B1F21846F}">
  <sheetPr codeName="Foglio32">
    <tabColor rgb="FF92D050"/>
    <pageSetUpPr fitToPage="1"/>
  </sheetPr>
  <dimension ref="A1:G102"/>
  <sheetViews>
    <sheetView showGridLines="0" zoomScaleNormal="100" workbookViewId="0">
      <pane xSplit="4" ySplit="3" topLeftCell="E29" activePane="bottomRight" state="frozen"/>
      <selection activeCell="C72" sqref="C72:F72"/>
      <selection pane="topRight" activeCell="C72" sqref="C72:F72"/>
      <selection pane="bottomLeft" activeCell="C72" sqref="C72:F72"/>
      <selection pane="bottomRight" activeCell="G1" sqref="G1:G1048576"/>
    </sheetView>
  </sheetViews>
  <sheetFormatPr defaultColWidth="17.6640625" defaultRowHeight="10.199999999999999" outlineLevelRow="1" x14ac:dyDescent="0.2"/>
  <cols>
    <col min="1" max="1" width="22.44140625" style="7" bestFit="1" customWidth="1"/>
    <col min="2" max="2" width="94.33203125" style="5" bestFit="1" customWidth="1"/>
    <col min="3" max="3" width="10.33203125" style="3" bestFit="1" customWidth="1"/>
    <col min="4" max="4" width="1.109375" style="2" customWidth="1"/>
    <col min="5" max="7" width="12.88671875" style="4" customWidth="1"/>
    <col min="8" max="16384" width="17.6640625" style="5"/>
  </cols>
  <sheetData>
    <row r="1" spans="1:7" x14ac:dyDescent="0.2">
      <c r="B1" s="699" t="s">
        <v>5606</v>
      </c>
    </row>
    <row r="2" spans="1:7" x14ac:dyDescent="0.2">
      <c r="B2" s="134"/>
    </row>
    <row r="3" spans="1:7" s="359" customFormat="1" ht="20.399999999999999" x14ac:dyDescent="0.2">
      <c r="A3" s="356"/>
      <c r="B3" s="357"/>
      <c r="C3" s="358" t="s">
        <v>0</v>
      </c>
      <c r="D3" s="357"/>
      <c r="E3" s="358" t="str">
        <f>Ambiti!B4</f>
        <v>BUSTO ARSIZIO</v>
      </c>
      <c r="F3" s="358" t="str">
        <f>Ambiti!C4</f>
        <v>FAGNANO OLONA</v>
      </c>
      <c r="G3" s="358" t="str">
        <f>Ambiti!D4</f>
        <v>VENEGONO SUPERIORE</v>
      </c>
    </row>
    <row r="4" spans="1:7" s="10" customFormat="1" x14ac:dyDescent="0.2">
      <c r="A4" s="7"/>
      <c r="B4" s="8"/>
      <c r="C4" s="9"/>
      <c r="D4" s="8"/>
      <c r="E4" s="8"/>
      <c r="F4" s="8"/>
      <c r="G4" s="8"/>
    </row>
    <row r="5" spans="1:7" s="13" customFormat="1" ht="11.4" x14ac:dyDescent="0.3">
      <c r="A5" s="31" t="s">
        <v>5607</v>
      </c>
      <c r="B5" s="700" t="s">
        <v>5600</v>
      </c>
      <c r="C5" s="701">
        <f t="shared" ref="C5:C15" si="0">SUM(E5:G5)</f>
        <v>0</v>
      </c>
      <c r="D5" s="6"/>
      <c r="E5" s="702">
        <f>SUM(E6:E15)-E19+E20+E22</f>
        <v>0</v>
      </c>
      <c r="F5" s="702">
        <f>SUM(F6:F15)-F19+F20+F22</f>
        <v>0</v>
      </c>
      <c r="G5" s="702">
        <f>SUM(G6:G15)-G19+G20+G22</f>
        <v>0</v>
      </c>
    </row>
    <row r="6" spans="1:7" outlineLevel="1" x14ac:dyDescent="0.2">
      <c r="A6" s="7" t="s">
        <v>4260</v>
      </c>
      <c r="B6" s="14" t="s">
        <v>1</v>
      </c>
      <c r="C6" s="15">
        <f t="shared" si="0"/>
        <v>0</v>
      </c>
      <c r="D6" s="6"/>
      <c r="E6" s="16">
        <f>PEF_COM_28!E6</f>
        <v>0</v>
      </c>
      <c r="F6" s="16">
        <f>PEF_COM_28!F6</f>
        <v>0</v>
      </c>
      <c r="G6" s="16">
        <f>PEF_COM_28!G6</f>
        <v>0</v>
      </c>
    </row>
    <row r="7" spans="1:7" outlineLevel="1" x14ac:dyDescent="0.2">
      <c r="A7" s="7" t="s">
        <v>4266</v>
      </c>
      <c r="B7" s="14" t="s">
        <v>3</v>
      </c>
      <c r="C7" s="15">
        <f t="shared" si="0"/>
        <v>0</v>
      </c>
      <c r="D7" s="6"/>
      <c r="E7" s="16">
        <f>PEF_COM_28!E7</f>
        <v>0</v>
      </c>
      <c r="F7" s="16">
        <f>PEF_COM_28!F7</f>
        <v>0</v>
      </c>
      <c r="G7" s="16">
        <f>PEF_COM_28!G7</f>
        <v>0</v>
      </c>
    </row>
    <row r="8" spans="1:7" outlineLevel="1" x14ac:dyDescent="0.2">
      <c r="A8" s="7" t="s">
        <v>4272</v>
      </c>
      <c r="B8" s="14" t="s">
        <v>4</v>
      </c>
      <c r="C8" s="15">
        <f t="shared" si="0"/>
        <v>0</v>
      </c>
      <c r="D8" s="6"/>
      <c r="E8" s="16">
        <f>PEF_COM_28!E8</f>
        <v>0</v>
      </c>
      <c r="F8" s="16">
        <f>PEF_COM_28!F8</f>
        <v>0</v>
      </c>
      <c r="G8" s="16">
        <f>PEF_COM_28!G8</f>
        <v>0</v>
      </c>
    </row>
    <row r="9" spans="1:7" outlineLevel="1" x14ac:dyDescent="0.2">
      <c r="A9" s="7" t="s">
        <v>4278</v>
      </c>
      <c r="B9" s="14" t="s">
        <v>5</v>
      </c>
      <c r="C9" s="15">
        <f t="shared" si="0"/>
        <v>0</v>
      </c>
      <c r="D9" s="6"/>
      <c r="E9" s="16">
        <f>PEF_COM_28!E9</f>
        <v>0</v>
      </c>
      <c r="F9" s="16">
        <f>PEF_COM_28!F9</f>
        <v>0</v>
      </c>
      <c r="G9" s="16">
        <f>PEF_COM_28!G9</f>
        <v>0</v>
      </c>
    </row>
    <row r="10" spans="1:7" ht="11.4" outlineLevel="1" x14ac:dyDescent="0.2">
      <c r="A10" s="85" t="s">
        <v>2501</v>
      </c>
      <c r="B10" s="14" t="s">
        <v>5438</v>
      </c>
      <c r="C10" s="17">
        <f t="shared" si="0"/>
        <v>0</v>
      </c>
      <c r="D10" s="6"/>
      <c r="E10" s="16">
        <f>INDEX(IN_COexp!$A$3:$AAA$269,MATCH($A10,IN_COexp!$A$3:$A$269,0),MATCH(E$3,IN_COexp!$A$3:$AAA$3,0))</f>
        <v>0</v>
      </c>
      <c r="F10" s="16">
        <f>INDEX(IN_COexp!$A$3:$AAA$269,MATCH($A10,IN_COexp!$A$3:$A$269,0),MATCH(F$3,IN_COexp!$A$3:$AAA$3,0))</f>
        <v>0</v>
      </c>
      <c r="G10" s="16">
        <f>INDEX(IN_COexp!$A$3:$AAA$269,MATCH($A10,IN_COexp!$A$3:$A$269,0),MATCH(G$3,IN_COexp!$A$3:$AAA$3,0))</f>
        <v>0</v>
      </c>
    </row>
    <row r="11" spans="1:7" ht="11.4" outlineLevel="1" x14ac:dyDescent="0.2">
      <c r="A11" s="85" t="s">
        <v>2144</v>
      </c>
      <c r="B11" s="14" t="s">
        <v>5439</v>
      </c>
      <c r="C11" s="17">
        <f t="shared" si="0"/>
        <v>0</v>
      </c>
      <c r="D11" s="6"/>
      <c r="E11" s="18">
        <f>INDEX(IN_COexp!$A$3:$AAA$269,MATCH($A11,IN_COexp!$A$3:$A$269,0),MATCH(E$3,IN_COexp!$A$3:$AAA$3,0))</f>
        <v>0</v>
      </c>
      <c r="F11" s="18">
        <f>INDEX(IN_COexp!$A$3:$AAA$269,MATCH($A11,IN_COexp!$A$3:$A$269,0),MATCH(F$3,IN_COexp!$A$3:$AAA$3,0))</f>
        <v>0</v>
      </c>
      <c r="G11" s="18">
        <f>INDEX(IN_COexp!$A$3:$AAA$269,MATCH($A11,IN_COexp!$A$3:$A$269,0),MATCH(G$3,IN_COexp!$A$3:$AAA$3,0))</f>
        <v>0</v>
      </c>
    </row>
    <row r="12" spans="1:7" ht="11.4" outlineLevel="1" x14ac:dyDescent="0.2">
      <c r="A12" s="85" t="s">
        <v>2170</v>
      </c>
      <c r="B12" s="14" t="s">
        <v>5440</v>
      </c>
      <c r="C12" s="17">
        <f t="shared" si="0"/>
        <v>0</v>
      </c>
      <c r="D12" s="6"/>
      <c r="E12" s="18">
        <f>INDEX(IN_COexp!$A$3:$AAA$269,MATCH($A12,IN_COexp!$A$3:$A$269,0),MATCH(E$3,IN_COexp!$A$3:$AAA$3,0))</f>
        <v>0</v>
      </c>
      <c r="F12" s="18">
        <f>INDEX(IN_COexp!$A$3:$AAA$269,MATCH($A12,IN_COexp!$A$3:$A$269,0),MATCH(F$3,IN_COexp!$A$3:$AAA$3,0))</f>
        <v>0</v>
      </c>
      <c r="G12" s="18">
        <f>INDEX(IN_COexp!$A$3:$AAA$269,MATCH($A12,IN_COexp!$A$3:$A$269,0),MATCH(G$3,IN_COexp!$A$3:$AAA$3,0))</f>
        <v>0</v>
      </c>
    </row>
    <row r="13" spans="1:7" ht="11.4" outlineLevel="1" x14ac:dyDescent="0.2">
      <c r="A13" s="85" t="s">
        <v>2238</v>
      </c>
      <c r="B13" s="14" t="s">
        <v>5441</v>
      </c>
      <c r="C13" s="17">
        <f t="shared" si="0"/>
        <v>0</v>
      </c>
      <c r="D13" s="6"/>
      <c r="E13" s="18">
        <f>INDEX(IN_COexp!$A$3:$AAA$269,MATCH($A13,IN_COexp!$A$3:$A$269,0),MATCH(E$3,IN_COexp!$A$3:$AAA$3,0))</f>
        <v>0</v>
      </c>
      <c r="F13" s="18">
        <f>INDEX(IN_COexp!$A$3:$AAA$269,MATCH($A13,IN_COexp!$A$3:$A$269,0),MATCH(F$3,IN_COexp!$A$3:$AAA$3,0))</f>
        <v>0</v>
      </c>
      <c r="G13" s="18">
        <f>INDEX(IN_COexp!$A$3:$AAA$269,MATCH($A13,IN_COexp!$A$3:$A$269,0),MATCH(G$3,IN_COexp!$A$3:$AAA$3,0))</f>
        <v>0</v>
      </c>
    </row>
    <row r="14" spans="1:7" ht="11.4" outlineLevel="1" x14ac:dyDescent="0.2">
      <c r="A14" s="85" t="s">
        <v>2310</v>
      </c>
      <c r="B14" s="14" t="s">
        <v>5442</v>
      </c>
      <c r="C14" s="17">
        <f t="shared" si="0"/>
        <v>0</v>
      </c>
      <c r="D14" s="6"/>
      <c r="E14" s="18">
        <f>INDEX(IN_COexp!$A$3:$AAA$269,MATCH($A14,IN_COexp!$A$3:$A$269,0),MATCH(E$3,IN_COexp!$A$3:$AAA$3,0))</f>
        <v>0</v>
      </c>
      <c r="F14" s="18">
        <f>INDEX(IN_COexp!$A$3:$AAA$269,MATCH($A14,IN_COexp!$A$3:$A$269,0),MATCH(F$3,IN_COexp!$A$3:$AAA$3,0))</f>
        <v>0</v>
      </c>
      <c r="G14" s="18">
        <f>INDEX(IN_COexp!$A$3:$AAA$269,MATCH($A14,IN_COexp!$A$3:$A$269,0),MATCH(G$3,IN_COexp!$A$3:$AAA$3,0))</f>
        <v>0</v>
      </c>
    </row>
    <row r="15" spans="1:7" ht="11.4" outlineLevel="1" x14ac:dyDescent="0.2">
      <c r="A15" s="85" t="s">
        <v>2365</v>
      </c>
      <c r="B15" s="14" t="s">
        <v>5443</v>
      </c>
      <c r="C15" s="17">
        <f t="shared" si="0"/>
        <v>0</v>
      </c>
      <c r="D15" s="6"/>
      <c r="E15" s="18">
        <f>INDEX(IN_COexp!$A$3:$AAA$269,MATCH($A15,IN_COexp!$A$3:$A$269,0),MATCH(E$3,IN_COexp!$A$3:$AAA$3,0))</f>
        <v>0</v>
      </c>
      <c r="F15" s="18">
        <f>INDEX(IN_COexp!$A$3:$AAA$269,MATCH($A15,IN_COexp!$A$3:$A$269,0),MATCH(F$3,IN_COexp!$A$3:$AAA$3,0))</f>
        <v>0</v>
      </c>
      <c r="G15" s="18">
        <f>INDEX(IN_COexp!$A$3:$AAA$269,MATCH($A15,IN_COexp!$A$3:$A$269,0),MATCH(G$3,IN_COexp!$A$3:$AAA$3,0))</f>
        <v>0</v>
      </c>
    </row>
    <row r="16" spans="1:7" outlineLevel="1" x14ac:dyDescent="0.2">
      <c r="A16" s="85" t="s">
        <v>1289</v>
      </c>
      <c r="B16" s="736" t="s">
        <v>7</v>
      </c>
      <c r="C16" s="737"/>
      <c r="D16" s="19"/>
      <c r="E16" s="740">
        <f>INDEX(IN_PAR!$A$3:$YE$413,MATCH($A16,IN_PAR!$A$3:$A$413,0),MATCH(E$3,IN_PAR!$A$3:$YE$3,0))</f>
        <v>0.7</v>
      </c>
      <c r="F16" s="740">
        <f>INDEX(IN_PAR!$A$3:$YE$413,MATCH($A16,IN_PAR!$A$3:$A$413,0),MATCH(F$3,IN_PAR!$A$3:$YE$3,0))</f>
        <v>0</v>
      </c>
      <c r="G16" s="740">
        <f>INDEX(IN_PAR!$A$3:$YE$413,MATCH($A16,IN_PAR!$A$3:$A$413,0),MATCH(G$3,IN_PAR!$A$3:$YE$3,0))</f>
        <v>0</v>
      </c>
    </row>
    <row r="17" spans="1:7" outlineLevel="1" x14ac:dyDescent="0.2">
      <c r="A17" s="7" t="s">
        <v>5608</v>
      </c>
      <c r="B17" s="26" t="s">
        <v>6</v>
      </c>
      <c r="C17" s="27">
        <f t="shared" ref="C17:C22" si="1">SUM(E17:G17)</f>
        <v>0</v>
      </c>
      <c r="D17" s="6"/>
      <c r="E17" s="28">
        <f>PEF_COM_28!E17</f>
        <v>0</v>
      </c>
      <c r="F17" s="28">
        <f>PEF_COM_28!F17</f>
        <v>0</v>
      </c>
      <c r="G17" s="28">
        <f>PEF_COM_28!G17</f>
        <v>0</v>
      </c>
    </row>
    <row r="18" spans="1:7" ht="11.4" outlineLevel="1" x14ac:dyDescent="0.2">
      <c r="A18" s="7" t="s">
        <v>5609</v>
      </c>
      <c r="B18" s="26" t="s">
        <v>101</v>
      </c>
      <c r="C18" s="27">
        <f t="shared" si="1"/>
        <v>0</v>
      </c>
      <c r="D18" s="6"/>
      <c r="E18" s="28">
        <f>PEF_COM_28!E18</f>
        <v>0</v>
      </c>
      <c r="F18" s="28">
        <f>PEF_COM_28!F18</f>
        <v>0</v>
      </c>
      <c r="G18" s="28">
        <f>PEF_COM_28!G18</f>
        <v>0</v>
      </c>
    </row>
    <row r="19" spans="1:7" ht="11.4" outlineLevel="1" x14ac:dyDescent="0.2">
      <c r="A19" s="7" t="s">
        <v>5907</v>
      </c>
      <c r="B19" s="738" t="s">
        <v>5437</v>
      </c>
      <c r="C19" s="739">
        <f t="shared" si="1"/>
        <v>0</v>
      </c>
      <c r="D19" s="6"/>
      <c r="E19" s="741">
        <f>E16*(E17+E18)</f>
        <v>0</v>
      </c>
      <c r="F19" s="741">
        <f>F16*(F17+F18)</f>
        <v>0</v>
      </c>
      <c r="G19" s="741">
        <f>G16*(G17+G18)</f>
        <v>0</v>
      </c>
    </row>
    <row r="20" spans="1:7" ht="11.4" outlineLevel="1" x14ac:dyDescent="0.2">
      <c r="A20" s="85" t="s">
        <v>3061</v>
      </c>
      <c r="B20" s="703" t="s">
        <v>102</v>
      </c>
      <c r="C20" s="704">
        <f t="shared" si="1"/>
        <v>0</v>
      </c>
      <c r="D20" s="6"/>
      <c r="E20" s="706">
        <f>INDEX('IN_RC-T'!$A$3:$AAA$865,MATCH($A20,'IN_RC-T'!$A$3:$A$865,0),MATCH(E$3,'IN_RC-T'!$A$3:$AAA$3,0))</f>
        <v>0</v>
      </c>
      <c r="F20" s="706">
        <f>INDEX('IN_RC-T'!$A$3:$AAA$865,MATCH($A20,'IN_RC-T'!$A$3:$A$865,0),MATCH(F$3,'IN_RC-T'!$A$3:$AAA$3,0))</f>
        <v>0</v>
      </c>
      <c r="G20" s="706">
        <f>INDEX('IN_RC-T'!$A$3:$AAA$865,MATCH($A20,'IN_RC-T'!$A$3:$A$865,0),MATCH(G$3,'IN_RC-T'!$A$3:$AAA$3,0))</f>
        <v>0</v>
      </c>
    </row>
    <row r="21" spans="1:7" ht="11.4" outlineLevel="1" x14ac:dyDescent="0.2">
      <c r="A21" s="7" t="s">
        <v>6806</v>
      </c>
      <c r="B21" s="705" t="s">
        <v>5444</v>
      </c>
      <c r="C21" s="985">
        <f t="shared" si="1"/>
        <v>0</v>
      </c>
      <c r="D21" s="986"/>
      <c r="E21" s="984">
        <f>INDEX('IN_RC-T'!$A$3:$AAA$865,MATCH($A21,'IN_RC-T'!$A$3:$A$865,0),MATCH(E$3,'IN_RC-T'!$A$3:$AAA$3,0))</f>
        <v>0</v>
      </c>
      <c r="F21" s="984">
        <f>INDEX('IN_RC-T'!$A$3:$AAA$865,MATCH($A21,'IN_RC-T'!$A$3:$A$865,0),MATCH(F$3,'IN_RC-T'!$A$3:$AAA$3,0))</f>
        <v>0</v>
      </c>
      <c r="G21" s="984">
        <f>INDEX('IN_RC-T'!$A$3:$AAA$865,MATCH($A21,'IN_RC-T'!$A$3:$A$865,0),MATCH(G$3,'IN_RC-T'!$A$3:$AAA$3,0))</f>
        <v>0</v>
      </c>
    </row>
    <row r="22" spans="1:7" outlineLevel="1" x14ac:dyDescent="0.2">
      <c r="A22" s="85" t="s">
        <v>4325</v>
      </c>
      <c r="B22" s="14" t="s">
        <v>109</v>
      </c>
      <c r="C22" s="15">
        <f t="shared" si="1"/>
        <v>0</v>
      </c>
      <c r="D22" s="6"/>
      <c r="E22" s="16">
        <f>PEF_COM_28!E22</f>
        <v>0</v>
      </c>
      <c r="F22" s="16">
        <f>PEF_COM_28!F22</f>
        <v>0</v>
      </c>
      <c r="G22" s="16">
        <f>PEF_COM_28!G22</f>
        <v>0</v>
      </c>
    </row>
    <row r="23" spans="1:7" outlineLevel="1" x14ac:dyDescent="0.2">
      <c r="B23" s="24"/>
      <c r="C23" s="25"/>
      <c r="D23" s="6"/>
      <c r="E23" s="5"/>
      <c r="F23" s="5"/>
      <c r="G23" s="5"/>
    </row>
    <row r="24" spans="1:7" s="13" customFormat="1" ht="11.4" outlineLevel="1" x14ac:dyDescent="0.3">
      <c r="A24" s="31" t="s">
        <v>5610</v>
      </c>
      <c r="B24" s="700" t="s">
        <v>5601</v>
      </c>
      <c r="C24" s="701">
        <f t="shared" ref="C24:C48" si="2">SUM(E24:G24)</f>
        <v>45912.895766702641</v>
      </c>
      <c r="D24" s="6"/>
      <c r="E24" s="702">
        <f>E25+E30+E40+SUM(E41:E46)+E48</f>
        <v>0</v>
      </c>
      <c r="F24" s="702">
        <f>F25+F30+F40+SUM(F41:F46)+F48</f>
        <v>0</v>
      </c>
      <c r="G24" s="702">
        <f>G25+G30+G40+SUM(G41:G46)+G48</f>
        <v>45912.895766702641</v>
      </c>
    </row>
    <row r="25" spans="1:7" outlineLevel="1" x14ac:dyDescent="0.2">
      <c r="A25" s="7" t="s">
        <v>4331</v>
      </c>
      <c r="B25" s="14" t="s">
        <v>11</v>
      </c>
      <c r="C25" s="15">
        <f t="shared" si="2"/>
        <v>0</v>
      </c>
      <c r="D25" s="6"/>
      <c r="E25" s="16">
        <f>PEF_COM_28!E25</f>
        <v>0</v>
      </c>
      <c r="F25" s="16">
        <f>PEF_COM_28!F25</f>
        <v>0</v>
      </c>
      <c r="G25" s="16">
        <f>PEF_COM_28!G25</f>
        <v>0</v>
      </c>
    </row>
    <row r="26" spans="1:7" outlineLevel="1" x14ac:dyDescent="0.2">
      <c r="A26" s="7" t="s">
        <v>4337</v>
      </c>
      <c r="B26" s="26" t="s">
        <v>13</v>
      </c>
      <c r="C26" s="27">
        <f t="shared" si="2"/>
        <v>0</v>
      </c>
      <c r="D26" s="6"/>
      <c r="E26" s="28">
        <f>PEF_COM_28!E26</f>
        <v>0</v>
      </c>
      <c r="F26" s="28">
        <f>PEF_COM_28!F26</f>
        <v>0</v>
      </c>
      <c r="G26" s="28">
        <f>PEF_COM_28!G26</f>
        <v>0</v>
      </c>
    </row>
    <row r="27" spans="1:7" outlineLevel="1" x14ac:dyDescent="0.2">
      <c r="A27" s="7" t="s">
        <v>4343</v>
      </c>
      <c r="B27" s="26" t="s">
        <v>14</v>
      </c>
      <c r="C27" s="27">
        <f t="shared" si="2"/>
        <v>0</v>
      </c>
      <c r="D27" s="6"/>
      <c r="E27" s="28">
        <f>PEF_COM_28!E27</f>
        <v>0</v>
      </c>
      <c r="F27" s="28">
        <f>PEF_COM_28!F27</f>
        <v>0</v>
      </c>
      <c r="G27" s="28">
        <f>PEF_COM_28!G27</f>
        <v>0</v>
      </c>
    </row>
    <row r="28" spans="1:7" outlineLevel="1" x14ac:dyDescent="0.2">
      <c r="A28" s="7" t="s">
        <v>4349</v>
      </c>
      <c r="B28" s="26" t="s">
        <v>15</v>
      </c>
      <c r="C28" s="27">
        <f t="shared" si="2"/>
        <v>0</v>
      </c>
      <c r="D28" s="6"/>
      <c r="E28" s="28">
        <f>PEF_COM_28!E28</f>
        <v>0</v>
      </c>
      <c r="F28" s="28">
        <f>PEF_COM_28!F28</f>
        <v>0</v>
      </c>
      <c r="G28" s="28">
        <f>PEF_COM_28!G28</f>
        <v>0</v>
      </c>
    </row>
    <row r="29" spans="1:7" ht="11.4" outlineLevel="1" x14ac:dyDescent="0.2">
      <c r="A29" s="7" t="s">
        <v>4355</v>
      </c>
      <c r="B29" s="52" t="s">
        <v>16</v>
      </c>
      <c r="C29" s="53">
        <f t="shared" si="2"/>
        <v>0</v>
      </c>
      <c r="D29" s="6"/>
      <c r="E29" s="54">
        <f>PEF_COM_28!E29</f>
        <v>0</v>
      </c>
      <c r="F29" s="54">
        <f>PEF_COM_28!F29</f>
        <v>0</v>
      </c>
      <c r="G29" s="54">
        <f>PEF_COM_28!G29</f>
        <v>0</v>
      </c>
    </row>
    <row r="30" spans="1:7" outlineLevel="1" x14ac:dyDescent="0.2">
      <c r="A30" s="7" t="s">
        <v>5611</v>
      </c>
      <c r="B30" s="684" t="s">
        <v>12</v>
      </c>
      <c r="C30" s="685">
        <f t="shared" si="2"/>
        <v>0</v>
      </c>
      <c r="D30" s="6"/>
      <c r="E30" s="686">
        <f>SUM(E26:E29)</f>
        <v>0</v>
      </c>
      <c r="F30" s="686">
        <f>SUM(F26:F29)</f>
        <v>0</v>
      </c>
      <c r="G30" s="686">
        <f>SUM(G26:G29)</f>
        <v>0</v>
      </c>
    </row>
    <row r="31" spans="1:7" outlineLevel="1" x14ac:dyDescent="0.2">
      <c r="A31" s="85" t="s">
        <v>4361</v>
      </c>
      <c r="B31" s="26" t="s">
        <v>18</v>
      </c>
      <c r="C31" s="27">
        <f t="shared" si="2"/>
        <v>20354.085815461956</v>
      </c>
      <c r="D31" s="6"/>
      <c r="E31" s="28">
        <f>INDEX(CK_COM!$A$3:$AAA$158,MATCH($A31,CK_COM!$A$3:$A$158,0),MATCH(E$3,CK_COM!$A$3:$AAA$3,0))</f>
        <v>0</v>
      </c>
      <c r="F31" s="28">
        <f>INDEX(CK_COM!$A$3:$AAA$158,MATCH($A31,CK_COM!$A$3:$A$158,0),MATCH(F$3,CK_COM!$A$3:$AAA$3,0))</f>
        <v>0</v>
      </c>
      <c r="G31" s="28">
        <f>INDEX(CK_COM!$A$3:$AAA$158,MATCH($A31,CK_COM!$A$3:$A$158,0),MATCH(G$3,CK_COM!$A$3:$AAA$3,0))</f>
        <v>20354.085815461956</v>
      </c>
    </row>
    <row r="32" spans="1:7" outlineLevel="1" x14ac:dyDescent="0.2">
      <c r="A32" s="7" t="s">
        <v>4391</v>
      </c>
      <c r="B32" s="687" t="s">
        <v>19</v>
      </c>
      <c r="C32" s="688">
        <f t="shared" si="2"/>
        <v>0</v>
      </c>
      <c r="D32" s="6"/>
      <c r="E32" s="689">
        <f>SUM(E33:E36)</f>
        <v>0</v>
      </c>
      <c r="F32" s="689">
        <f>SUM(F33:F36)</f>
        <v>0</v>
      </c>
      <c r="G32" s="689">
        <f>SUM(G33:G36)</f>
        <v>0</v>
      </c>
    </row>
    <row r="33" spans="1:7" outlineLevel="1" x14ac:dyDescent="0.2">
      <c r="A33" s="85" t="s">
        <v>4379</v>
      </c>
      <c r="B33" s="690" t="s">
        <v>20</v>
      </c>
      <c r="C33" s="691">
        <f t="shared" si="2"/>
        <v>0</v>
      </c>
      <c r="D33" s="6"/>
      <c r="E33" s="696">
        <f>PEF_COM_28!E33</f>
        <v>0</v>
      </c>
      <c r="F33" s="696">
        <f>PEF_COM_28!F33</f>
        <v>0</v>
      </c>
      <c r="G33" s="696">
        <f>PEF_COM_28!G33</f>
        <v>0</v>
      </c>
    </row>
    <row r="34" spans="1:7" outlineLevel="1" x14ac:dyDescent="0.2">
      <c r="A34" s="85" t="s">
        <v>4382</v>
      </c>
      <c r="B34" s="692" t="s">
        <v>21</v>
      </c>
      <c r="C34" s="693">
        <f t="shared" si="2"/>
        <v>0</v>
      </c>
      <c r="D34" s="6"/>
      <c r="E34" s="697">
        <f>PEF_COM_28!E34</f>
        <v>0</v>
      </c>
      <c r="F34" s="697">
        <f>PEF_COM_28!F34</f>
        <v>0</v>
      </c>
      <c r="G34" s="697">
        <f>PEF_COM_28!G34</f>
        <v>0</v>
      </c>
    </row>
    <row r="35" spans="1:7" outlineLevel="1" x14ac:dyDescent="0.2">
      <c r="A35" s="85" t="s">
        <v>4385</v>
      </c>
      <c r="B35" s="692" t="s">
        <v>22</v>
      </c>
      <c r="C35" s="693">
        <f t="shared" si="2"/>
        <v>0</v>
      </c>
      <c r="D35" s="6"/>
      <c r="E35" s="697">
        <f>PEF_COM_28!E35</f>
        <v>0</v>
      </c>
      <c r="F35" s="697">
        <f>PEF_COM_28!F35</f>
        <v>0</v>
      </c>
      <c r="G35" s="697">
        <f>PEF_COM_28!G35</f>
        <v>0</v>
      </c>
    </row>
    <row r="36" spans="1:7" outlineLevel="1" x14ac:dyDescent="0.2">
      <c r="A36" s="85" t="s">
        <v>4388</v>
      </c>
      <c r="B36" s="694" t="s">
        <v>23</v>
      </c>
      <c r="C36" s="695">
        <f t="shared" si="2"/>
        <v>0</v>
      </c>
      <c r="D36" s="6"/>
      <c r="E36" s="698">
        <f>PEF_COM_28!E36</f>
        <v>0</v>
      </c>
      <c r="F36" s="698">
        <f>PEF_COM_28!F36</f>
        <v>0</v>
      </c>
      <c r="G36" s="698">
        <f>PEF_COM_28!G36</f>
        <v>0</v>
      </c>
    </row>
    <row r="37" spans="1:7" outlineLevel="1" x14ac:dyDescent="0.2">
      <c r="A37" s="85" t="s">
        <v>4397</v>
      </c>
      <c r="B37" s="26" t="s">
        <v>24</v>
      </c>
      <c r="C37" s="27">
        <f t="shared" si="2"/>
        <v>25558.809951240684</v>
      </c>
      <c r="D37" s="6"/>
      <c r="E37" s="28">
        <f>INDEX(CK_COM!$A$3:$AAA$158,MATCH($A37,CK_COM!$A$3:$A$158,0),MATCH(E$3,CK_COM!$A$3:$AAA$3,0))</f>
        <v>0</v>
      </c>
      <c r="F37" s="28">
        <f>INDEX(CK_COM!$A$3:$AAA$158,MATCH($A37,CK_COM!$A$3:$A$158,0),MATCH(F$3,CK_COM!$A$3:$AAA$3,0))</f>
        <v>0</v>
      </c>
      <c r="G37" s="28">
        <f>INDEX(CK_COM!$A$3:$AAA$158,MATCH($A37,CK_COM!$A$3:$A$158,0),MATCH(G$3,CK_COM!$A$3:$AAA$3,0))</f>
        <v>25558.809951240684</v>
      </c>
    </row>
    <row r="38" spans="1:7" ht="11.4" outlineLevel="1" x14ac:dyDescent="0.2">
      <c r="A38" s="85" t="s">
        <v>4403</v>
      </c>
      <c r="B38" s="52" t="s">
        <v>25</v>
      </c>
      <c r="C38" s="53">
        <f t="shared" si="2"/>
        <v>0</v>
      </c>
      <c r="D38" s="6"/>
      <c r="E38" s="54">
        <f>INDEX(CK_COM!$A$3:$AAA$158,MATCH($A38,CK_COM!$A$3:$A$158,0),MATCH(E$3,CK_COM!$A$3:$AAA$3,0))</f>
        <v>0</v>
      </c>
      <c r="F38" s="54">
        <f>INDEX(CK_COM!$A$3:$AAA$158,MATCH($A38,CK_COM!$A$3:$A$158,0),MATCH(F$3,CK_COM!$A$3:$AAA$3,0))</f>
        <v>0</v>
      </c>
      <c r="G38" s="54">
        <f>INDEX(CK_COM!$A$3:$AAA$158,MATCH($A38,CK_COM!$A$3:$A$158,0),MATCH(G$3,CK_COM!$A$3:$AAA$3,0))</f>
        <v>0</v>
      </c>
    </row>
    <row r="39" spans="1:7" ht="11.4" outlineLevel="1" x14ac:dyDescent="0.2">
      <c r="A39" s="85" t="s">
        <v>4409</v>
      </c>
      <c r="B39" s="52" t="s">
        <v>5474</v>
      </c>
      <c r="C39" s="53">
        <f t="shared" si="2"/>
        <v>0</v>
      </c>
      <c r="D39" s="6"/>
      <c r="E39" s="54">
        <f>INDEX(CK_COM!$A$3:$AAA$158,MATCH($A39,CK_COM!$A$3:$A$158,0),MATCH(E$3,CK_COM!$A$3:$AAA$3,0))</f>
        <v>0</v>
      </c>
      <c r="F39" s="54">
        <f>INDEX(CK_COM!$A$3:$AAA$158,MATCH($A39,CK_COM!$A$3:$A$158,0),MATCH(F$3,CK_COM!$A$3:$AAA$3,0))</f>
        <v>0</v>
      </c>
      <c r="G39" s="54">
        <f>INDEX(CK_COM!$A$3:$AAA$158,MATCH($A39,CK_COM!$A$3:$A$158,0),MATCH(G$3,CK_COM!$A$3:$AAA$3,0))</f>
        <v>0</v>
      </c>
    </row>
    <row r="40" spans="1:7" outlineLevel="1" x14ac:dyDescent="0.2">
      <c r="A40" s="7" t="s">
        <v>5612</v>
      </c>
      <c r="B40" s="684" t="s">
        <v>17</v>
      </c>
      <c r="C40" s="685">
        <f t="shared" si="2"/>
        <v>45912.895766702641</v>
      </c>
      <c r="D40" s="6"/>
      <c r="E40" s="686">
        <f>E31+E32+E37+E38+E39</f>
        <v>0</v>
      </c>
      <c r="F40" s="686">
        <f>F31+F32+F37+F38+F39</f>
        <v>0</v>
      </c>
      <c r="G40" s="686">
        <f>G31+G32+G37+G38+G39</f>
        <v>45912.895766702641</v>
      </c>
    </row>
    <row r="41" spans="1:7" ht="11.4" outlineLevel="1" x14ac:dyDescent="0.2">
      <c r="A41" s="85" t="s">
        <v>2147</v>
      </c>
      <c r="B41" s="14" t="s">
        <v>5447</v>
      </c>
      <c r="C41" s="17">
        <f t="shared" si="2"/>
        <v>0</v>
      </c>
      <c r="D41" s="6"/>
      <c r="E41" s="16">
        <f>INDEX(IN_COexp!$A$3:$AAA$269,MATCH($A41,IN_COexp!$A$3:$A$269,0),MATCH(E$3,IN_COexp!$A$3:$AAA$3,0))</f>
        <v>0</v>
      </c>
      <c r="F41" s="16">
        <f>INDEX(IN_COexp!$A$3:$AAA$269,MATCH($A41,IN_COexp!$A$3:$A$269,0),MATCH(F$3,IN_COexp!$A$3:$AAA$3,0))</f>
        <v>0</v>
      </c>
      <c r="G41" s="16">
        <f>INDEX(IN_COexp!$A$3:$AAA$269,MATCH($A41,IN_COexp!$A$3:$A$269,0),MATCH(G$3,IN_COexp!$A$3:$AAA$3,0))</f>
        <v>0</v>
      </c>
    </row>
    <row r="42" spans="1:7" ht="11.4" outlineLevel="1" x14ac:dyDescent="0.2">
      <c r="A42" s="85" t="s">
        <v>2173</v>
      </c>
      <c r="B42" s="14" t="s">
        <v>5448</v>
      </c>
      <c r="C42" s="17">
        <f t="shared" si="2"/>
        <v>0</v>
      </c>
      <c r="D42" s="6"/>
      <c r="E42" s="16">
        <f>INDEX(IN_COexp!$A$3:$AAA$269,MATCH($A42,IN_COexp!$A$3:$A$269,0),MATCH(E$3,IN_COexp!$A$3:$AAA$3,0))</f>
        <v>0</v>
      </c>
      <c r="F42" s="16">
        <f>INDEX(IN_COexp!$A$3:$AAA$269,MATCH($A42,IN_COexp!$A$3:$A$269,0),MATCH(F$3,IN_COexp!$A$3:$AAA$3,0))</f>
        <v>0</v>
      </c>
      <c r="G42" s="16">
        <f>INDEX(IN_COexp!$A$3:$AAA$269,MATCH($A42,IN_COexp!$A$3:$A$269,0),MATCH(G$3,IN_COexp!$A$3:$AAA$3,0))</f>
        <v>0</v>
      </c>
    </row>
    <row r="43" spans="1:7" ht="11.4" outlineLevel="1" x14ac:dyDescent="0.2">
      <c r="A43" s="85" t="s">
        <v>2241</v>
      </c>
      <c r="B43" s="14" t="s">
        <v>6410</v>
      </c>
      <c r="C43" s="17">
        <f t="shared" si="2"/>
        <v>0</v>
      </c>
      <c r="D43" s="6"/>
      <c r="E43" s="18">
        <f>INDEX(IN_COexp!$A$3:$AAA$269,MATCH($A43,IN_COexp!$A$3:$A$269,0),MATCH(E$3,IN_COexp!$A$3:$AAA$3,0))</f>
        <v>0</v>
      </c>
      <c r="F43" s="18">
        <f>INDEX(IN_COexp!$A$3:$AAA$269,MATCH($A43,IN_COexp!$A$3:$A$269,0),MATCH(F$3,IN_COexp!$A$3:$AAA$3,0))</f>
        <v>0</v>
      </c>
      <c r="G43" s="18">
        <f>INDEX(IN_COexp!$A$3:$AAA$269,MATCH($A43,IN_COexp!$A$3:$A$269,0),MATCH(G$3,IN_COexp!$A$3:$AAA$3,0))</f>
        <v>0</v>
      </c>
    </row>
    <row r="44" spans="1:7" ht="11.4" outlineLevel="1" x14ac:dyDescent="0.2">
      <c r="A44" s="85" t="s">
        <v>2313</v>
      </c>
      <c r="B44" s="14" t="s">
        <v>6411</v>
      </c>
      <c r="C44" s="17">
        <f t="shared" si="2"/>
        <v>0</v>
      </c>
      <c r="D44" s="6"/>
      <c r="E44" s="18">
        <f>INDEX(IN_COexp!$A$3:$AAA$269,MATCH($A44,IN_COexp!$A$3:$A$269,0),MATCH(E$3,IN_COexp!$A$3:$AAA$3,0))</f>
        <v>0</v>
      </c>
      <c r="F44" s="18">
        <f>INDEX(IN_COexp!$A$3:$AAA$269,MATCH($A44,IN_COexp!$A$3:$A$269,0),MATCH(F$3,IN_COexp!$A$3:$AAA$3,0))</f>
        <v>0</v>
      </c>
      <c r="G44" s="18">
        <f>INDEX(IN_COexp!$A$3:$AAA$269,MATCH($A44,IN_COexp!$A$3:$A$269,0),MATCH(G$3,IN_COexp!$A$3:$AAA$3,0))</f>
        <v>0</v>
      </c>
    </row>
    <row r="45" spans="1:7" ht="11.4" outlineLevel="1" x14ac:dyDescent="0.2">
      <c r="A45" s="85" t="s">
        <v>2368</v>
      </c>
      <c r="B45" s="14" t="s">
        <v>5449</v>
      </c>
      <c r="C45" s="17">
        <f t="shared" si="2"/>
        <v>0</v>
      </c>
      <c r="D45" s="6"/>
      <c r="E45" s="16">
        <f>INDEX(IN_COexp!$A$3:$AAA$269,MATCH($A45,IN_COexp!$A$3:$A$269,0),MATCH(E$3,IN_COexp!$A$3:$AAA$3,0))</f>
        <v>0</v>
      </c>
      <c r="F45" s="16">
        <f>INDEX(IN_COexp!$A$3:$AAA$269,MATCH($A45,IN_COexp!$A$3:$A$269,0),MATCH(F$3,IN_COexp!$A$3:$AAA$3,0))</f>
        <v>0</v>
      </c>
      <c r="G45" s="16">
        <f>INDEX(IN_COexp!$A$3:$AAA$269,MATCH($A45,IN_COexp!$A$3:$A$269,0),MATCH(G$3,IN_COexp!$A$3:$AAA$3,0))</f>
        <v>0</v>
      </c>
    </row>
    <row r="46" spans="1:7" ht="11.4" outlineLevel="1" x14ac:dyDescent="0.2">
      <c r="A46" s="85" t="s">
        <v>3062</v>
      </c>
      <c r="B46" s="703" t="s">
        <v>26</v>
      </c>
      <c r="C46" s="704">
        <f t="shared" si="2"/>
        <v>0</v>
      </c>
      <c r="D46" s="6"/>
      <c r="E46" s="706">
        <f>INDEX('IN_RC-T'!$A$3:$AAA$865,MATCH($A46,'IN_RC-T'!$A$3:$A$865,0),MATCH(E$3,'IN_RC-T'!$A$3:$AAA$3,0))</f>
        <v>0</v>
      </c>
      <c r="F46" s="706">
        <f>INDEX('IN_RC-T'!$A$3:$AAA$865,MATCH($A46,'IN_RC-T'!$A$3:$A$865,0),MATCH(F$3,'IN_RC-T'!$A$3:$AAA$3,0))</f>
        <v>0</v>
      </c>
      <c r="G46" s="706">
        <f>INDEX('IN_RC-T'!$A$3:$AAA$865,MATCH($A46,'IN_RC-T'!$A$3:$A$865,0),MATCH(G$3,'IN_RC-T'!$A$3:$AAA$3,0))</f>
        <v>0</v>
      </c>
    </row>
    <row r="47" spans="1:7" ht="11.4" outlineLevel="1" x14ac:dyDescent="0.2">
      <c r="A47" s="7" t="s">
        <v>6808</v>
      </c>
      <c r="B47" s="705" t="s">
        <v>5450</v>
      </c>
      <c r="C47" s="985">
        <f t="shared" si="2"/>
        <v>0</v>
      </c>
      <c r="D47" s="986"/>
      <c r="E47" s="984">
        <f>INDEX('IN_RC-T'!$A$3:$AAA$865,MATCH($A47,'IN_RC-T'!$A$3:$A$865,0),MATCH(E$3,'IN_RC-T'!$A$3:$AAA$3,0))</f>
        <v>0</v>
      </c>
      <c r="F47" s="984">
        <f>INDEX('IN_RC-T'!$A$3:$AAA$865,MATCH($A47,'IN_RC-T'!$A$3:$A$865,0),MATCH(F$3,'IN_RC-T'!$A$3:$AAA$3,0))</f>
        <v>0</v>
      </c>
      <c r="G47" s="984">
        <f>INDEX('IN_RC-T'!$A$3:$AAA$865,MATCH($A47,'IN_RC-T'!$A$3:$A$865,0),MATCH(G$3,'IN_RC-T'!$A$3:$AAA$3,0))</f>
        <v>0</v>
      </c>
    </row>
    <row r="48" spans="1:7" outlineLevel="1" x14ac:dyDescent="0.2">
      <c r="A48" s="85" t="s">
        <v>4448</v>
      </c>
      <c r="B48" s="14" t="s">
        <v>10</v>
      </c>
      <c r="C48" s="15">
        <f t="shared" si="2"/>
        <v>0</v>
      </c>
      <c r="D48" s="6"/>
      <c r="E48" s="16">
        <f>PEF_COM_28!E48</f>
        <v>0</v>
      </c>
      <c r="F48" s="16">
        <f>PEF_COM_28!F48</f>
        <v>0</v>
      </c>
      <c r="G48" s="16">
        <f>PEF_COM_28!G48</f>
        <v>0</v>
      </c>
    </row>
    <row r="49" spans="1:7" x14ac:dyDescent="0.2">
      <c r="C49" s="25"/>
      <c r="D49" s="6"/>
      <c r="E49" s="5"/>
      <c r="F49" s="5"/>
      <c r="G49" s="5"/>
    </row>
    <row r="50" spans="1:7" s="13" customFormat="1" ht="19.5" customHeight="1" x14ac:dyDescent="0.3">
      <c r="A50" s="31" t="s">
        <v>5613</v>
      </c>
      <c r="B50" s="700" t="s">
        <v>5602</v>
      </c>
      <c r="C50" s="701">
        <f>SUM(E50:G50)</f>
        <v>45912.895766702641</v>
      </c>
      <c r="D50" s="6"/>
      <c r="E50" s="702">
        <f t="shared" ref="E50" si="3">E5+E24</f>
        <v>0</v>
      </c>
      <c r="F50" s="702">
        <f t="shared" ref="F50:G50" si="4">F5+F24</f>
        <v>0</v>
      </c>
      <c r="G50" s="702">
        <f t="shared" si="4"/>
        <v>45912.895766702641</v>
      </c>
    </row>
    <row r="51" spans="1:7" x14ac:dyDescent="0.2">
      <c r="B51" s="24"/>
      <c r="C51" s="25"/>
      <c r="D51" s="6"/>
      <c r="E51" s="5"/>
      <c r="F51" s="5"/>
      <c r="G51" s="5"/>
    </row>
    <row r="52" spans="1:7" x14ac:dyDescent="0.2">
      <c r="A52" s="85" t="s">
        <v>4974</v>
      </c>
      <c r="B52" s="682" t="s">
        <v>5453</v>
      </c>
      <c r="C52" s="213">
        <f>SUM(E52:G52)</f>
        <v>0</v>
      </c>
      <c r="D52" s="6"/>
      <c r="E52" s="215">
        <f>INDEX('IN_Detr 4.5 del_397'!$A$3:$AAA$1192,MATCH($A52,'IN_Detr 4.5 del_397'!$A$3:$A$1192,0),MATCH(E$3,'IN_Detr 4.5 del_397'!$A$3:$AAA$3,0))</f>
        <v>0</v>
      </c>
      <c r="F52" s="215">
        <f>INDEX('IN_Detr 4.5 del_397'!$A$3:$AAA$1192,MATCH($A52,'IN_Detr 4.5 del_397'!$A$3:$A$1192,0),MATCH(F$3,'IN_Detr 4.5 del_397'!$A$3:$AAA$3,0))</f>
        <v>0</v>
      </c>
      <c r="G52" s="215">
        <f>INDEX('IN_Detr 4.5 del_397'!$A$3:$AAA$1192,MATCH($A52,'IN_Detr 4.5 del_397'!$A$3:$A$1192,0),MATCH(G$3,'IN_Detr 4.5 del_397'!$A$3:$AAA$3,0))</f>
        <v>0</v>
      </c>
    </row>
    <row r="53" spans="1:7" x14ac:dyDescent="0.2">
      <c r="A53" s="85" t="s">
        <v>4452</v>
      </c>
      <c r="B53" s="683" t="s">
        <v>5454</v>
      </c>
      <c r="C53" s="214">
        <f>SUM(E53:G53)</f>
        <v>0</v>
      </c>
      <c r="D53" s="6"/>
      <c r="E53" s="216">
        <f>INDEX('IN_Detr 4.5 del_397'!$A$3:$AAA$1192,MATCH($A53,'IN_Detr 4.5 del_397'!$A$3:$A$1192,0),MATCH(E$3,'IN_Detr 4.5 del_397'!$A$3:$AAA$3,0))</f>
        <v>0</v>
      </c>
      <c r="F53" s="216">
        <f>INDEX('IN_Detr 4.5 del_397'!$A$3:$AAA$1192,MATCH($A53,'IN_Detr 4.5 del_397'!$A$3:$A$1192,0),MATCH(F$3,'IN_Detr 4.5 del_397'!$A$3:$AAA$3,0))</f>
        <v>0</v>
      </c>
      <c r="G53" s="216">
        <f>INDEX('IN_Detr 4.5 del_397'!$A$3:$AAA$1192,MATCH($A53,'IN_Detr 4.5 del_397'!$A$3:$A$1192,0),MATCH(G$3,'IN_Detr 4.5 del_397'!$A$3:$AAA$3,0))</f>
        <v>0</v>
      </c>
    </row>
    <row r="54" spans="1:7" ht="19.5" customHeight="1" x14ac:dyDescent="0.2">
      <c r="A54" s="85" t="s">
        <v>5614</v>
      </c>
      <c r="B54" s="681" t="s">
        <v>5455</v>
      </c>
      <c r="C54" s="131">
        <f>SUM(E54:G54)</f>
        <v>0</v>
      </c>
      <c r="D54" s="130"/>
      <c r="E54" s="132">
        <f>E52+E53</f>
        <v>0</v>
      </c>
      <c r="F54" s="132">
        <f>F52+F53</f>
        <v>0</v>
      </c>
      <c r="G54" s="132">
        <f>G52+G53</f>
        <v>0</v>
      </c>
    </row>
    <row r="56" spans="1:7" ht="11.4" x14ac:dyDescent="0.2">
      <c r="A56" s="31" t="s">
        <v>5615</v>
      </c>
      <c r="B56" s="700" t="s">
        <v>5603</v>
      </c>
      <c r="C56" s="701">
        <f t="shared" ref="C56:C66" si="5">SUM(E56:G56)</f>
        <v>0</v>
      </c>
      <c r="D56" s="6"/>
      <c r="E56" s="702">
        <f>SUM(E57:E66)-E70+E71+E73</f>
        <v>0</v>
      </c>
      <c r="F56" s="702">
        <f>SUM(F57:F66)-F70+F71+F73</f>
        <v>0</v>
      </c>
      <c r="G56" s="702">
        <f>SUM(G57:G66)-G70+G71+G73</f>
        <v>0</v>
      </c>
    </row>
    <row r="57" spans="1:7" outlineLevel="1" x14ac:dyDescent="0.2">
      <c r="A57" s="7" t="s">
        <v>4262</v>
      </c>
      <c r="B57" s="14" t="s">
        <v>1</v>
      </c>
      <c r="C57" s="15">
        <f t="shared" si="5"/>
        <v>0</v>
      </c>
      <c r="D57" s="6"/>
      <c r="E57" s="16">
        <f>INDEX('IN_Detr 4.5 del_397'!$A$3:$AAA$1192,MATCH($A57,'IN_Detr 4.5 del_397'!$A$3:$A$1192,0),MATCH(E$3,'IN_Detr 4.5 del_397'!$A$3:$AAA$3,0))</f>
        <v>0</v>
      </c>
      <c r="F57" s="16">
        <f>INDEX('IN_Detr 4.5 del_397'!$A$3:$AAA$1192,MATCH($A57,'IN_Detr 4.5 del_397'!$A$3:$A$1192,0),MATCH(F$3,'IN_Detr 4.5 del_397'!$A$3:$AAA$3,0))</f>
        <v>0</v>
      </c>
      <c r="G57" s="16">
        <f>INDEX('IN_Detr 4.5 del_397'!$A$3:$AAA$1192,MATCH($A57,'IN_Detr 4.5 del_397'!$A$3:$A$1192,0),MATCH(G$3,'IN_Detr 4.5 del_397'!$A$3:$AAA$3,0))</f>
        <v>0</v>
      </c>
    </row>
    <row r="58" spans="1:7" outlineLevel="1" x14ac:dyDescent="0.2">
      <c r="A58" s="7" t="s">
        <v>4268</v>
      </c>
      <c r="B58" s="14" t="s">
        <v>3</v>
      </c>
      <c r="C58" s="15">
        <f t="shared" si="5"/>
        <v>0</v>
      </c>
      <c r="D58" s="6"/>
      <c r="E58" s="16">
        <f>INDEX('IN_Detr 4.5 del_397'!$A$3:$AAA$1192,MATCH($A58,'IN_Detr 4.5 del_397'!$A$3:$A$1192,0),MATCH(E$3,'IN_Detr 4.5 del_397'!$A$3:$AAA$3,0))</f>
        <v>0</v>
      </c>
      <c r="F58" s="16">
        <f>INDEX('IN_Detr 4.5 del_397'!$A$3:$AAA$1192,MATCH($A58,'IN_Detr 4.5 del_397'!$A$3:$A$1192,0),MATCH(F$3,'IN_Detr 4.5 del_397'!$A$3:$AAA$3,0))</f>
        <v>0</v>
      </c>
      <c r="G58" s="16">
        <f>INDEX('IN_Detr 4.5 del_397'!$A$3:$AAA$1192,MATCH($A58,'IN_Detr 4.5 del_397'!$A$3:$A$1192,0),MATCH(G$3,'IN_Detr 4.5 del_397'!$A$3:$AAA$3,0))</f>
        <v>0</v>
      </c>
    </row>
    <row r="59" spans="1:7" outlineLevel="1" x14ac:dyDescent="0.2">
      <c r="A59" s="7" t="s">
        <v>4274</v>
      </c>
      <c r="B59" s="14" t="s">
        <v>4</v>
      </c>
      <c r="C59" s="15">
        <f t="shared" si="5"/>
        <v>0</v>
      </c>
      <c r="D59" s="6"/>
      <c r="E59" s="16">
        <f>INDEX('IN_Detr 4.5 del_397'!$A$3:$AAA$1192,MATCH($A59,'IN_Detr 4.5 del_397'!$A$3:$A$1192,0),MATCH(E$3,'IN_Detr 4.5 del_397'!$A$3:$AAA$3,0))</f>
        <v>0</v>
      </c>
      <c r="F59" s="16">
        <f>INDEX('IN_Detr 4.5 del_397'!$A$3:$AAA$1192,MATCH($A59,'IN_Detr 4.5 del_397'!$A$3:$A$1192,0),MATCH(F$3,'IN_Detr 4.5 del_397'!$A$3:$AAA$3,0))</f>
        <v>0</v>
      </c>
      <c r="G59" s="16">
        <f>INDEX('IN_Detr 4.5 del_397'!$A$3:$AAA$1192,MATCH($A59,'IN_Detr 4.5 del_397'!$A$3:$A$1192,0),MATCH(G$3,'IN_Detr 4.5 del_397'!$A$3:$AAA$3,0))</f>
        <v>0</v>
      </c>
    </row>
    <row r="60" spans="1:7" outlineLevel="1" x14ac:dyDescent="0.2">
      <c r="A60" s="7" t="s">
        <v>4280</v>
      </c>
      <c r="B60" s="14" t="s">
        <v>5</v>
      </c>
      <c r="C60" s="15">
        <f t="shared" si="5"/>
        <v>0</v>
      </c>
      <c r="D60" s="6"/>
      <c r="E60" s="16">
        <f>INDEX('IN_Detr 4.5 del_397'!$A$3:$AAA$1192,MATCH($A60,'IN_Detr 4.5 del_397'!$A$3:$A$1192,0),MATCH(E$3,'IN_Detr 4.5 del_397'!$A$3:$AAA$3,0))</f>
        <v>0</v>
      </c>
      <c r="F60" s="16">
        <f>INDEX('IN_Detr 4.5 del_397'!$A$3:$AAA$1192,MATCH($A60,'IN_Detr 4.5 del_397'!$A$3:$A$1192,0),MATCH(F$3,'IN_Detr 4.5 del_397'!$A$3:$AAA$3,0))</f>
        <v>0</v>
      </c>
      <c r="G60" s="16">
        <f>INDEX('IN_Detr 4.5 del_397'!$A$3:$AAA$1192,MATCH($A60,'IN_Detr 4.5 del_397'!$A$3:$A$1192,0),MATCH(G$3,'IN_Detr 4.5 del_397'!$A$3:$AAA$3,0))</f>
        <v>0</v>
      </c>
    </row>
    <row r="61" spans="1:7" ht="11.4" outlineLevel="1" x14ac:dyDescent="0.2">
      <c r="A61" s="85" t="s">
        <v>5616</v>
      </c>
      <c r="B61" s="14" t="s">
        <v>5438</v>
      </c>
      <c r="C61" s="17">
        <f t="shared" si="5"/>
        <v>0</v>
      </c>
      <c r="D61" s="6"/>
      <c r="E61" s="16">
        <f>E10</f>
        <v>0</v>
      </c>
      <c r="F61" s="16">
        <f>F10</f>
        <v>0</v>
      </c>
      <c r="G61" s="16">
        <f>G10</f>
        <v>0</v>
      </c>
    </row>
    <row r="62" spans="1:7" ht="11.4" outlineLevel="1" x14ac:dyDescent="0.2">
      <c r="A62" s="85" t="s">
        <v>5617</v>
      </c>
      <c r="B62" s="14" t="s">
        <v>5439</v>
      </c>
      <c r="C62" s="17">
        <f t="shared" si="5"/>
        <v>0</v>
      </c>
      <c r="D62" s="6"/>
      <c r="E62" s="18">
        <f t="shared" ref="E62:E66" si="6">E11</f>
        <v>0</v>
      </c>
      <c r="F62" s="18">
        <f t="shared" ref="F62:G62" si="7">F11</f>
        <v>0</v>
      </c>
      <c r="G62" s="18">
        <f t="shared" si="7"/>
        <v>0</v>
      </c>
    </row>
    <row r="63" spans="1:7" ht="11.4" outlineLevel="1" x14ac:dyDescent="0.2">
      <c r="A63" s="85" t="s">
        <v>5618</v>
      </c>
      <c r="B63" s="14" t="s">
        <v>5440</v>
      </c>
      <c r="C63" s="17">
        <f t="shared" si="5"/>
        <v>0</v>
      </c>
      <c r="D63" s="6"/>
      <c r="E63" s="18">
        <f t="shared" si="6"/>
        <v>0</v>
      </c>
      <c r="F63" s="18">
        <f t="shared" ref="F63:G63" si="8">F12</f>
        <v>0</v>
      </c>
      <c r="G63" s="18">
        <f t="shared" si="8"/>
        <v>0</v>
      </c>
    </row>
    <row r="64" spans="1:7" ht="11.4" outlineLevel="1" x14ac:dyDescent="0.2">
      <c r="A64" s="85" t="s">
        <v>5619</v>
      </c>
      <c r="B64" s="14" t="s">
        <v>5441</v>
      </c>
      <c r="C64" s="17">
        <f t="shared" si="5"/>
        <v>0</v>
      </c>
      <c r="D64" s="6"/>
      <c r="E64" s="18">
        <f t="shared" si="6"/>
        <v>0</v>
      </c>
      <c r="F64" s="18">
        <f t="shared" ref="F64:G64" si="9">F13</f>
        <v>0</v>
      </c>
      <c r="G64" s="18">
        <f t="shared" si="9"/>
        <v>0</v>
      </c>
    </row>
    <row r="65" spans="1:7" ht="11.4" outlineLevel="1" x14ac:dyDescent="0.2">
      <c r="A65" s="85" t="s">
        <v>5620</v>
      </c>
      <c r="B65" s="14" t="s">
        <v>5442</v>
      </c>
      <c r="C65" s="17">
        <f t="shared" si="5"/>
        <v>0</v>
      </c>
      <c r="D65" s="6"/>
      <c r="E65" s="18">
        <f t="shared" si="6"/>
        <v>0</v>
      </c>
      <c r="F65" s="18">
        <f t="shared" ref="F65:G65" si="10">F14</f>
        <v>0</v>
      </c>
      <c r="G65" s="18">
        <f t="shared" si="10"/>
        <v>0</v>
      </c>
    </row>
    <row r="66" spans="1:7" ht="11.4" outlineLevel="1" x14ac:dyDescent="0.2">
      <c r="A66" s="85" t="s">
        <v>5621</v>
      </c>
      <c r="B66" s="14" t="s">
        <v>5443</v>
      </c>
      <c r="C66" s="17">
        <f t="shared" si="5"/>
        <v>0</v>
      </c>
      <c r="D66" s="6"/>
      <c r="E66" s="18">
        <f t="shared" si="6"/>
        <v>0</v>
      </c>
      <c r="F66" s="18">
        <f t="shared" ref="F66:G66" si="11">F15</f>
        <v>0</v>
      </c>
      <c r="G66" s="18">
        <f t="shared" si="11"/>
        <v>0</v>
      </c>
    </row>
    <row r="67" spans="1:7" outlineLevel="1" x14ac:dyDescent="0.2">
      <c r="A67" s="85" t="s">
        <v>1289</v>
      </c>
      <c r="B67" s="736" t="s">
        <v>7</v>
      </c>
      <c r="C67" s="737"/>
      <c r="D67" s="19"/>
      <c r="E67" s="740">
        <f t="shared" ref="E67:E69" si="12">E16</f>
        <v>0.7</v>
      </c>
      <c r="F67" s="740">
        <f t="shared" ref="F67:G67" si="13">F16</f>
        <v>0</v>
      </c>
      <c r="G67" s="740">
        <f t="shared" si="13"/>
        <v>0</v>
      </c>
    </row>
    <row r="68" spans="1:7" outlineLevel="1" x14ac:dyDescent="0.2">
      <c r="A68" s="7" t="s">
        <v>5622</v>
      </c>
      <c r="B68" s="26" t="s">
        <v>6</v>
      </c>
      <c r="C68" s="27">
        <f t="shared" ref="C68:C73" si="14">SUM(E68:G68)</f>
        <v>0</v>
      </c>
      <c r="D68" s="6"/>
      <c r="E68" s="28">
        <f t="shared" si="12"/>
        <v>0</v>
      </c>
      <c r="F68" s="28">
        <f t="shared" ref="F68:G68" si="15">F17</f>
        <v>0</v>
      </c>
      <c r="G68" s="28">
        <f t="shared" si="15"/>
        <v>0</v>
      </c>
    </row>
    <row r="69" spans="1:7" ht="11.4" outlineLevel="1" x14ac:dyDescent="0.2">
      <c r="A69" s="7" t="s">
        <v>5623</v>
      </c>
      <c r="B69" s="26" t="s">
        <v>101</v>
      </c>
      <c r="C69" s="27">
        <f t="shared" si="14"/>
        <v>0</v>
      </c>
      <c r="D69" s="6"/>
      <c r="E69" s="28">
        <f t="shared" si="12"/>
        <v>0</v>
      </c>
      <c r="F69" s="28">
        <f t="shared" ref="F69:G69" si="16">F18</f>
        <v>0</v>
      </c>
      <c r="G69" s="28">
        <f t="shared" si="16"/>
        <v>0</v>
      </c>
    </row>
    <row r="70" spans="1:7" ht="11.4" outlineLevel="1" x14ac:dyDescent="0.2">
      <c r="A70" s="7" t="s">
        <v>5914</v>
      </c>
      <c r="B70" s="738" t="s">
        <v>5437</v>
      </c>
      <c r="C70" s="739">
        <f t="shared" si="14"/>
        <v>0</v>
      </c>
      <c r="D70" s="6"/>
      <c r="E70" s="741">
        <f>E67*(E68+E69)</f>
        <v>0</v>
      </c>
      <c r="F70" s="741">
        <f>F67*(F68+F69)</f>
        <v>0</v>
      </c>
      <c r="G70" s="741">
        <f>G67*(G68+G69)</f>
        <v>0</v>
      </c>
    </row>
    <row r="71" spans="1:7" ht="11.4" outlineLevel="1" x14ac:dyDescent="0.2">
      <c r="A71" s="85" t="s">
        <v>4324</v>
      </c>
      <c r="B71" s="703" t="s">
        <v>102</v>
      </c>
      <c r="C71" s="704">
        <f t="shared" si="14"/>
        <v>0</v>
      </c>
      <c r="D71" s="6"/>
      <c r="E71" s="706">
        <f>INDEX('IN_Detr 4.5 del_397'!$A$3:$AAA$1192,MATCH($A71,'IN_Detr 4.5 del_397'!$A$3:$A$1192,0),MATCH(E$3,'IN_Detr 4.5 del_397'!$A$3:$AAA$3,0))</f>
        <v>0</v>
      </c>
      <c r="F71" s="706">
        <f>INDEX('IN_Detr 4.5 del_397'!$A$3:$AAA$1192,MATCH($A71,'IN_Detr 4.5 del_397'!$A$3:$A$1192,0),MATCH(F$3,'IN_Detr 4.5 del_397'!$A$3:$AAA$3,0))</f>
        <v>0</v>
      </c>
      <c r="G71" s="706">
        <f>INDEX('IN_Detr 4.5 del_397'!$A$3:$AAA$1192,MATCH($A71,'IN_Detr 4.5 del_397'!$A$3:$A$1192,0),MATCH(G$3,'IN_Detr 4.5 del_397'!$A$3:$AAA$3,0))</f>
        <v>0</v>
      </c>
    </row>
    <row r="72" spans="1:7" ht="11.4" outlineLevel="1" x14ac:dyDescent="0.2">
      <c r="A72" s="7" t="s">
        <v>6951</v>
      </c>
      <c r="B72" s="705" t="s">
        <v>5444</v>
      </c>
      <c r="C72" s="987">
        <f t="shared" si="14"/>
        <v>0</v>
      </c>
      <c r="D72" s="988"/>
      <c r="E72" s="989">
        <f>INDEX('IN_Detr 4.5 del_397'!$A$3:$AAA$1192,MATCH($A72,'IN_Detr 4.5 del_397'!$A$3:$A$1192,0),MATCH(E$3,'IN_Detr 4.5 del_397'!$A$3:$AAA$3,0))</f>
        <v>0</v>
      </c>
      <c r="F72" s="989">
        <f>INDEX('IN_Detr 4.5 del_397'!$A$3:$AAA$1192,MATCH($A72,'IN_Detr 4.5 del_397'!$A$3:$A$1192,0),MATCH(F$3,'IN_Detr 4.5 del_397'!$A$3:$AAA$3,0))</f>
        <v>0</v>
      </c>
      <c r="G72" s="989">
        <f>INDEX('IN_Detr 4.5 del_397'!$A$3:$AAA$1192,MATCH($A72,'IN_Detr 4.5 del_397'!$A$3:$A$1192,0),MATCH(G$3,'IN_Detr 4.5 del_397'!$A$3:$AAA$3,0))</f>
        <v>0</v>
      </c>
    </row>
    <row r="73" spans="1:7" outlineLevel="1" x14ac:dyDescent="0.2">
      <c r="A73" s="85" t="s">
        <v>4327</v>
      </c>
      <c r="B73" s="14" t="s">
        <v>109</v>
      </c>
      <c r="C73" s="15">
        <f t="shared" si="14"/>
        <v>0</v>
      </c>
      <c r="D73" s="6"/>
      <c r="E73" s="16">
        <f>INDEX('IN_Detr 4.5 del_397'!$A$3:$AAA$1192,MATCH($A73,'IN_Detr 4.5 del_397'!$A$3:$A$1192,0),MATCH(E$3,'IN_Detr 4.5 del_397'!$A$3:$AAA$3,0))</f>
        <v>0</v>
      </c>
      <c r="F73" s="16">
        <f>INDEX('IN_Detr 4.5 del_397'!$A$3:$AAA$1192,MATCH($A73,'IN_Detr 4.5 del_397'!$A$3:$A$1192,0),MATCH(F$3,'IN_Detr 4.5 del_397'!$A$3:$AAA$3,0))</f>
        <v>0</v>
      </c>
      <c r="G73" s="16">
        <f>INDEX('IN_Detr 4.5 del_397'!$A$3:$AAA$1192,MATCH($A73,'IN_Detr 4.5 del_397'!$A$3:$A$1192,0),MATCH(G$3,'IN_Detr 4.5 del_397'!$A$3:$AAA$3,0))</f>
        <v>0</v>
      </c>
    </row>
    <row r="74" spans="1:7" outlineLevel="1" x14ac:dyDescent="0.2">
      <c r="B74" s="24"/>
      <c r="C74" s="25"/>
      <c r="D74" s="6"/>
      <c r="E74" s="5"/>
      <c r="F74" s="5"/>
      <c r="G74" s="5"/>
    </row>
    <row r="75" spans="1:7" s="359" customFormat="1" ht="20.399999999999999" outlineLevel="1" x14ac:dyDescent="0.2">
      <c r="A75" s="356"/>
      <c r="B75" s="360"/>
      <c r="C75" s="358" t="str">
        <f>C3</f>
        <v>TOTALE</v>
      </c>
      <c r="D75" s="357"/>
      <c r="E75" s="358" t="str">
        <f t="shared" ref="E75" si="17">E3</f>
        <v>BUSTO ARSIZIO</v>
      </c>
      <c r="F75" s="358" t="str">
        <f t="shared" ref="F75:G75" si="18">F3</f>
        <v>FAGNANO OLONA</v>
      </c>
      <c r="G75" s="358" t="str">
        <f t="shared" si="18"/>
        <v>VENEGONO SUPERIORE</v>
      </c>
    </row>
    <row r="76" spans="1:7" ht="11.4" outlineLevel="1" x14ac:dyDescent="0.2">
      <c r="A76" s="31" t="s">
        <v>5624</v>
      </c>
      <c r="B76" s="700" t="s">
        <v>5604</v>
      </c>
      <c r="C76" s="701">
        <f t="shared" ref="C76:C100" si="19">SUM(E76:G76)</f>
        <v>45912.895766702641</v>
      </c>
      <c r="D76" s="6"/>
      <c r="E76" s="702">
        <f>E77+E82+E92+SUM(E93:E98)+E100</f>
        <v>0</v>
      </c>
      <c r="F76" s="702">
        <f>F77+F82+F92+SUM(F93:F98)+F100</f>
        <v>0</v>
      </c>
      <c r="G76" s="702">
        <f>G77+G82+G92+SUM(G93:G98)+G100</f>
        <v>45912.895766702641</v>
      </c>
    </row>
    <row r="77" spans="1:7" outlineLevel="1" x14ac:dyDescent="0.2">
      <c r="A77" s="7" t="s">
        <v>4333</v>
      </c>
      <c r="B77" s="14" t="s">
        <v>11</v>
      </c>
      <c r="C77" s="15">
        <f t="shared" si="19"/>
        <v>0</v>
      </c>
      <c r="D77" s="6"/>
      <c r="E77" s="16">
        <f>INDEX('IN_Detr 4.5 del_397'!$A$3:$AAA$1192,MATCH($A77,'IN_Detr 4.5 del_397'!$A$3:$A$1192,0),MATCH(E$3,'IN_Detr 4.5 del_397'!$A$3:$AAA$3,0))</f>
        <v>0</v>
      </c>
      <c r="F77" s="16">
        <f>INDEX('IN_Detr 4.5 del_397'!$A$3:$AAA$1192,MATCH($A77,'IN_Detr 4.5 del_397'!$A$3:$A$1192,0),MATCH(F$3,'IN_Detr 4.5 del_397'!$A$3:$AAA$3,0))</f>
        <v>0</v>
      </c>
      <c r="G77" s="16">
        <f>INDEX('IN_Detr 4.5 del_397'!$A$3:$AAA$1192,MATCH($A77,'IN_Detr 4.5 del_397'!$A$3:$A$1192,0),MATCH(G$3,'IN_Detr 4.5 del_397'!$A$3:$AAA$3,0))</f>
        <v>0</v>
      </c>
    </row>
    <row r="78" spans="1:7" outlineLevel="1" x14ac:dyDescent="0.2">
      <c r="A78" s="7" t="s">
        <v>4339</v>
      </c>
      <c r="B78" s="26" t="s">
        <v>13</v>
      </c>
      <c r="C78" s="27">
        <f t="shared" si="19"/>
        <v>0</v>
      </c>
      <c r="D78" s="6"/>
      <c r="E78" s="28">
        <f>INDEX('IN_Detr 4.5 del_397'!$A$3:$AAA$1192,MATCH($A78,'IN_Detr 4.5 del_397'!$A$3:$A$1192,0),MATCH(E$3,'IN_Detr 4.5 del_397'!$A$3:$AAA$3,0))</f>
        <v>0</v>
      </c>
      <c r="F78" s="28">
        <f>INDEX('IN_Detr 4.5 del_397'!$A$3:$AAA$1192,MATCH($A78,'IN_Detr 4.5 del_397'!$A$3:$A$1192,0),MATCH(F$3,'IN_Detr 4.5 del_397'!$A$3:$AAA$3,0))</f>
        <v>0</v>
      </c>
      <c r="G78" s="28">
        <f>INDEX('IN_Detr 4.5 del_397'!$A$3:$AAA$1192,MATCH($A78,'IN_Detr 4.5 del_397'!$A$3:$A$1192,0),MATCH(G$3,'IN_Detr 4.5 del_397'!$A$3:$AAA$3,0))</f>
        <v>0</v>
      </c>
    </row>
    <row r="79" spans="1:7" outlineLevel="1" x14ac:dyDescent="0.2">
      <c r="A79" s="7" t="s">
        <v>4345</v>
      </c>
      <c r="B79" s="26" t="s">
        <v>14</v>
      </c>
      <c r="C79" s="27">
        <f t="shared" si="19"/>
        <v>0</v>
      </c>
      <c r="D79" s="6"/>
      <c r="E79" s="28">
        <f>INDEX('IN_Detr 4.5 del_397'!$A$3:$AAA$1192,MATCH($A79,'IN_Detr 4.5 del_397'!$A$3:$A$1192,0),MATCH(E$3,'IN_Detr 4.5 del_397'!$A$3:$AAA$3,0))</f>
        <v>0</v>
      </c>
      <c r="F79" s="28">
        <f>INDEX('IN_Detr 4.5 del_397'!$A$3:$AAA$1192,MATCH($A79,'IN_Detr 4.5 del_397'!$A$3:$A$1192,0),MATCH(F$3,'IN_Detr 4.5 del_397'!$A$3:$AAA$3,0))</f>
        <v>0</v>
      </c>
      <c r="G79" s="28">
        <f>INDEX('IN_Detr 4.5 del_397'!$A$3:$AAA$1192,MATCH($A79,'IN_Detr 4.5 del_397'!$A$3:$A$1192,0),MATCH(G$3,'IN_Detr 4.5 del_397'!$A$3:$AAA$3,0))</f>
        <v>0</v>
      </c>
    </row>
    <row r="80" spans="1:7" outlineLevel="1" x14ac:dyDescent="0.2">
      <c r="A80" s="7" t="s">
        <v>4351</v>
      </c>
      <c r="B80" s="26" t="s">
        <v>15</v>
      </c>
      <c r="C80" s="27">
        <f t="shared" si="19"/>
        <v>0</v>
      </c>
      <c r="D80" s="6"/>
      <c r="E80" s="28">
        <f>INDEX('IN_Detr 4.5 del_397'!$A$3:$AAA$1192,MATCH($A80,'IN_Detr 4.5 del_397'!$A$3:$A$1192,0),MATCH(E$3,'IN_Detr 4.5 del_397'!$A$3:$AAA$3,0))</f>
        <v>0</v>
      </c>
      <c r="F80" s="28">
        <f>INDEX('IN_Detr 4.5 del_397'!$A$3:$AAA$1192,MATCH($A80,'IN_Detr 4.5 del_397'!$A$3:$A$1192,0),MATCH(F$3,'IN_Detr 4.5 del_397'!$A$3:$AAA$3,0))</f>
        <v>0</v>
      </c>
      <c r="G80" s="28">
        <f>INDEX('IN_Detr 4.5 del_397'!$A$3:$AAA$1192,MATCH($A80,'IN_Detr 4.5 del_397'!$A$3:$A$1192,0),MATCH(G$3,'IN_Detr 4.5 del_397'!$A$3:$AAA$3,0))</f>
        <v>0</v>
      </c>
    </row>
    <row r="81" spans="1:7" ht="11.4" outlineLevel="1" x14ac:dyDescent="0.2">
      <c r="A81" s="7" t="s">
        <v>4357</v>
      </c>
      <c r="B81" s="52" t="s">
        <v>16</v>
      </c>
      <c r="C81" s="53">
        <f t="shared" si="19"/>
        <v>0</v>
      </c>
      <c r="D81" s="6"/>
      <c r="E81" s="54">
        <f>INDEX('IN_Detr 4.5 del_397'!$A$3:$AAA$1192,MATCH($A81,'IN_Detr 4.5 del_397'!$A$3:$A$1192,0),MATCH(E$3,'IN_Detr 4.5 del_397'!$A$3:$AAA$3,0))</f>
        <v>0</v>
      </c>
      <c r="F81" s="54">
        <f>INDEX('IN_Detr 4.5 del_397'!$A$3:$AAA$1192,MATCH($A81,'IN_Detr 4.5 del_397'!$A$3:$A$1192,0),MATCH(F$3,'IN_Detr 4.5 del_397'!$A$3:$AAA$3,0))</f>
        <v>0</v>
      </c>
      <c r="G81" s="54">
        <f>INDEX('IN_Detr 4.5 del_397'!$A$3:$AAA$1192,MATCH($A81,'IN_Detr 4.5 del_397'!$A$3:$A$1192,0),MATCH(G$3,'IN_Detr 4.5 del_397'!$A$3:$AAA$3,0))</f>
        <v>0</v>
      </c>
    </row>
    <row r="82" spans="1:7" outlineLevel="1" x14ac:dyDescent="0.2">
      <c r="A82" s="7" t="s">
        <v>5625</v>
      </c>
      <c r="B82" s="684" t="s">
        <v>12</v>
      </c>
      <c r="C82" s="685">
        <f t="shared" si="19"/>
        <v>0</v>
      </c>
      <c r="D82" s="6"/>
      <c r="E82" s="686">
        <f>SUM(E78:E81)</f>
        <v>0</v>
      </c>
      <c r="F82" s="686">
        <f>SUM(F78:F81)</f>
        <v>0</v>
      </c>
      <c r="G82" s="686">
        <f>SUM(G78:G81)</f>
        <v>0</v>
      </c>
    </row>
    <row r="83" spans="1:7" outlineLevel="1" x14ac:dyDescent="0.2">
      <c r="A83" s="85" t="s">
        <v>4363</v>
      </c>
      <c r="B83" s="26" t="s">
        <v>18</v>
      </c>
      <c r="C83" s="27">
        <f t="shared" si="19"/>
        <v>20354.085815461956</v>
      </c>
      <c r="D83" s="6"/>
      <c r="E83" s="28">
        <f>INDEX('IN_Detr 4.5 del_397'!$A$3:$AAA$1192,MATCH($A83,'IN_Detr 4.5 del_397'!$A$3:$A$1192,0),MATCH(E$3,'IN_Detr 4.5 del_397'!$A$3:$AAA$3,0))</f>
        <v>0</v>
      </c>
      <c r="F83" s="28">
        <f>INDEX('IN_Detr 4.5 del_397'!$A$3:$AAA$1192,MATCH($A83,'IN_Detr 4.5 del_397'!$A$3:$A$1192,0),MATCH(F$3,'IN_Detr 4.5 del_397'!$A$3:$AAA$3,0))</f>
        <v>0</v>
      </c>
      <c r="G83" s="28">
        <f>INDEX('IN_Detr 4.5 del_397'!$A$3:$AAA$1192,MATCH($A83,'IN_Detr 4.5 del_397'!$A$3:$A$1192,0),MATCH(G$3,'IN_Detr 4.5 del_397'!$A$3:$AAA$3,0))</f>
        <v>20354.085815461956</v>
      </c>
    </row>
    <row r="84" spans="1:7" outlineLevel="1" x14ac:dyDescent="0.2">
      <c r="A84" s="7" t="s">
        <v>4393</v>
      </c>
      <c r="B84" s="687" t="s">
        <v>19</v>
      </c>
      <c r="C84" s="688">
        <f t="shared" si="19"/>
        <v>0</v>
      </c>
      <c r="D84" s="6"/>
      <c r="E84" s="689">
        <f>SUM(E85:E88)</f>
        <v>0</v>
      </c>
      <c r="F84" s="689">
        <f>SUM(F85:F88)</f>
        <v>0</v>
      </c>
      <c r="G84" s="689">
        <f>SUM(G85:G88)</f>
        <v>0</v>
      </c>
    </row>
    <row r="85" spans="1:7" outlineLevel="1" x14ac:dyDescent="0.2">
      <c r="A85" s="85" t="s">
        <v>4381</v>
      </c>
      <c r="B85" s="690" t="s">
        <v>20</v>
      </c>
      <c r="C85" s="691">
        <f t="shared" si="19"/>
        <v>0</v>
      </c>
      <c r="D85" s="6"/>
      <c r="E85" s="696">
        <f>INDEX('IN_Detr 4.5 del_397'!$A$3:$AAA$1192,MATCH($A85,'IN_Detr 4.5 del_397'!$A$3:$A$1192,0),MATCH(E$3,'IN_Detr 4.5 del_397'!$A$3:$AAA$3,0))</f>
        <v>0</v>
      </c>
      <c r="F85" s="696">
        <f>INDEX('IN_Detr 4.5 del_397'!$A$3:$AAA$1192,MATCH($A85,'IN_Detr 4.5 del_397'!$A$3:$A$1192,0),MATCH(F$3,'IN_Detr 4.5 del_397'!$A$3:$AAA$3,0))</f>
        <v>0</v>
      </c>
      <c r="G85" s="696">
        <f>INDEX('IN_Detr 4.5 del_397'!$A$3:$AAA$1192,MATCH($A85,'IN_Detr 4.5 del_397'!$A$3:$A$1192,0),MATCH(G$3,'IN_Detr 4.5 del_397'!$A$3:$AAA$3,0))</f>
        <v>0</v>
      </c>
    </row>
    <row r="86" spans="1:7" outlineLevel="1" x14ac:dyDescent="0.2">
      <c r="A86" s="85" t="s">
        <v>4384</v>
      </c>
      <c r="B86" s="692" t="s">
        <v>21</v>
      </c>
      <c r="C86" s="693">
        <f t="shared" si="19"/>
        <v>0</v>
      </c>
      <c r="D86" s="6"/>
      <c r="E86" s="697">
        <f>INDEX('IN_Detr 4.5 del_397'!$A$3:$AAA$1192,MATCH($A86,'IN_Detr 4.5 del_397'!$A$3:$A$1192,0),MATCH(E$3,'IN_Detr 4.5 del_397'!$A$3:$AAA$3,0))</f>
        <v>0</v>
      </c>
      <c r="F86" s="697">
        <f>INDEX('IN_Detr 4.5 del_397'!$A$3:$AAA$1192,MATCH($A86,'IN_Detr 4.5 del_397'!$A$3:$A$1192,0),MATCH(F$3,'IN_Detr 4.5 del_397'!$A$3:$AAA$3,0))</f>
        <v>0</v>
      </c>
      <c r="G86" s="697">
        <f>INDEX('IN_Detr 4.5 del_397'!$A$3:$AAA$1192,MATCH($A86,'IN_Detr 4.5 del_397'!$A$3:$A$1192,0),MATCH(G$3,'IN_Detr 4.5 del_397'!$A$3:$AAA$3,0))</f>
        <v>0</v>
      </c>
    </row>
    <row r="87" spans="1:7" outlineLevel="1" x14ac:dyDescent="0.2">
      <c r="A87" s="85" t="s">
        <v>4387</v>
      </c>
      <c r="B87" s="692" t="s">
        <v>22</v>
      </c>
      <c r="C87" s="693">
        <f t="shared" si="19"/>
        <v>0</v>
      </c>
      <c r="D87" s="6"/>
      <c r="E87" s="697">
        <f>INDEX('IN_Detr 4.5 del_397'!$A$3:$AAA$1192,MATCH($A87,'IN_Detr 4.5 del_397'!$A$3:$A$1192,0),MATCH(E$3,'IN_Detr 4.5 del_397'!$A$3:$AAA$3,0))</f>
        <v>0</v>
      </c>
      <c r="F87" s="697">
        <f>INDEX('IN_Detr 4.5 del_397'!$A$3:$AAA$1192,MATCH($A87,'IN_Detr 4.5 del_397'!$A$3:$A$1192,0),MATCH(F$3,'IN_Detr 4.5 del_397'!$A$3:$AAA$3,0))</f>
        <v>0</v>
      </c>
      <c r="G87" s="697">
        <f>INDEX('IN_Detr 4.5 del_397'!$A$3:$AAA$1192,MATCH($A87,'IN_Detr 4.5 del_397'!$A$3:$A$1192,0),MATCH(G$3,'IN_Detr 4.5 del_397'!$A$3:$AAA$3,0))</f>
        <v>0</v>
      </c>
    </row>
    <row r="88" spans="1:7" outlineLevel="1" x14ac:dyDescent="0.2">
      <c r="A88" s="85" t="s">
        <v>4390</v>
      </c>
      <c r="B88" s="694" t="s">
        <v>23</v>
      </c>
      <c r="C88" s="695">
        <f t="shared" si="19"/>
        <v>0</v>
      </c>
      <c r="D88" s="6"/>
      <c r="E88" s="698">
        <f>INDEX('IN_Detr 4.5 del_397'!$A$3:$AAA$1192,MATCH($A88,'IN_Detr 4.5 del_397'!$A$3:$A$1192,0),MATCH(E$3,'IN_Detr 4.5 del_397'!$A$3:$AAA$3,0))</f>
        <v>0</v>
      </c>
      <c r="F88" s="698">
        <f>INDEX('IN_Detr 4.5 del_397'!$A$3:$AAA$1192,MATCH($A88,'IN_Detr 4.5 del_397'!$A$3:$A$1192,0),MATCH(F$3,'IN_Detr 4.5 del_397'!$A$3:$AAA$3,0))</f>
        <v>0</v>
      </c>
      <c r="G88" s="698">
        <f>INDEX('IN_Detr 4.5 del_397'!$A$3:$AAA$1192,MATCH($A88,'IN_Detr 4.5 del_397'!$A$3:$A$1192,0),MATCH(G$3,'IN_Detr 4.5 del_397'!$A$3:$AAA$3,0))</f>
        <v>0</v>
      </c>
    </row>
    <row r="89" spans="1:7" outlineLevel="1" x14ac:dyDescent="0.2">
      <c r="A89" s="85" t="s">
        <v>4399</v>
      </c>
      <c r="B89" s="26" t="s">
        <v>24</v>
      </c>
      <c r="C89" s="27">
        <f t="shared" si="19"/>
        <v>25558.809951240684</v>
      </c>
      <c r="D89" s="6"/>
      <c r="E89" s="28">
        <f>INDEX('IN_Detr 4.5 del_397'!$A$3:$AAA$1192,MATCH($A89,'IN_Detr 4.5 del_397'!$A$3:$A$1192,0),MATCH(E$3,'IN_Detr 4.5 del_397'!$A$3:$AAA$3,0))</f>
        <v>0</v>
      </c>
      <c r="F89" s="28">
        <f>INDEX('IN_Detr 4.5 del_397'!$A$3:$AAA$1192,MATCH($A89,'IN_Detr 4.5 del_397'!$A$3:$A$1192,0),MATCH(F$3,'IN_Detr 4.5 del_397'!$A$3:$AAA$3,0))</f>
        <v>0</v>
      </c>
      <c r="G89" s="28">
        <f>INDEX('IN_Detr 4.5 del_397'!$A$3:$AAA$1192,MATCH($A89,'IN_Detr 4.5 del_397'!$A$3:$A$1192,0),MATCH(G$3,'IN_Detr 4.5 del_397'!$A$3:$AAA$3,0))</f>
        <v>25558.809951240684</v>
      </c>
    </row>
    <row r="90" spans="1:7" ht="11.4" outlineLevel="1" x14ac:dyDescent="0.2">
      <c r="A90" s="85" t="s">
        <v>4405</v>
      </c>
      <c r="B90" s="52" t="s">
        <v>25</v>
      </c>
      <c r="C90" s="53">
        <f t="shared" si="19"/>
        <v>0</v>
      </c>
      <c r="D90" s="6"/>
      <c r="E90" s="54">
        <f>INDEX('IN_Detr 4.5 del_397'!$A$3:$AAA$1192,MATCH($A90,'IN_Detr 4.5 del_397'!$A$3:$A$1192,0),MATCH(E$3,'IN_Detr 4.5 del_397'!$A$3:$AAA$3,0))</f>
        <v>0</v>
      </c>
      <c r="F90" s="54">
        <f>INDEX('IN_Detr 4.5 del_397'!$A$3:$AAA$1192,MATCH($A90,'IN_Detr 4.5 del_397'!$A$3:$A$1192,0),MATCH(F$3,'IN_Detr 4.5 del_397'!$A$3:$AAA$3,0))</f>
        <v>0</v>
      </c>
      <c r="G90" s="54">
        <f>INDEX('IN_Detr 4.5 del_397'!$A$3:$AAA$1192,MATCH($A90,'IN_Detr 4.5 del_397'!$A$3:$A$1192,0),MATCH(G$3,'IN_Detr 4.5 del_397'!$A$3:$AAA$3,0))</f>
        <v>0</v>
      </c>
    </row>
    <row r="91" spans="1:7" ht="11.4" outlineLevel="1" x14ac:dyDescent="0.2">
      <c r="A91" s="85" t="s">
        <v>4411</v>
      </c>
      <c r="B91" s="52" t="s">
        <v>5474</v>
      </c>
      <c r="C91" s="53">
        <f t="shared" si="19"/>
        <v>0</v>
      </c>
      <c r="D91" s="6"/>
      <c r="E91" s="54">
        <f>INDEX('IN_Detr 4.5 del_397'!$A$3:$AAA$1192,MATCH($A91,'IN_Detr 4.5 del_397'!$A$3:$A$1192,0),MATCH(E$3,'IN_Detr 4.5 del_397'!$A$3:$AAA$3,0))</f>
        <v>0</v>
      </c>
      <c r="F91" s="54">
        <f>INDEX('IN_Detr 4.5 del_397'!$A$3:$AAA$1192,MATCH($A91,'IN_Detr 4.5 del_397'!$A$3:$A$1192,0),MATCH(F$3,'IN_Detr 4.5 del_397'!$A$3:$AAA$3,0))</f>
        <v>0</v>
      </c>
      <c r="G91" s="54">
        <f>INDEX('IN_Detr 4.5 del_397'!$A$3:$AAA$1192,MATCH($A91,'IN_Detr 4.5 del_397'!$A$3:$A$1192,0),MATCH(G$3,'IN_Detr 4.5 del_397'!$A$3:$AAA$3,0))</f>
        <v>0</v>
      </c>
    </row>
    <row r="92" spans="1:7" outlineLevel="1" x14ac:dyDescent="0.2">
      <c r="A92" s="7" t="s">
        <v>5626</v>
      </c>
      <c r="B92" s="684" t="s">
        <v>17</v>
      </c>
      <c r="C92" s="685">
        <f t="shared" si="19"/>
        <v>45912.895766702641</v>
      </c>
      <c r="D92" s="6"/>
      <c r="E92" s="686">
        <f>E83+E84+E89+E90+E91</f>
        <v>0</v>
      </c>
      <c r="F92" s="686">
        <f>F83+F84+F89+F90+F91</f>
        <v>0</v>
      </c>
      <c r="G92" s="686">
        <f>G83+G84+G89+G90+G91</f>
        <v>45912.895766702641</v>
      </c>
    </row>
    <row r="93" spans="1:7" ht="11.4" outlineLevel="1" x14ac:dyDescent="0.2">
      <c r="A93" s="85" t="s">
        <v>5627</v>
      </c>
      <c r="B93" s="14" t="s">
        <v>5447</v>
      </c>
      <c r="C93" s="17">
        <f t="shared" si="19"/>
        <v>0</v>
      </c>
      <c r="D93" s="6"/>
      <c r="E93" s="16">
        <f>E41</f>
        <v>0</v>
      </c>
      <c r="F93" s="16">
        <f>F41</f>
        <v>0</v>
      </c>
      <c r="G93" s="16">
        <f>G41</f>
        <v>0</v>
      </c>
    </row>
    <row r="94" spans="1:7" ht="11.4" outlineLevel="1" x14ac:dyDescent="0.2">
      <c r="A94" s="85" t="s">
        <v>5628</v>
      </c>
      <c r="B94" s="14" t="s">
        <v>5448</v>
      </c>
      <c r="C94" s="17">
        <f t="shared" si="19"/>
        <v>0</v>
      </c>
      <c r="D94" s="6"/>
      <c r="E94" s="16">
        <f t="shared" ref="E94:E97" si="20">E42</f>
        <v>0</v>
      </c>
      <c r="F94" s="16">
        <f t="shared" ref="F94:G94" si="21">F42</f>
        <v>0</v>
      </c>
      <c r="G94" s="16">
        <f t="shared" si="21"/>
        <v>0</v>
      </c>
    </row>
    <row r="95" spans="1:7" ht="11.4" outlineLevel="1" x14ac:dyDescent="0.2">
      <c r="A95" s="85" t="s">
        <v>5629</v>
      </c>
      <c r="B95" s="14" t="s">
        <v>6410</v>
      </c>
      <c r="C95" s="17">
        <f t="shared" si="19"/>
        <v>0</v>
      </c>
      <c r="D95" s="6"/>
      <c r="E95" s="18">
        <f t="shared" si="20"/>
        <v>0</v>
      </c>
      <c r="F95" s="18">
        <f t="shared" ref="F95:G95" si="22">F43</f>
        <v>0</v>
      </c>
      <c r="G95" s="18">
        <f t="shared" si="22"/>
        <v>0</v>
      </c>
    </row>
    <row r="96" spans="1:7" ht="11.4" outlineLevel="1" x14ac:dyDescent="0.2">
      <c r="A96" s="85" t="s">
        <v>5630</v>
      </c>
      <c r="B96" s="14" t="s">
        <v>6411</v>
      </c>
      <c r="C96" s="17">
        <f t="shared" si="19"/>
        <v>0</v>
      </c>
      <c r="D96" s="6"/>
      <c r="E96" s="18">
        <f t="shared" si="20"/>
        <v>0</v>
      </c>
      <c r="F96" s="18">
        <f t="shared" ref="F96:G96" si="23">F44</f>
        <v>0</v>
      </c>
      <c r="G96" s="18">
        <f t="shared" si="23"/>
        <v>0</v>
      </c>
    </row>
    <row r="97" spans="1:7" ht="11.4" outlineLevel="1" x14ac:dyDescent="0.2">
      <c r="A97" s="85" t="s">
        <v>5631</v>
      </c>
      <c r="B97" s="14" t="s">
        <v>5449</v>
      </c>
      <c r="C97" s="17">
        <f t="shared" si="19"/>
        <v>0</v>
      </c>
      <c r="D97" s="6"/>
      <c r="E97" s="16">
        <f t="shared" si="20"/>
        <v>0</v>
      </c>
      <c r="F97" s="16">
        <f t="shared" ref="F97:G97" si="24">F45</f>
        <v>0</v>
      </c>
      <c r="G97" s="16">
        <f t="shared" si="24"/>
        <v>0</v>
      </c>
    </row>
    <row r="98" spans="1:7" ht="11.4" outlineLevel="1" x14ac:dyDescent="0.2">
      <c r="A98" s="85" t="s">
        <v>4447</v>
      </c>
      <c r="B98" s="703" t="s">
        <v>26</v>
      </c>
      <c r="C98" s="704">
        <f t="shared" si="19"/>
        <v>0</v>
      </c>
      <c r="D98" s="6"/>
      <c r="E98" s="706">
        <f>INDEX('IN_Detr 4.5 del_397'!$A$3:$AAA$1192,MATCH($A98,'IN_Detr 4.5 del_397'!$A$3:$A$1192,0),MATCH(E$3,'IN_Detr 4.5 del_397'!$A$3:$AAA$3,0))</f>
        <v>0</v>
      </c>
      <c r="F98" s="706">
        <f>INDEX('IN_Detr 4.5 del_397'!$A$3:$AAA$1192,MATCH($A98,'IN_Detr 4.5 del_397'!$A$3:$A$1192,0),MATCH(F$3,'IN_Detr 4.5 del_397'!$A$3:$AAA$3,0))</f>
        <v>0</v>
      </c>
      <c r="G98" s="706">
        <f>INDEX('IN_Detr 4.5 del_397'!$A$3:$AAA$1192,MATCH($A98,'IN_Detr 4.5 del_397'!$A$3:$A$1192,0),MATCH(G$3,'IN_Detr 4.5 del_397'!$A$3:$AAA$3,0))</f>
        <v>0</v>
      </c>
    </row>
    <row r="99" spans="1:7" ht="11.4" outlineLevel="1" x14ac:dyDescent="0.2">
      <c r="A99" s="7" t="s">
        <v>6952</v>
      </c>
      <c r="B99" s="705" t="s">
        <v>5450</v>
      </c>
      <c r="C99" s="987">
        <f t="shared" si="19"/>
        <v>0</v>
      </c>
      <c r="D99" s="988"/>
      <c r="E99" s="989">
        <f>INDEX('IN_Detr 4.5 del_397'!$A$3:$AAA$1192,MATCH($A99,'IN_Detr 4.5 del_397'!$A$3:$A$1192,0),MATCH(E$3,'IN_Detr 4.5 del_397'!$A$3:$AAA$3,0))</f>
        <v>0</v>
      </c>
      <c r="F99" s="989">
        <f>INDEX('IN_Detr 4.5 del_397'!$A$3:$AAA$1192,MATCH($A99,'IN_Detr 4.5 del_397'!$A$3:$A$1192,0),MATCH(F$3,'IN_Detr 4.5 del_397'!$A$3:$AAA$3,0))</f>
        <v>0</v>
      </c>
      <c r="G99" s="989">
        <f>INDEX('IN_Detr 4.5 del_397'!$A$3:$AAA$1192,MATCH($A99,'IN_Detr 4.5 del_397'!$A$3:$A$1192,0),MATCH(G$3,'IN_Detr 4.5 del_397'!$A$3:$AAA$3,0))</f>
        <v>0</v>
      </c>
    </row>
    <row r="100" spans="1:7" outlineLevel="1" x14ac:dyDescent="0.2">
      <c r="A100" s="85" t="s">
        <v>4450</v>
      </c>
      <c r="B100" s="14" t="s">
        <v>10</v>
      </c>
      <c r="C100" s="15">
        <f t="shared" si="19"/>
        <v>0</v>
      </c>
      <c r="D100" s="6"/>
      <c r="E100" s="16">
        <f>INDEX('IN_Detr 4.5 del_397'!$A$3:$AAA$1192,MATCH($A100,'IN_Detr 4.5 del_397'!$A$3:$A$1192,0),MATCH(E$3,'IN_Detr 4.5 del_397'!$A$3:$AAA$3,0))</f>
        <v>0</v>
      </c>
      <c r="F100" s="16">
        <f>INDEX('IN_Detr 4.5 del_397'!$A$3:$AAA$1192,MATCH($A100,'IN_Detr 4.5 del_397'!$A$3:$A$1192,0),MATCH(F$3,'IN_Detr 4.5 del_397'!$A$3:$AAA$3,0))</f>
        <v>0</v>
      </c>
      <c r="G100" s="16">
        <f>INDEX('IN_Detr 4.5 del_397'!$A$3:$AAA$1192,MATCH($A100,'IN_Detr 4.5 del_397'!$A$3:$A$1192,0),MATCH(G$3,'IN_Detr 4.5 del_397'!$A$3:$AAA$3,0))</f>
        <v>0</v>
      </c>
    </row>
    <row r="101" spans="1:7" x14ac:dyDescent="0.2">
      <c r="C101" s="25"/>
      <c r="D101" s="6"/>
      <c r="E101" s="5"/>
      <c r="F101" s="5"/>
      <c r="G101" s="5"/>
    </row>
    <row r="102" spans="1:7" ht="19.5" customHeight="1" x14ac:dyDescent="0.2">
      <c r="A102" s="31" t="s">
        <v>5632</v>
      </c>
      <c r="B102" s="700" t="s">
        <v>5605</v>
      </c>
      <c r="C102" s="701">
        <f>SUM(E102:G102)</f>
        <v>45912.895766702641</v>
      </c>
      <c r="D102" s="6"/>
      <c r="E102" s="702">
        <f t="shared" ref="E102" si="25">E56+E76</f>
        <v>0</v>
      </c>
      <c r="F102" s="702">
        <f t="shared" ref="F102:G102" si="26">F56+F76</f>
        <v>0</v>
      </c>
      <c r="G102" s="702">
        <f t="shared" si="26"/>
        <v>45912.895766702641</v>
      </c>
    </row>
  </sheetData>
  <sheetProtection formatColumns="0" formatRows="0"/>
  <pageMargins left="0.70866141732283472" right="0.70866141732283472" top="0.74803149606299213" bottom="0.74803149606299213" header="0.31496062992125984" footer="0.31496062992125984"/>
  <pageSetup paperSize="9" scale="26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0A517-3C74-4AC7-97DF-121C46DA661A}">
  <sheetPr codeName="Foglio36">
    <tabColor rgb="FFFFFFCC"/>
  </sheetPr>
  <dimension ref="A1:E100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J30" sqref="J30"/>
    </sheetView>
  </sheetViews>
  <sheetFormatPr defaultColWidth="9.109375" defaultRowHeight="10.199999999999999" outlineLevelRow="1" x14ac:dyDescent="0.2"/>
  <cols>
    <col min="1" max="1" width="23.109375" style="85" customWidth="1"/>
    <col min="2" max="2" width="71.33203125" style="51" customWidth="1"/>
    <col min="3" max="5" width="13.44140625" style="61" customWidth="1"/>
    <col min="6" max="16384" width="9.109375" style="51"/>
  </cols>
  <sheetData>
    <row r="1" spans="1:5" x14ac:dyDescent="0.2">
      <c r="B1" s="458" t="s">
        <v>6535</v>
      </c>
    </row>
    <row r="2" spans="1:5" x14ac:dyDescent="0.2">
      <c r="B2" s="70"/>
    </row>
    <row r="3" spans="1:5" s="351" customFormat="1" ht="20.399999999999999" x14ac:dyDescent="0.3">
      <c r="A3" s="350"/>
      <c r="B3" s="347"/>
      <c r="C3" s="344" t="str">
        <f>Ambiti!B4</f>
        <v>BUSTO ARSIZIO</v>
      </c>
      <c r="D3" s="344" t="str">
        <f>Ambiti!C4</f>
        <v>FAGNANO OLONA</v>
      </c>
      <c r="E3" s="344" t="str">
        <f>Ambiti!D4</f>
        <v>VENEGONO SUPERIORE</v>
      </c>
    </row>
    <row r="5" spans="1:5" x14ac:dyDescent="0.2">
      <c r="B5" s="457">
        <v>2026</v>
      </c>
    </row>
    <row r="6" spans="1:5" s="351" customFormat="1" ht="11.4" outlineLevel="1" x14ac:dyDescent="0.2">
      <c r="A6" s="7" t="s">
        <v>6571</v>
      </c>
      <c r="B6" s="873" t="s">
        <v>6572</v>
      </c>
      <c r="C6" s="874"/>
      <c r="D6" s="874"/>
      <c r="E6" s="874"/>
    </row>
    <row r="7" spans="1:5" s="351" customFormat="1" ht="11.4" outlineLevel="1" x14ac:dyDescent="0.2">
      <c r="A7" s="7" t="s">
        <v>6570</v>
      </c>
      <c r="B7" s="875" t="s">
        <v>6573</v>
      </c>
      <c r="C7" s="876"/>
      <c r="D7" s="876"/>
      <c r="E7" s="876"/>
    </row>
    <row r="8" spans="1:5" s="351" customFormat="1" outlineLevel="1" x14ac:dyDescent="0.3">
      <c r="A8" s="350"/>
      <c r="C8" s="709"/>
      <c r="D8" s="709"/>
      <c r="E8" s="709"/>
    </row>
    <row r="9" spans="1:5" s="351" customFormat="1" ht="11.4" outlineLevel="1" x14ac:dyDescent="0.2">
      <c r="A9" s="7" t="s">
        <v>6041</v>
      </c>
      <c r="B9" s="192" t="s">
        <v>6045</v>
      </c>
      <c r="C9" s="186">
        <f>INDEX(IN_Rimd!$A$3:$AAA$427,MATCH($A9,IN_Rimd!$A$3:$A$427,0),MATCH(C$3,IN_Rimd!$A$3:$AAA$3,0))</f>
        <v>7914332.885408367</v>
      </c>
      <c r="D9" s="186">
        <f>INDEX(IN_Rimd!$A$3:$AAA$427,MATCH($A9,IN_Rimd!$A$3:$A$427,0),MATCH(D$3,IN_Rimd!$A$3:$AAA$3,0))</f>
        <v>1121291.8505976</v>
      </c>
      <c r="E9" s="186">
        <f>INDEX(IN_Rimd!$A$3:$AAA$427,MATCH($A9,IN_Rimd!$A$3:$A$427,0),MATCH(E$3,IN_Rimd!$A$3:$AAA$3,0))</f>
        <v>0</v>
      </c>
    </row>
    <row r="10" spans="1:5" s="351" customFormat="1" ht="11.4" outlineLevel="1" x14ac:dyDescent="0.2">
      <c r="A10" s="7" t="s">
        <v>6042</v>
      </c>
      <c r="B10" s="194" t="s">
        <v>6046</v>
      </c>
      <c r="C10" s="187">
        <f>INDEX(IN_Rimd!$A$3:$AAA$427,MATCH($A10,IN_Rimd!$A$3:$A$427,0),MATCH(C$3,IN_Rimd!$A$3:$AAA$3,0))</f>
        <v>0</v>
      </c>
      <c r="D10" s="187">
        <f>INDEX(IN_Rimd!$A$3:$AAA$427,MATCH($A10,IN_Rimd!$A$3:$A$427,0),MATCH(D$3,IN_Rimd!$A$3:$AAA$3,0))</f>
        <v>0</v>
      </c>
      <c r="E10" s="187">
        <f>INDEX(IN_Rimd!$A$3:$AAA$427,MATCH($A10,IN_Rimd!$A$3:$A$427,0),MATCH(E$3,IN_Rimd!$A$3:$AAA$3,0))</f>
        <v>0</v>
      </c>
    </row>
    <row r="11" spans="1:5" s="351" customFormat="1" ht="11.4" outlineLevel="1" x14ac:dyDescent="0.2">
      <c r="A11" s="7" t="s">
        <v>1309</v>
      </c>
      <c r="B11" s="717" t="s">
        <v>6047</v>
      </c>
      <c r="C11" s="719">
        <f>C9+C10</f>
        <v>7914332.885408367</v>
      </c>
      <c r="D11" s="719">
        <f>D9+D10</f>
        <v>1121291.8505976</v>
      </c>
      <c r="E11" s="719">
        <f>E9+E10</f>
        <v>0</v>
      </c>
    </row>
    <row r="12" spans="1:5" s="351" customFormat="1" ht="11.4" outlineLevel="1" x14ac:dyDescent="0.2">
      <c r="A12" s="7" t="s">
        <v>6043</v>
      </c>
      <c r="B12" s="192" t="s">
        <v>6048</v>
      </c>
      <c r="C12" s="186">
        <f>INDEX(IN_Rimd!$A$3:$AAA$427,MATCH($A12,IN_Rimd!$A$3:$A$427,0),MATCH(C$3,IN_Rimd!$A$3:$AAA$3,0))</f>
        <v>7531568.5899443226</v>
      </c>
      <c r="D12" s="186">
        <f>INDEX(IN_Rimd!$A$3:$AAA$427,MATCH($A12,IN_Rimd!$A$3:$A$427,0),MATCH(D$3,IN_Rimd!$A$3:$AAA$3,0))</f>
        <v>135159.28338991333</v>
      </c>
      <c r="E12" s="186">
        <f>INDEX(IN_Rimd!$A$3:$AAA$427,MATCH($A12,IN_Rimd!$A$3:$A$427,0),MATCH(E$3,IN_Rimd!$A$3:$AAA$3,0))</f>
        <v>0</v>
      </c>
    </row>
    <row r="13" spans="1:5" s="351" customFormat="1" ht="11.4" outlineLevel="1" x14ac:dyDescent="0.2">
      <c r="A13" s="7" t="s">
        <v>6044</v>
      </c>
      <c r="B13" s="194" t="s">
        <v>6049</v>
      </c>
      <c r="C13" s="187">
        <f>INDEX(IN_Rimd!$A$3:$AAA$427,MATCH($A13,IN_Rimd!$A$3:$A$427,0),MATCH(C$3,IN_Rimd!$A$3:$AAA$3,0))</f>
        <v>0</v>
      </c>
      <c r="D13" s="187">
        <f>INDEX(IN_Rimd!$A$3:$AAA$427,MATCH($A13,IN_Rimd!$A$3:$A$427,0),MATCH(D$3,IN_Rimd!$A$3:$AAA$3,0))</f>
        <v>0</v>
      </c>
      <c r="E13" s="187">
        <f>INDEX(IN_Rimd!$A$3:$AAA$427,MATCH($A13,IN_Rimd!$A$3:$A$427,0),MATCH(E$3,IN_Rimd!$A$3:$AAA$3,0))</f>
        <v>54149.194963047281</v>
      </c>
    </row>
    <row r="14" spans="1:5" s="351" customFormat="1" ht="11.4" outlineLevel="1" x14ac:dyDescent="0.2">
      <c r="A14" s="7" t="s">
        <v>1310</v>
      </c>
      <c r="B14" s="717" t="s">
        <v>6050</v>
      </c>
      <c r="C14" s="719">
        <f>C12+C13</f>
        <v>7531568.5899443226</v>
      </c>
      <c r="D14" s="719">
        <f>D12+D13</f>
        <v>135159.28338991333</v>
      </c>
      <c r="E14" s="719">
        <f>E12+E13</f>
        <v>54149.194963047281</v>
      </c>
    </row>
    <row r="15" spans="1:5" s="351" customFormat="1" ht="11.4" outlineLevel="1" x14ac:dyDescent="0.2">
      <c r="A15" s="7" t="s">
        <v>1311</v>
      </c>
      <c r="B15" s="720" t="s">
        <v>6568</v>
      </c>
      <c r="C15" s="722">
        <f>C11+C14</f>
        <v>15445901.47535269</v>
      </c>
      <c r="D15" s="722">
        <f>D11+D14</f>
        <v>1256451.1339875134</v>
      </c>
      <c r="E15" s="722">
        <f>E11+E14</f>
        <v>54149.194963047281</v>
      </c>
    </row>
    <row r="16" spans="1:5" s="351" customFormat="1" outlineLevel="1" x14ac:dyDescent="0.3">
      <c r="A16" s="350"/>
      <c r="B16" s="348"/>
      <c r="C16" s="709"/>
      <c r="D16" s="709"/>
      <c r="E16" s="709"/>
    </row>
    <row r="17" spans="1:5" s="351" customFormat="1" ht="12" customHeight="1" outlineLevel="1" x14ac:dyDescent="0.3">
      <c r="A17" s="350"/>
      <c r="B17" s="872" t="s">
        <v>6553</v>
      </c>
      <c r="C17" s="709"/>
      <c r="D17" s="709"/>
      <c r="E17" s="709"/>
    </row>
    <row r="18" spans="1:5" s="351" customFormat="1" outlineLevel="1" x14ac:dyDescent="0.3">
      <c r="A18" s="350"/>
      <c r="B18" s="872" t="s">
        <v>6554</v>
      </c>
      <c r="C18" s="709"/>
      <c r="D18" s="709"/>
      <c r="E18" s="709"/>
    </row>
    <row r="19" spans="1:5" s="351" customFormat="1" ht="11.4" outlineLevel="1" x14ac:dyDescent="0.2">
      <c r="A19" s="7" t="s">
        <v>6539</v>
      </c>
      <c r="B19" s="188" t="s">
        <v>6545</v>
      </c>
      <c r="C19" s="196">
        <v>0</v>
      </c>
      <c r="D19" s="196">
        <v>0</v>
      </c>
      <c r="E19" s="196">
        <v>0</v>
      </c>
    </row>
    <row r="20" spans="1:5" s="351" customFormat="1" ht="11.4" outlineLevel="1" x14ac:dyDescent="0.2">
      <c r="A20" s="7" t="s">
        <v>6540</v>
      </c>
      <c r="B20" s="190" t="s">
        <v>6547</v>
      </c>
      <c r="C20" s="197">
        <v>0</v>
      </c>
      <c r="D20" s="197">
        <v>0</v>
      </c>
      <c r="E20" s="197">
        <v>0</v>
      </c>
    </row>
    <row r="21" spans="1:5" s="351" customFormat="1" ht="11.4" outlineLevel="1" x14ac:dyDescent="0.2">
      <c r="A21" s="7" t="s">
        <v>6543</v>
      </c>
      <c r="B21" s="728" t="s">
        <v>6549</v>
      </c>
      <c r="C21" s="144">
        <f>C19+C20</f>
        <v>0</v>
      </c>
      <c r="D21" s="144">
        <f>D19+D20</f>
        <v>0</v>
      </c>
      <c r="E21" s="144">
        <f>E19+E20</f>
        <v>0</v>
      </c>
    </row>
    <row r="22" spans="1:5" s="351" customFormat="1" ht="11.4" outlineLevel="1" x14ac:dyDescent="0.2">
      <c r="A22" s="7" t="s">
        <v>6541</v>
      </c>
      <c r="B22" s="188" t="s">
        <v>6546</v>
      </c>
      <c r="C22" s="196">
        <v>0</v>
      </c>
      <c r="D22" s="196">
        <v>0</v>
      </c>
      <c r="E22" s="196">
        <v>0</v>
      </c>
    </row>
    <row r="23" spans="1:5" s="351" customFormat="1" ht="11.4" outlineLevel="1" x14ac:dyDescent="0.2">
      <c r="A23" s="7" t="s">
        <v>6542</v>
      </c>
      <c r="B23" s="190" t="s">
        <v>6548</v>
      </c>
      <c r="C23" s="197">
        <v>0</v>
      </c>
      <c r="D23" s="197">
        <v>0</v>
      </c>
      <c r="E23" s="197">
        <v>0</v>
      </c>
    </row>
    <row r="24" spans="1:5" s="351" customFormat="1" ht="11.4" outlineLevel="1" x14ac:dyDescent="0.2">
      <c r="A24" s="7" t="s">
        <v>6544</v>
      </c>
      <c r="B24" s="728" t="s">
        <v>6550</v>
      </c>
      <c r="C24" s="144">
        <f>C22+C23</f>
        <v>0</v>
      </c>
      <c r="D24" s="144">
        <f>D22+D23</f>
        <v>0</v>
      </c>
      <c r="E24" s="144">
        <f>E22+E23</f>
        <v>0</v>
      </c>
    </row>
    <row r="25" spans="1:5" s="351" customFormat="1" ht="11.4" outlineLevel="1" x14ac:dyDescent="0.2">
      <c r="A25" s="7" t="s">
        <v>6551</v>
      </c>
      <c r="B25" s="728" t="s">
        <v>6552</v>
      </c>
      <c r="C25" s="144">
        <f>C21+C24</f>
        <v>0</v>
      </c>
      <c r="D25" s="144">
        <f>D21+D24</f>
        <v>0</v>
      </c>
      <c r="E25" s="144">
        <f>E21+E24</f>
        <v>0</v>
      </c>
    </row>
    <row r="26" spans="1:5" s="351" customFormat="1" outlineLevel="1" x14ac:dyDescent="0.3">
      <c r="A26" s="350"/>
      <c r="B26" s="348"/>
      <c r="C26" s="709"/>
      <c r="D26" s="709"/>
      <c r="E26" s="709"/>
    </row>
    <row r="27" spans="1:5" s="351" customFormat="1" ht="11.4" outlineLevel="1" x14ac:dyDescent="0.2">
      <c r="A27" s="7" t="s">
        <v>6555</v>
      </c>
      <c r="B27" s="192" t="s">
        <v>6562</v>
      </c>
      <c r="C27" s="186">
        <f t="shared" ref="C27:E28" si="0">C9+C19</f>
        <v>7914332.885408367</v>
      </c>
      <c r="D27" s="186">
        <f t="shared" si="0"/>
        <v>1121291.8505976</v>
      </c>
      <c r="E27" s="186">
        <f t="shared" si="0"/>
        <v>0</v>
      </c>
    </row>
    <row r="28" spans="1:5" s="351" customFormat="1" ht="11.4" outlineLevel="1" x14ac:dyDescent="0.2">
      <c r="A28" s="7" t="s">
        <v>6556</v>
      </c>
      <c r="B28" s="194" t="s">
        <v>6563</v>
      </c>
      <c r="C28" s="187">
        <f t="shared" si="0"/>
        <v>0</v>
      </c>
      <c r="D28" s="187">
        <f t="shared" si="0"/>
        <v>0</v>
      </c>
      <c r="E28" s="187">
        <f t="shared" si="0"/>
        <v>0</v>
      </c>
    </row>
    <row r="29" spans="1:5" s="351" customFormat="1" ht="11.4" outlineLevel="1" x14ac:dyDescent="0.2">
      <c r="A29" s="7" t="s">
        <v>6557</v>
      </c>
      <c r="B29" s="717" t="s">
        <v>6564</v>
      </c>
      <c r="C29" s="719">
        <f>C27+C28</f>
        <v>7914332.885408367</v>
      </c>
      <c r="D29" s="719">
        <f>D27+D28</f>
        <v>1121291.8505976</v>
      </c>
      <c r="E29" s="719">
        <f>E27+E28</f>
        <v>0</v>
      </c>
    </row>
    <row r="30" spans="1:5" s="351" customFormat="1" ht="11.4" outlineLevel="1" x14ac:dyDescent="0.2">
      <c r="A30" s="7" t="s">
        <v>6558</v>
      </c>
      <c r="B30" s="192" t="s">
        <v>6565</v>
      </c>
      <c r="C30" s="186">
        <f t="shared" ref="C30" si="1">C12+C22</f>
        <v>7531568.5899443226</v>
      </c>
      <c r="D30" s="186">
        <f t="shared" ref="D30:E30" si="2">D12+D22</f>
        <v>135159.28338991333</v>
      </c>
      <c r="E30" s="186">
        <f t="shared" si="2"/>
        <v>0</v>
      </c>
    </row>
    <row r="31" spans="1:5" s="351" customFormat="1" ht="11.4" outlineLevel="1" x14ac:dyDescent="0.2">
      <c r="A31" s="7" t="s">
        <v>6559</v>
      </c>
      <c r="B31" s="194" t="s">
        <v>6566</v>
      </c>
      <c r="C31" s="187">
        <f t="shared" ref="C31" si="3">C13+C23</f>
        <v>0</v>
      </c>
      <c r="D31" s="187">
        <f t="shared" ref="D31:E31" si="4">D13+D23</f>
        <v>0</v>
      </c>
      <c r="E31" s="187">
        <f t="shared" si="4"/>
        <v>54149.194963047281</v>
      </c>
    </row>
    <row r="32" spans="1:5" s="351" customFormat="1" ht="11.4" outlineLevel="1" x14ac:dyDescent="0.2">
      <c r="A32" s="7" t="s">
        <v>6560</v>
      </c>
      <c r="B32" s="717" t="s">
        <v>6567</v>
      </c>
      <c r="C32" s="719">
        <f>C30+C31</f>
        <v>7531568.5899443226</v>
      </c>
      <c r="D32" s="719">
        <f>D30+D31</f>
        <v>135159.28338991333</v>
      </c>
      <c r="E32" s="719">
        <f>E30+E31</f>
        <v>54149.194963047281</v>
      </c>
    </row>
    <row r="33" spans="1:5" s="351" customFormat="1" ht="11.4" outlineLevel="1" x14ac:dyDescent="0.2">
      <c r="A33" s="7" t="s">
        <v>8615</v>
      </c>
      <c r="B33" s="192" t="s">
        <v>8618</v>
      </c>
      <c r="C33" s="186">
        <f t="shared" ref="C33:E34" si="5">C27+C30</f>
        <v>15445901.47535269</v>
      </c>
      <c r="D33" s="186">
        <f t="shared" si="5"/>
        <v>1256451.1339875134</v>
      </c>
      <c r="E33" s="186">
        <f t="shared" si="5"/>
        <v>0</v>
      </c>
    </row>
    <row r="34" spans="1:5" s="351" customFormat="1" ht="11.4" outlineLevel="1" x14ac:dyDescent="0.2">
      <c r="A34" s="7" t="s">
        <v>8616</v>
      </c>
      <c r="B34" s="194" t="s">
        <v>8617</v>
      </c>
      <c r="C34" s="187">
        <f t="shared" si="5"/>
        <v>0</v>
      </c>
      <c r="D34" s="187">
        <f t="shared" si="5"/>
        <v>0</v>
      </c>
      <c r="E34" s="187">
        <f t="shared" si="5"/>
        <v>54149.194963047281</v>
      </c>
    </row>
    <row r="35" spans="1:5" s="351" customFormat="1" ht="11.4" x14ac:dyDescent="0.2">
      <c r="A35" s="7" t="s">
        <v>6561</v>
      </c>
      <c r="B35" s="720" t="s">
        <v>6569</v>
      </c>
      <c r="C35" s="722">
        <f>C33+C34</f>
        <v>15445901.47535269</v>
      </c>
      <c r="D35" s="722">
        <f>D33+D34</f>
        <v>1256451.1339875134</v>
      </c>
      <c r="E35" s="722">
        <f>E33+E34</f>
        <v>54149.194963047281</v>
      </c>
    </row>
    <row r="36" spans="1:5" s="351" customFormat="1" x14ac:dyDescent="0.3">
      <c r="A36" s="350"/>
      <c r="B36" s="348"/>
      <c r="C36" s="709"/>
      <c r="D36" s="709"/>
      <c r="E36" s="709"/>
    </row>
    <row r="37" spans="1:5" x14ac:dyDescent="0.2">
      <c r="B37" s="457">
        <v>2027</v>
      </c>
    </row>
    <row r="38" spans="1:5" s="351" customFormat="1" ht="11.4" outlineLevel="1" x14ac:dyDescent="0.2">
      <c r="A38" s="7" t="s">
        <v>6574</v>
      </c>
      <c r="B38" s="873" t="s">
        <v>6590</v>
      </c>
      <c r="C38" s="874"/>
      <c r="D38" s="874"/>
      <c r="E38" s="874"/>
    </row>
    <row r="39" spans="1:5" s="351" customFormat="1" ht="11.4" outlineLevel="1" x14ac:dyDescent="0.2">
      <c r="A39" s="7" t="s">
        <v>6575</v>
      </c>
      <c r="B39" s="875" t="s">
        <v>6591</v>
      </c>
      <c r="C39" s="876"/>
      <c r="D39" s="876"/>
      <c r="E39" s="876"/>
    </row>
    <row r="40" spans="1:5" s="351" customFormat="1" outlineLevel="1" x14ac:dyDescent="0.3">
      <c r="A40" s="350"/>
      <c r="C40" s="709"/>
      <c r="D40" s="709"/>
      <c r="E40" s="709"/>
    </row>
    <row r="41" spans="1:5" s="351" customFormat="1" ht="11.4" outlineLevel="1" x14ac:dyDescent="0.2">
      <c r="A41" s="7" t="s">
        <v>6105</v>
      </c>
      <c r="B41" s="192" t="s">
        <v>6133</v>
      </c>
      <c r="C41" s="186">
        <f>INDEX(IN_Rimd!$A$3:$AAA$427,MATCH($A41,IN_Rimd!$A$3:$A$427,0),MATCH(C$3,IN_Rimd!$A$3:$AAA$3,0))</f>
        <v>8408263.5876249541</v>
      </c>
      <c r="D41" s="186">
        <f>INDEX(IN_Rimd!$A$3:$AAA$427,MATCH($A41,IN_Rimd!$A$3:$A$427,0),MATCH(D$3,IN_Rimd!$A$3:$AAA$3,0))</f>
        <v>1121291.8505976</v>
      </c>
      <c r="E41" s="186">
        <f>INDEX(IN_Rimd!$A$3:$AAA$427,MATCH($A41,IN_Rimd!$A$3:$A$427,0),MATCH(E$3,IN_Rimd!$A$3:$AAA$3,0))</f>
        <v>720413.61392000003</v>
      </c>
    </row>
    <row r="42" spans="1:5" s="351" customFormat="1" ht="11.4" outlineLevel="1" x14ac:dyDescent="0.2">
      <c r="A42" s="7" t="s">
        <v>6106</v>
      </c>
      <c r="B42" s="194" t="s">
        <v>6134</v>
      </c>
      <c r="C42" s="187">
        <f>INDEX(IN_Rimd!$A$3:$AAA$427,MATCH($A42,IN_Rimd!$A$3:$A$427,0),MATCH(C$3,IN_Rimd!$A$3:$AAA$3,0))</f>
        <v>0</v>
      </c>
      <c r="D42" s="187">
        <f>INDEX(IN_Rimd!$A$3:$AAA$427,MATCH($A42,IN_Rimd!$A$3:$A$427,0),MATCH(D$3,IN_Rimd!$A$3:$AAA$3,0))</f>
        <v>0</v>
      </c>
      <c r="E42" s="187">
        <f>INDEX(IN_Rimd!$A$3:$AAA$427,MATCH($A42,IN_Rimd!$A$3:$A$427,0),MATCH(E$3,IN_Rimd!$A$3:$AAA$3,0))</f>
        <v>0</v>
      </c>
    </row>
    <row r="43" spans="1:5" s="351" customFormat="1" ht="11.4" outlineLevel="1" x14ac:dyDescent="0.2">
      <c r="A43" s="7" t="s">
        <v>1322</v>
      </c>
      <c r="B43" s="717" t="s">
        <v>6135</v>
      </c>
      <c r="C43" s="719">
        <f>C41+C42</f>
        <v>8408263.5876249541</v>
      </c>
      <c r="D43" s="719">
        <f>D41+D42</f>
        <v>1121291.8505976</v>
      </c>
      <c r="E43" s="719">
        <f>E41+E42</f>
        <v>720413.61392000003</v>
      </c>
    </row>
    <row r="44" spans="1:5" s="351" customFormat="1" ht="11.4" outlineLevel="1" x14ac:dyDescent="0.2">
      <c r="A44" s="7" t="s">
        <v>6107</v>
      </c>
      <c r="B44" s="192" t="s">
        <v>6136</v>
      </c>
      <c r="C44" s="186">
        <f>INDEX(IN_Rimd!$A$3:$AAA$427,MATCH($A44,IN_Rimd!$A$3:$A$427,0),MATCH(C$3,IN_Rimd!$A$3:$AAA$3,0))</f>
        <v>7331110.0157594364</v>
      </c>
      <c r="D44" s="186">
        <f>INDEX(IN_Rimd!$A$3:$AAA$427,MATCH($A44,IN_Rimd!$A$3:$A$427,0),MATCH(D$3,IN_Rimd!$A$3:$AAA$3,0))</f>
        <v>129706.70226632972</v>
      </c>
      <c r="E44" s="186">
        <f>INDEX(IN_Rimd!$A$3:$AAA$427,MATCH($A44,IN_Rimd!$A$3:$A$427,0),MATCH(E$3,IN_Rimd!$A$3:$AAA$3,0))</f>
        <v>119929.02373263093</v>
      </c>
    </row>
    <row r="45" spans="1:5" s="351" customFormat="1" ht="11.4" outlineLevel="1" x14ac:dyDescent="0.2">
      <c r="A45" s="7" t="s">
        <v>6108</v>
      </c>
      <c r="B45" s="194" t="s">
        <v>6137</v>
      </c>
      <c r="C45" s="187">
        <f>INDEX(IN_Rimd!$A$3:$AAA$427,MATCH($A45,IN_Rimd!$A$3:$A$427,0),MATCH(C$3,IN_Rimd!$A$3:$AAA$3,0))</f>
        <v>0</v>
      </c>
      <c r="D45" s="187">
        <f>INDEX(IN_Rimd!$A$3:$AAA$427,MATCH($A45,IN_Rimd!$A$3:$A$427,0),MATCH(D$3,IN_Rimd!$A$3:$AAA$3,0))</f>
        <v>0</v>
      </c>
      <c r="E45" s="187">
        <f>INDEX(IN_Rimd!$A$3:$AAA$427,MATCH($A45,IN_Rimd!$A$3:$A$427,0),MATCH(E$3,IN_Rimd!$A$3:$AAA$3,0))</f>
        <v>52902.058472230645</v>
      </c>
    </row>
    <row r="46" spans="1:5" s="351" customFormat="1" ht="11.4" outlineLevel="1" x14ac:dyDescent="0.2">
      <c r="A46" s="7" t="s">
        <v>1323</v>
      </c>
      <c r="B46" s="717" t="s">
        <v>6138</v>
      </c>
      <c r="C46" s="719">
        <f>C44+C45</f>
        <v>7331110.0157594364</v>
      </c>
      <c r="D46" s="719">
        <f>D44+D45</f>
        <v>129706.70226632972</v>
      </c>
      <c r="E46" s="719">
        <f>E44+E45</f>
        <v>172831.08220486157</v>
      </c>
    </row>
    <row r="47" spans="1:5" s="351" customFormat="1" ht="11.4" outlineLevel="1" x14ac:dyDescent="0.2">
      <c r="A47" s="7" t="s">
        <v>1324</v>
      </c>
      <c r="B47" s="720" t="s">
        <v>6592</v>
      </c>
      <c r="C47" s="722">
        <f>C43+C46</f>
        <v>15739373.60338439</v>
      </c>
      <c r="D47" s="722">
        <f>D43+D46</f>
        <v>1250998.5528639297</v>
      </c>
      <c r="E47" s="722">
        <f>E43+E46</f>
        <v>893244.6961248616</v>
      </c>
    </row>
    <row r="48" spans="1:5" s="351" customFormat="1" outlineLevel="1" x14ac:dyDescent="0.3">
      <c r="A48" s="350"/>
      <c r="B48" s="348"/>
      <c r="C48" s="709"/>
      <c r="D48" s="709"/>
      <c r="E48" s="709"/>
    </row>
    <row r="49" spans="1:5" s="351" customFormat="1" ht="12" customHeight="1" outlineLevel="1" x14ac:dyDescent="0.3">
      <c r="A49" s="350"/>
      <c r="B49" s="872" t="s">
        <v>6553</v>
      </c>
      <c r="C49" s="709"/>
      <c r="D49" s="709"/>
      <c r="E49" s="709"/>
    </row>
    <row r="50" spans="1:5" s="351" customFormat="1" outlineLevel="1" x14ac:dyDescent="0.3">
      <c r="A50" s="350"/>
      <c r="B50" s="872" t="s">
        <v>6554</v>
      </c>
      <c r="C50" s="709"/>
      <c r="D50" s="709"/>
      <c r="E50" s="709"/>
    </row>
    <row r="51" spans="1:5" s="351" customFormat="1" ht="11.4" outlineLevel="1" x14ac:dyDescent="0.2">
      <c r="A51" s="7" t="s">
        <v>6576</v>
      </c>
      <c r="B51" s="188" t="s">
        <v>6593</v>
      </c>
      <c r="C51" s="196">
        <v>0</v>
      </c>
      <c r="D51" s="196">
        <v>0</v>
      </c>
      <c r="E51" s="196">
        <v>0</v>
      </c>
    </row>
    <row r="52" spans="1:5" s="351" customFormat="1" ht="11.4" outlineLevel="1" x14ac:dyDescent="0.2">
      <c r="A52" s="7" t="s">
        <v>6577</v>
      </c>
      <c r="B52" s="190" t="s">
        <v>6594</v>
      </c>
      <c r="C52" s="197">
        <v>0</v>
      </c>
      <c r="D52" s="197">
        <v>0</v>
      </c>
      <c r="E52" s="197">
        <v>0</v>
      </c>
    </row>
    <row r="53" spans="1:5" s="351" customFormat="1" ht="11.4" outlineLevel="1" x14ac:dyDescent="0.2">
      <c r="A53" s="7" t="s">
        <v>6578</v>
      </c>
      <c r="B53" s="728" t="s">
        <v>6595</v>
      </c>
      <c r="C53" s="144">
        <f>C51+C52</f>
        <v>0</v>
      </c>
      <c r="D53" s="144">
        <f>D51+D52</f>
        <v>0</v>
      </c>
      <c r="E53" s="144">
        <f>E51+E52</f>
        <v>0</v>
      </c>
    </row>
    <row r="54" spans="1:5" s="351" customFormat="1" ht="11.4" outlineLevel="1" x14ac:dyDescent="0.2">
      <c r="A54" s="7" t="s">
        <v>6579</v>
      </c>
      <c r="B54" s="188" t="s">
        <v>6596</v>
      </c>
      <c r="C54" s="196">
        <v>0</v>
      </c>
      <c r="D54" s="196">
        <v>0</v>
      </c>
      <c r="E54" s="196">
        <v>0</v>
      </c>
    </row>
    <row r="55" spans="1:5" s="351" customFormat="1" ht="11.4" outlineLevel="1" x14ac:dyDescent="0.2">
      <c r="A55" s="7" t="s">
        <v>6580</v>
      </c>
      <c r="B55" s="190" t="s">
        <v>6597</v>
      </c>
      <c r="C55" s="197">
        <v>0</v>
      </c>
      <c r="D55" s="197">
        <v>0</v>
      </c>
      <c r="E55" s="197">
        <v>0</v>
      </c>
    </row>
    <row r="56" spans="1:5" s="351" customFormat="1" ht="11.4" outlineLevel="1" x14ac:dyDescent="0.2">
      <c r="A56" s="7" t="s">
        <v>6581</v>
      </c>
      <c r="B56" s="728" t="s">
        <v>6598</v>
      </c>
      <c r="C56" s="144">
        <f>C54+C55</f>
        <v>0</v>
      </c>
      <c r="D56" s="144">
        <f>D54+D55</f>
        <v>0</v>
      </c>
      <c r="E56" s="144">
        <f>E54+E55</f>
        <v>0</v>
      </c>
    </row>
    <row r="57" spans="1:5" s="351" customFormat="1" ht="11.4" outlineLevel="1" x14ac:dyDescent="0.2">
      <c r="A57" s="7" t="s">
        <v>6582</v>
      </c>
      <c r="B57" s="728" t="s">
        <v>6599</v>
      </c>
      <c r="C57" s="144">
        <f>C53+C56</f>
        <v>0</v>
      </c>
      <c r="D57" s="144">
        <f>D53+D56</f>
        <v>0</v>
      </c>
      <c r="E57" s="144">
        <f>E53+E56</f>
        <v>0</v>
      </c>
    </row>
    <row r="58" spans="1:5" s="351" customFormat="1" outlineLevel="1" x14ac:dyDescent="0.3">
      <c r="A58" s="350"/>
      <c r="B58" s="348"/>
      <c r="C58" s="709"/>
      <c r="D58" s="709"/>
      <c r="E58" s="709"/>
    </row>
    <row r="59" spans="1:5" s="351" customFormat="1" ht="11.4" outlineLevel="1" x14ac:dyDescent="0.2">
      <c r="A59" s="7" t="s">
        <v>6583</v>
      </c>
      <c r="B59" s="192" t="s">
        <v>6600</v>
      </c>
      <c r="C59" s="186">
        <f t="shared" ref="C59:E60" si="6">C41+C51</f>
        <v>8408263.5876249541</v>
      </c>
      <c r="D59" s="186">
        <f t="shared" si="6"/>
        <v>1121291.8505976</v>
      </c>
      <c r="E59" s="186">
        <f t="shared" si="6"/>
        <v>720413.61392000003</v>
      </c>
    </row>
    <row r="60" spans="1:5" s="351" customFormat="1" ht="11.4" outlineLevel="1" x14ac:dyDescent="0.2">
      <c r="A60" s="7" t="s">
        <v>6584</v>
      </c>
      <c r="B60" s="194" t="s">
        <v>6601</v>
      </c>
      <c r="C60" s="187">
        <f t="shared" si="6"/>
        <v>0</v>
      </c>
      <c r="D60" s="187">
        <f t="shared" si="6"/>
        <v>0</v>
      </c>
      <c r="E60" s="187">
        <f t="shared" si="6"/>
        <v>0</v>
      </c>
    </row>
    <row r="61" spans="1:5" s="351" customFormat="1" ht="11.4" outlineLevel="1" x14ac:dyDescent="0.2">
      <c r="A61" s="7" t="s">
        <v>6585</v>
      </c>
      <c r="B61" s="717" t="s">
        <v>6602</v>
      </c>
      <c r="C61" s="719">
        <f>C59+C60</f>
        <v>8408263.5876249541</v>
      </c>
      <c r="D61" s="719">
        <f>D59+D60</f>
        <v>1121291.8505976</v>
      </c>
      <c r="E61" s="719">
        <f>E59+E60</f>
        <v>720413.61392000003</v>
      </c>
    </row>
    <row r="62" spans="1:5" s="351" customFormat="1" ht="11.4" outlineLevel="1" x14ac:dyDescent="0.2">
      <c r="A62" s="7" t="s">
        <v>6586</v>
      </c>
      <c r="B62" s="192" t="s">
        <v>6603</v>
      </c>
      <c r="C62" s="186">
        <f t="shared" ref="C62" si="7">C44+C54</f>
        <v>7331110.0157594364</v>
      </c>
      <c r="D62" s="186">
        <f t="shared" ref="D62:E62" si="8">D44+D54</f>
        <v>129706.70226632972</v>
      </c>
      <c r="E62" s="186">
        <f t="shared" si="8"/>
        <v>119929.02373263093</v>
      </c>
    </row>
    <row r="63" spans="1:5" s="351" customFormat="1" ht="11.4" outlineLevel="1" x14ac:dyDescent="0.2">
      <c r="A63" s="7" t="s">
        <v>6587</v>
      </c>
      <c r="B63" s="194" t="s">
        <v>6604</v>
      </c>
      <c r="C63" s="187">
        <f t="shared" ref="C63" si="9">C45+C55</f>
        <v>0</v>
      </c>
      <c r="D63" s="187">
        <f t="shared" ref="D63:E63" si="10">D45+D55</f>
        <v>0</v>
      </c>
      <c r="E63" s="187">
        <f t="shared" si="10"/>
        <v>52902.058472230645</v>
      </c>
    </row>
    <row r="64" spans="1:5" s="351" customFormat="1" ht="11.4" outlineLevel="1" x14ac:dyDescent="0.2">
      <c r="A64" s="7" t="s">
        <v>6588</v>
      </c>
      <c r="B64" s="717" t="s">
        <v>6605</v>
      </c>
      <c r="C64" s="719">
        <f>C62+C63</f>
        <v>7331110.0157594364</v>
      </c>
      <c r="D64" s="719">
        <f>D62+D63</f>
        <v>129706.70226632972</v>
      </c>
      <c r="E64" s="719">
        <f>E62+E63</f>
        <v>172831.08220486157</v>
      </c>
    </row>
    <row r="65" spans="1:5" s="351" customFormat="1" ht="11.4" outlineLevel="1" x14ac:dyDescent="0.2">
      <c r="A65" s="7" t="s">
        <v>8619</v>
      </c>
      <c r="B65" s="192" t="s">
        <v>8623</v>
      </c>
      <c r="C65" s="186">
        <f t="shared" ref="C65:E66" si="11">C59+C62</f>
        <v>15739373.60338439</v>
      </c>
      <c r="D65" s="186">
        <f t="shared" si="11"/>
        <v>1250998.5528639297</v>
      </c>
      <c r="E65" s="186">
        <f t="shared" si="11"/>
        <v>840342.63765263092</v>
      </c>
    </row>
    <row r="66" spans="1:5" s="351" customFormat="1" ht="11.4" outlineLevel="1" x14ac:dyDescent="0.2">
      <c r="A66" s="7" t="s">
        <v>8620</v>
      </c>
      <c r="B66" s="194" t="s">
        <v>8624</v>
      </c>
      <c r="C66" s="187">
        <f t="shared" si="11"/>
        <v>0</v>
      </c>
      <c r="D66" s="187">
        <f t="shared" si="11"/>
        <v>0</v>
      </c>
      <c r="E66" s="187">
        <f t="shared" si="11"/>
        <v>52902.058472230645</v>
      </c>
    </row>
    <row r="67" spans="1:5" s="351" customFormat="1" ht="11.4" x14ac:dyDescent="0.2">
      <c r="A67" s="7" t="s">
        <v>6589</v>
      </c>
      <c r="B67" s="720" t="s">
        <v>6606</v>
      </c>
      <c r="C67" s="722">
        <f>C65+C66</f>
        <v>15739373.60338439</v>
      </c>
      <c r="D67" s="722">
        <f>D65+D66</f>
        <v>1250998.5528639297</v>
      </c>
      <c r="E67" s="722">
        <f>E65+E66</f>
        <v>893244.6961248616</v>
      </c>
    </row>
    <row r="68" spans="1:5" s="351" customFormat="1" x14ac:dyDescent="0.3">
      <c r="A68" s="350"/>
      <c r="B68" s="348"/>
      <c r="C68" s="709"/>
      <c r="D68" s="709"/>
      <c r="E68" s="709"/>
    </row>
    <row r="69" spans="1:5" x14ac:dyDescent="0.2">
      <c r="B69" s="457">
        <v>2028</v>
      </c>
    </row>
    <row r="70" spans="1:5" s="351" customFormat="1" ht="11.4" outlineLevel="1" x14ac:dyDescent="0.2">
      <c r="A70" s="7" t="s">
        <v>6607</v>
      </c>
      <c r="B70" s="873" t="s">
        <v>6623</v>
      </c>
      <c r="C70" s="874"/>
      <c r="D70" s="874"/>
      <c r="E70" s="874"/>
    </row>
    <row r="71" spans="1:5" s="351" customFormat="1" ht="11.4" outlineLevel="1" x14ac:dyDescent="0.2">
      <c r="A71" s="7" t="s">
        <v>6608</v>
      </c>
      <c r="B71" s="875" t="s">
        <v>6624</v>
      </c>
      <c r="C71" s="876"/>
      <c r="D71" s="876"/>
      <c r="E71" s="876"/>
    </row>
    <row r="72" spans="1:5" s="351" customFormat="1" outlineLevel="1" x14ac:dyDescent="0.3">
      <c r="A72" s="350"/>
      <c r="C72" s="709"/>
      <c r="D72" s="709"/>
      <c r="E72" s="709"/>
    </row>
    <row r="73" spans="1:5" s="351" customFormat="1" ht="11.4" outlineLevel="1" x14ac:dyDescent="0.2">
      <c r="A73" s="7" t="s">
        <v>6160</v>
      </c>
      <c r="B73" s="192" t="s">
        <v>6200</v>
      </c>
      <c r="C73" s="186">
        <f>INDEX(IN_Rimd!$A$3:$AAA$427,MATCH($A73,IN_Rimd!$A$3:$A$427,0),MATCH(C$3,IN_Rimd!$A$3:$AAA$3,0))</f>
        <v>8252633.5304478202</v>
      </c>
      <c r="D73" s="186">
        <f>INDEX(IN_Rimd!$A$3:$AAA$427,MATCH($A73,IN_Rimd!$A$3:$A$427,0),MATCH(D$3,IN_Rimd!$A$3:$AAA$3,0))</f>
        <v>1121291.8505976</v>
      </c>
      <c r="E73" s="186">
        <f>INDEX(IN_Rimd!$A$3:$AAA$427,MATCH($A73,IN_Rimd!$A$3:$A$427,0),MATCH(E$3,IN_Rimd!$A$3:$AAA$3,0))</f>
        <v>720413.61392000003</v>
      </c>
    </row>
    <row r="74" spans="1:5" s="351" customFormat="1" ht="11.4" outlineLevel="1" x14ac:dyDescent="0.2">
      <c r="A74" s="7" t="s">
        <v>6161</v>
      </c>
      <c r="B74" s="194" t="s">
        <v>6201</v>
      </c>
      <c r="C74" s="187">
        <f>INDEX(IN_Rimd!$A$3:$AAA$427,MATCH($A74,IN_Rimd!$A$3:$A$427,0),MATCH(C$3,IN_Rimd!$A$3:$AAA$3,0))</f>
        <v>0</v>
      </c>
      <c r="D74" s="187">
        <f>INDEX(IN_Rimd!$A$3:$AAA$427,MATCH($A74,IN_Rimd!$A$3:$A$427,0),MATCH(D$3,IN_Rimd!$A$3:$AAA$3,0))</f>
        <v>0</v>
      </c>
      <c r="E74" s="187">
        <f>INDEX(IN_Rimd!$A$3:$AAA$427,MATCH($A74,IN_Rimd!$A$3:$A$427,0),MATCH(E$3,IN_Rimd!$A$3:$AAA$3,0))</f>
        <v>0</v>
      </c>
    </row>
    <row r="75" spans="1:5" s="351" customFormat="1" ht="11.4" outlineLevel="1" x14ac:dyDescent="0.2">
      <c r="A75" s="7" t="s">
        <v>6162</v>
      </c>
      <c r="B75" s="717" t="s">
        <v>6202</v>
      </c>
      <c r="C75" s="719">
        <f>C73+C74</f>
        <v>8252633.5304478202</v>
      </c>
      <c r="D75" s="719">
        <f>D73+D74</f>
        <v>1121291.8505976</v>
      </c>
      <c r="E75" s="719">
        <f>E73+E74</f>
        <v>720413.61392000003</v>
      </c>
    </row>
    <row r="76" spans="1:5" s="351" customFormat="1" ht="11.4" outlineLevel="1" x14ac:dyDescent="0.2">
      <c r="A76" s="7" t="s">
        <v>6163</v>
      </c>
      <c r="B76" s="192" t="s">
        <v>6203</v>
      </c>
      <c r="C76" s="186">
        <f>INDEX(IN_Rimd!$A$3:$AAA$427,MATCH($A76,IN_Rimd!$A$3:$A$427,0),MATCH(C$3,IN_Rimd!$A$3:$AAA$3,0))</f>
        <v>6964646.892502577</v>
      </c>
      <c r="D76" s="186">
        <f>INDEX(IN_Rimd!$A$3:$AAA$427,MATCH($A76,IN_Rimd!$A$3:$A$427,0),MATCH(D$3,IN_Rimd!$A$3:$AAA$3,0))</f>
        <v>123153.1330120179</v>
      </c>
      <c r="E76" s="186">
        <f>INDEX(IN_Rimd!$A$3:$AAA$427,MATCH($A76,IN_Rimd!$A$3:$A$427,0),MATCH(E$3,IN_Rimd!$A$3:$AAA$3,0))</f>
        <v>119929.02373263093</v>
      </c>
    </row>
    <row r="77" spans="1:5" s="351" customFormat="1" ht="11.4" outlineLevel="1" x14ac:dyDescent="0.2">
      <c r="A77" s="7" t="s">
        <v>6164</v>
      </c>
      <c r="B77" s="194" t="s">
        <v>6204</v>
      </c>
      <c r="C77" s="187">
        <f>INDEX(IN_Rimd!$A$3:$AAA$427,MATCH($A77,IN_Rimd!$A$3:$A$427,0),MATCH(C$3,IN_Rimd!$A$3:$AAA$3,0))</f>
        <v>0</v>
      </c>
      <c r="D77" s="187">
        <f>INDEX(IN_Rimd!$A$3:$AAA$427,MATCH($A77,IN_Rimd!$A$3:$A$427,0),MATCH(D$3,IN_Rimd!$A$3:$AAA$3,0))</f>
        <v>0</v>
      </c>
      <c r="E77" s="187">
        <f>INDEX(IN_Rimd!$A$3:$AAA$427,MATCH($A77,IN_Rimd!$A$3:$A$427,0),MATCH(E$3,IN_Rimd!$A$3:$AAA$3,0))</f>
        <v>48623.568806579729</v>
      </c>
    </row>
    <row r="78" spans="1:5" s="351" customFormat="1" ht="11.4" outlineLevel="1" x14ac:dyDescent="0.2">
      <c r="A78" s="7" t="s">
        <v>6165</v>
      </c>
      <c r="B78" s="717" t="s">
        <v>6205</v>
      </c>
      <c r="C78" s="719">
        <f>C76+C77</f>
        <v>6964646.892502577</v>
      </c>
      <c r="D78" s="719">
        <f>D76+D77</f>
        <v>123153.1330120179</v>
      </c>
      <c r="E78" s="719">
        <f>E76+E77</f>
        <v>168552.59253921066</v>
      </c>
    </row>
    <row r="79" spans="1:5" s="351" customFormat="1" ht="11.4" outlineLevel="1" x14ac:dyDescent="0.2">
      <c r="A79" s="7" t="s">
        <v>1538</v>
      </c>
      <c r="B79" s="720" t="s">
        <v>6625</v>
      </c>
      <c r="C79" s="722">
        <f>C75+C78</f>
        <v>15217280.422950398</v>
      </c>
      <c r="D79" s="722">
        <f>D75+D78</f>
        <v>1244444.9836096179</v>
      </c>
      <c r="E79" s="722">
        <f>E75+E78</f>
        <v>888966.20645921072</v>
      </c>
    </row>
    <row r="80" spans="1:5" s="351" customFormat="1" outlineLevel="1" x14ac:dyDescent="0.3">
      <c r="A80" s="350"/>
      <c r="B80" s="348"/>
      <c r="C80" s="709"/>
      <c r="D80" s="709"/>
      <c r="E80" s="709"/>
    </row>
    <row r="81" spans="1:5" s="351" customFormat="1" ht="12" customHeight="1" outlineLevel="1" x14ac:dyDescent="0.3">
      <c r="A81" s="350"/>
      <c r="B81" s="872" t="s">
        <v>6553</v>
      </c>
      <c r="C81" s="709"/>
      <c r="D81" s="709"/>
      <c r="E81" s="709"/>
    </row>
    <row r="82" spans="1:5" s="351" customFormat="1" outlineLevel="1" x14ac:dyDescent="0.3">
      <c r="A82" s="350"/>
      <c r="B82" s="872" t="s">
        <v>6554</v>
      </c>
      <c r="C82" s="709"/>
      <c r="D82" s="709"/>
      <c r="E82" s="709"/>
    </row>
    <row r="83" spans="1:5" s="351" customFormat="1" ht="11.4" outlineLevel="1" x14ac:dyDescent="0.2">
      <c r="A83" s="7" t="s">
        <v>6609</v>
      </c>
      <c r="B83" s="188" t="s">
        <v>6626</v>
      </c>
      <c r="C83" s="196">
        <v>0</v>
      </c>
      <c r="D83" s="196">
        <v>0</v>
      </c>
      <c r="E83" s="196">
        <v>0</v>
      </c>
    </row>
    <row r="84" spans="1:5" s="351" customFormat="1" ht="11.4" outlineLevel="1" x14ac:dyDescent="0.2">
      <c r="A84" s="7" t="s">
        <v>6610</v>
      </c>
      <c r="B84" s="190" t="s">
        <v>6627</v>
      </c>
      <c r="C84" s="197">
        <v>0</v>
      </c>
      <c r="D84" s="197">
        <v>0</v>
      </c>
      <c r="E84" s="197">
        <v>0</v>
      </c>
    </row>
    <row r="85" spans="1:5" s="351" customFormat="1" ht="11.4" outlineLevel="1" x14ac:dyDescent="0.2">
      <c r="A85" s="7" t="s">
        <v>6611</v>
      </c>
      <c r="B85" s="728" t="s">
        <v>6628</v>
      </c>
      <c r="C85" s="144">
        <f>C83+C84</f>
        <v>0</v>
      </c>
      <c r="D85" s="144">
        <f>D83+D84</f>
        <v>0</v>
      </c>
      <c r="E85" s="144">
        <f>E83+E84</f>
        <v>0</v>
      </c>
    </row>
    <row r="86" spans="1:5" s="351" customFormat="1" ht="11.4" outlineLevel="1" x14ac:dyDescent="0.2">
      <c r="A86" s="7" t="s">
        <v>6612</v>
      </c>
      <c r="B86" s="188" t="s">
        <v>6629</v>
      </c>
      <c r="C86" s="196">
        <v>0</v>
      </c>
      <c r="D86" s="196">
        <v>0</v>
      </c>
      <c r="E86" s="196">
        <v>0</v>
      </c>
    </row>
    <row r="87" spans="1:5" s="351" customFormat="1" ht="11.4" outlineLevel="1" x14ac:dyDescent="0.2">
      <c r="A87" s="7" t="s">
        <v>6613</v>
      </c>
      <c r="B87" s="190" t="s">
        <v>6630</v>
      </c>
      <c r="C87" s="197">
        <v>0</v>
      </c>
      <c r="D87" s="197">
        <v>0</v>
      </c>
      <c r="E87" s="197">
        <v>0</v>
      </c>
    </row>
    <row r="88" spans="1:5" s="351" customFormat="1" ht="11.4" outlineLevel="1" x14ac:dyDescent="0.2">
      <c r="A88" s="7" t="s">
        <v>6614</v>
      </c>
      <c r="B88" s="728" t="s">
        <v>6631</v>
      </c>
      <c r="C88" s="144">
        <f>C86+C87</f>
        <v>0</v>
      </c>
      <c r="D88" s="144">
        <f>D86+D87</f>
        <v>0</v>
      </c>
      <c r="E88" s="144">
        <f>E86+E87</f>
        <v>0</v>
      </c>
    </row>
    <row r="89" spans="1:5" s="351" customFormat="1" ht="11.4" outlineLevel="1" x14ac:dyDescent="0.2">
      <c r="A89" s="7" t="s">
        <v>6615</v>
      </c>
      <c r="B89" s="728" t="s">
        <v>6632</v>
      </c>
      <c r="C89" s="144">
        <f>C85+C88</f>
        <v>0</v>
      </c>
      <c r="D89" s="144">
        <f>D85+D88</f>
        <v>0</v>
      </c>
      <c r="E89" s="144">
        <f>E85+E88</f>
        <v>0</v>
      </c>
    </row>
    <row r="90" spans="1:5" s="351" customFormat="1" outlineLevel="1" x14ac:dyDescent="0.3">
      <c r="A90" s="350"/>
      <c r="B90" s="348"/>
      <c r="C90" s="709"/>
      <c r="D90" s="709"/>
      <c r="E90" s="709"/>
    </row>
    <row r="91" spans="1:5" s="351" customFormat="1" ht="11.4" outlineLevel="1" x14ac:dyDescent="0.2">
      <c r="A91" s="7" t="s">
        <v>6616</v>
      </c>
      <c r="B91" s="192" t="s">
        <v>6633</v>
      </c>
      <c r="C91" s="186">
        <f t="shared" ref="C91:E92" si="12">C73+C83</f>
        <v>8252633.5304478202</v>
      </c>
      <c r="D91" s="186">
        <f t="shared" si="12"/>
        <v>1121291.8505976</v>
      </c>
      <c r="E91" s="186">
        <f t="shared" si="12"/>
        <v>720413.61392000003</v>
      </c>
    </row>
    <row r="92" spans="1:5" s="351" customFormat="1" ht="11.4" outlineLevel="1" x14ac:dyDescent="0.2">
      <c r="A92" s="7" t="s">
        <v>6617</v>
      </c>
      <c r="B92" s="194" t="s">
        <v>6634</v>
      </c>
      <c r="C92" s="187">
        <f t="shared" si="12"/>
        <v>0</v>
      </c>
      <c r="D92" s="187">
        <f t="shared" si="12"/>
        <v>0</v>
      </c>
      <c r="E92" s="187">
        <f t="shared" si="12"/>
        <v>0</v>
      </c>
    </row>
    <row r="93" spans="1:5" s="351" customFormat="1" ht="11.4" outlineLevel="1" x14ac:dyDescent="0.2">
      <c r="A93" s="7" t="s">
        <v>6618</v>
      </c>
      <c r="B93" s="717" t="s">
        <v>6635</v>
      </c>
      <c r="C93" s="719">
        <f>C91+C92</f>
        <v>8252633.5304478202</v>
      </c>
      <c r="D93" s="719">
        <f>D91+D92</f>
        <v>1121291.8505976</v>
      </c>
      <c r="E93" s="719">
        <f>E91+E92</f>
        <v>720413.61392000003</v>
      </c>
    </row>
    <row r="94" spans="1:5" s="351" customFormat="1" ht="11.4" outlineLevel="1" x14ac:dyDescent="0.2">
      <c r="A94" s="7" t="s">
        <v>6619</v>
      </c>
      <c r="B94" s="192" t="s">
        <v>6636</v>
      </c>
      <c r="C94" s="186">
        <f t="shared" ref="C94" si="13">C76+C86</f>
        <v>6964646.892502577</v>
      </c>
      <c r="D94" s="186">
        <f t="shared" ref="D94:E94" si="14">D76+D86</f>
        <v>123153.1330120179</v>
      </c>
      <c r="E94" s="186">
        <f t="shared" si="14"/>
        <v>119929.02373263093</v>
      </c>
    </row>
    <row r="95" spans="1:5" s="351" customFormat="1" ht="11.4" outlineLevel="1" x14ac:dyDescent="0.2">
      <c r="A95" s="7" t="s">
        <v>6620</v>
      </c>
      <c r="B95" s="194" t="s">
        <v>6637</v>
      </c>
      <c r="C95" s="187">
        <f t="shared" ref="C95" si="15">C77+C87</f>
        <v>0</v>
      </c>
      <c r="D95" s="187">
        <f t="shared" ref="D95:E95" si="16">D77+D87</f>
        <v>0</v>
      </c>
      <c r="E95" s="187">
        <f t="shared" si="16"/>
        <v>48623.568806579729</v>
      </c>
    </row>
    <row r="96" spans="1:5" s="351" customFormat="1" ht="11.4" outlineLevel="1" x14ac:dyDescent="0.2">
      <c r="A96" s="7" t="s">
        <v>6621</v>
      </c>
      <c r="B96" s="717" t="s">
        <v>6638</v>
      </c>
      <c r="C96" s="719">
        <f>C94+C95</f>
        <v>6964646.892502577</v>
      </c>
      <c r="D96" s="719">
        <f>D94+D95</f>
        <v>123153.1330120179</v>
      </c>
      <c r="E96" s="719">
        <f>E94+E95</f>
        <v>168552.59253921066</v>
      </c>
    </row>
    <row r="97" spans="1:5" s="351" customFormat="1" ht="11.4" outlineLevel="1" x14ac:dyDescent="0.2">
      <c r="A97" s="7" t="s">
        <v>8621</v>
      </c>
      <c r="B97" s="192" t="s">
        <v>8625</v>
      </c>
      <c r="C97" s="186">
        <f t="shared" ref="C97:E98" si="17">C91+C94</f>
        <v>15217280.422950398</v>
      </c>
      <c r="D97" s="186">
        <f t="shared" si="17"/>
        <v>1244444.9836096179</v>
      </c>
      <c r="E97" s="186">
        <f t="shared" si="17"/>
        <v>840342.63765263092</v>
      </c>
    </row>
    <row r="98" spans="1:5" s="351" customFormat="1" ht="11.4" outlineLevel="1" x14ac:dyDescent="0.2">
      <c r="A98" s="7" t="s">
        <v>8622</v>
      </c>
      <c r="B98" s="194" t="s">
        <v>8626</v>
      </c>
      <c r="C98" s="187">
        <f t="shared" si="17"/>
        <v>0</v>
      </c>
      <c r="D98" s="187">
        <f t="shared" si="17"/>
        <v>0</v>
      </c>
      <c r="E98" s="187">
        <f t="shared" si="17"/>
        <v>48623.568806579729</v>
      </c>
    </row>
    <row r="99" spans="1:5" s="351" customFormat="1" ht="11.4" x14ac:dyDescent="0.2">
      <c r="A99" s="7" t="s">
        <v>6622</v>
      </c>
      <c r="B99" s="720" t="s">
        <v>6639</v>
      </c>
      <c r="C99" s="722">
        <f>C97+C98</f>
        <v>15217280.422950398</v>
      </c>
      <c r="D99" s="722">
        <f>D97+D98</f>
        <v>1244444.9836096179</v>
      </c>
      <c r="E99" s="722">
        <f>E97+E98</f>
        <v>888966.2064592106</v>
      </c>
    </row>
    <row r="100" spans="1:5" s="351" customFormat="1" x14ac:dyDescent="0.3">
      <c r="A100" s="350"/>
      <c r="B100" s="348"/>
      <c r="C100" s="709"/>
      <c r="D100" s="709"/>
      <c r="E100" s="709"/>
    </row>
  </sheetData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87DA2E4-6E4E-4801-996E-1EB722E8CE2C}">
          <x14:formula1>
            <xm:f>'Parametri MTR-3'!$C$77:$C$78</xm:f>
          </x14:formula1>
          <xm:sqref>C70:E71 C38:E39 C6:E7</xm:sqref>
        </x14:dataValidation>
      </x14:dataValidations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7053C-3C83-4557-905E-463FE383124E}">
  <sheetPr>
    <tabColor rgb="FFFFFFCC"/>
  </sheetPr>
  <dimension ref="A1:G180"/>
  <sheetViews>
    <sheetView showGridLines="0" workbookViewId="0">
      <pane xSplit="3" ySplit="3" topLeftCell="D64" activePane="bottomRight" state="frozen"/>
      <selection pane="topRight" activeCell="D1" sqref="D1"/>
      <selection pane="bottomLeft" activeCell="A4" sqref="A4"/>
      <selection pane="bottomRight" activeCell="E90" sqref="E90"/>
    </sheetView>
  </sheetViews>
  <sheetFormatPr defaultColWidth="9.109375" defaultRowHeight="10.199999999999999" outlineLevelRow="1" x14ac:dyDescent="0.2"/>
  <cols>
    <col min="1" max="1" width="20.109375" style="51" bestFit="1" customWidth="1"/>
    <col min="2" max="2" width="72.5546875" style="51" bestFit="1" customWidth="1"/>
    <col min="3" max="3" width="13.44140625" style="51" customWidth="1"/>
    <col min="4" max="4" width="2" style="51" customWidth="1"/>
    <col min="5" max="7" width="13.44140625" style="51" customWidth="1"/>
    <col min="8" max="16384" width="9.109375" style="51"/>
  </cols>
  <sheetData>
    <row r="1" spans="1:7" x14ac:dyDescent="0.2">
      <c r="A1" s="85"/>
      <c r="B1" s="458" t="s">
        <v>8586</v>
      </c>
      <c r="C1" s="134"/>
      <c r="D1" s="134"/>
      <c r="E1" s="61"/>
      <c r="F1" s="61"/>
      <c r="G1" s="61"/>
    </row>
    <row r="2" spans="1:7" x14ac:dyDescent="0.2">
      <c r="A2" s="85"/>
      <c r="B2" s="70"/>
      <c r="C2" s="5"/>
      <c r="D2" s="5"/>
      <c r="E2" s="61"/>
      <c r="F2" s="61"/>
      <c r="G2" s="61"/>
    </row>
    <row r="3" spans="1:7" ht="20.399999999999999" x14ac:dyDescent="0.2">
      <c r="A3" s="350"/>
      <c r="B3" s="346"/>
      <c r="C3" s="347" t="s">
        <v>0</v>
      </c>
      <c r="D3" s="348"/>
      <c r="E3" s="344" t="str">
        <f>Ambiti!B4</f>
        <v>BUSTO ARSIZIO</v>
      </c>
      <c r="F3" s="344" t="str">
        <f>Ambiti!C4</f>
        <v>FAGNANO OLONA</v>
      </c>
      <c r="G3" s="344" t="str">
        <f>Ambiti!D4</f>
        <v>VENEGONO SUPERIORE</v>
      </c>
    </row>
    <row r="4" spans="1:7" x14ac:dyDescent="0.2">
      <c r="A4" s="350"/>
      <c r="B4" s="454" t="s">
        <v>8560</v>
      </c>
      <c r="C4" s="348"/>
      <c r="D4" s="348"/>
      <c r="E4" s="709"/>
      <c r="F4" s="709"/>
      <c r="G4" s="709"/>
    </row>
    <row r="5" spans="1:7" x14ac:dyDescent="0.2">
      <c r="A5" s="350"/>
      <c r="B5" s="457">
        <v>2026</v>
      </c>
      <c r="C5" s="348"/>
      <c r="D5" s="348"/>
      <c r="E5" s="709"/>
      <c r="F5" s="709"/>
      <c r="G5" s="709"/>
    </row>
    <row r="6" spans="1:7" ht="11.4" outlineLevel="1" x14ac:dyDescent="0.2">
      <c r="A6" s="31" t="s">
        <v>3253</v>
      </c>
      <c r="B6" s="178" t="s">
        <v>8561</v>
      </c>
      <c r="C6" s="179">
        <f t="shared" ref="C6:C17" si="0">SUM(E6:AAA6)</f>
        <v>9035624.7360059675</v>
      </c>
      <c r="D6" s="135"/>
      <c r="E6" s="182">
        <f>INDEX(PEF_GEST_26!$A$3:$AAA$102,MATCH($A6,PEF_GEST_26!$A$3:$A$102,0),MATCH(E$3,PEF_GEST_26!$A$3:$AAA$3,0))</f>
        <v>7914332.885408367</v>
      </c>
      <c r="F6" s="182">
        <f>INDEX(PEF_GEST_26!$A$3:$AAA$102,MATCH($A6,PEF_GEST_26!$A$3:$A$102,0),MATCH(F$3,PEF_GEST_26!$A$3:$AAA$3,0))</f>
        <v>1121291.8505976</v>
      </c>
      <c r="G6" s="182">
        <f>INDEX(PEF_GEST_26!$A$3:$AAA$102,MATCH($A6,PEF_GEST_26!$A$3:$A$102,0),MATCH(G$3,PEF_GEST_26!$A$3:$AAA$3,0))</f>
        <v>0</v>
      </c>
    </row>
    <row r="7" spans="1:7" ht="11.4" outlineLevel="1" x14ac:dyDescent="0.2">
      <c r="A7" s="31" t="s">
        <v>5476</v>
      </c>
      <c r="B7" s="180" t="s">
        <v>8562</v>
      </c>
      <c r="C7" s="181">
        <f t="shared" si="0"/>
        <v>0</v>
      </c>
      <c r="D7" s="135"/>
      <c r="E7" s="183">
        <f>INDEX(PEF_COM_26!$A$3:$AAA$102,MATCH($A7,PEF_COM_26!$A$3:$A$102,0),MATCH(E$3,PEF_COM_26!$A$3:$AAA$3,0))</f>
        <v>0</v>
      </c>
      <c r="F7" s="183">
        <f>INDEX(PEF_COM_26!$A$3:$AAA$102,MATCH($A7,PEF_COM_26!$A$3:$A$102,0),MATCH(F$3,PEF_COM_26!$A$3:$AAA$3,0))</f>
        <v>0</v>
      </c>
      <c r="G7" s="183">
        <f>INDEX(PEF_COM_26!$A$3:$AAA$102,MATCH($A7,PEF_COM_26!$A$3:$A$102,0),MATCH(G$3,PEF_COM_26!$A$3:$AAA$3,0))</f>
        <v>0</v>
      </c>
    </row>
    <row r="8" spans="1:7" ht="11.4" outlineLevel="1" x14ac:dyDescent="0.2">
      <c r="A8" s="31" t="s">
        <v>8570</v>
      </c>
      <c r="B8" s="142" t="s">
        <v>8563</v>
      </c>
      <c r="C8" s="143">
        <f t="shared" si="0"/>
        <v>9035624.7360059675</v>
      </c>
      <c r="D8" s="135"/>
      <c r="E8" s="144">
        <f>E6+E7</f>
        <v>7914332.885408367</v>
      </c>
      <c r="F8" s="144">
        <f>F6+F7</f>
        <v>1121291.8505976</v>
      </c>
      <c r="G8" s="144">
        <f>G6+G7</f>
        <v>0</v>
      </c>
    </row>
    <row r="9" spans="1:7" ht="11.4" outlineLevel="1" x14ac:dyDescent="0.2">
      <c r="A9" s="31" t="s">
        <v>3257</v>
      </c>
      <c r="B9" s="178" t="s">
        <v>8564</v>
      </c>
      <c r="C9" s="179">
        <f t="shared" si="0"/>
        <v>7666727.8733342355</v>
      </c>
      <c r="D9" s="135"/>
      <c r="E9" s="182">
        <f>INDEX(PEF_GEST_26!$A$3:$AAA$102,MATCH($A9,PEF_GEST_26!$A$3:$A$102,0),MATCH(E$3,PEF_GEST_26!$A$3:$AAA$3,0))</f>
        <v>7531568.5899443226</v>
      </c>
      <c r="F9" s="182">
        <f>INDEX(PEF_GEST_26!$A$3:$AAA$102,MATCH($A9,PEF_GEST_26!$A$3:$A$102,0),MATCH(F$3,PEF_GEST_26!$A$3:$AAA$3,0))</f>
        <v>135159.28338991333</v>
      </c>
      <c r="G9" s="182">
        <f>INDEX(PEF_GEST_26!$A$3:$AAA$102,MATCH($A9,PEF_GEST_26!$A$3:$A$102,0),MATCH(G$3,PEF_GEST_26!$A$3:$AAA$3,0))</f>
        <v>0</v>
      </c>
    </row>
    <row r="10" spans="1:7" ht="11.4" outlineLevel="1" x14ac:dyDescent="0.2">
      <c r="A10" s="31" t="s">
        <v>5477</v>
      </c>
      <c r="B10" s="180" t="s">
        <v>8565</v>
      </c>
      <c r="C10" s="181">
        <f t="shared" si="0"/>
        <v>54149.194963047281</v>
      </c>
      <c r="D10" s="135"/>
      <c r="E10" s="183">
        <f>INDEX(PEF_COM_26!$A$3:$AAA$102,MATCH($A10,PEF_COM_26!$A$3:$A$102,0),MATCH(E$3,PEF_COM_26!$A$3:$AAA$3,0))</f>
        <v>0</v>
      </c>
      <c r="F10" s="183">
        <f>INDEX(PEF_COM_26!$A$3:$AAA$102,MATCH($A10,PEF_COM_26!$A$3:$A$102,0),MATCH(F$3,PEF_COM_26!$A$3:$AAA$3,0))</f>
        <v>0</v>
      </c>
      <c r="G10" s="183">
        <f>INDEX(PEF_COM_26!$A$3:$AAA$102,MATCH($A10,PEF_COM_26!$A$3:$A$102,0),MATCH(G$3,PEF_COM_26!$A$3:$AAA$3,0))</f>
        <v>54149.194963047281</v>
      </c>
    </row>
    <row r="11" spans="1:7" ht="11.4" outlineLevel="1" x14ac:dyDescent="0.2">
      <c r="A11" s="31" t="s">
        <v>8571</v>
      </c>
      <c r="B11" s="142" t="s">
        <v>8566</v>
      </c>
      <c r="C11" s="143">
        <f t="shared" si="0"/>
        <v>7720877.0682972828</v>
      </c>
      <c r="D11" s="135"/>
      <c r="E11" s="144">
        <f>E9+E10</f>
        <v>7531568.5899443226</v>
      </c>
      <c r="F11" s="144">
        <f>F9+F10</f>
        <v>135159.28338991333</v>
      </c>
      <c r="G11" s="144">
        <f>G9+G10</f>
        <v>54149.194963047281</v>
      </c>
    </row>
    <row r="12" spans="1:7" ht="11.4" outlineLevel="1" x14ac:dyDescent="0.2">
      <c r="A12" s="31" t="s">
        <v>3261</v>
      </c>
      <c r="B12" s="178" t="s">
        <v>8567</v>
      </c>
      <c r="C12" s="179">
        <f t="shared" si="0"/>
        <v>16702352.609340202</v>
      </c>
      <c r="D12" s="135"/>
      <c r="E12" s="182">
        <f>INDEX(PEF_GEST_26!$A$3:$AAA$102,MATCH($A12,PEF_GEST_26!$A$3:$A$102,0),MATCH(E$3,PEF_GEST_26!$A$3:$AAA$3,0))</f>
        <v>15445901.47535269</v>
      </c>
      <c r="F12" s="182">
        <f>INDEX(PEF_GEST_26!$A$3:$AAA$102,MATCH($A12,PEF_GEST_26!$A$3:$A$102,0),MATCH(F$3,PEF_GEST_26!$A$3:$AAA$3,0))</f>
        <v>1256451.1339875134</v>
      </c>
      <c r="G12" s="182">
        <f>INDEX(PEF_GEST_26!$A$3:$AAA$102,MATCH($A12,PEF_GEST_26!$A$3:$A$102,0),MATCH(G$3,PEF_GEST_26!$A$3:$AAA$3,0))</f>
        <v>0</v>
      </c>
    </row>
    <row r="13" spans="1:7" ht="11.4" outlineLevel="1" x14ac:dyDescent="0.2">
      <c r="A13" s="31" t="s">
        <v>5263</v>
      </c>
      <c r="B13" s="180" t="s">
        <v>8568</v>
      </c>
      <c r="C13" s="181">
        <f t="shared" si="0"/>
        <v>54149.194963047281</v>
      </c>
      <c r="D13" s="135"/>
      <c r="E13" s="183">
        <f>INDEX(PEF_COM_26!$A$3:$AAA$102,MATCH($A13,PEF_COM_26!$A$3:$A$102,0),MATCH(E$3,PEF_COM_26!$A$3:$AAA$3,0))</f>
        <v>0</v>
      </c>
      <c r="F13" s="183">
        <f>INDEX(PEF_COM_26!$A$3:$AAA$102,MATCH($A13,PEF_COM_26!$A$3:$A$102,0),MATCH(F$3,PEF_COM_26!$A$3:$AAA$3,0))</f>
        <v>0</v>
      </c>
      <c r="G13" s="183">
        <f>INDEX(PEF_COM_26!$A$3:$AAA$102,MATCH($A13,PEF_COM_26!$A$3:$A$102,0),MATCH(G$3,PEF_COM_26!$A$3:$AAA$3,0))</f>
        <v>54149.194963047281</v>
      </c>
    </row>
    <row r="14" spans="1:7" ht="11.4" outlineLevel="1" x14ac:dyDescent="0.2">
      <c r="A14" s="31" t="s">
        <v>5265</v>
      </c>
      <c r="B14" s="142" t="s">
        <v>8569</v>
      </c>
      <c r="C14" s="143">
        <f t="shared" si="0"/>
        <v>16756501.804303249</v>
      </c>
      <c r="D14" s="135"/>
      <c r="E14" s="144">
        <f>E12+E13</f>
        <v>15445901.47535269</v>
      </c>
      <c r="F14" s="144">
        <f>F12+F13</f>
        <v>1256451.1339875134</v>
      </c>
      <c r="G14" s="144">
        <f>G12+G13</f>
        <v>54149.194963047281</v>
      </c>
    </row>
    <row r="15" spans="1:7" ht="11.4" outlineLevel="1" x14ac:dyDescent="0.2">
      <c r="A15" s="85" t="s">
        <v>228</v>
      </c>
      <c r="B15" s="173" t="s">
        <v>5921</v>
      </c>
      <c r="C15" s="184">
        <f t="shared" si="0"/>
        <v>9585446.6099999994</v>
      </c>
      <c r="D15" s="147"/>
      <c r="E15" s="186">
        <f>INDEX(IN_PAR!$A$3:$YE$413,MATCH($A15,IN_PAR!$A$3:$A$413,0),MATCH(E$3,IN_PAR!$A$3:$YE$3,0))</f>
        <v>9585446.6099999994</v>
      </c>
      <c r="F15" s="186">
        <f>INDEX(IN_PAR!$A$3:$YE$413,MATCH($A15,IN_PAR!$A$3:$A$413,0),MATCH(F$3,IN_PAR!$A$3:$YE$3,0))</f>
        <v>0</v>
      </c>
      <c r="G15" s="186">
        <f>INDEX(IN_PAR!$A$3:$YE$413,MATCH($A15,IN_PAR!$A$3:$A$413,0),MATCH(G$3,IN_PAR!$A$3:$YE$3,0))</f>
        <v>0</v>
      </c>
    </row>
    <row r="16" spans="1:7" ht="11.4" outlineLevel="1" x14ac:dyDescent="0.2">
      <c r="A16" s="85" t="s">
        <v>229</v>
      </c>
      <c r="B16" s="175" t="s">
        <v>5922</v>
      </c>
      <c r="C16" s="185">
        <f t="shared" si="0"/>
        <v>6765815.0800000001</v>
      </c>
      <c r="D16" s="147"/>
      <c r="E16" s="187">
        <f>INDEX(IN_PAR!$A$3:$YE$413,MATCH($A16,IN_PAR!$A$3:$A$413,0),MATCH(E$3,IN_PAR!$A$3:$YE$3,0))</f>
        <v>6765815.0800000001</v>
      </c>
      <c r="F16" s="187">
        <f>INDEX(IN_PAR!$A$3:$YE$413,MATCH($A16,IN_PAR!$A$3:$A$413,0),MATCH(F$3,IN_PAR!$A$3:$YE$3,0))</f>
        <v>0</v>
      </c>
      <c r="G16" s="187">
        <f>INDEX(IN_PAR!$A$3:$YE$413,MATCH($A16,IN_PAR!$A$3:$A$413,0),MATCH(G$3,IN_PAR!$A$3:$YE$3,0))</f>
        <v>0</v>
      </c>
    </row>
    <row r="17" spans="1:7" ht="11.4" outlineLevel="1" x14ac:dyDescent="0.2">
      <c r="A17" s="85" t="s">
        <v>230</v>
      </c>
      <c r="B17" s="145" t="s">
        <v>5923</v>
      </c>
      <c r="C17" s="146">
        <f t="shared" si="0"/>
        <v>16351261.689999999</v>
      </c>
      <c r="D17" s="148"/>
      <c r="E17" s="149">
        <f>E15+E16</f>
        <v>16351261.689999999</v>
      </c>
      <c r="F17" s="149">
        <f>F15+F16</f>
        <v>0</v>
      </c>
      <c r="G17" s="149">
        <f>G15+G16</f>
        <v>0</v>
      </c>
    </row>
    <row r="18" spans="1:7" outlineLevel="1" x14ac:dyDescent="0.2">
      <c r="A18" s="85"/>
      <c r="B18" s="74"/>
      <c r="C18" s="74"/>
      <c r="D18" s="74"/>
      <c r="E18" s="75"/>
      <c r="F18" s="75"/>
      <c r="G18" s="75"/>
    </row>
    <row r="19" spans="1:7" ht="11.4" outlineLevel="1" x14ac:dyDescent="0.2">
      <c r="A19" s="85"/>
      <c r="B19" s="71" t="s">
        <v>5915</v>
      </c>
      <c r="C19" s="135"/>
      <c r="D19" s="135"/>
      <c r="E19" s="77">
        <f>1+E20</f>
        <v>1.0189999999999999</v>
      </c>
      <c r="F19" s="77">
        <f>1+F20</f>
        <v>1.0189999999999999</v>
      </c>
      <c r="G19" s="77">
        <f>1+G20</f>
        <v>1.0189999999999999</v>
      </c>
    </row>
    <row r="20" spans="1:7" ht="11.4" outlineLevel="1" x14ac:dyDescent="0.2">
      <c r="A20" s="85" t="s">
        <v>1376</v>
      </c>
      <c r="B20" s="71" t="s">
        <v>5916</v>
      </c>
      <c r="C20" s="135"/>
      <c r="D20" s="135"/>
      <c r="E20" s="77">
        <f>E21-E22+E23+E24</f>
        <v>1.9E-2</v>
      </c>
      <c r="F20" s="77">
        <f>F21-F22+F23+F24</f>
        <v>1.9E-2</v>
      </c>
      <c r="G20" s="77">
        <f>G21-G22+G23+G24</f>
        <v>1.9E-2</v>
      </c>
    </row>
    <row r="21" spans="1:7" ht="11.4" outlineLevel="1" x14ac:dyDescent="0.2">
      <c r="A21" s="85" t="s">
        <v>1355</v>
      </c>
      <c r="B21" s="20" t="s">
        <v>122</v>
      </c>
      <c r="C21" s="78">
        <f>'Parametri MTR-3'!$J$4</f>
        <v>1.9E-2</v>
      </c>
      <c r="D21" s="136"/>
      <c r="E21" s="78">
        <f>$C$21</f>
        <v>1.9E-2</v>
      </c>
      <c r="F21" s="78">
        <f>$C$21</f>
        <v>1.9E-2</v>
      </c>
      <c r="G21" s="78">
        <f>$C$21</f>
        <v>1.9E-2</v>
      </c>
    </row>
    <row r="22" spans="1:7" ht="11.4" outlineLevel="1" x14ac:dyDescent="0.2">
      <c r="A22" s="85" t="s">
        <v>993</v>
      </c>
      <c r="B22" s="173" t="s">
        <v>5917</v>
      </c>
      <c r="C22" s="136"/>
      <c r="D22" s="136"/>
      <c r="E22" s="176">
        <f>INDEX(IN_PAR!$A$3:$AAA$413,MATCH($A22,IN_PAR!$A$3:$A$413,0),MATCH(E$3,IN_PAR!$A$3:$AAA$3,0))</f>
        <v>0</v>
      </c>
      <c r="F22" s="176">
        <f>INDEX(IN_PAR!$A$3:$AAA$413,MATCH($A22,IN_PAR!$A$3:$A$413,0),MATCH(F$3,IN_PAR!$A$3:$AAA$3,0))</f>
        <v>0</v>
      </c>
      <c r="G22" s="176">
        <f>INDEX(IN_PAR!$A$3:$AAA$413,MATCH($A22,IN_PAR!$A$3:$A$413,0),MATCH(G$3,IN_PAR!$A$3:$AAA$3,0))</f>
        <v>0</v>
      </c>
    </row>
    <row r="23" spans="1:7" ht="11.4" outlineLevel="1" x14ac:dyDescent="0.2">
      <c r="A23" s="85" t="s">
        <v>1372</v>
      </c>
      <c r="B23" s="174" t="s">
        <v>6053</v>
      </c>
      <c r="C23" s="136"/>
      <c r="D23" s="136"/>
      <c r="E23" s="177">
        <f>INDEX(IN_PAR!$A$3:$AAA$413,MATCH($A23,IN_PAR!$A$3:$A$413,0),MATCH(E$3,IN_PAR!$A$3:$AAA$3,0))</f>
        <v>0</v>
      </c>
      <c r="F23" s="177">
        <f>INDEX(IN_PAR!$A$3:$AAA$413,MATCH($A23,IN_PAR!$A$3:$A$413,0),MATCH(F$3,IN_PAR!$A$3:$AAA$3,0))</f>
        <v>0</v>
      </c>
      <c r="G23" s="177">
        <f>INDEX(IN_PAR!$A$3:$AAA$413,MATCH($A23,IN_PAR!$A$3:$A$413,0),MATCH(G$3,IN_PAR!$A$3:$AAA$3,0))</f>
        <v>0</v>
      </c>
    </row>
    <row r="24" spans="1:7" ht="11.4" outlineLevel="1" x14ac:dyDescent="0.2">
      <c r="A24" s="85" t="s">
        <v>953</v>
      </c>
      <c r="B24" s="174" t="s">
        <v>6052</v>
      </c>
      <c r="C24" s="136"/>
      <c r="D24" s="136"/>
      <c r="E24" s="177">
        <f>INDEX(IN_PAR!$A$3:$AAA$413,MATCH($A24,IN_PAR!$A$3:$A$413,0),MATCH(E$3,IN_PAR!$A$3:$AAA$3,0))</f>
        <v>0</v>
      </c>
      <c r="F24" s="177">
        <f>INDEX(IN_PAR!$A$3:$AAA$413,MATCH($A24,IN_PAR!$A$3:$A$413,0),MATCH(F$3,IN_PAR!$A$3:$AAA$3,0))</f>
        <v>0</v>
      </c>
      <c r="G24" s="177">
        <f>INDEX(IN_PAR!$A$3:$AAA$413,MATCH($A24,IN_PAR!$A$3:$A$413,0),MATCH(G$3,IN_PAR!$A$3:$AAA$3,0))</f>
        <v>0</v>
      </c>
    </row>
    <row r="25" spans="1:7" outlineLevel="1" x14ac:dyDescent="0.2">
      <c r="A25" s="85"/>
      <c r="B25" s="65" t="s">
        <v>123</v>
      </c>
      <c r="C25" s="137"/>
      <c r="D25" s="137"/>
      <c r="E25" s="708" t="str">
        <f>IF(E20&gt;8.8%,"errore","ok")</f>
        <v>ok</v>
      </c>
      <c r="F25" s="708" t="str">
        <f>IF(F20&gt;8.8%,"errore","ok")</f>
        <v>ok</v>
      </c>
      <c r="G25" s="708" t="str">
        <f>IF(G20&gt;8.8%,"errore","ok")</f>
        <v>ok</v>
      </c>
    </row>
    <row r="26" spans="1:7" outlineLevel="1" x14ac:dyDescent="0.2"/>
    <row r="27" spans="1:7" s="159" customFormat="1" ht="11.4" outlineLevel="1" x14ac:dyDescent="0.2">
      <c r="A27" s="85" t="s">
        <v>5924</v>
      </c>
      <c r="B27" s="150" t="s">
        <v>5925</v>
      </c>
      <c r="C27" s="74"/>
      <c r="D27" s="74"/>
      <c r="E27" s="133">
        <f>IFERROR(E14/E17,0)</f>
        <v>0.94463055929188611</v>
      </c>
      <c r="F27" s="133">
        <f>IFERROR(F14/F17,0)</f>
        <v>0</v>
      </c>
      <c r="G27" s="133">
        <f>IFERROR(G14/G17,0)</f>
        <v>0</v>
      </c>
    </row>
    <row r="28" spans="1:7" s="159" customFormat="1" outlineLevel="1" x14ac:dyDescent="0.2">
      <c r="A28" s="85"/>
      <c r="B28" s="154" t="s">
        <v>218</v>
      </c>
      <c r="C28" s="74"/>
      <c r="D28" s="74"/>
      <c r="E28" s="155" t="str">
        <f>IF(E27&lt;=(1+E20),"NO","SI")</f>
        <v>NO</v>
      </c>
      <c r="F28" s="155" t="str">
        <f>IF(F27&lt;=(1+F20),"NO","SI")</f>
        <v>NO</v>
      </c>
      <c r="G28" s="155" t="str">
        <f>IF(G27&lt;=(1+G20),"NO","SI")</f>
        <v>NO</v>
      </c>
    </row>
    <row r="29" spans="1:7" outlineLevel="1" x14ac:dyDescent="0.2"/>
    <row r="30" spans="1:7" ht="11.4" outlineLevel="1" x14ac:dyDescent="0.2">
      <c r="A30" s="85" t="s">
        <v>1355</v>
      </c>
      <c r="B30" s="20" t="s">
        <v>122</v>
      </c>
      <c r="C30" s="78">
        <f>'Parametri MTR-3'!$J$4</f>
        <v>1.9E-2</v>
      </c>
      <c r="D30" s="136"/>
      <c r="E30" s="78">
        <f>$C$30</f>
        <v>1.9E-2</v>
      </c>
      <c r="F30" s="78">
        <f>$C$30</f>
        <v>1.9E-2</v>
      </c>
      <c r="G30" s="78">
        <f>$C$30</f>
        <v>1.9E-2</v>
      </c>
    </row>
    <row r="31" spans="1:7" outlineLevel="1" x14ac:dyDescent="0.2">
      <c r="A31" s="85" t="s">
        <v>1444</v>
      </c>
      <c r="B31" s="209" t="str">
        <f>"Xreg2026 Singolo Gestore "&amp;IN_Anagrafica!$B$1</f>
        <v>Xreg2026 Singolo Gestore AGESP</v>
      </c>
      <c r="E31" s="1041">
        <f>INDEX(IN_PAR!$A$3:$AAA$413,MATCH($A31,IN_PAR!$A$3:$A$413,0),MATCH(E$3,IN_PAR!$A$3:$AAA$3,0))</f>
        <v>0</v>
      </c>
      <c r="F31" s="1041">
        <f>INDEX(IN_PAR!$A$3:$AAA$413,MATCH($A31,IN_PAR!$A$3:$A$413,0),MATCH(F$3,IN_PAR!$A$3:$AAA$3,0))</f>
        <v>0</v>
      </c>
      <c r="G31" s="1041">
        <f>INDEX(IN_PAR!$A$3:$AAA$413,MATCH($A31,IN_PAR!$A$3:$A$413,0),MATCH(G$3,IN_PAR!$A$3:$AAA$3,0))</f>
        <v>0</v>
      </c>
    </row>
    <row r="32" spans="1:7" outlineLevel="1" x14ac:dyDescent="0.2">
      <c r="A32" s="85" t="s">
        <v>1445</v>
      </c>
      <c r="B32" s="1039" t="str">
        <f>"Xcom2026 Singolo Gestore " &amp;IN_Anagrafica!$B$1</f>
        <v>Xcom2026 Singolo Gestore AGESP</v>
      </c>
      <c r="E32" s="1042">
        <f>INDEX(IN_PAR!$A$3:$AAA$413,MATCH($A32,IN_PAR!$A$3:$A$413,0),MATCH(E$3,IN_PAR!$A$3:$AAA$3,0))</f>
        <v>0</v>
      </c>
      <c r="F32" s="1042">
        <f>INDEX(IN_PAR!$A$3:$AAA$413,MATCH($A32,IN_PAR!$A$3:$A$413,0),MATCH(F$3,IN_PAR!$A$3:$AAA$3,0))</f>
        <v>0</v>
      </c>
      <c r="G32" s="1042">
        <f>INDEX(IN_PAR!$A$3:$AAA$413,MATCH($A32,IN_PAR!$A$3:$A$413,0),MATCH(G$3,IN_PAR!$A$3:$AAA$3,0))</f>
        <v>0</v>
      </c>
    </row>
    <row r="33" spans="1:7" outlineLevel="1" x14ac:dyDescent="0.2">
      <c r="A33" s="85" t="s">
        <v>8572</v>
      </c>
      <c r="B33" s="67" t="str">
        <f>"X2026 Singolo Gestore " &amp;IN_Anagrafica!$B$1</f>
        <v>X2026 Singolo Gestore AGESP</v>
      </c>
      <c r="E33" s="1043">
        <f>E31+E32</f>
        <v>0</v>
      </c>
      <c r="F33" s="1043">
        <f>F31+F32</f>
        <v>0</v>
      </c>
      <c r="G33" s="1043">
        <f>G31+G32</f>
        <v>0</v>
      </c>
    </row>
    <row r="34" spans="1:7" outlineLevel="1" x14ac:dyDescent="0.2">
      <c r="A34" s="85" t="s">
        <v>1446</v>
      </c>
      <c r="B34" s="707" t="str">
        <f>"Kcom2026 Singolo Gestore "&amp;IN_Anagrafica!$B$1</f>
        <v>Kcom2026 Singolo Gestore AGESP</v>
      </c>
      <c r="E34" s="1041">
        <f>INDEX(IN_PAR!$A$3:$AAA$413,MATCH($A34,IN_PAR!$A$3:$A$413,0),MATCH(E$3,IN_PAR!$A$3:$AAA$3,0))</f>
        <v>0</v>
      </c>
      <c r="F34" s="1041">
        <f>INDEX(IN_PAR!$A$3:$AAA$413,MATCH($A34,IN_PAR!$A$3:$A$413,0),MATCH(F$3,IN_PAR!$A$3:$AAA$3,0))</f>
        <v>0</v>
      </c>
      <c r="G34" s="1041">
        <f>INDEX(IN_PAR!$A$3:$AAA$413,MATCH($A34,IN_PAR!$A$3:$A$413,0),MATCH(G$3,IN_PAR!$A$3:$AAA$3,0))</f>
        <v>0</v>
      </c>
    </row>
    <row r="35" spans="1:7" outlineLevel="1" x14ac:dyDescent="0.2">
      <c r="A35" s="85" t="s">
        <v>1455</v>
      </c>
      <c r="B35" s="527" t="str">
        <f>"Kreg2026 Singolo Gestore "&amp;IN_Anagrafica!$B$1</f>
        <v>Kreg2026 Singolo Gestore AGESP</v>
      </c>
      <c r="E35" s="1042">
        <f>INDEX(IN_PAR!$A$3:$AAA$413,MATCH($A35,IN_PAR!$A$3:$A$413,0),MATCH(E$3,IN_PAR!$A$3:$AAA$3,0))</f>
        <v>0</v>
      </c>
      <c r="F35" s="1042">
        <f>INDEX(IN_PAR!$A$3:$AAA$413,MATCH($A35,IN_PAR!$A$3:$A$413,0),MATCH(F$3,IN_PAR!$A$3:$AAA$3,0))</f>
        <v>0</v>
      </c>
      <c r="G35" s="1042">
        <f>INDEX(IN_PAR!$A$3:$AAA$413,MATCH($A35,IN_PAR!$A$3:$A$413,0),MATCH(G$3,IN_PAR!$A$3:$AAA$3,0))</f>
        <v>0</v>
      </c>
    </row>
    <row r="36" spans="1:7" outlineLevel="1" x14ac:dyDescent="0.2">
      <c r="A36" s="85" t="s">
        <v>8573</v>
      </c>
      <c r="B36" s="67" t="str">
        <f>"K2026 Singolo Gestore " &amp;IN_Anagrafica!$B$1</f>
        <v>K2026 Singolo Gestore AGESP</v>
      </c>
      <c r="E36" s="1043">
        <f>E34+E35</f>
        <v>0</v>
      </c>
      <c r="F36" s="1043">
        <f>F34+F35</f>
        <v>0</v>
      </c>
      <c r="G36" s="1043">
        <f>G34+G35</f>
        <v>0</v>
      </c>
    </row>
    <row r="37" spans="1:7" outlineLevel="1" x14ac:dyDescent="0.2">
      <c r="A37" s="85" t="s">
        <v>1447</v>
      </c>
      <c r="B37" s="445" t="str">
        <f>"CRI2026 Singolo Gestore "&amp;IN_Anagrafica!$B$1</f>
        <v>CRI2026 Singolo Gestore AGESP</v>
      </c>
      <c r="E37" s="1040">
        <f>INDEX(IN_PAR!$A$3:$AAA$413,MATCH($A37,IN_PAR!$A$3:$A$413,0),MATCH(E$3,IN_PAR!$A$3:$AAA$3,0))</f>
        <v>0</v>
      </c>
      <c r="F37" s="1040">
        <f>INDEX(IN_PAR!$A$3:$AAA$413,MATCH($A37,IN_PAR!$A$3:$A$413,0),MATCH(F$3,IN_PAR!$A$3:$AAA$3,0))</f>
        <v>0</v>
      </c>
      <c r="G37" s="1040">
        <f>INDEX(IN_PAR!$A$3:$AAA$413,MATCH($A37,IN_PAR!$A$3:$A$413,0),MATCH(G$3,IN_PAR!$A$3:$AAA$3,0))</f>
        <v>0</v>
      </c>
    </row>
    <row r="38" spans="1:7" ht="11.4" outlineLevel="1" x14ac:dyDescent="0.2">
      <c r="A38" s="85" t="s">
        <v>8574</v>
      </c>
      <c r="B38" s="71" t="s">
        <v>8577</v>
      </c>
      <c r="C38" s="135"/>
      <c r="D38" s="135"/>
      <c r="E38" s="77">
        <f>E30-E33+E36+E37</f>
        <v>1.9E-2</v>
      </c>
      <c r="F38" s="77">
        <f>F30-F33+F36+F37</f>
        <v>1.9E-2</v>
      </c>
      <c r="G38" s="77">
        <f>G30-G33+G36+G37</f>
        <v>1.9E-2</v>
      </c>
    </row>
    <row r="39" spans="1:7" outlineLevel="1" x14ac:dyDescent="0.2"/>
    <row r="40" spans="1:7" ht="11.4" outlineLevel="1" x14ac:dyDescent="0.25">
      <c r="A40" s="85" t="s">
        <v>251</v>
      </c>
      <c r="B40" s="335" t="s">
        <v>1504</v>
      </c>
      <c r="E40" s="1044">
        <f>INDEX(IN_PAR!$A$3:$AAA$413,MATCH($A40,IN_PAR!$A$3:$A$413,0),MATCH(E$3,IN_PAR!$A$3:$AAA$3,0))</f>
        <v>16398095.42</v>
      </c>
      <c r="F40" s="1044">
        <f>INDEX(IN_PAR!$A$3:$AAA$413,MATCH($A40,IN_PAR!$A$3:$A$413,0),MATCH(F$3,IN_PAR!$A$3:$AAA$3,0))</f>
        <v>0</v>
      </c>
      <c r="G40" s="1044">
        <f>INDEX(IN_PAR!$A$3:$AAA$413,MATCH($A40,IN_PAR!$A$3:$A$413,0),MATCH(G$3,IN_PAR!$A$3:$AAA$3,0))</f>
        <v>0</v>
      </c>
    </row>
    <row r="41" spans="1:7" s="159" customFormat="1" ht="11.4" outlineLevel="1" x14ac:dyDescent="0.2">
      <c r="A41" s="85" t="s">
        <v>8575</v>
      </c>
      <c r="B41" s="150" t="s">
        <v>8576</v>
      </c>
      <c r="C41" s="74"/>
      <c r="D41" s="74"/>
      <c r="E41" s="133">
        <f>IFERROR(E12/E40,0)</f>
        <v>0.94193265008776794</v>
      </c>
      <c r="F41" s="133">
        <f>IFERROR(F12/F40,0)</f>
        <v>0</v>
      </c>
      <c r="G41" s="133">
        <f>IFERROR(G12/G40,0)</f>
        <v>0</v>
      </c>
    </row>
    <row r="42" spans="1:7" s="159" customFormat="1" outlineLevel="1" x14ac:dyDescent="0.2">
      <c r="A42" s="85"/>
      <c r="B42" s="154" t="s">
        <v>8578</v>
      </c>
      <c r="C42" s="74"/>
      <c r="D42" s="74"/>
      <c r="E42" s="155" t="str">
        <f>IF(E41&lt;=(1+E38),"NO","SI")</f>
        <v>NO</v>
      </c>
      <c r="F42" s="155" t="str">
        <f>IF(F41&lt;=(1+F38),"NO","SI")</f>
        <v>NO</v>
      </c>
      <c r="G42" s="155" t="str">
        <f>IF(G41&lt;=(1+G38),"NO","SI")</f>
        <v>NO</v>
      </c>
    </row>
    <row r="43" spans="1:7" outlineLevel="1" x14ac:dyDescent="0.2"/>
    <row r="44" spans="1:7" s="159" customFormat="1" ht="11.4" outlineLevel="1" x14ac:dyDescent="0.2">
      <c r="A44" s="138"/>
      <c r="B44" s="1045" t="s">
        <v>8579</v>
      </c>
      <c r="C44" s="1046">
        <f t="shared" ref="C44:C47" si="1">SUM(E44:AAA44)</f>
        <v>1256451.1339875134</v>
      </c>
      <c r="D44" s="151"/>
      <c r="E44" s="1047">
        <f>MAX(E12-E40*(1+E38),0)</f>
        <v>0</v>
      </c>
      <c r="F44" s="1047">
        <f>MAX(F12-F40*(1+F38),0)</f>
        <v>1256451.1339875134</v>
      </c>
      <c r="G44" s="1047">
        <f>MAX(G12-G40*(1+G38),0)</f>
        <v>0</v>
      </c>
    </row>
    <row r="45" spans="1:7" outlineLevel="1" x14ac:dyDescent="0.2">
      <c r="A45" s="85" t="s">
        <v>8583</v>
      </c>
      <c r="B45" s="1048" t="s">
        <v>8580</v>
      </c>
      <c r="C45" s="87">
        <f t="shared" si="1"/>
        <v>0</v>
      </c>
      <c r="D45" s="1051"/>
      <c r="E45" s="1052">
        <v>0</v>
      </c>
      <c r="F45" s="1052">
        <v>0</v>
      </c>
      <c r="G45" s="1053">
        <v>0</v>
      </c>
    </row>
    <row r="46" spans="1:7" outlineLevel="1" x14ac:dyDescent="0.2">
      <c r="A46" s="85" t="s">
        <v>8584</v>
      </c>
      <c r="B46" s="1049" t="s">
        <v>8582</v>
      </c>
      <c r="C46" s="87">
        <f t="shared" si="1"/>
        <v>0</v>
      </c>
      <c r="D46" s="1051"/>
      <c r="E46" s="1054">
        <v>0</v>
      </c>
      <c r="F46" s="1054">
        <v>0</v>
      </c>
      <c r="G46" s="1055">
        <v>0</v>
      </c>
    </row>
    <row r="47" spans="1:7" outlineLevel="1" x14ac:dyDescent="0.2">
      <c r="A47" s="85" t="s">
        <v>8585</v>
      </c>
      <c r="B47" s="1050" t="s">
        <v>8581</v>
      </c>
      <c r="C47" s="87">
        <f t="shared" si="1"/>
        <v>0</v>
      </c>
      <c r="D47" s="1051"/>
      <c r="E47" s="1056">
        <v>0</v>
      </c>
      <c r="F47" s="1056">
        <v>0</v>
      </c>
      <c r="G47" s="1057">
        <v>0</v>
      </c>
    </row>
    <row r="48" spans="1:7" x14ac:dyDescent="0.2">
      <c r="B48" s="409"/>
      <c r="E48" s="1058">
        <f>E44-SUM(E45:E47)</f>
        <v>0</v>
      </c>
      <c r="F48" s="1058">
        <f>F44-SUM(F45:F47)</f>
        <v>1256451.1339875134</v>
      </c>
      <c r="G48" s="1058">
        <f>G44-SUM(G45:G47)</f>
        <v>0</v>
      </c>
    </row>
    <row r="49" spans="1:7" x14ac:dyDescent="0.2">
      <c r="A49" s="350"/>
      <c r="B49" s="457">
        <v>2027</v>
      </c>
      <c r="C49" s="348"/>
      <c r="D49" s="348"/>
      <c r="E49" s="709"/>
      <c r="F49" s="709"/>
      <c r="G49" s="709"/>
    </row>
    <row r="50" spans="1:7" ht="11.4" outlineLevel="1" x14ac:dyDescent="0.2">
      <c r="A50" s="31" t="s">
        <v>5498</v>
      </c>
      <c r="B50" s="178" t="s">
        <v>8590</v>
      </c>
      <c r="C50" s="179">
        <f t="shared" ref="C50:C61" si="2">SUM(E50:AAA50)</f>
        <v>10588004.451898372</v>
      </c>
      <c r="D50" s="135"/>
      <c r="E50" s="182">
        <f>INDEX(PEF_GEST_27!$A$3:$AAA$102,MATCH($A50,PEF_GEST_27!$A$3:$A$102,0),MATCH(E$3,PEF_GEST_27!$A$3:$AAA$3,0))</f>
        <v>8746298.9873807728</v>
      </c>
      <c r="F50" s="182">
        <f>INDEX(PEF_GEST_27!$A$3:$AAA$102,MATCH($A50,PEF_GEST_27!$A$3:$A$102,0),MATCH(F$3,PEF_GEST_27!$A$3:$AAA$3,0))</f>
        <v>1121291.8505976</v>
      </c>
      <c r="G50" s="182">
        <f>INDEX(PEF_GEST_27!$A$3:$AAA$102,MATCH($A50,PEF_GEST_27!$A$3:$A$102,0),MATCH(G$3,PEF_GEST_27!$A$3:$AAA$3,0))</f>
        <v>720413.61392000003</v>
      </c>
    </row>
    <row r="51" spans="1:7" ht="11.4" outlineLevel="1" x14ac:dyDescent="0.2">
      <c r="A51" s="31" t="s">
        <v>5659</v>
      </c>
      <c r="B51" s="180" t="s">
        <v>8591</v>
      </c>
      <c r="C51" s="181">
        <f t="shared" si="2"/>
        <v>0</v>
      </c>
      <c r="D51" s="135"/>
      <c r="E51" s="183">
        <f>INDEX(PEF_COM_27!$A$3:$AAA$102,MATCH($A51,PEF_COM_27!$A$3:$A$102,0),MATCH(E$3,PEF_COM_27!$A$3:$AAA$3,0))</f>
        <v>0</v>
      </c>
      <c r="F51" s="183">
        <f>INDEX(PEF_COM_27!$A$3:$AAA$102,MATCH($A51,PEF_COM_27!$A$3:$A$102,0),MATCH(F$3,PEF_COM_27!$A$3:$AAA$3,0))</f>
        <v>0</v>
      </c>
      <c r="G51" s="183">
        <f>INDEX(PEF_COM_27!$A$3:$AAA$102,MATCH($A51,PEF_COM_27!$A$3:$A$102,0),MATCH(G$3,PEF_COM_27!$A$3:$AAA$3,0))</f>
        <v>0</v>
      </c>
    </row>
    <row r="52" spans="1:7" ht="11.4" outlineLevel="1" x14ac:dyDescent="0.2">
      <c r="A52" s="31" t="s">
        <v>8589</v>
      </c>
      <c r="B52" s="142" t="s">
        <v>8592</v>
      </c>
      <c r="C52" s="143">
        <f t="shared" si="2"/>
        <v>10588004.451898372</v>
      </c>
      <c r="D52" s="135"/>
      <c r="E52" s="144">
        <f>E50+E51</f>
        <v>8746298.9873807728</v>
      </c>
      <c r="F52" s="144">
        <f>F50+F51</f>
        <v>1121291.8505976</v>
      </c>
      <c r="G52" s="144">
        <f>G50+G51</f>
        <v>720413.61392000003</v>
      </c>
    </row>
    <row r="53" spans="1:7" ht="11.4" outlineLevel="1" x14ac:dyDescent="0.2">
      <c r="A53" s="31" t="s">
        <v>5500</v>
      </c>
      <c r="B53" s="178" t="s">
        <v>8593</v>
      </c>
      <c r="C53" s="179">
        <f t="shared" si="2"/>
        <v>7902432.5896523157</v>
      </c>
      <c r="D53" s="135"/>
      <c r="E53" s="182">
        <f>INDEX(PEF_GEST_27!$A$3:$AAA$102,MATCH($A53,PEF_GEST_27!$A$3:$A$102,0),MATCH(E$3,PEF_GEST_27!$A$3:$AAA$3,0))</f>
        <v>7652796.8636533553</v>
      </c>
      <c r="F53" s="182">
        <f>INDEX(PEF_GEST_27!$A$3:$AAA$102,MATCH($A53,PEF_GEST_27!$A$3:$A$102,0),MATCH(F$3,PEF_GEST_27!$A$3:$AAA$3,0))</f>
        <v>129706.70226632972</v>
      </c>
      <c r="G53" s="182">
        <f>INDEX(PEF_GEST_27!$A$3:$AAA$102,MATCH($A53,PEF_GEST_27!$A$3:$A$102,0),MATCH(G$3,PEF_GEST_27!$A$3:$AAA$3,0))</f>
        <v>119929.02373263093</v>
      </c>
    </row>
    <row r="54" spans="1:7" ht="11.4" outlineLevel="1" x14ac:dyDescent="0.2">
      <c r="A54" s="31" t="s">
        <v>5662</v>
      </c>
      <c r="B54" s="180" t="s">
        <v>8594</v>
      </c>
      <c r="C54" s="181">
        <f t="shared" si="2"/>
        <v>52902.058472230645</v>
      </c>
      <c r="D54" s="135"/>
      <c r="E54" s="183">
        <f>INDEX(PEF_COM_27!$A$3:$AAA$102,MATCH($A54,PEF_COM_27!$A$3:$A$102,0),MATCH(E$3,PEF_COM_27!$A$3:$AAA$3,0))</f>
        <v>0</v>
      </c>
      <c r="F54" s="183">
        <f>INDEX(PEF_COM_27!$A$3:$AAA$102,MATCH($A54,PEF_COM_27!$A$3:$A$102,0),MATCH(F$3,PEF_COM_27!$A$3:$AAA$3,0))</f>
        <v>0</v>
      </c>
      <c r="G54" s="183">
        <f>INDEX(PEF_COM_27!$A$3:$AAA$102,MATCH($A54,PEF_COM_27!$A$3:$A$102,0),MATCH(G$3,PEF_COM_27!$A$3:$AAA$3,0))</f>
        <v>52902.058472230645</v>
      </c>
    </row>
    <row r="55" spans="1:7" ht="11.4" outlineLevel="1" x14ac:dyDescent="0.2">
      <c r="A55" s="31" t="s">
        <v>8602</v>
      </c>
      <c r="B55" s="142" t="s">
        <v>8595</v>
      </c>
      <c r="C55" s="143">
        <f t="shared" si="2"/>
        <v>7955334.6481245467</v>
      </c>
      <c r="D55" s="135"/>
      <c r="E55" s="144">
        <f>E53+E54</f>
        <v>7652796.8636533553</v>
      </c>
      <c r="F55" s="144">
        <f>F53+F54</f>
        <v>129706.70226632972</v>
      </c>
      <c r="G55" s="144">
        <f>G53+G54</f>
        <v>172831.08220486157</v>
      </c>
    </row>
    <row r="56" spans="1:7" ht="11.4" outlineLevel="1" x14ac:dyDescent="0.2">
      <c r="A56" s="31" t="s">
        <v>5504</v>
      </c>
      <c r="B56" s="178" t="s">
        <v>8596</v>
      </c>
      <c r="C56" s="179">
        <f t="shared" si="2"/>
        <v>18490437.041550688</v>
      </c>
      <c r="D56" s="135"/>
      <c r="E56" s="182">
        <f>INDEX(PEF_GEST_27!$A$3:$AAA$102,MATCH($A56,PEF_GEST_27!$A$3:$A$102,0),MATCH(E$3,PEF_GEST_27!$A$3:$AAA$3,0))</f>
        <v>16399095.851034127</v>
      </c>
      <c r="F56" s="182">
        <f>INDEX(PEF_GEST_27!$A$3:$AAA$102,MATCH($A56,PEF_GEST_27!$A$3:$A$102,0),MATCH(F$3,PEF_GEST_27!$A$3:$AAA$3,0))</f>
        <v>1250998.5528639297</v>
      </c>
      <c r="G56" s="182">
        <f>INDEX(PEF_GEST_27!$A$3:$AAA$102,MATCH($A56,PEF_GEST_27!$A$3:$A$102,0),MATCH(G$3,PEF_GEST_27!$A$3:$AAA$3,0))</f>
        <v>840342.63765263092</v>
      </c>
    </row>
    <row r="57" spans="1:7" ht="11.4" outlineLevel="1" x14ac:dyDescent="0.2">
      <c r="A57" s="31" t="s">
        <v>5665</v>
      </c>
      <c r="B57" s="180" t="s">
        <v>8597</v>
      </c>
      <c r="C57" s="181">
        <f t="shared" si="2"/>
        <v>52902.058472230645</v>
      </c>
      <c r="D57" s="135"/>
      <c r="E57" s="183">
        <f>INDEX(PEF_COM_27!$A$3:$AAA$102,MATCH($A57,PEF_COM_27!$A$3:$A$102,0),MATCH(E$3,PEF_COM_27!$A$3:$AAA$3,0))</f>
        <v>0</v>
      </c>
      <c r="F57" s="183">
        <f>INDEX(PEF_COM_27!$A$3:$AAA$102,MATCH($A57,PEF_COM_27!$A$3:$A$102,0),MATCH(F$3,PEF_COM_27!$A$3:$AAA$3,0))</f>
        <v>0</v>
      </c>
      <c r="G57" s="183">
        <f>INDEX(PEF_COM_27!$A$3:$AAA$102,MATCH($A57,PEF_COM_27!$A$3:$A$102,0),MATCH(G$3,PEF_COM_27!$A$3:$AAA$3,0))</f>
        <v>52902.058472230645</v>
      </c>
    </row>
    <row r="58" spans="1:7" ht="11.4" outlineLevel="1" x14ac:dyDescent="0.2">
      <c r="A58" s="31" t="s">
        <v>8603</v>
      </c>
      <c r="B58" s="142" t="s">
        <v>8598</v>
      </c>
      <c r="C58" s="143">
        <f t="shared" si="2"/>
        <v>18543339.100022919</v>
      </c>
      <c r="D58" s="135"/>
      <c r="E58" s="144">
        <f>E56+E57</f>
        <v>16399095.851034127</v>
      </c>
      <c r="F58" s="144">
        <f>F56+F57</f>
        <v>1250998.5528639297</v>
      </c>
      <c r="G58" s="144">
        <f>G56+G57</f>
        <v>893244.6961248616</v>
      </c>
    </row>
    <row r="59" spans="1:7" ht="11.4" outlineLevel="1" x14ac:dyDescent="0.2">
      <c r="A59" s="85" t="s">
        <v>6557</v>
      </c>
      <c r="B59" s="173" t="s">
        <v>8599</v>
      </c>
      <c r="C59" s="184">
        <f t="shared" si="2"/>
        <v>9035624.7360059675</v>
      </c>
      <c r="D59" s="147"/>
      <c r="E59" s="186">
        <f>INDEX('Rett_Ta-1'!$A$3:$AAA$99,MATCH($A59,'Rett_Ta-1'!$A$3:$A$99,0),MATCH(E$3,'Rett_Ta-1'!$A$3:$AAA$3,0))</f>
        <v>7914332.885408367</v>
      </c>
      <c r="F59" s="186">
        <f>INDEX('Rett_Ta-1'!$A$3:$AAA$99,MATCH($A59,'Rett_Ta-1'!$A$3:$A$99,0),MATCH(F$3,'Rett_Ta-1'!$A$3:$AAA$3,0))</f>
        <v>1121291.8505976</v>
      </c>
      <c r="G59" s="186">
        <f>INDEX('Rett_Ta-1'!$A$3:$AAA$99,MATCH($A59,'Rett_Ta-1'!$A$3:$A$99,0),MATCH(G$3,'Rett_Ta-1'!$A$3:$AAA$3,0))</f>
        <v>0</v>
      </c>
    </row>
    <row r="60" spans="1:7" ht="11.4" outlineLevel="1" x14ac:dyDescent="0.2">
      <c r="A60" s="85" t="s">
        <v>6560</v>
      </c>
      <c r="B60" s="175" t="s">
        <v>8600</v>
      </c>
      <c r="C60" s="185">
        <f t="shared" si="2"/>
        <v>7720877.0682972828</v>
      </c>
      <c r="D60" s="147"/>
      <c r="E60" s="187">
        <f>INDEX('Rett_Ta-1'!$A$3:$AAA$99,MATCH($A60,'Rett_Ta-1'!$A$3:$A$99,0),MATCH(E$3,'Rett_Ta-1'!$A$3:$AAA$3,0))</f>
        <v>7531568.5899443226</v>
      </c>
      <c r="F60" s="187">
        <f>INDEX('Rett_Ta-1'!$A$3:$AAA$99,MATCH($A60,'Rett_Ta-1'!$A$3:$A$99,0),MATCH(F$3,'Rett_Ta-1'!$A$3:$AAA$3,0))</f>
        <v>135159.28338991333</v>
      </c>
      <c r="G60" s="187">
        <f>INDEX('Rett_Ta-1'!$A$3:$AAA$99,MATCH($A60,'Rett_Ta-1'!$A$3:$A$99,0),MATCH(G$3,'Rett_Ta-1'!$A$3:$AAA$3,0))</f>
        <v>54149.194963047281</v>
      </c>
    </row>
    <row r="61" spans="1:7" ht="11.4" outlineLevel="1" x14ac:dyDescent="0.2">
      <c r="A61" s="85" t="s">
        <v>6561</v>
      </c>
      <c r="B61" s="145" t="s">
        <v>8601</v>
      </c>
      <c r="C61" s="146">
        <f t="shared" si="2"/>
        <v>16756501.804303249</v>
      </c>
      <c r="D61" s="148"/>
      <c r="E61" s="149">
        <f>E59+E60</f>
        <v>15445901.47535269</v>
      </c>
      <c r="F61" s="149">
        <f>F59+F60</f>
        <v>1256451.1339875134</v>
      </c>
      <c r="G61" s="149">
        <f>G59+G60</f>
        <v>54149.194963047281</v>
      </c>
    </row>
    <row r="62" spans="1:7" outlineLevel="1" x14ac:dyDescent="0.2">
      <c r="A62" s="85"/>
      <c r="B62" s="74"/>
      <c r="C62" s="74"/>
      <c r="D62" s="74"/>
      <c r="E62" s="75"/>
      <c r="F62" s="75"/>
      <c r="G62" s="75"/>
    </row>
    <row r="63" spans="1:7" ht="11.4" outlineLevel="1" x14ac:dyDescent="0.2">
      <c r="A63" s="85"/>
      <c r="B63" s="71" t="s">
        <v>6063</v>
      </c>
      <c r="C63" s="135"/>
      <c r="D63" s="135"/>
      <c r="E63" s="77">
        <f>1+E64</f>
        <v>1.0189999999999999</v>
      </c>
      <c r="F63" s="77">
        <f>1+F64</f>
        <v>1.0189999999999999</v>
      </c>
      <c r="G63" s="77">
        <f>1+G64</f>
        <v>1.0189999999999999</v>
      </c>
    </row>
    <row r="64" spans="1:7" ht="11.4" outlineLevel="1" x14ac:dyDescent="0.2">
      <c r="A64" s="85" t="s">
        <v>1384</v>
      </c>
      <c r="B64" s="71" t="s">
        <v>6064</v>
      </c>
      <c r="C64" s="135"/>
      <c r="D64" s="135"/>
      <c r="E64" s="77">
        <f>E65-E66+E67+E68</f>
        <v>1.9E-2</v>
      </c>
      <c r="F64" s="77">
        <f>F65-F66+F67+F68</f>
        <v>1.9E-2</v>
      </c>
      <c r="G64" s="77">
        <f>G65-G66+G67+G68</f>
        <v>1.9E-2</v>
      </c>
    </row>
    <row r="65" spans="1:7" ht="11.4" outlineLevel="1" x14ac:dyDescent="0.2">
      <c r="A65" s="85" t="s">
        <v>1378</v>
      </c>
      <c r="B65" s="20" t="s">
        <v>122</v>
      </c>
      <c r="C65" s="78">
        <f>'Parametri MTR-3'!$J$4</f>
        <v>1.9E-2</v>
      </c>
      <c r="D65" s="136"/>
      <c r="E65" s="78">
        <f>$C$21</f>
        <v>1.9E-2</v>
      </c>
      <c r="F65" s="78">
        <f>$C$21</f>
        <v>1.9E-2</v>
      </c>
      <c r="G65" s="78">
        <f>$C$21</f>
        <v>1.9E-2</v>
      </c>
    </row>
    <row r="66" spans="1:7" ht="11.4" outlineLevel="1" x14ac:dyDescent="0.2">
      <c r="A66" s="85" t="s">
        <v>1003</v>
      </c>
      <c r="B66" s="173" t="s">
        <v>6065</v>
      </c>
      <c r="C66" s="136"/>
      <c r="D66" s="136"/>
      <c r="E66" s="176">
        <f>INDEX(IN_PAR!$A$3:$AAA$413,MATCH($A66,IN_PAR!$A$3:$A$413,0),MATCH(E$3,IN_PAR!$A$3:$AAA$3,0))</f>
        <v>0</v>
      </c>
      <c r="F66" s="176">
        <f>INDEX(IN_PAR!$A$3:$AAA$413,MATCH($A66,IN_PAR!$A$3:$A$413,0),MATCH(F$3,IN_PAR!$A$3:$AAA$3,0))</f>
        <v>0</v>
      </c>
      <c r="G66" s="176">
        <f>INDEX(IN_PAR!$A$3:$AAA$413,MATCH($A66,IN_PAR!$A$3:$A$413,0),MATCH(G$3,IN_PAR!$A$3:$AAA$3,0))</f>
        <v>0</v>
      </c>
    </row>
    <row r="67" spans="1:7" ht="11.4" outlineLevel="1" x14ac:dyDescent="0.2">
      <c r="A67" s="85" t="s">
        <v>1383</v>
      </c>
      <c r="B67" s="174" t="s">
        <v>6066</v>
      </c>
      <c r="C67" s="136"/>
      <c r="D67" s="136"/>
      <c r="E67" s="177">
        <f>INDEX(IN_PAR!$A$3:$AAA$413,MATCH($A67,IN_PAR!$A$3:$A$413,0),MATCH(E$3,IN_PAR!$A$3:$AAA$3,0))</f>
        <v>0</v>
      </c>
      <c r="F67" s="177">
        <f>INDEX(IN_PAR!$A$3:$AAA$413,MATCH($A67,IN_PAR!$A$3:$A$413,0),MATCH(F$3,IN_PAR!$A$3:$AAA$3,0))</f>
        <v>0</v>
      </c>
      <c r="G67" s="177">
        <f>INDEX(IN_PAR!$A$3:$AAA$413,MATCH($A67,IN_PAR!$A$3:$A$413,0),MATCH(G$3,IN_PAR!$A$3:$AAA$3,0))</f>
        <v>0</v>
      </c>
    </row>
    <row r="68" spans="1:7" ht="11.4" outlineLevel="1" x14ac:dyDescent="0.2">
      <c r="A68" s="85" t="s">
        <v>954</v>
      </c>
      <c r="B68" s="174" t="s">
        <v>6067</v>
      </c>
      <c r="C68" s="136"/>
      <c r="D68" s="136"/>
      <c r="E68" s="177">
        <f>INDEX(IN_PAR!$A$3:$AAA$413,MATCH($A68,IN_PAR!$A$3:$A$413,0),MATCH(E$3,IN_PAR!$A$3:$AAA$3,0))</f>
        <v>0</v>
      </c>
      <c r="F68" s="177">
        <f>INDEX(IN_PAR!$A$3:$AAA$413,MATCH($A68,IN_PAR!$A$3:$A$413,0),MATCH(F$3,IN_PAR!$A$3:$AAA$3,0))</f>
        <v>0</v>
      </c>
      <c r="G68" s="177">
        <f>INDEX(IN_PAR!$A$3:$AAA$413,MATCH($A68,IN_PAR!$A$3:$A$413,0),MATCH(G$3,IN_PAR!$A$3:$AAA$3,0))</f>
        <v>0</v>
      </c>
    </row>
    <row r="69" spans="1:7" outlineLevel="1" x14ac:dyDescent="0.2">
      <c r="A69" s="85"/>
      <c r="B69" s="65" t="s">
        <v>123</v>
      </c>
      <c r="C69" s="137"/>
      <c r="D69" s="137"/>
      <c r="E69" s="708" t="str">
        <f>IF(E64&gt;8.8%,"errore","ok")</f>
        <v>ok</v>
      </c>
      <c r="F69" s="708" t="str">
        <f>IF(F64&gt;8.8%,"errore","ok")</f>
        <v>ok</v>
      </c>
      <c r="G69" s="708" t="str">
        <f>IF(G64&gt;8.8%,"errore","ok")</f>
        <v>ok</v>
      </c>
    </row>
    <row r="70" spans="1:7" outlineLevel="1" x14ac:dyDescent="0.2"/>
    <row r="71" spans="1:7" s="159" customFormat="1" ht="11.4" outlineLevel="1" x14ac:dyDescent="0.2">
      <c r="A71" s="85" t="s">
        <v>6084</v>
      </c>
      <c r="B71" s="150" t="s">
        <v>6080</v>
      </c>
      <c r="C71" s="74"/>
      <c r="D71" s="74"/>
      <c r="E71" s="133">
        <f>IFERROR(E58/E61,0)</f>
        <v>1.0617117995477614</v>
      </c>
      <c r="F71" s="133">
        <f>IFERROR(F58/F61,0)</f>
        <v>0.99566033172632884</v>
      </c>
      <c r="G71" s="133">
        <f>IFERROR(G58/G61,0)</f>
        <v>16.495992170048574</v>
      </c>
    </row>
    <row r="72" spans="1:7" s="159" customFormat="1" outlineLevel="1" x14ac:dyDescent="0.2">
      <c r="A72" s="85"/>
      <c r="B72" s="154" t="s">
        <v>218</v>
      </c>
      <c r="C72" s="74"/>
      <c r="D72" s="74"/>
      <c r="E72" s="155" t="str">
        <f>IF(E71&lt;=(1+E64),"NO","SI")</f>
        <v>SI</v>
      </c>
      <c r="F72" s="155" t="str">
        <f>IF(F71&lt;=(1+F64),"NO","SI")</f>
        <v>NO</v>
      </c>
      <c r="G72" s="155" t="str">
        <f>IF(G71&lt;=(1+G64),"NO","SI")</f>
        <v>SI</v>
      </c>
    </row>
    <row r="73" spans="1:7" outlineLevel="1" x14ac:dyDescent="0.2"/>
    <row r="74" spans="1:7" ht="11.4" outlineLevel="1" x14ac:dyDescent="0.2">
      <c r="A74" s="85" t="s">
        <v>1378</v>
      </c>
      <c r="B74" s="20" t="s">
        <v>122</v>
      </c>
      <c r="C74" s="78">
        <f>'Parametri MTR-3'!$J$4</f>
        <v>1.9E-2</v>
      </c>
      <c r="D74" s="136"/>
      <c r="E74" s="78">
        <f>$C$30</f>
        <v>1.9E-2</v>
      </c>
      <c r="F74" s="78">
        <f>$C$30</f>
        <v>1.9E-2</v>
      </c>
      <c r="G74" s="78">
        <f>$C$30</f>
        <v>1.9E-2</v>
      </c>
    </row>
    <row r="75" spans="1:7" outlineLevel="1" x14ac:dyDescent="0.2">
      <c r="A75" s="85" t="s">
        <v>1459</v>
      </c>
      <c r="B75" s="209" t="str">
        <f>"Xreg2027 Singolo Gestore "&amp;IN_Anagrafica!$B$1</f>
        <v>Xreg2027 Singolo Gestore AGESP</v>
      </c>
      <c r="E75" s="1041">
        <f>INDEX(IN_PAR!$A$3:$AAA$413,MATCH($A75,IN_PAR!$A$3:$A$413,0),MATCH(E$3,IN_PAR!$A$3:$AAA$3,0))</f>
        <v>0</v>
      </c>
      <c r="F75" s="1041">
        <f>INDEX(IN_PAR!$A$3:$AAA$413,MATCH($A75,IN_PAR!$A$3:$A$413,0),MATCH(F$3,IN_PAR!$A$3:$AAA$3,0))</f>
        <v>0</v>
      </c>
      <c r="G75" s="1041">
        <f>INDEX(IN_PAR!$A$3:$AAA$413,MATCH($A75,IN_PAR!$A$3:$A$413,0),MATCH(G$3,IN_PAR!$A$3:$AAA$3,0))</f>
        <v>0</v>
      </c>
    </row>
    <row r="76" spans="1:7" outlineLevel="1" x14ac:dyDescent="0.2">
      <c r="A76" s="85" t="s">
        <v>1460</v>
      </c>
      <c r="B76" s="1039" t="str">
        <f>"Xcom2027 Singolo Gestore " &amp;IN_Anagrafica!$B$1</f>
        <v>Xcom2027 Singolo Gestore AGESP</v>
      </c>
      <c r="E76" s="1042">
        <f>INDEX(IN_PAR!$A$3:$AAA$413,MATCH($A76,IN_PAR!$A$3:$A$413,0),MATCH(E$3,IN_PAR!$A$3:$AAA$3,0))</f>
        <v>0</v>
      </c>
      <c r="F76" s="1042">
        <f>INDEX(IN_PAR!$A$3:$AAA$413,MATCH($A76,IN_PAR!$A$3:$A$413,0),MATCH(F$3,IN_PAR!$A$3:$AAA$3,0))</f>
        <v>0</v>
      </c>
      <c r="G76" s="1042">
        <f>INDEX(IN_PAR!$A$3:$AAA$413,MATCH($A76,IN_PAR!$A$3:$A$413,0),MATCH(G$3,IN_PAR!$A$3:$AAA$3,0))</f>
        <v>0</v>
      </c>
    </row>
    <row r="77" spans="1:7" outlineLevel="1" x14ac:dyDescent="0.2">
      <c r="A77" s="85" t="s">
        <v>8604</v>
      </c>
      <c r="B77" s="67" t="str">
        <f>"X2027 Singolo Gestore " &amp;IN_Anagrafica!$B$1</f>
        <v>X2027 Singolo Gestore AGESP</v>
      </c>
      <c r="E77" s="1043">
        <f>E75+E76</f>
        <v>0</v>
      </c>
      <c r="F77" s="1043">
        <f>F75+F76</f>
        <v>0</v>
      </c>
      <c r="G77" s="1043">
        <f>G75+G76</f>
        <v>0</v>
      </c>
    </row>
    <row r="78" spans="1:7" outlineLevel="1" x14ac:dyDescent="0.2">
      <c r="A78" s="85" t="s">
        <v>1461</v>
      </c>
      <c r="B78" s="707" t="str">
        <f>"Kcom2027 Singolo Gestore "&amp;IN_Anagrafica!$B$1</f>
        <v>Kcom2027 Singolo Gestore AGESP</v>
      </c>
      <c r="E78" s="1041">
        <f>INDEX(IN_PAR!$A$3:$AAA$413,MATCH($A78,IN_PAR!$A$3:$A$413,0),MATCH(E$3,IN_PAR!$A$3:$AAA$3,0))</f>
        <v>0</v>
      </c>
      <c r="F78" s="1041">
        <f>INDEX(IN_PAR!$A$3:$AAA$413,MATCH($A78,IN_PAR!$A$3:$A$413,0),MATCH(F$3,IN_PAR!$A$3:$AAA$3,0))</f>
        <v>0</v>
      </c>
      <c r="G78" s="1041">
        <f>INDEX(IN_PAR!$A$3:$AAA$413,MATCH($A78,IN_PAR!$A$3:$A$413,0),MATCH(G$3,IN_PAR!$A$3:$AAA$3,0))</f>
        <v>0</v>
      </c>
    </row>
    <row r="79" spans="1:7" outlineLevel="1" x14ac:dyDescent="0.2">
      <c r="A79" s="85" t="s">
        <v>1462</v>
      </c>
      <c r="B79" s="527" t="str">
        <f>"Kreg2027 Singolo Gestore "&amp;IN_Anagrafica!$B$1</f>
        <v>Kreg2027 Singolo Gestore AGESP</v>
      </c>
      <c r="E79" s="1042">
        <f>INDEX(IN_PAR!$A$3:$AAA$413,MATCH($A79,IN_PAR!$A$3:$A$413,0),MATCH(E$3,IN_PAR!$A$3:$AAA$3,0))</f>
        <v>0</v>
      </c>
      <c r="F79" s="1042">
        <f>INDEX(IN_PAR!$A$3:$AAA$413,MATCH($A79,IN_PAR!$A$3:$A$413,0),MATCH(F$3,IN_PAR!$A$3:$AAA$3,0))</f>
        <v>0</v>
      </c>
      <c r="G79" s="1042">
        <f>INDEX(IN_PAR!$A$3:$AAA$413,MATCH($A79,IN_PAR!$A$3:$A$413,0),MATCH(G$3,IN_PAR!$A$3:$AAA$3,0))</f>
        <v>0</v>
      </c>
    </row>
    <row r="80" spans="1:7" outlineLevel="1" x14ac:dyDescent="0.2">
      <c r="A80" s="85" t="s">
        <v>8605</v>
      </c>
      <c r="B80" s="67" t="str">
        <f>"K2027 Singolo Gestore " &amp;IN_Anagrafica!$B$1</f>
        <v>K2027 Singolo Gestore AGESP</v>
      </c>
      <c r="E80" s="1043">
        <f>E78+E79</f>
        <v>0</v>
      </c>
      <c r="F80" s="1043">
        <f>F78+F79</f>
        <v>0</v>
      </c>
      <c r="G80" s="1043">
        <f>G78+G79</f>
        <v>0</v>
      </c>
    </row>
    <row r="81" spans="1:7" outlineLevel="1" x14ac:dyDescent="0.2">
      <c r="A81" s="85" t="s">
        <v>1463</v>
      </c>
      <c r="B81" s="445" t="str">
        <f>"CRI2027 Singolo Gestore "&amp;IN_Anagrafica!$B$1</f>
        <v>CRI2027 Singolo Gestore AGESP</v>
      </c>
      <c r="E81" s="1040">
        <f>INDEX(IN_PAR!$A$3:$AAA$413,MATCH($A81,IN_PAR!$A$3:$A$413,0),MATCH(E$3,IN_PAR!$A$3:$AAA$3,0))</f>
        <v>0</v>
      </c>
      <c r="F81" s="1040">
        <f>INDEX(IN_PAR!$A$3:$AAA$413,MATCH($A81,IN_PAR!$A$3:$A$413,0),MATCH(F$3,IN_PAR!$A$3:$AAA$3,0))</f>
        <v>0</v>
      </c>
      <c r="G81" s="1040">
        <f>INDEX(IN_PAR!$A$3:$AAA$413,MATCH($A81,IN_PAR!$A$3:$A$413,0),MATCH(G$3,IN_PAR!$A$3:$AAA$3,0))</f>
        <v>0</v>
      </c>
    </row>
    <row r="82" spans="1:7" ht="11.4" outlineLevel="1" x14ac:dyDescent="0.2">
      <c r="A82" s="85" t="s">
        <v>8606</v>
      </c>
      <c r="B82" s="71" t="s">
        <v>8611</v>
      </c>
      <c r="C82" s="135"/>
      <c r="D82" s="135"/>
      <c r="E82" s="77">
        <f>E74-E77+E80+E81</f>
        <v>1.9E-2</v>
      </c>
      <c r="F82" s="77">
        <f>F74-F77+F80+F81</f>
        <v>1.9E-2</v>
      </c>
      <c r="G82" s="77">
        <f>G74-G77+G80+G81</f>
        <v>1.9E-2</v>
      </c>
    </row>
    <row r="83" spans="1:7" outlineLevel="1" x14ac:dyDescent="0.2"/>
    <row r="84" spans="1:7" ht="11.4" outlineLevel="1" x14ac:dyDescent="0.25">
      <c r="A84" s="85" t="s">
        <v>8615</v>
      </c>
      <c r="B84" s="335" t="s">
        <v>1518</v>
      </c>
      <c r="E84" s="1044">
        <f>INDEX('Rett_Ta-1'!$A$3:$AAA$99,MATCH($A84,'Rett_Ta-1'!$A$3:$A$99,0),MATCH(E$3,'Rett_Ta-1'!$A$3:$AAA$3,0))</f>
        <v>15445901.47535269</v>
      </c>
      <c r="F84" s="1044">
        <f>INDEX('Rett_Ta-1'!$A$3:$AAA$99,MATCH($A84,'Rett_Ta-1'!$A$3:$A$99,0),MATCH(F$3,'Rett_Ta-1'!$A$3:$AAA$3,0))</f>
        <v>1256451.1339875134</v>
      </c>
      <c r="G84" s="1044">
        <f>INDEX('Rett_Ta-1'!$A$3:$AAA$99,MATCH($A84,'Rett_Ta-1'!$A$3:$A$99,0),MATCH(G$3,'Rett_Ta-1'!$A$3:$AAA$3,0))</f>
        <v>0</v>
      </c>
    </row>
    <row r="85" spans="1:7" s="159" customFormat="1" ht="11.4" outlineLevel="1" x14ac:dyDescent="0.2">
      <c r="A85" s="85" t="s">
        <v>8607</v>
      </c>
      <c r="B85" s="150" t="s">
        <v>8612</v>
      </c>
      <c r="C85" s="74"/>
      <c r="D85" s="74"/>
      <c r="E85" s="133">
        <f>IFERROR(E56/E84,0)</f>
        <v>1.0617117995477614</v>
      </c>
      <c r="F85" s="133">
        <f>IFERROR(F56/F84,0)</f>
        <v>0.99566033172632884</v>
      </c>
      <c r="G85" s="133">
        <f>IFERROR(G56/G84,0)</f>
        <v>0</v>
      </c>
    </row>
    <row r="86" spans="1:7" s="159" customFormat="1" outlineLevel="1" x14ac:dyDescent="0.2">
      <c r="A86" s="85"/>
      <c r="B86" s="154" t="s">
        <v>8578</v>
      </c>
      <c r="C86" s="74"/>
      <c r="D86" s="74"/>
      <c r="E86" s="155" t="str">
        <f>IF(E85&lt;=(1+E82),"NO","SI")</f>
        <v>SI</v>
      </c>
      <c r="F86" s="155" t="str">
        <f>IF(F85&lt;=(1+F82),"NO","SI")</f>
        <v>NO</v>
      </c>
      <c r="G86" s="155" t="str">
        <f>IF(G85&lt;=(1+G82),"NO","SI")</f>
        <v>NO</v>
      </c>
    </row>
    <row r="87" spans="1:7" outlineLevel="1" x14ac:dyDescent="0.2"/>
    <row r="88" spans="1:7" s="159" customFormat="1" ht="11.4" outlineLevel="1" x14ac:dyDescent="0.2">
      <c r="A88" s="138"/>
      <c r="B88" s="1045" t="s">
        <v>8613</v>
      </c>
      <c r="C88" s="1046">
        <f t="shared" ref="C88:C91" si="3">SUM(E88:AAA88)</f>
        <v>1500064.8853023695</v>
      </c>
      <c r="D88" s="151"/>
      <c r="E88" s="1047">
        <f>MAX(E56-E84*(1+E82),0)</f>
        <v>659722.24764973857</v>
      </c>
      <c r="F88" s="1047">
        <f>MAX(F56-F84*(1+F82),0)</f>
        <v>0</v>
      </c>
      <c r="G88" s="1047">
        <f>MAX(G56-G84*(1+G82),0)</f>
        <v>840342.63765263092</v>
      </c>
    </row>
    <row r="89" spans="1:7" outlineLevel="1" x14ac:dyDescent="0.2">
      <c r="A89" s="85" t="s">
        <v>8608</v>
      </c>
      <c r="B89" s="1048" t="s">
        <v>8580</v>
      </c>
      <c r="C89" s="87">
        <f t="shared" si="3"/>
        <v>0</v>
      </c>
      <c r="D89" s="1051"/>
      <c r="E89" s="1052">
        <v>0</v>
      </c>
      <c r="F89" s="1052">
        <v>0</v>
      </c>
      <c r="G89" s="1053">
        <v>0</v>
      </c>
    </row>
    <row r="90" spans="1:7" outlineLevel="1" x14ac:dyDescent="0.2">
      <c r="A90" s="85" t="s">
        <v>8609</v>
      </c>
      <c r="B90" s="1049" t="s">
        <v>8614</v>
      </c>
      <c r="C90" s="87">
        <f t="shared" si="3"/>
        <v>0</v>
      </c>
      <c r="D90" s="1051"/>
      <c r="E90" s="1054">
        <v>0</v>
      </c>
      <c r="F90" s="1054">
        <v>0</v>
      </c>
      <c r="G90" s="1055">
        <v>0</v>
      </c>
    </row>
    <row r="91" spans="1:7" outlineLevel="1" x14ac:dyDescent="0.2">
      <c r="A91" s="85" t="s">
        <v>8610</v>
      </c>
      <c r="B91" s="1050" t="s">
        <v>8581</v>
      </c>
      <c r="C91" s="87">
        <f t="shared" si="3"/>
        <v>0</v>
      </c>
      <c r="D91" s="1051"/>
      <c r="E91" s="1056">
        <v>0</v>
      </c>
      <c r="F91" s="1056">
        <v>0</v>
      </c>
      <c r="G91" s="1057">
        <v>0</v>
      </c>
    </row>
    <row r="92" spans="1:7" x14ac:dyDescent="0.2">
      <c r="E92" s="1058">
        <f>E88-SUM(E89:E91)</f>
        <v>659722.24764973857</v>
      </c>
      <c r="F92" s="1058">
        <f>F88-SUM(F89:F91)</f>
        <v>0</v>
      </c>
      <c r="G92" s="1058">
        <f>G88-SUM(G89:G91)</f>
        <v>840342.63765263092</v>
      </c>
    </row>
    <row r="93" spans="1:7" x14ac:dyDescent="0.2">
      <c r="A93" s="350"/>
      <c r="B93" s="457">
        <v>2028</v>
      </c>
      <c r="C93" s="348"/>
      <c r="D93" s="348"/>
      <c r="E93" s="709"/>
      <c r="F93" s="709"/>
      <c r="G93" s="709"/>
    </row>
    <row r="94" spans="1:7" ht="11.4" outlineLevel="1" x14ac:dyDescent="0.2">
      <c r="A94" s="31" t="s">
        <v>5527</v>
      </c>
      <c r="B94" s="178" t="s">
        <v>8630</v>
      </c>
      <c r="C94" s="179">
        <f t="shared" ref="C94:C105" si="4">SUM(E94:AAA94)</f>
        <v>10094338.994965419</v>
      </c>
      <c r="D94" s="135"/>
      <c r="E94" s="182">
        <f>INDEX(PEF_GEST_28!$A$3:$AAA$102,MATCH($A94,PEF_GEST_28!$A$3:$A$102,0),MATCH(E$3,PEF_GEST_28!$A$3:$AAA$3,0))</f>
        <v>8252633.5304478202</v>
      </c>
      <c r="F94" s="182">
        <f>INDEX(PEF_GEST_28!$A$3:$AAA$102,MATCH($A94,PEF_GEST_28!$A$3:$A$102,0),MATCH(F$3,PEF_GEST_28!$A$3:$AAA$3,0))</f>
        <v>1121291.8505976</v>
      </c>
      <c r="G94" s="182">
        <f>INDEX(PEF_GEST_28!$A$3:$AAA$102,MATCH($A94,PEF_GEST_28!$A$3:$A$102,0),MATCH(G$3,PEF_GEST_28!$A$3:$AAA$3,0))</f>
        <v>720413.61392000003</v>
      </c>
    </row>
    <row r="95" spans="1:7" ht="11.4" outlineLevel="1" x14ac:dyDescent="0.2">
      <c r="A95" s="31" t="s">
        <v>5633</v>
      </c>
      <c r="B95" s="180" t="s">
        <v>8631</v>
      </c>
      <c r="C95" s="181">
        <f t="shared" si="4"/>
        <v>0</v>
      </c>
      <c r="D95" s="135"/>
      <c r="E95" s="183">
        <f>INDEX(PEF_COM_28!$A$3:$AAA$102,MATCH($A95,PEF_COM_28!$A$3:$A$102,0),MATCH(E$3,PEF_COM_28!$A$3:$AAA$3,0))</f>
        <v>0</v>
      </c>
      <c r="F95" s="183">
        <f>INDEX(PEF_COM_28!$A$3:$AAA$102,MATCH($A95,PEF_COM_28!$A$3:$A$102,0),MATCH(F$3,PEF_COM_28!$A$3:$AAA$3,0))</f>
        <v>0</v>
      </c>
      <c r="G95" s="183">
        <f>INDEX(PEF_COM_28!$A$3:$AAA$102,MATCH($A95,PEF_COM_28!$A$3:$A$102,0),MATCH(G$3,PEF_COM_28!$A$3:$AAA$3,0))</f>
        <v>0</v>
      </c>
    </row>
    <row r="96" spans="1:7" ht="11.4" outlineLevel="1" x14ac:dyDescent="0.2">
      <c r="A96" s="31" t="s">
        <v>8627</v>
      </c>
      <c r="B96" s="142" t="s">
        <v>8632</v>
      </c>
      <c r="C96" s="143">
        <f t="shared" si="4"/>
        <v>10094338.994965419</v>
      </c>
      <c r="D96" s="135"/>
      <c r="E96" s="144">
        <f>E94+E95</f>
        <v>8252633.5304478202</v>
      </c>
      <c r="F96" s="144">
        <f>F94+F95</f>
        <v>1121291.8505976</v>
      </c>
      <c r="G96" s="144">
        <f>G94+G95</f>
        <v>720413.61392000003</v>
      </c>
    </row>
    <row r="97" spans="1:7" ht="11.4" outlineLevel="1" x14ac:dyDescent="0.2">
      <c r="A97" s="31" t="s">
        <v>5531</v>
      </c>
      <c r="B97" s="178" t="s">
        <v>8633</v>
      </c>
      <c r="C97" s="179">
        <f t="shared" si="4"/>
        <v>7207729.0492472257</v>
      </c>
      <c r="D97" s="135"/>
      <c r="E97" s="182">
        <f>INDEX(PEF_GEST_28!$A$3:$AAA$102,MATCH($A97,PEF_GEST_28!$A$3:$A$102,0),MATCH(E$3,PEF_GEST_28!$A$3:$AAA$3,0))</f>
        <v>6964646.892502577</v>
      </c>
      <c r="F97" s="182">
        <f>INDEX(PEF_GEST_28!$A$3:$AAA$102,MATCH($A97,PEF_GEST_28!$A$3:$A$102,0),MATCH(F$3,PEF_GEST_28!$A$3:$AAA$3,0))</f>
        <v>123153.1330120179</v>
      </c>
      <c r="G97" s="182">
        <f>INDEX(PEF_GEST_28!$A$3:$AAA$102,MATCH($A97,PEF_GEST_28!$A$3:$A$102,0),MATCH(G$3,PEF_GEST_28!$A$3:$AAA$3,0))</f>
        <v>119929.02373263093</v>
      </c>
    </row>
    <row r="98" spans="1:7" ht="11.4" outlineLevel="1" x14ac:dyDescent="0.2">
      <c r="A98" s="31" t="s">
        <v>5636</v>
      </c>
      <c r="B98" s="180" t="s">
        <v>8634</v>
      </c>
      <c r="C98" s="181">
        <f t="shared" si="4"/>
        <v>48623.568806579729</v>
      </c>
      <c r="D98" s="135"/>
      <c r="E98" s="183">
        <f>INDEX(PEF_COM_28!$A$3:$AAA$102,MATCH($A98,PEF_COM_28!$A$3:$A$102,0),MATCH(E$3,PEF_COM_28!$A$3:$AAA$3,0))</f>
        <v>0</v>
      </c>
      <c r="F98" s="183">
        <f>INDEX(PEF_COM_28!$A$3:$AAA$102,MATCH($A98,PEF_COM_28!$A$3:$A$102,0),MATCH(F$3,PEF_COM_28!$A$3:$AAA$3,0))</f>
        <v>0</v>
      </c>
      <c r="G98" s="183">
        <f>INDEX(PEF_COM_28!$A$3:$AAA$102,MATCH($A98,PEF_COM_28!$A$3:$A$102,0),MATCH(G$3,PEF_COM_28!$A$3:$AAA$3,0))</f>
        <v>48623.568806579729</v>
      </c>
    </row>
    <row r="99" spans="1:7" ht="11.4" outlineLevel="1" x14ac:dyDescent="0.2">
      <c r="A99" s="31" t="s">
        <v>8628</v>
      </c>
      <c r="B99" s="142" t="s">
        <v>8635</v>
      </c>
      <c r="C99" s="143">
        <f t="shared" si="4"/>
        <v>7256352.618053806</v>
      </c>
      <c r="D99" s="135"/>
      <c r="E99" s="144">
        <f>E97+E98</f>
        <v>6964646.892502577</v>
      </c>
      <c r="F99" s="144">
        <f>F97+F98</f>
        <v>123153.1330120179</v>
      </c>
      <c r="G99" s="144">
        <f>G97+G98</f>
        <v>168552.59253921066</v>
      </c>
    </row>
    <row r="100" spans="1:7" ht="11.4" outlineLevel="1" x14ac:dyDescent="0.2">
      <c r="A100" s="31" t="s">
        <v>5535</v>
      </c>
      <c r="B100" s="178" t="s">
        <v>8636</v>
      </c>
      <c r="C100" s="179">
        <f t="shared" si="4"/>
        <v>17302068.044212647</v>
      </c>
      <c r="D100" s="135"/>
      <c r="E100" s="182">
        <f>INDEX(PEF_GEST_28!$A$3:$AAA$102,MATCH($A100,PEF_GEST_28!$A$3:$A$102,0),MATCH(E$3,PEF_GEST_28!$A$3:$AAA$3,0))</f>
        <v>15217280.422950398</v>
      </c>
      <c r="F100" s="182">
        <f>INDEX(PEF_GEST_28!$A$3:$AAA$102,MATCH($A100,PEF_GEST_28!$A$3:$A$102,0),MATCH(F$3,PEF_GEST_28!$A$3:$AAA$3,0))</f>
        <v>1244444.9836096179</v>
      </c>
      <c r="G100" s="182">
        <f>INDEX(PEF_GEST_28!$A$3:$AAA$102,MATCH($A100,PEF_GEST_28!$A$3:$A$102,0),MATCH(G$3,PEF_GEST_28!$A$3:$AAA$3,0))</f>
        <v>840342.63765263092</v>
      </c>
    </row>
    <row r="101" spans="1:7" ht="11.4" outlineLevel="1" x14ac:dyDescent="0.2">
      <c r="A101" s="31" t="s">
        <v>5639</v>
      </c>
      <c r="B101" s="180" t="s">
        <v>8637</v>
      </c>
      <c r="C101" s="181">
        <f t="shared" si="4"/>
        <v>48623.568806579729</v>
      </c>
      <c r="D101" s="135"/>
      <c r="E101" s="183">
        <f>INDEX(PEF_COM_28!$A$3:$AAA$102,MATCH($A101,PEF_COM_28!$A$3:$A$102,0),MATCH(E$3,PEF_COM_28!$A$3:$AAA$3,0))</f>
        <v>0</v>
      </c>
      <c r="F101" s="183">
        <f>INDEX(PEF_COM_28!$A$3:$AAA$102,MATCH($A101,PEF_COM_28!$A$3:$A$102,0),MATCH(F$3,PEF_COM_28!$A$3:$AAA$3,0))</f>
        <v>0</v>
      </c>
      <c r="G101" s="183">
        <f>INDEX(PEF_COM_28!$A$3:$AAA$102,MATCH($A101,PEF_COM_28!$A$3:$A$102,0),MATCH(G$3,PEF_COM_28!$A$3:$AAA$3,0))</f>
        <v>48623.568806579729</v>
      </c>
    </row>
    <row r="102" spans="1:7" ht="11.4" outlineLevel="1" x14ac:dyDescent="0.2">
      <c r="A102" s="31" t="s">
        <v>8629</v>
      </c>
      <c r="B102" s="142" t="s">
        <v>8638</v>
      </c>
      <c r="C102" s="143">
        <f t="shared" si="4"/>
        <v>17350691.613019228</v>
      </c>
      <c r="D102" s="135"/>
      <c r="E102" s="144">
        <f>E100+E101</f>
        <v>15217280.422950398</v>
      </c>
      <c r="F102" s="144">
        <f>F100+F101</f>
        <v>1244444.9836096179</v>
      </c>
      <c r="G102" s="144">
        <f>G100+G101</f>
        <v>888966.2064592106</v>
      </c>
    </row>
    <row r="103" spans="1:7" ht="11.4" outlineLevel="1" x14ac:dyDescent="0.2">
      <c r="A103" s="85" t="s">
        <v>6585</v>
      </c>
      <c r="B103" s="173" t="s">
        <v>8639</v>
      </c>
      <c r="C103" s="184">
        <f t="shared" si="4"/>
        <v>10249969.052142553</v>
      </c>
      <c r="D103" s="147"/>
      <c r="E103" s="186">
        <f>INDEX('Rett_Ta-1'!$A$3:$AAA$99,MATCH($A103,'Rett_Ta-1'!$A$3:$A$99,0),MATCH(E$3,'Rett_Ta-1'!$A$3:$AAA$3,0))</f>
        <v>8408263.5876249541</v>
      </c>
      <c r="F103" s="186">
        <f>INDEX('Rett_Ta-1'!$A$3:$AAA$99,MATCH($A103,'Rett_Ta-1'!$A$3:$A$99,0),MATCH(F$3,'Rett_Ta-1'!$A$3:$AAA$3,0))</f>
        <v>1121291.8505976</v>
      </c>
      <c r="G103" s="186">
        <f>INDEX('Rett_Ta-1'!$A$3:$AAA$99,MATCH($A103,'Rett_Ta-1'!$A$3:$A$99,0),MATCH(G$3,'Rett_Ta-1'!$A$3:$AAA$3,0))</f>
        <v>720413.61392000003</v>
      </c>
    </row>
    <row r="104" spans="1:7" ht="11.4" outlineLevel="1" x14ac:dyDescent="0.2">
      <c r="A104" s="85" t="s">
        <v>6588</v>
      </c>
      <c r="B104" s="175" t="s">
        <v>8640</v>
      </c>
      <c r="C104" s="185">
        <f t="shared" si="4"/>
        <v>7633647.8002306279</v>
      </c>
      <c r="D104" s="147"/>
      <c r="E104" s="187">
        <f>INDEX('Rett_Ta-1'!$A$3:$AAA$99,MATCH($A104,'Rett_Ta-1'!$A$3:$A$99,0),MATCH(E$3,'Rett_Ta-1'!$A$3:$AAA$3,0))</f>
        <v>7331110.0157594364</v>
      </c>
      <c r="F104" s="187">
        <f>INDEX('Rett_Ta-1'!$A$3:$AAA$99,MATCH($A104,'Rett_Ta-1'!$A$3:$A$99,0),MATCH(F$3,'Rett_Ta-1'!$A$3:$AAA$3,0))</f>
        <v>129706.70226632972</v>
      </c>
      <c r="G104" s="187">
        <f>INDEX('Rett_Ta-1'!$A$3:$AAA$99,MATCH($A104,'Rett_Ta-1'!$A$3:$A$99,0),MATCH(G$3,'Rett_Ta-1'!$A$3:$AAA$3,0))</f>
        <v>172831.08220486157</v>
      </c>
    </row>
    <row r="105" spans="1:7" ht="11.4" outlineLevel="1" x14ac:dyDescent="0.2">
      <c r="A105" s="85" t="s">
        <v>6589</v>
      </c>
      <c r="B105" s="145" t="s">
        <v>8641</v>
      </c>
      <c r="C105" s="146">
        <f t="shared" si="4"/>
        <v>17883616.852373183</v>
      </c>
      <c r="D105" s="148"/>
      <c r="E105" s="149">
        <f>E103+E104</f>
        <v>15739373.60338439</v>
      </c>
      <c r="F105" s="149">
        <f>F103+F104</f>
        <v>1250998.5528639297</v>
      </c>
      <c r="G105" s="149">
        <f>G103+G104</f>
        <v>893244.6961248616</v>
      </c>
    </row>
    <row r="106" spans="1:7" outlineLevel="1" x14ac:dyDescent="0.2">
      <c r="A106" s="85"/>
      <c r="B106" s="74"/>
      <c r="C106" s="74"/>
      <c r="D106" s="74"/>
      <c r="E106" s="75"/>
      <c r="F106" s="75"/>
      <c r="G106" s="75"/>
    </row>
    <row r="107" spans="1:7" ht="11.4" outlineLevel="1" x14ac:dyDescent="0.2">
      <c r="A107" s="85"/>
      <c r="B107" s="71" t="s">
        <v>6166</v>
      </c>
      <c r="C107" s="135"/>
      <c r="D107" s="135"/>
      <c r="E107" s="77">
        <f>1+E108</f>
        <v>1.0189999999999999</v>
      </c>
      <c r="F107" s="77">
        <f>1+F108</f>
        <v>1.0189999999999999</v>
      </c>
      <c r="G107" s="77">
        <f>1+G108</f>
        <v>1.0189999999999999</v>
      </c>
    </row>
    <row r="108" spans="1:7" ht="11.4" outlineLevel="1" x14ac:dyDescent="0.2">
      <c r="A108" s="85" t="s">
        <v>1406</v>
      </c>
      <c r="B108" s="71" t="s">
        <v>6167</v>
      </c>
      <c r="C108" s="135"/>
      <c r="D108" s="135"/>
      <c r="E108" s="77">
        <f>E109-E110+E111+E112</f>
        <v>1.9E-2</v>
      </c>
      <c r="F108" s="77">
        <f>F109-F110+F111+F112</f>
        <v>1.9E-2</v>
      </c>
      <c r="G108" s="77">
        <f>G109-G110+G111+G112</f>
        <v>1.9E-2</v>
      </c>
    </row>
    <row r="109" spans="1:7" ht="11.4" outlineLevel="1" x14ac:dyDescent="0.2">
      <c r="A109" s="85" t="s">
        <v>1398</v>
      </c>
      <c r="B109" s="20" t="s">
        <v>122</v>
      </c>
      <c r="C109" s="78">
        <f>'Parametri MTR-3'!$J$4</f>
        <v>1.9E-2</v>
      </c>
      <c r="D109" s="136"/>
      <c r="E109" s="78">
        <f>$C$21</f>
        <v>1.9E-2</v>
      </c>
      <c r="F109" s="78">
        <f>$C$21</f>
        <v>1.9E-2</v>
      </c>
      <c r="G109" s="78">
        <f>$C$21</f>
        <v>1.9E-2</v>
      </c>
    </row>
    <row r="110" spans="1:7" ht="11.4" outlineLevel="1" x14ac:dyDescent="0.2">
      <c r="A110" s="85" t="s">
        <v>1401</v>
      </c>
      <c r="B110" s="173" t="s">
        <v>6168</v>
      </c>
      <c r="C110" s="136"/>
      <c r="D110" s="136"/>
      <c r="E110" s="176">
        <f>INDEX(IN_PAR!$A$3:$AAA$413,MATCH($A110,IN_PAR!$A$3:$A$413,0),MATCH(E$3,IN_PAR!$A$3:$AAA$3,0))</f>
        <v>0</v>
      </c>
      <c r="F110" s="176">
        <f>INDEX(IN_PAR!$A$3:$AAA$413,MATCH($A110,IN_PAR!$A$3:$A$413,0),MATCH(F$3,IN_PAR!$A$3:$AAA$3,0))</f>
        <v>0</v>
      </c>
      <c r="G110" s="176">
        <f>INDEX(IN_PAR!$A$3:$AAA$413,MATCH($A110,IN_PAR!$A$3:$A$413,0),MATCH(G$3,IN_PAR!$A$3:$AAA$3,0))</f>
        <v>0</v>
      </c>
    </row>
    <row r="111" spans="1:7" ht="11.4" outlineLevel="1" x14ac:dyDescent="0.2">
      <c r="A111" s="85" t="s">
        <v>1404</v>
      </c>
      <c r="B111" s="174" t="s">
        <v>6169</v>
      </c>
      <c r="C111" s="136"/>
      <c r="D111" s="136"/>
      <c r="E111" s="177">
        <f>INDEX(IN_PAR!$A$3:$AAA$413,MATCH($A111,IN_PAR!$A$3:$A$413,0),MATCH(E$3,IN_PAR!$A$3:$AAA$3,0))</f>
        <v>0</v>
      </c>
      <c r="F111" s="177">
        <f>INDEX(IN_PAR!$A$3:$AAA$413,MATCH($A111,IN_PAR!$A$3:$A$413,0),MATCH(F$3,IN_PAR!$A$3:$AAA$3,0))</f>
        <v>0</v>
      </c>
      <c r="G111" s="177">
        <f>INDEX(IN_PAR!$A$3:$AAA$413,MATCH($A111,IN_PAR!$A$3:$A$413,0),MATCH(G$3,IN_PAR!$A$3:$AAA$3,0))</f>
        <v>0</v>
      </c>
    </row>
    <row r="112" spans="1:7" ht="11.4" outlineLevel="1" x14ac:dyDescent="0.2">
      <c r="A112" s="85" t="s">
        <v>1405</v>
      </c>
      <c r="B112" s="174" t="s">
        <v>6170</v>
      </c>
      <c r="C112" s="136"/>
      <c r="D112" s="136"/>
      <c r="E112" s="177">
        <f>INDEX(IN_PAR!$A$3:$AAA$413,MATCH($A112,IN_PAR!$A$3:$A$413,0),MATCH(E$3,IN_PAR!$A$3:$AAA$3,0))</f>
        <v>0</v>
      </c>
      <c r="F112" s="177">
        <f>INDEX(IN_PAR!$A$3:$AAA$413,MATCH($A112,IN_PAR!$A$3:$A$413,0),MATCH(F$3,IN_PAR!$A$3:$AAA$3,0))</f>
        <v>0</v>
      </c>
      <c r="G112" s="177">
        <f>INDEX(IN_PAR!$A$3:$AAA$413,MATCH($A112,IN_PAR!$A$3:$A$413,0),MATCH(G$3,IN_PAR!$A$3:$AAA$3,0))</f>
        <v>0</v>
      </c>
    </row>
    <row r="113" spans="1:7" outlineLevel="1" x14ac:dyDescent="0.2">
      <c r="A113" s="85"/>
      <c r="B113" s="65" t="s">
        <v>123</v>
      </c>
      <c r="C113" s="137"/>
      <c r="D113" s="137"/>
      <c r="E113" s="708" t="str">
        <f>IF(E108&gt;8.8%,"errore","ok")</f>
        <v>ok</v>
      </c>
      <c r="F113" s="708" t="str">
        <f>IF(F108&gt;8.8%,"errore","ok")</f>
        <v>ok</v>
      </c>
      <c r="G113" s="708" t="str">
        <f>IF(G108&gt;8.8%,"errore","ok")</f>
        <v>ok</v>
      </c>
    </row>
    <row r="114" spans="1:7" outlineLevel="1" x14ac:dyDescent="0.2"/>
    <row r="115" spans="1:7" s="159" customFormat="1" ht="11.4" outlineLevel="1" x14ac:dyDescent="0.2">
      <c r="A115" s="85" t="s">
        <v>6143</v>
      </c>
      <c r="B115" s="150" t="s">
        <v>6207</v>
      </c>
      <c r="C115" s="74"/>
      <c r="D115" s="74"/>
      <c r="E115" s="133">
        <f>IFERROR(E102/E105,0)</f>
        <v>0.96682884633212285</v>
      </c>
      <c r="F115" s="133">
        <f>IFERROR(F102/F105,0)</f>
        <v>0.99476132946812079</v>
      </c>
      <c r="G115" s="133">
        <f>IFERROR(G102/G105,0)</f>
        <v>0.9952101706461709</v>
      </c>
    </row>
    <row r="116" spans="1:7" s="159" customFormat="1" outlineLevel="1" x14ac:dyDescent="0.2">
      <c r="A116" s="85"/>
      <c r="B116" s="154" t="s">
        <v>218</v>
      </c>
      <c r="C116" s="74"/>
      <c r="D116" s="74"/>
      <c r="E116" s="155" t="str">
        <f>IF(E115&lt;=(1+E108),"NO","SI")</f>
        <v>NO</v>
      </c>
      <c r="F116" s="155" t="str">
        <f>IF(F115&lt;=(1+F108),"NO","SI")</f>
        <v>NO</v>
      </c>
      <c r="G116" s="155" t="str">
        <f>IF(G115&lt;=(1+G108),"NO","SI")</f>
        <v>NO</v>
      </c>
    </row>
    <row r="117" spans="1:7" outlineLevel="1" x14ac:dyDescent="0.2"/>
    <row r="118" spans="1:7" ht="11.4" outlineLevel="1" x14ac:dyDescent="0.2">
      <c r="A118" s="85" t="s">
        <v>1398</v>
      </c>
      <c r="B118" s="20" t="s">
        <v>122</v>
      </c>
      <c r="C118" s="78">
        <f>'Parametri MTR-3'!$J$4</f>
        <v>1.9E-2</v>
      </c>
      <c r="D118" s="136"/>
      <c r="E118" s="78">
        <f>$C$30</f>
        <v>1.9E-2</v>
      </c>
      <c r="F118" s="78">
        <f>$C$30</f>
        <v>1.9E-2</v>
      </c>
      <c r="G118" s="78">
        <f>$C$30</f>
        <v>1.9E-2</v>
      </c>
    </row>
    <row r="119" spans="1:7" outlineLevel="1" x14ac:dyDescent="0.2">
      <c r="A119" s="85" t="s">
        <v>1474</v>
      </c>
      <c r="B119" s="209" t="str">
        <f>"Xreg2028 Singolo Gestore "&amp;IN_Anagrafica!$B$1</f>
        <v>Xreg2028 Singolo Gestore AGESP</v>
      </c>
      <c r="E119" s="1041">
        <f>INDEX(IN_PAR!$A$3:$AAA$413,MATCH($A119,IN_PAR!$A$3:$A$413,0),MATCH(E$3,IN_PAR!$A$3:$AAA$3,0))</f>
        <v>0</v>
      </c>
      <c r="F119" s="1041">
        <f>INDEX(IN_PAR!$A$3:$AAA$413,MATCH($A119,IN_PAR!$A$3:$A$413,0),MATCH(F$3,IN_PAR!$A$3:$AAA$3,0))</f>
        <v>0</v>
      </c>
      <c r="G119" s="1041">
        <f>INDEX(IN_PAR!$A$3:$AAA$413,MATCH($A119,IN_PAR!$A$3:$A$413,0),MATCH(G$3,IN_PAR!$A$3:$AAA$3,0))</f>
        <v>0</v>
      </c>
    </row>
    <row r="120" spans="1:7" outlineLevel="1" x14ac:dyDescent="0.2">
      <c r="A120" s="85" t="s">
        <v>1475</v>
      </c>
      <c r="B120" s="1039" t="str">
        <f>"Xcom2028 Singolo Gestore " &amp;IN_Anagrafica!$B$1</f>
        <v>Xcom2028 Singolo Gestore AGESP</v>
      </c>
      <c r="E120" s="1042">
        <f>INDEX(IN_PAR!$A$3:$AAA$413,MATCH($A120,IN_PAR!$A$3:$A$413,0),MATCH(E$3,IN_PAR!$A$3:$AAA$3,0))</f>
        <v>0</v>
      </c>
      <c r="F120" s="1042">
        <f>INDEX(IN_PAR!$A$3:$AAA$413,MATCH($A120,IN_PAR!$A$3:$A$413,0),MATCH(F$3,IN_PAR!$A$3:$AAA$3,0))</f>
        <v>0</v>
      </c>
      <c r="G120" s="1042">
        <f>INDEX(IN_PAR!$A$3:$AAA$413,MATCH($A120,IN_PAR!$A$3:$A$413,0),MATCH(G$3,IN_PAR!$A$3:$AAA$3,0))</f>
        <v>0</v>
      </c>
    </row>
    <row r="121" spans="1:7" outlineLevel="1" x14ac:dyDescent="0.2">
      <c r="A121" s="85" t="s">
        <v>8642</v>
      </c>
      <c r="B121" s="67" t="str">
        <f>"X2028 Singolo Gestore " &amp;IN_Anagrafica!$B$1</f>
        <v>X2028 Singolo Gestore AGESP</v>
      </c>
      <c r="E121" s="1043">
        <f>E119+E120</f>
        <v>0</v>
      </c>
      <c r="F121" s="1043">
        <f>F119+F120</f>
        <v>0</v>
      </c>
      <c r="G121" s="1043">
        <f>G119+G120</f>
        <v>0</v>
      </c>
    </row>
    <row r="122" spans="1:7" outlineLevel="1" x14ac:dyDescent="0.2">
      <c r="A122" s="85" t="s">
        <v>1476</v>
      </c>
      <c r="B122" s="707" t="str">
        <f>"Kcom2028 Singolo Gestore "&amp;IN_Anagrafica!$B$1</f>
        <v>Kcom2028 Singolo Gestore AGESP</v>
      </c>
      <c r="E122" s="1041">
        <f>INDEX(IN_PAR!$A$3:$AAA$413,MATCH($A122,IN_PAR!$A$3:$A$413,0),MATCH(E$3,IN_PAR!$A$3:$AAA$3,0))</f>
        <v>0</v>
      </c>
      <c r="F122" s="1041">
        <f>INDEX(IN_PAR!$A$3:$AAA$413,MATCH($A122,IN_PAR!$A$3:$A$413,0),MATCH(F$3,IN_PAR!$A$3:$AAA$3,0))</f>
        <v>0</v>
      </c>
      <c r="G122" s="1041">
        <f>INDEX(IN_PAR!$A$3:$AAA$413,MATCH($A122,IN_PAR!$A$3:$A$413,0),MATCH(G$3,IN_PAR!$A$3:$AAA$3,0))</f>
        <v>0</v>
      </c>
    </row>
    <row r="123" spans="1:7" outlineLevel="1" x14ac:dyDescent="0.2">
      <c r="A123" s="85" t="s">
        <v>1477</v>
      </c>
      <c r="B123" s="527" t="str">
        <f>"Kreg2028 Singolo Gestore "&amp;IN_Anagrafica!$B$1</f>
        <v>Kreg2028 Singolo Gestore AGESP</v>
      </c>
      <c r="E123" s="1042">
        <f>INDEX(IN_PAR!$A$3:$AAA$413,MATCH($A123,IN_PAR!$A$3:$A$413,0),MATCH(E$3,IN_PAR!$A$3:$AAA$3,0))</f>
        <v>0</v>
      </c>
      <c r="F123" s="1042">
        <f>INDEX(IN_PAR!$A$3:$AAA$413,MATCH($A123,IN_PAR!$A$3:$A$413,0),MATCH(F$3,IN_PAR!$A$3:$AAA$3,0))</f>
        <v>0</v>
      </c>
      <c r="G123" s="1042">
        <f>INDEX(IN_PAR!$A$3:$AAA$413,MATCH($A123,IN_PAR!$A$3:$A$413,0),MATCH(G$3,IN_PAR!$A$3:$AAA$3,0))</f>
        <v>0</v>
      </c>
    </row>
    <row r="124" spans="1:7" outlineLevel="1" x14ac:dyDescent="0.2">
      <c r="A124" s="85" t="s">
        <v>8643</v>
      </c>
      <c r="B124" s="67" t="str">
        <f>"K2028 Singolo Gestore " &amp;IN_Anagrafica!$B$1</f>
        <v>K2028 Singolo Gestore AGESP</v>
      </c>
      <c r="E124" s="1043">
        <f>E122+E123</f>
        <v>0</v>
      </c>
      <c r="F124" s="1043">
        <f>F122+F123</f>
        <v>0</v>
      </c>
      <c r="G124" s="1043">
        <f>G122+G123</f>
        <v>0</v>
      </c>
    </row>
    <row r="125" spans="1:7" outlineLevel="1" x14ac:dyDescent="0.2">
      <c r="A125" s="85" t="s">
        <v>1478</v>
      </c>
      <c r="B125" s="445" t="str">
        <f>"CRI2028 Singolo Gestore "&amp;IN_Anagrafica!$B$1</f>
        <v>CRI2028 Singolo Gestore AGESP</v>
      </c>
      <c r="E125" s="1040">
        <f>INDEX(IN_PAR!$A$3:$AAA$413,MATCH($A125,IN_PAR!$A$3:$A$413,0),MATCH(E$3,IN_PAR!$A$3:$AAA$3,0))</f>
        <v>0</v>
      </c>
      <c r="F125" s="1040">
        <f>INDEX(IN_PAR!$A$3:$AAA$413,MATCH($A125,IN_PAR!$A$3:$A$413,0),MATCH(F$3,IN_PAR!$A$3:$AAA$3,0))</f>
        <v>0</v>
      </c>
      <c r="G125" s="1040">
        <f>INDEX(IN_PAR!$A$3:$AAA$413,MATCH($A125,IN_PAR!$A$3:$A$413,0),MATCH(G$3,IN_PAR!$A$3:$AAA$3,0))</f>
        <v>0</v>
      </c>
    </row>
    <row r="126" spans="1:7" ht="11.4" outlineLevel="1" x14ac:dyDescent="0.2">
      <c r="A126" s="85" t="s">
        <v>8644</v>
      </c>
      <c r="B126" s="71" t="s">
        <v>8647</v>
      </c>
      <c r="C126" s="135"/>
      <c r="D126" s="135"/>
      <c r="E126" s="77">
        <f>E118-E121+E124+E125</f>
        <v>1.9E-2</v>
      </c>
      <c r="F126" s="77">
        <f>F118-F121+F124+F125</f>
        <v>1.9E-2</v>
      </c>
      <c r="G126" s="77">
        <f>G118-G121+G124+G125</f>
        <v>1.9E-2</v>
      </c>
    </row>
    <row r="127" spans="1:7" outlineLevel="1" x14ac:dyDescent="0.2"/>
    <row r="128" spans="1:7" ht="11.4" outlineLevel="1" x14ac:dyDescent="0.25">
      <c r="A128" s="85" t="s">
        <v>8619</v>
      </c>
      <c r="B128" s="335" t="s">
        <v>1539</v>
      </c>
      <c r="E128" s="1044">
        <f>INDEX('Rett_Ta-1'!$A$3:$AAA$99,MATCH($A128,'Rett_Ta-1'!$A$3:$A$99,0),MATCH(E$3,'Rett_Ta-1'!$A$3:$AAA$3,0))</f>
        <v>15739373.60338439</v>
      </c>
      <c r="F128" s="1044">
        <f>INDEX('Rett_Ta-1'!$A$3:$AAA$99,MATCH($A128,'Rett_Ta-1'!$A$3:$A$99,0),MATCH(F$3,'Rett_Ta-1'!$A$3:$AAA$3,0))</f>
        <v>1250998.5528639297</v>
      </c>
      <c r="G128" s="1044">
        <f>INDEX('Rett_Ta-1'!$A$3:$AAA$99,MATCH($A128,'Rett_Ta-1'!$A$3:$A$99,0),MATCH(G$3,'Rett_Ta-1'!$A$3:$AAA$3,0))</f>
        <v>840342.63765263092</v>
      </c>
    </row>
    <row r="129" spans="1:7" s="159" customFormat="1" ht="11.4" outlineLevel="1" x14ac:dyDescent="0.2">
      <c r="A129" s="85" t="s">
        <v>8645</v>
      </c>
      <c r="B129" s="150" t="s">
        <v>8646</v>
      </c>
      <c r="C129" s="74"/>
      <c r="D129" s="74"/>
      <c r="E129" s="133">
        <f>IFERROR(E100/E128,0)</f>
        <v>0.96682884633212285</v>
      </c>
      <c r="F129" s="133">
        <f>IFERROR(F100/F128,0)</f>
        <v>0.99476132946812079</v>
      </c>
      <c r="G129" s="133">
        <f>IFERROR(G100/G128,0)</f>
        <v>1</v>
      </c>
    </row>
    <row r="130" spans="1:7" s="159" customFormat="1" outlineLevel="1" x14ac:dyDescent="0.2">
      <c r="A130" s="85"/>
      <c r="B130" s="154" t="s">
        <v>8578</v>
      </c>
      <c r="C130" s="74"/>
      <c r="D130" s="74"/>
      <c r="E130" s="155" t="str">
        <f>IF(E129&lt;=(1+E126),"NO","SI")</f>
        <v>NO</v>
      </c>
      <c r="F130" s="155" t="str">
        <f>IF(F129&lt;=(1+F126),"NO","SI")</f>
        <v>NO</v>
      </c>
      <c r="G130" s="155" t="str">
        <f>IF(G129&lt;=(1+G126),"NO","SI")</f>
        <v>NO</v>
      </c>
    </row>
    <row r="131" spans="1:7" outlineLevel="1" x14ac:dyDescent="0.2"/>
    <row r="132" spans="1:7" s="159" customFormat="1" ht="11.4" outlineLevel="1" x14ac:dyDescent="0.2">
      <c r="A132" s="138"/>
      <c r="B132" s="1045" t="s">
        <v>8651</v>
      </c>
      <c r="C132" s="1046">
        <f t="shared" ref="C132:C135" si="5">SUM(E132:AAA132)</f>
        <v>0</v>
      </c>
      <c r="D132" s="151"/>
      <c r="E132" s="1047">
        <f>MAX(E100-E128*(1+E126),0)</f>
        <v>0</v>
      </c>
      <c r="F132" s="1047">
        <f>MAX(F100-F128*(1+F126),0)</f>
        <v>0</v>
      </c>
      <c r="G132" s="1047">
        <f>MAX(G100-G128*(1+G126),0)</f>
        <v>0</v>
      </c>
    </row>
    <row r="133" spans="1:7" outlineLevel="1" x14ac:dyDescent="0.2">
      <c r="A133" s="85" t="s">
        <v>8648</v>
      </c>
      <c r="B133" s="1048" t="s">
        <v>8580</v>
      </c>
      <c r="C133" s="87">
        <f t="shared" si="5"/>
        <v>0</v>
      </c>
      <c r="D133" s="1051"/>
      <c r="E133" s="1052">
        <v>0</v>
      </c>
      <c r="F133" s="1052">
        <v>0</v>
      </c>
      <c r="G133" s="1053">
        <v>0</v>
      </c>
    </row>
    <row r="134" spans="1:7" outlineLevel="1" x14ac:dyDescent="0.2">
      <c r="A134" s="85" t="s">
        <v>8649</v>
      </c>
      <c r="B134" s="1049" t="s">
        <v>8652</v>
      </c>
      <c r="C134" s="87">
        <f t="shared" si="5"/>
        <v>0</v>
      </c>
      <c r="D134" s="1051"/>
      <c r="E134" s="1054">
        <v>0</v>
      </c>
      <c r="F134" s="1054">
        <v>0</v>
      </c>
      <c r="G134" s="1055">
        <v>0</v>
      </c>
    </row>
    <row r="135" spans="1:7" outlineLevel="1" x14ac:dyDescent="0.2">
      <c r="A135" s="85" t="s">
        <v>8650</v>
      </c>
      <c r="B135" s="1050" t="s">
        <v>8581</v>
      </c>
      <c r="C135" s="87">
        <f t="shared" si="5"/>
        <v>0</v>
      </c>
      <c r="D135" s="1051"/>
      <c r="E135" s="1056">
        <v>0</v>
      </c>
      <c r="F135" s="1056">
        <v>0</v>
      </c>
      <c r="G135" s="1057">
        <v>0</v>
      </c>
    </row>
    <row r="136" spans="1:7" x14ac:dyDescent="0.2">
      <c r="E136" s="1058">
        <f>E132-SUM(E133:E135)</f>
        <v>0</v>
      </c>
      <c r="F136" s="1058">
        <f>F132-SUM(F133:F135)</f>
        <v>0</v>
      </c>
      <c r="G136" s="1058">
        <f>G132-SUM(G133:G135)</f>
        <v>0</v>
      </c>
    </row>
    <row r="137" spans="1:7" x14ac:dyDescent="0.2">
      <c r="A137" s="350"/>
      <c r="B137" s="457">
        <v>2029</v>
      </c>
      <c r="C137" s="348"/>
      <c r="D137" s="348"/>
      <c r="E137" s="709"/>
      <c r="F137" s="709"/>
      <c r="G137" s="709"/>
    </row>
    <row r="138" spans="1:7" ht="11.4" outlineLevel="1" x14ac:dyDescent="0.2">
      <c r="A138" s="31" t="s">
        <v>5570</v>
      </c>
      <c r="B138" s="178" t="s">
        <v>8663</v>
      </c>
      <c r="C138" s="179">
        <f t="shared" ref="C138:C149" si="6">SUM(E138:AAA138)</f>
        <v>9756303.5952096004</v>
      </c>
      <c r="D138" s="135"/>
      <c r="E138" s="182">
        <f>INDEX(PEF_GEST_29!$A$3:$AAA$102,MATCH($A138,PEF_GEST_29!$A$3:$A$102,0),MATCH(E$3,PEF_GEST_29!$A$3:$AAA$3,0))</f>
        <v>7914598.1306920005</v>
      </c>
      <c r="F138" s="182">
        <f>INDEX(PEF_GEST_29!$A$3:$AAA$102,MATCH($A138,PEF_GEST_29!$A$3:$A$102,0),MATCH(F$3,PEF_GEST_29!$A$3:$AAA$3,0))</f>
        <v>1121291.8505976</v>
      </c>
      <c r="G138" s="182">
        <f>INDEX(PEF_GEST_29!$A$3:$AAA$102,MATCH($A138,PEF_GEST_29!$A$3:$A$102,0),MATCH(G$3,PEF_GEST_29!$A$3:$AAA$3,0))</f>
        <v>720413.61392000003</v>
      </c>
    </row>
    <row r="139" spans="1:7" ht="11.4" outlineLevel="1" x14ac:dyDescent="0.2">
      <c r="A139" s="31" t="s">
        <v>5607</v>
      </c>
      <c r="B139" s="180" t="s">
        <v>8664</v>
      </c>
      <c r="C139" s="181">
        <f t="shared" si="6"/>
        <v>0</v>
      </c>
      <c r="D139" s="135"/>
      <c r="E139" s="183">
        <f>INDEX(PEF_COM_29!$A$3:$AAA$102,MATCH($A139,PEF_COM_29!$A$3:$A$102,0),MATCH(E$3,PEF_COM_29!$A$3:$AAA$3,0))</f>
        <v>0</v>
      </c>
      <c r="F139" s="183">
        <f>INDEX(PEF_COM_29!$A$3:$AAA$102,MATCH($A139,PEF_COM_29!$A$3:$A$102,0),MATCH(F$3,PEF_COM_29!$A$3:$AAA$3,0))</f>
        <v>0</v>
      </c>
      <c r="G139" s="183">
        <f>INDEX(PEF_COM_29!$A$3:$AAA$102,MATCH($A139,PEF_COM_29!$A$3:$A$102,0),MATCH(G$3,PEF_COM_29!$A$3:$AAA$3,0))</f>
        <v>0</v>
      </c>
    </row>
    <row r="140" spans="1:7" ht="11.4" outlineLevel="1" x14ac:dyDescent="0.2">
      <c r="A140" s="31" t="s">
        <v>8653</v>
      </c>
      <c r="B140" s="142" t="s">
        <v>8665</v>
      </c>
      <c r="C140" s="143">
        <f t="shared" si="6"/>
        <v>9756303.5952096004</v>
      </c>
      <c r="D140" s="135"/>
      <c r="E140" s="144">
        <f>E138+E139</f>
        <v>7914598.1306920005</v>
      </c>
      <c r="F140" s="144">
        <f>F138+F139</f>
        <v>1121291.8505976</v>
      </c>
      <c r="G140" s="144">
        <f>G138+G139</f>
        <v>720413.61392000003</v>
      </c>
    </row>
    <row r="141" spans="1:7" ht="11.4" outlineLevel="1" x14ac:dyDescent="0.2">
      <c r="A141" s="31" t="s">
        <v>5574</v>
      </c>
      <c r="B141" s="178" t="s">
        <v>8666</v>
      </c>
      <c r="C141" s="179">
        <f t="shared" si="6"/>
        <v>6476663.2082239753</v>
      </c>
      <c r="D141" s="135"/>
      <c r="E141" s="182">
        <f>INDEX(PEF_GEST_29!$A$3:$AAA$102,MATCH($A141,PEF_GEST_29!$A$3:$A$102,0),MATCH(E$3,PEF_GEST_29!$A$3:$AAA$3,0))</f>
        <v>6243898.0065433783</v>
      </c>
      <c r="F141" s="182">
        <f>INDEX(PEF_GEST_29!$A$3:$AAA$102,MATCH($A141,PEF_GEST_29!$A$3:$A$102,0),MATCH(F$3,PEF_GEST_29!$A$3:$AAA$3,0))</f>
        <v>112836.17794796609</v>
      </c>
      <c r="G141" s="182">
        <f>INDEX(PEF_GEST_29!$A$3:$AAA$102,MATCH($A141,PEF_GEST_29!$A$3:$A$102,0),MATCH(G$3,PEF_GEST_29!$A$3:$AAA$3,0))</f>
        <v>119929.02373263093</v>
      </c>
    </row>
    <row r="142" spans="1:7" ht="11.4" outlineLevel="1" x14ac:dyDescent="0.2">
      <c r="A142" s="31" t="s">
        <v>5610</v>
      </c>
      <c r="B142" s="180" t="s">
        <v>8667</v>
      </c>
      <c r="C142" s="181">
        <f t="shared" si="6"/>
        <v>45912.895766702641</v>
      </c>
      <c r="D142" s="135"/>
      <c r="E142" s="183">
        <f>INDEX(PEF_COM_29!$A$3:$AAA$102,MATCH($A142,PEF_COM_29!$A$3:$A$102,0),MATCH(E$3,PEF_COM_29!$A$3:$AAA$3,0))</f>
        <v>0</v>
      </c>
      <c r="F142" s="183">
        <f>INDEX(PEF_COM_29!$A$3:$AAA$102,MATCH($A142,PEF_COM_29!$A$3:$A$102,0),MATCH(F$3,PEF_COM_29!$A$3:$AAA$3,0))</f>
        <v>0</v>
      </c>
      <c r="G142" s="183">
        <f>INDEX(PEF_COM_29!$A$3:$AAA$102,MATCH($A142,PEF_COM_29!$A$3:$A$102,0),MATCH(G$3,PEF_COM_29!$A$3:$AAA$3,0))</f>
        <v>45912.895766702641</v>
      </c>
    </row>
    <row r="143" spans="1:7" ht="11.4" outlineLevel="1" x14ac:dyDescent="0.2">
      <c r="A143" s="31" t="s">
        <v>8654</v>
      </c>
      <c r="B143" s="142" t="s">
        <v>8668</v>
      </c>
      <c r="C143" s="143">
        <f t="shared" si="6"/>
        <v>6522576.1039906787</v>
      </c>
      <c r="D143" s="135"/>
      <c r="E143" s="144">
        <f>E141+E142</f>
        <v>6243898.0065433783</v>
      </c>
      <c r="F143" s="144">
        <f>F141+F142</f>
        <v>112836.17794796609</v>
      </c>
      <c r="G143" s="144">
        <f>G141+G142</f>
        <v>165841.91949933357</v>
      </c>
    </row>
    <row r="144" spans="1:7" ht="11.4" outlineLevel="1" x14ac:dyDescent="0.2">
      <c r="A144" s="31" t="s">
        <v>5578</v>
      </c>
      <c r="B144" s="178" t="s">
        <v>8669</v>
      </c>
      <c r="C144" s="179">
        <f t="shared" si="6"/>
        <v>16232966.803433575</v>
      </c>
      <c r="D144" s="135"/>
      <c r="E144" s="182">
        <f>INDEX(PEF_GEST_29!$A$3:$AAA$102,MATCH($A144,PEF_GEST_29!$A$3:$A$102,0),MATCH(E$3,PEF_GEST_29!$A$3:$AAA$3,0))</f>
        <v>14158496.137235379</v>
      </c>
      <c r="F144" s="182">
        <f>INDEX(PEF_GEST_29!$A$3:$AAA$102,MATCH($A144,PEF_GEST_29!$A$3:$A$102,0),MATCH(F$3,PEF_GEST_29!$A$3:$AAA$3,0))</f>
        <v>1234128.0285455661</v>
      </c>
      <c r="G144" s="182">
        <f>INDEX(PEF_GEST_29!$A$3:$AAA$102,MATCH($A144,PEF_GEST_29!$A$3:$A$102,0),MATCH(G$3,PEF_GEST_29!$A$3:$AAA$3,0))</f>
        <v>840342.63765263092</v>
      </c>
    </row>
    <row r="145" spans="1:7" ht="11.4" outlineLevel="1" x14ac:dyDescent="0.2">
      <c r="A145" s="31" t="s">
        <v>5613</v>
      </c>
      <c r="B145" s="180" t="s">
        <v>8670</v>
      </c>
      <c r="C145" s="181">
        <f t="shared" si="6"/>
        <v>45912.895766702641</v>
      </c>
      <c r="D145" s="135"/>
      <c r="E145" s="183">
        <f>INDEX(PEF_COM_29!$A$3:$AAA$102,MATCH($A145,PEF_COM_29!$A$3:$A$102,0),MATCH(E$3,PEF_COM_29!$A$3:$AAA$3,0))</f>
        <v>0</v>
      </c>
      <c r="F145" s="183">
        <f>INDEX(PEF_COM_29!$A$3:$AAA$102,MATCH($A145,PEF_COM_29!$A$3:$A$102,0),MATCH(F$3,PEF_COM_29!$A$3:$AAA$3,0))</f>
        <v>0</v>
      </c>
      <c r="G145" s="183">
        <f>INDEX(PEF_COM_29!$A$3:$AAA$102,MATCH($A145,PEF_COM_29!$A$3:$A$102,0),MATCH(G$3,PEF_COM_29!$A$3:$AAA$3,0))</f>
        <v>45912.895766702641</v>
      </c>
    </row>
    <row r="146" spans="1:7" ht="11.4" outlineLevel="1" x14ac:dyDescent="0.2">
      <c r="A146" s="31" t="s">
        <v>8655</v>
      </c>
      <c r="B146" s="142" t="s">
        <v>8671</v>
      </c>
      <c r="C146" s="143">
        <f t="shared" si="6"/>
        <v>16278879.699200278</v>
      </c>
      <c r="D146" s="135"/>
      <c r="E146" s="144">
        <f>E144+E145</f>
        <v>14158496.137235379</v>
      </c>
      <c r="F146" s="144">
        <f>F144+F145</f>
        <v>1234128.0285455661</v>
      </c>
      <c r="G146" s="144">
        <f>G144+G145</f>
        <v>886255.53341933351</v>
      </c>
    </row>
    <row r="147" spans="1:7" ht="11.4" outlineLevel="1" x14ac:dyDescent="0.2">
      <c r="A147" s="85" t="s">
        <v>6618</v>
      </c>
      <c r="B147" s="173" t="s">
        <v>8672</v>
      </c>
      <c r="C147" s="184">
        <f t="shared" si="6"/>
        <v>10094338.994965419</v>
      </c>
      <c r="D147" s="147"/>
      <c r="E147" s="186">
        <f>INDEX('Rett_Ta-1'!$A$3:$AAA$99,MATCH($A147,'Rett_Ta-1'!$A$3:$A$99,0),MATCH(E$3,'Rett_Ta-1'!$A$3:$AAA$3,0))</f>
        <v>8252633.5304478202</v>
      </c>
      <c r="F147" s="186">
        <f>INDEX('Rett_Ta-1'!$A$3:$AAA$99,MATCH($A147,'Rett_Ta-1'!$A$3:$A$99,0),MATCH(F$3,'Rett_Ta-1'!$A$3:$AAA$3,0))</f>
        <v>1121291.8505976</v>
      </c>
      <c r="G147" s="186">
        <f>INDEX('Rett_Ta-1'!$A$3:$AAA$99,MATCH($A147,'Rett_Ta-1'!$A$3:$A$99,0),MATCH(G$3,'Rett_Ta-1'!$A$3:$AAA$3,0))</f>
        <v>720413.61392000003</v>
      </c>
    </row>
    <row r="148" spans="1:7" ht="11.4" outlineLevel="1" x14ac:dyDescent="0.2">
      <c r="A148" s="85" t="s">
        <v>6621</v>
      </c>
      <c r="B148" s="175" t="s">
        <v>8673</v>
      </c>
      <c r="C148" s="185">
        <f t="shared" si="6"/>
        <v>7256352.618053806</v>
      </c>
      <c r="D148" s="147"/>
      <c r="E148" s="187">
        <f>INDEX('Rett_Ta-1'!$A$3:$AAA$99,MATCH($A148,'Rett_Ta-1'!$A$3:$A$99,0),MATCH(E$3,'Rett_Ta-1'!$A$3:$AAA$3,0))</f>
        <v>6964646.892502577</v>
      </c>
      <c r="F148" s="187">
        <f>INDEX('Rett_Ta-1'!$A$3:$AAA$99,MATCH($A148,'Rett_Ta-1'!$A$3:$A$99,0),MATCH(F$3,'Rett_Ta-1'!$A$3:$AAA$3,0))</f>
        <v>123153.1330120179</v>
      </c>
      <c r="G148" s="187">
        <f>INDEX('Rett_Ta-1'!$A$3:$AAA$99,MATCH($A148,'Rett_Ta-1'!$A$3:$A$99,0),MATCH(G$3,'Rett_Ta-1'!$A$3:$AAA$3,0))</f>
        <v>168552.59253921066</v>
      </c>
    </row>
    <row r="149" spans="1:7" ht="11.4" outlineLevel="1" x14ac:dyDescent="0.2">
      <c r="A149" s="85" t="s">
        <v>6622</v>
      </c>
      <c r="B149" s="145" t="s">
        <v>8674</v>
      </c>
      <c r="C149" s="146">
        <f t="shared" si="6"/>
        <v>17350691.613019228</v>
      </c>
      <c r="D149" s="148"/>
      <c r="E149" s="149">
        <f>E147+E148</f>
        <v>15217280.422950398</v>
      </c>
      <c r="F149" s="149">
        <f>F147+F148</f>
        <v>1244444.9836096179</v>
      </c>
      <c r="G149" s="149">
        <f>G147+G148</f>
        <v>888966.20645921072</v>
      </c>
    </row>
    <row r="150" spans="1:7" outlineLevel="1" x14ac:dyDescent="0.2">
      <c r="A150" s="85"/>
      <c r="B150" s="74"/>
      <c r="C150" s="74"/>
      <c r="D150" s="74"/>
      <c r="E150" s="75"/>
      <c r="F150" s="75"/>
      <c r="G150" s="75"/>
    </row>
    <row r="151" spans="1:7" ht="11.4" outlineLevel="1" x14ac:dyDescent="0.2">
      <c r="A151" s="85"/>
      <c r="B151" s="71" t="s">
        <v>6233</v>
      </c>
      <c r="C151" s="135"/>
      <c r="D151" s="135"/>
      <c r="E151" s="77">
        <f>1+E152</f>
        <v>1.0189999999999999</v>
      </c>
      <c r="F151" s="77">
        <f>1+F152</f>
        <v>1.0189999999999999</v>
      </c>
      <c r="G151" s="77">
        <f>1+G152</f>
        <v>1.0189999999999999</v>
      </c>
    </row>
    <row r="152" spans="1:7" ht="11.4" outlineLevel="1" x14ac:dyDescent="0.2">
      <c r="A152" s="85" t="s">
        <v>1428</v>
      </c>
      <c r="B152" s="71" t="s">
        <v>6234</v>
      </c>
      <c r="C152" s="135"/>
      <c r="D152" s="135"/>
      <c r="E152" s="77">
        <f>E153-E154+E155+E156</f>
        <v>1.9E-2</v>
      </c>
      <c r="F152" s="77">
        <f>F153-F154+F155+F156</f>
        <v>1.9E-2</v>
      </c>
      <c r="G152" s="77">
        <f>G153-G154+G155+G156</f>
        <v>1.9E-2</v>
      </c>
    </row>
    <row r="153" spans="1:7" ht="11.4" outlineLevel="1" x14ac:dyDescent="0.2">
      <c r="A153" s="85" t="s">
        <v>1420</v>
      </c>
      <c r="B153" s="20" t="s">
        <v>122</v>
      </c>
      <c r="C153" s="78">
        <f>'Parametri MTR-3'!$J$4</f>
        <v>1.9E-2</v>
      </c>
      <c r="D153" s="136"/>
      <c r="E153" s="78">
        <f>$C$21</f>
        <v>1.9E-2</v>
      </c>
      <c r="F153" s="78">
        <f>$C$21</f>
        <v>1.9E-2</v>
      </c>
      <c r="G153" s="78">
        <f>$C$21</f>
        <v>1.9E-2</v>
      </c>
    </row>
    <row r="154" spans="1:7" ht="11.4" outlineLevel="1" x14ac:dyDescent="0.2">
      <c r="A154" s="85" t="s">
        <v>1423</v>
      </c>
      <c r="B154" s="173" t="s">
        <v>6235</v>
      </c>
      <c r="C154" s="136"/>
      <c r="D154" s="136"/>
      <c r="E154" s="176">
        <f>INDEX(IN_PAR!$A$3:$AAA$413,MATCH($A154,IN_PAR!$A$3:$A$413,0),MATCH(E$3,IN_PAR!$A$3:$AAA$3,0))</f>
        <v>0</v>
      </c>
      <c r="F154" s="176">
        <f>INDEX(IN_PAR!$A$3:$AAA$413,MATCH($A154,IN_PAR!$A$3:$A$413,0),MATCH(F$3,IN_PAR!$A$3:$AAA$3,0))</f>
        <v>0</v>
      </c>
      <c r="G154" s="176">
        <f>INDEX(IN_PAR!$A$3:$AAA$413,MATCH($A154,IN_PAR!$A$3:$A$413,0),MATCH(G$3,IN_PAR!$A$3:$AAA$3,0))</f>
        <v>0</v>
      </c>
    </row>
    <row r="155" spans="1:7" ht="11.4" outlineLevel="1" x14ac:dyDescent="0.2">
      <c r="A155" s="85" t="s">
        <v>1426</v>
      </c>
      <c r="B155" s="174" t="s">
        <v>6236</v>
      </c>
      <c r="C155" s="136"/>
      <c r="D155" s="136"/>
      <c r="E155" s="177">
        <f>INDEX(IN_PAR!$A$3:$AAA$413,MATCH($A155,IN_PAR!$A$3:$A$413,0),MATCH(E$3,IN_PAR!$A$3:$AAA$3,0))</f>
        <v>0</v>
      </c>
      <c r="F155" s="177">
        <f>INDEX(IN_PAR!$A$3:$AAA$413,MATCH($A155,IN_PAR!$A$3:$A$413,0),MATCH(F$3,IN_PAR!$A$3:$AAA$3,0))</f>
        <v>0</v>
      </c>
      <c r="G155" s="177">
        <f>INDEX(IN_PAR!$A$3:$AAA$413,MATCH($A155,IN_PAR!$A$3:$A$413,0),MATCH(G$3,IN_PAR!$A$3:$AAA$3,0))</f>
        <v>0</v>
      </c>
    </row>
    <row r="156" spans="1:7" ht="11.4" outlineLevel="1" x14ac:dyDescent="0.2">
      <c r="A156" s="85" t="s">
        <v>1427</v>
      </c>
      <c r="B156" s="174" t="s">
        <v>6237</v>
      </c>
      <c r="C156" s="136"/>
      <c r="D156" s="136"/>
      <c r="E156" s="177">
        <f>INDEX(IN_PAR!$A$3:$AAA$413,MATCH($A156,IN_PAR!$A$3:$A$413,0),MATCH(E$3,IN_PAR!$A$3:$AAA$3,0))</f>
        <v>0</v>
      </c>
      <c r="F156" s="177">
        <f>INDEX(IN_PAR!$A$3:$AAA$413,MATCH($A156,IN_PAR!$A$3:$A$413,0),MATCH(F$3,IN_PAR!$A$3:$AAA$3,0))</f>
        <v>0</v>
      </c>
      <c r="G156" s="177">
        <f>INDEX(IN_PAR!$A$3:$AAA$413,MATCH($A156,IN_PAR!$A$3:$A$413,0),MATCH(G$3,IN_PAR!$A$3:$AAA$3,0))</f>
        <v>0</v>
      </c>
    </row>
    <row r="157" spans="1:7" outlineLevel="1" x14ac:dyDescent="0.2">
      <c r="A157" s="85"/>
      <c r="B157" s="65" t="s">
        <v>123</v>
      </c>
      <c r="C157" s="137"/>
      <c r="D157" s="137"/>
      <c r="E157" s="708" t="str">
        <f>IF(E152&gt;8.8%,"errore","ok")</f>
        <v>ok</v>
      </c>
      <c r="F157" s="708" t="str">
        <f>IF(F152&gt;8.8%,"errore","ok")</f>
        <v>ok</v>
      </c>
      <c r="G157" s="708" t="str">
        <f>IF(G152&gt;8.8%,"errore","ok")</f>
        <v>ok</v>
      </c>
    </row>
    <row r="158" spans="1:7" outlineLevel="1" x14ac:dyDescent="0.2"/>
    <row r="159" spans="1:7" s="159" customFormat="1" ht="11.4" outlineLevel="1" x14ac:dyDescent="0.2">
      <c r="A159" s="85" t="s">
        <v>6213</v>
      </c>
      <c r="B159" s="150" t="s">
        <v>6271</v>
      </c>
      <c r="C159" s="74"/>
      <c r="D159" s="74"/>
      <c r="E159" s="133">
        <f>IFERROR(E146/E149,0)</f>
        <v>0.93042223996094719</v>
      </c>
      <c r="F159" s="133">
        <f>IFERROR(F146/F149,0)</f>
        <v>0.99170959327255548</v>
      </c>
      <c r="G159" s="133">
        <f>IFERROR(G146/G149,0)</f>
        <v>0.99695075806011357</v>
      </c>
    </row>
    <row r="160" spans="1:7" s="159" customFormat="1" outlineLevel="1" x14ac:dyDescent="0.2">
      <c r="A160" s="85"/>
      <c r="B160" s="154" t="s">
        <v>218</v>
      </c>
      <c r="C160" s="74"/>
      <c r="D160" s="74"/>
      <c r="E160" s="155" t="str">
        <f>IF(E159&lt;=(1+E152),"NO","SI")</f>
        <v>NO</v>
      </c>
      <c r="F160" s="155" t="str">
        <f>IF(F159&lt;=(1+F152),"NO","SI")</f>
        <v>NO</v>
      </c>
      <c r="G160" s="155" t="str">
        <f>IF(G159&lt;=(1+G152),"NO","SI")</f>
        <v>NO</v>
      </c>
    </row>
    <row r="161" spans="1:7" outlineLevel="1" x14ac:dyDescent="0.2"/>
    <row r="162" spans="1:7" ht="11.4" outlineLevel="1" x14ac:dyDescent="0.2">
      <c r="A162" s="85" t="s">
        <v>1420</v>
      </c>
      <c r="B162" s="20" t="s">
        <v>122</v>
      </c>
      <c r="C162" s="78">
        <f>'Parametri MTR-3'!$J$4</f>
        <v>1.9E-2</v>
      </c>
      <c r="D162" s="136"/>
      <c r="E162" s="78">
        <f>$C$30</f>
        <v>1.9E-2</v>
      </c>
      <c r="F162" s="78">
        <f>$C$30</f>
        <v>1.9E-2</v>
      </c>
      <c r="G162" s="78">
        <f>$C$30</f>
        <v>1.9E-2</v>
      </c>
    </row>
    <row r="163" spans="1:7" outlineLevel="1" x14ac:dyDescent="0.2">
      <c r="A163" s="85" t="s">
        <v>1489</v>
      </c>
      <c r="B163" s="209" t="str">
        <f>"Xreg2029 Singolo Gestore "&amp;IN_Anagrafica!$B$1</f>
        <v>Xreg2029 Singolo Gestore AGESP</v>
      </c>
      <c r="E163" s="1041">
        <f>INDEX(IN_PAR!$A$3:$AAA$413,MATCH($A163,IN_PAR!$A$3:$A$413,0),MATCH(E$3,IN_PAR!$A$3:$AAA$3,0))</f>
        <v>0</v>
      </c>
      <c r="F163" s="1041">
        <f>INDEX(IN_PAR!$A$3:$AAA$413,MATCH($A163,IN_PAR!$A$3:$A$413,0),MATCH(F$3,IN_PAR!$A$3:$AAA$3,0))</f>
        <v>0</v>
      </c>
      <c r="G163" s="1041">
        <f>INDEX(IN_PAR!$A$3:$AAA$413,MATCH($A163,IN_PAR!$A$3:$A$413,0),MATCH(G$3,IN_PAR!$A$3:$AAA$3,0))</f>
        <v>0</v>
      </c>
    </row>
    <row r="164" spans="1:7" outlineLevel="1" x14ac:dyDescent="0.2">
      <c r="A164" s="85" t="s">
        <v>1490</v>
      </c>
      <c r="B164" s="1039" t="str">
        <f>"Xcom2029 Singolo Gestore " &amp;IN_Anagrafica!$B$1</f>
        <v>Xcom2029 Singolo Gestore AGESP</v>
      </c>
      <c r="E164" s="1042">
        <f>INDEX(IN_PAR!$A$3:$AAA$413,MATCH($A164,IN_PAR!$A$3:$A$413,0),MATCH(E$3,IN_PAR!$A$3:$AAA$3,0))</f>
        <v>0</v>
      </c>
      <c r="F164" s="1042">
        <f>INDEX(IN_PAR!$A$3:$AAA$413,MATCH($A164,IN_PAR!$A$3:$A$413,0),MATCH(F$3,IN_PAR!$A$3:$AAA$3,0))</f>
        <v>0</v>
      </c>
      <c r="G164" s="1042">
        <f>INDEX(IN_PAR!$A$3:$AAA$413,MATCH($A164,IN_PAR!$A$3:$A$413,0),MATCH(G$3,IN_PAR!$A$3:$AAA$3,0))</f>
        <v>0</v>
      </c>
    </row>
    <row r="165" spans="1:7" outlineLevel="1" x14ac:dyDescent="0.2">
      <c r="A165" s="85" t="s">
        <v>8656</v>
      </c>
      <c r="B165" s="67" t="str">
        <f>"X2029 Singolo Gestore " &amp;IN_Anagrafica!$B$1</f>
        <v>X2029 Singolo Gestore AGESP</v>
      </c>
      <c r="E165" s="1043">
        <f>E163+E164</f>
        <v>0</v>
      </c>
      <c r="F165" s="1043">
        <f>F163+F164</f>
        <v>0</v>
      </c>
      <c r="G165" s="1043">
        <f>G163+G164</f>
        <v>0</v>
      </c>
    </row>
    <row r="166" spans="1:7" outlineLevel="1" x14ac:dyDescent="0.2">
      <c r="A166" s="85" t="s">
        <v>1491</v>
      </c>
      <c r="B166" s="707" t="str">
        <f>"Kcom2029 Singolo Gestore "&amp;IN_Anagrafica!$B$1</f>
        <v>Kcom2029 Singolo Gestore AGESP</v>
      </c>
      <c r="E166" s="1041">
        <f>INDEX(IN_PAR!$A$3:$AAA$413,MATCH($A166,IN_PAR!$A$3:$A$413,0),MATCH(E$3,IN_PAR!$A$3:$AAA$3,0))</f>
        <v>0</v>
      </c>
      <c r="F166" s="1041">
        <f>INDEX(IN_PAR!$A$3:$AAA$413,MATCH($A166,IN_PAR!$A$3:$A$413,0),MATCH(F$3,IN_PAR!$A$3:$AAA$3,0))</f>
        <v>0</v>
      </c>
      <c r="G166" s="1041">
        <f>INDEX(IN_PAR!$A$3:$AAA$413,MATCH($A166,IN_PAR!$A$3:$A$413,0),MATCH(G$3,IN_PAR!$A$3:$AAA$3,0))</f>
        <v>0</v>
      </c>
    </row>
    <row r="167" spans="1:7" outlineLevel="1" x14ac:dyDescent="0.2">
      <c r="A167" s="85" t="s">
        <v>1492</v>
      </c>
      <c r="B167" s="527" t="str">
        <f>"Kreg2029 Singolo Gestore "&amp;IN_Anagrafica!$B$1</f>
        <v>Kreg2029 Singolo Gestore AGESP</v>
      </c>
      <c r="E167" s="1042">
        <f>INDEX(IN_PAR!$A$3:$AAA$413,MATCH($A167,IN_PAR!$A$3:$A$413,0),MATCH(E$3,IN_PAR!$A$3:$AAA$3,0))</f>
        <v>0</v>
      </c>
      <c r="F167" s="1042">
        <f>INDEX(IN_PAR!$A$3:$AAA$413,MATCH($A167,IN_PAR!$A$3:$A$413,0),MATCH(F$3,IN_PAR!$A$3:$AAA$3,0))</f>
        <v>0</v>
      </c>
      <c r="G167" s="1042">
        <f>INDEX(IN_PAR!$A$3:$AAA$413,MATCH($A167,IN_PAR!$A$3:$A$413,0),MATCH(G$3,IN_PAR!$A$3:$AAA$3,0))</f>
        <v>0</v>
      </c>
    </row>
    <row r="168" spans="1:7" outlineLevel="1" x14ac:dyDescent="0.2">
      <c r="A168" s="85" t="s">
        <v>8657</v>
      </c>
      <c r="B168" s="67" t="str">
        <f>"K2029 Singolo Gestore " &amp;IN_Anagrafica!$B$1</f>
        <v>K2029 Singolo Gestore AGESP</v>
      </c>
      <c r="E168" s="1043">
        <f>E166+E167</f>
        <v>0</v>
      </c>
      <c r="F168" s="1043">
        <f>F166+F167</f>
        <v>0</v>
      </c>
      <c r="G168" s="1043">
        <f>G166+G167</f>
        <v>0</v>
      </c>
    </row>
    <row r="169" spans="1:7" outlineLevel="1" x14ac:dyDescent="0.2">
      <c r="A169" s="85" t="s">
        <v>1493</v>
      </c>
      <c r="B169" s="445" t="str">
        <f>"CRI2029 Singolo Gestore "&amp;IN_Anagrafica!$B$1</f>
        <v>CRI2029 Singolo Gestore AGESP</v>
      </c>
      <c r="E169" s="1040">
        <f>INDEX(IN_PAR!$A$3:$AAA$413,MATCH($A169,IN_PAR!$A$3:$A$413,0),MATCH(E$3,IN_PAR!$A$3:$AAA$3,0))</f>
        <v>0</v>
      </c>
      <c r="F169" s="1040">
        <f>INDEX(IN_PAR!$A$3:$AAA$413,MATCH($A169,IN_PAR!$A$3:$A$413,0),MATCH(F$3,IN_PAR!$A$3:$AAA$3,0))</f>
        <v>0</v>
      </c>
      <c r="G169" s="1040">
        <f>INDEX(IN_PAR!$A$3:$AAA$413,MATCH($A169,IN_PAR!$A$3:$A$413,0),MATCH(G$3,IN_PAR!$A$3:$AAA$3,0))</f>
        <v>0</v>
      </c>
    </row>
    <row r="170" spans="1:7" ht="11.4" outlineLevel="1" x14ac:dyDescent="0.2">
      <c r="A170" s="85" t="s">
        <v>8658</v>
      </c>
      <c r="B170" s="71" t="s">
        <v>8675</v>
      </c>
      <c r="C170" s="135"/>
      <c r="D170" s="135"/>
      <c r="E170" s="77">
        <f>E162-E165+E168+E169</f>
        <v>1.9E-2</v>
      </c>
      <c r="F170" s="77">
        <f>F162-F165+F168+F169</f>
        <v>1.9E-2</v>
      </c>
      <c r="G170" s="77">
        <f>G162-G165+G168+G169</f>
        <v>1.9E-2</v>
      </c>
    </row>
    <row r="171" spans="1:7" outlineLevel="1" x14ac:dyDescent="0.2"/>
    <row r="172" spans="1:7" ht="11.4" outlineLevel="1" x14ac:dyDescent="0.25">
      <c r="A172" s="85" t="s">
        <v>8621</v>
      </c>
      <c r="B172" s="1107" t="s">
        <v>1541</v>
      </c>
      <c r="E172" s="1106">
        <f>E128</f>
        <v>15739373.60338439</v>
      </c>
      <c r="F172" s="1106">
        <f>F128</f>
        <v>1250998.5528639297</v>
      </c>
      <c r="G172" s="1106">
        <f>G128</f>
        <v>840342.63765263092</v>
      </c>
    </row>
    <row r="173" spans="1:7" s="159" customFormat="1" ht="11.4" outlineLevel="1" x14ac:dyDescent="0.2">
      <c r="A173" s="85" t="s">
        <v>8659</v>
      </c>
      <c r="B173" s="150" t="s">
        <v>8676</v>
      </c>
      <c r="C173" s="74"/>
      <c r="D173" s="74"/>
      <c r="E173" s="133">
        <f>IFERROR(E144/E172,0)</f>
        <v>0.89955906086319215</v>
      </c>
      <c r="F173" s="133">
        <f>IFERROR(F144/F172,0)</f>
        <v>0.98651435345009664</v>
      </c>
      <c r="G173" s="133">
        <f>IFERROR(G144/G172,0)</f>
        <v>1</v>
      </c>
    </row>
    <row r="174" spans="1:7" s="159" customFormat="1" outlineLevel="1" x14ac:dyDescent="0.2">
      <c r="A174" s="85"/>
      <c r="B174" s="154" t="s">
        <v>8578</v>
      </c>
      <c r="C174" s="74"/>
      <c r="D174" s="74"/>
      <c r="E174" s="155" t="str">
        <f>IF(E173&lt;=(1+E170),"NO","SI")</f>
        <v>NO</v>
      </c>
      <c r="F174" s="155" t="str">
        <f>IF(F173&lt;=(1+F170),"NO","SI")</f>
        <v>NO</v>
      </c>
      <c r="G174" s="155" t="str">
        <f>IF(G173&lt;=(1+G170),"NO","SI")</f>
        <v>NO</v>
      </c>
    </row>
    <row r="175" spans="1:7" outlineLevel="1" x14ac:dyDescent="0.2"/>
    <row r="176" spans="1:7" s="159" customFormat="1" ht="11.4" outlineLevel="1" x14ac:dyDescent="0.2">
      <c r="A176" s="138"/>
      <c r="B176" s="1045" t="s">
        <v>8677</v>
      </c>
      <c r="C176" s="1046">
        <f t="shared" ref="C176:C179" si="7">SUM(E176:AAA176)</f>
        <v>0</v>
      </c>
      <c r="D176" s="151"/>
      <c r="E176" s="1047">
        <f>MAX(E144-E172*(1+E170),0)</f>
        <v>0</v>
      </c>
      <c r="F176" s="1047">
        <f>MAX(F144-F172*(1+F170),0)</f>
        <v>0</v>
      </c>
      <c r="G176" s="1047">
        <f>MAX(G144-G172*(1+G170),0)</f>
        <v>0</v>
      </c>
    </row>
    <row r="177" spans="1:7" outlineLevel="1" x14ac:dyDescent="0.2">
      <c r="A177" s="85" t="s">
        <v>8660</v>
      </c>
      <c r="B177" s="1048" t="s">
        <v>8580</v>
      </c>
      <c r="C177" s="87">
        <f t="shared" si="7"/>
        <v>0</v>
      </c>
      <c r="D177" s="1051"/>
      <c r="E177" s="1052">
        <v>0</v>
      </c>
      <c r="F177" s="1052">
        <v>0</v>
      </c>
      <c r="G177" s="1053">
        <v>0</v>
      </c>
    </row>
    <row r="178" spans="1:7" outlineLevel="1" x14ac:dyDescent="0.2">
      <c r="A178" s="85" t="s">
        <v>8661</v>
      </c>
      <c r="B178" s="1049" t="s">
        <v>8678</v>
      </c>
      <c r="C178" s="87">
        <f t="shared" si="7"/>
        <v>0</v>
      </c>
      <c r="D178" s="1051"/>
      <c r="E178" s="1054">
        <v>0</v>
      </c>
      <c r="F178" s="1054">
        <v>0</v>
      </c>
      <c r="G178" s="1055">
        <v>0</v>
      </c>
    </row>
    <row r="179" spans="1:7" outlineLevel="1" x14ac:dyDescent="0.2">
      <c r="A179" s="85" t="s">
        <v>8662</v>
      </c>
      <c r="B179" s="1050" t="s">
        <v>8581</v>
      </c>
      <c r="C179" s="87">
        <f t="shared" si="7"/>
        <v>0</v>
      </c>
      <c r="D179" s="1051"/>
      <c r="E179" s="1056">
        <v>0</v>
      </c>
      <c r="F179" s="1056">
        <v>0</v>
      </c>
      <c r="G179" s="1057">
        <v>0</v>
      </c>
    </row>
    <row r="180" spans="1:7" x14ac:dyDescent="0.2">
      <c r="E180" s="1058">
        <f>E176-SUM(E177:E179)</f>
        <v>0</v>
      </c>
      <c r="F180" s="1058">
        <f>F176-SUM(F177:F179)</f>
        <v>0</v>
      </c>
      <c r="G180" s="1058">
        <f>G176-SUM(G177:G179)</f>
        <v>0</v>
      </c>
    </row>
  </sheetData>
  <conditionalFormatting sqref="E25:G25">
    <cfRule type="cellIs" dxfId="54" priority="19" operator="equal">
      <formula>"ok"</formula>
    </cfRule>
    <cfRule type="cellIs" dxfId="53" priority="20" operator="equal">
      <formula>"errore"</formula>
    </cfRule>
  </conditionalFormatting>
  <conditionalFormatting sqref="E69:G69">
    <cfRule type="cellIs" dxfId="52" priority="17" operator="equal">
      <formula>"ok"</formula>
    </cfRule>
    <cfRule type="cellIs" dxfId="51" priority="18" operator="equal">
      <formula>"errore"</formula>
    </cfRule>
  </conditionalFormatting>
  <conditionalFormatting sqref="E113:G113">
    <cfRule type="cellIs" dxfId="50" priority="15" operator="equal">
      <formula>"ok"</formula>
    </cfRule>
    <cfRule type="cellIs" dxfId="49" priority="16" operator="equal">
      <formula>"errore"</formula>
    </cfRule>
  </conditionalFormatting>
  <conditionalFormatting sqref="E157:G157">
    <cfRule type="cellIs" dxfId="48" priority="13" operator="equal">
      <formula>"ok"</formula>
    </cfRule>
    <cfRule type="cellIs" dxfId="47" priority="14" operator="equal">
      <formula>"errore"</formula>
    </cfRule>
  </conditionalFormatting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D7B8C-49BD-45B2-A3E7-3344AC6DB759}">
  <sheetPr>
    <tabColor rgb="FFFFFFCC"/>
  </sheetPr>
  <dimension ref="A1:G180"/>
  <sheetViews>
    <sheetView showGridLines="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F167" sqref="F167"/>
    </sheetView>
  </sheetViews>
  <sheetFormatPr defaultColWidth="9.109375" defaultRowHeight="10.199999999999999" outlineLevelRow="1" x14ac:dyDescent="0.2"/>
  <cols>
    <col min="1" max="1" width="20.109375" style="51" bestFit="1" customWidth="1"/>
    <col min="2" max="2" width="72.5546875" style="51" bestFit="1" customWidth="1"/>
    <col min="3" max="3" width="13.44140625" style="51" customWidth="1"/>
    <col min="4" max="4" width="2" style="51" customWidth="1"/>
    <col min="5" max="5" width="11.88671875" style="51" bestFit="1" customWidth="1"/>
    <col min="6" max="6" width="12.5546875" style="51" bestFit="1" customWidth="1"/>
    <col min="7" max="7" width="8.5546875" style="51" bestFit="1" customWidth="1"/>
    <col min="8" max="16384" width="9.109375" style="51"/>
  </cols>
  <sheetData>
    <row r="1" spans="1:7" x14ac:dyDescent="0.2">
      <c r="A1" s="85"/>
      <c r="B1" s="458" t="s">
        <v>8679</v>
      </c>
      <c r="C1" s="134"/>
      <c r="D1" s="134"/>
      <c r="E1" s="61"/>
      <c r="F1" s="61"/>
      <c r="G1" s="61"/>
    </row>
    <row r="2" spans="1:7" x14ac:dyDescent="0.2">
      <c r="A2" s="85"/>
      <c r="B2" s="70"/>
      <c r="C2" s="5"/>
      <c r="D2" s="5"/>
      <c r="E2" s="61"/>
      <c r="F2" s="61"/>
      <c r="G2" s="61"/>
    </row>
    <row r="3" spans="1:7" ht="20.399999999999999" x14ac:dyDescent="0.2">
      <c r="A3" s="350"/>
      <c r="B3" s="346"/>
      <c r="C3" s="347" t="s">
        <v>0</v>
      </c>
      <c r="D3" s="348"/>
      <c r="E3" s="344" t="str">
        <f>Ambiti!B4</f>
        <v>BUSTO ARSIZIO</v>
      </c>
      <c r="F3" s="344" t="str">
        <f>Ambiti!C4</f>
        <v>FAGNANO OLONA</v>
      </c>
      <c r="G3" s="344" t="str">
        <f>Ambiti!D4</f>
        <v>VENEGONO SUPERIORE</v>
      </c>
    </row>
    <row r="4" spans="1:7" x14ac:dyDescent="0.2">
      <c r="A4" s="350"/>
      <c r="B4" s="454" t="s">
        <v>8560</v>
      </c>
      <c r="C4" s="348"/>
      <c r="D4" s="348"/>
      <c r="E4" s="709"/>
      <c r="F4" s="709"/>
      <c r="G4" s="709"/>
    </row>
    <row r="5" spans="1:7" x14ac:dyDescent="0.2">
      <c r="A5" s="350"/>
      <c r="B5" s="457">
        <v>2026</v>
      </c>
      <c r="C5" s="348"/>
      <c r="D5" s="348"/>
      <c r="E5" s="709"/>
      <c r="F5" s="709"/>
      <c r="G5" s="709"/>
    </row>
    <row r="6" spans="1:7" ht="11.4" outlineLevel="1" x14ac:dyDescent="0.2">
      <c r="A6" s="31" t="s">
        <v>3253</v>
      </c>
      <c r="B6" s="178" t="s">
        <v>8561</v>
      </c>
      <c r="C6" s="179">
        <f t="shared" ref="C6:C17" si="0">SUM(E6:AAA6)</f>
        <v>9035624.7360059675</v>
      </c>
      <c r="D6" s="135"/>
      <c r="E6" s="182">
        <f>INDEX(PEF_GEST_26!$A$3:$AAA$102,MATCH($A6,PEF_GEST_26!$A$3:$A$102,0),MATCH(E$3,PEF_GEST_26!$A$3:$AAA$3,0))</f>
        <v>7914332.885408367</v>
      </c>
      <c r="F6" s="182">
        <f>INDEX(PEF_GEST_26!$A$3:$AAA$102,MATCH($A6,PEF_GEST_26!$A$3:$A$102,0),MATCH(F$3,PEF_GEST_26!$A$3:$AAA$3,0))</f>
        <v>1121291.8505976</v>
      </c>
      <c r="G6" s="182">
        <f>INDEX(PEF_GEST_26!$A$3:$AAA$102,MATCH($A6,PEF_GEST_26!$A$3:$A$102,0),MATCH(G$3,PEF_GEST_26!$A$3:$AAA$3,0))</f>
        <v>0</v>
      </c>
    </row>
    <row r="7" spans="1:7" ht="11.4" outlineLevel="1" x14ac:dyDescent="0.2">
      <c r="A7" s="31" t="s">
        <v>5476</v>
      </c>
      <c r="B7" s="180" t="s">
        <v>8562</v>
      </c>
      <c r="C7" s="181">
        <f t="shared" si="0"/>
        <v>0</v>
      </c>
      <c r="D7" s="135"/>
      <c r="E7" s="183">
        <f>INDEX(PEF_COM_26!$A$3:$AAA$102,MATCH($A7,PEF_COM_26!$A$3:$A$102,0),MATCH(E$3,PEF_COM_26!$A$3:$AAA$3,0))</f>
        <v>0</v>
      </c>
      <c r="F7" s="183">
        <f>INDEX(PEF_COM_26!$A$3:$AAA$102,MATCH($A7,PEF_COM_26!$A$3:$A$102,0),MATCH(F$3,PEF_COM_26!$A$3:$AAA$3,0))</f>
        <v>0</v>
      </c>
      <c r="G7" s="183">
        <f>INDEX(PEF_COM_26!$A$3:$AAA$102,MATCH($A7,PEF_COM_26!$A$3:$A$102,0),MATCH(G$3,PEF_COM_26!$A$3:$AAA$3,0))</f>
        <v>0</v>
      </c>
    </row>
    <row r="8" spans="1:7" ht="11.4" outlineLevel="1" x14ac:dyDescent="0.2">
      <c r="A8" s="31" t="s">
        <v>8570</v>
      </c>
      <c r="B8" s="142" t="s">
        <v>8563</v>
      </c>
      <c r="C8" s="143">
        <f t="shared" si="0"/>
        <v>9035624.7360059675</v>
      </c>
      <c r="D8" s="135"/>
      <c r="E8" s="144">
        <f>E6+E7</f>
        <v>7914332.885408367</v>
      </c>
      <c r="F8" s="144">
        <f>F6+F7</f>
        <v>1121291.8505976</v>
      </c>
      <c r="G8" s="144">
        <f>G6+G7</f>
        <v>0</v>
      </c>
    </row>
    <row r="9" spans="1:7" ht="11.4" outlineLevel="1" x14ac:dyDescent="0.2">
      <c r="A9" s="31" t="s">
        <v>3257</v>
      </c>
      <c r="B9" s="178" t="s">
        <v>8564</v>
      </c>
      <c r="C9" s="179">
        <f t="shared" si="0"/>
        <v>7666727.8733342355</v>
      </c>
      <c r="D9" s="135"/>
      <c r="E9" s="182">
        <f>INDEX(PEF_GEST_26!$A$3:$AAA$102,MATCH($A9,PEF_GEST_26!$A$3:$A$102,0),MATCH(E$3,PEF_GEST_26!$A$3:$AAA$3,0))</f>
        <v>7531568.5899443226</v>
      </c>
      <c r="F9" s="182">
        <f>INDEX(PEF_GEST_26!$A$3:$AAA$102,MATCH($A9,PEF_GEST_26!$A$3:$A$102,0),MATCH(F$3,PEF_GEST_26!$A$3:$AAA$3,0))</f>
        <v>135159.28338991333</v>
      </c>
      <c r="G9" s="182">
        <f>INDEX(PEF_GEST_26!$A$3:$AAA$102,MATCH($A9,PEF_GEST_26!$A$3:$A$102,0),MATCH(G$3,PEF_GEST_26!$A$3:$AAA$3,0))</f>
        <v>0</v>
      </c>
    </row>
    <row r="10" spans="1:7" ht="11.4" outlineLevel="1" x14ac:dyDescent="0.2">
      <c r="A10" s="31" t="s">
        <v>5477</v>
      </c>
      <c r="B10" s="180" t="s">
        <v>8565</v>
      </c>
      <c r="C10" s="181">
        <f t="shared" si="0"/>
        <v>54149.194963047281</v>
      </c>
      <c r="D10" s="135"/>
      <c r="E10" s="183">
        <f>INDEX(PEF_COM_26!$A$3:$AAA$102,MATCH($A10,PEF_COM_26!$A$3:$A$102,0),MATCH(E$3,PEF_COM_26!$A$3:$AAA$3,0))</f>
        <v>0</v>
      </c>
      <c r="F10" s="183">
        <f>INDEX(PEF_COM_26!$A$3:$AAA$102,MATCH($A10,PEF_COM_26!$A$3:$A$102,0),MATCH(F$3,PEF_COM_26!$A$3:$AAA$3,0))</f>
        <v>0</v>
      </c>
      <c r="G10" s="183">
        <f>INDEX(PEF_COM_26!$A$3:$AAA$102,MATCH($A10,PEF_COM_26!$A$3:$A$102,0),MATCH(G$3,PEF_COM_26!$A$3:$AAA$3,0))</f>
        <v>54149.194963047281</v>
      </c>
    </row>
    <row r="11" spans="1:7" ht="11.4" outlineLevel="1" x14ac:dyDescent="0.2">
      <c r="A11" s="31" t="s">
        <v>8571</v>
      </c>
      <c r="B11" s="142" t="s">
        <v>8566</v>
      </c>
      <c r="C11" s="143">
        <f t="shared" si="0"/>
        <v>7720877.0682972828</v>
      </c>
      <c r="D11" s="135"/>
      <c r="E11" s="144">
        <f>E9+E10</f>
        <v>7531568.5899443226</v>
      </c>
      <c r="F11" s="144">
        <f>F9+F10</f>
        <v>135159.28338991333</v>
      </c>
      <c r="G11" s="144">
        <f>G9+G10</f>
        <v>54149.194963047281</v>
      </c>
    </row>
    <row r="12" spans="1:7" ht="11.4" outlineLevel="1" x14ac:dyDescent="0.2">
      <c r="A12" s="31" t="s">
        <v>3261</v>
      </c>
      <c r="B12" s="178" t="s">
        <v>8567</v>
      </c>
      <c r="C12" s="179">
        <f t="shared" si="0"/>
        <v>16702352.609340202</v>
      </c>
      <c r="D12" s="135"/>
      <c r="E12" s="182">
        <f>INDEX(PEF_GEST_26!$A$3:$AAA$102,MATCH($A12,PEF_GEST_26!$A$3:$A$102,0),MATCH(E$3,PEF_GEST_26!$A$3:$AAA$3,0))</f>
        <v>15445901.47535269</v>
      </c>
      <c r="F12" s="182">
        <f>INDEX(PEF_GEST_26!$A$3:$AAA$102,MATCH($A12,PEF_GEST_26!$A$3:$A$102,0),MATCH(F$3,PEF_GEST_26!$A$3:$AAA$3,0))</f>
        <v>1256451.1339875134</v>
      </c>
      <c r="G12" s="182">
        <f>INDEX(PEF_GEST_26!$A$3:$AAA$102,MATCH($A12,PEF_GEST_26!$A$3:$A$102,0),MATCH(G$3,PEF_GEST_26!$A$3:$AAA$3,0))</f>
        <v>0</v>
      </c>
    </row>
    <row r="13" spans="1:7" ht="11.4" outlineLevel="1" x14ac:dyDescent="0.2">
      <c r="A13" s="31" t="s">
        <v>5263</v>
      </c>
      <c r="B13" s="180" t="s">
        <v>8568</v>
      </c>
      <c r="C13" s="181">
        <f t="shared" si="0"/>
        <v>54149.194963047281</v>
      </c>
      <c r="D13" s="135"/>
      <c r="E13" s="183">
        <f>INDEX(PEF_COM_26!$A$3:$AAA$102,MATCH($A13,PEF_COM_26!$A$3:$A$102,0),MATCH(E$3,PEF_COM_26!$A$3:$AAA$3,0))</f>
        <v>0</v>
      </c>
      <c r="F13" s="183">
        <f>INDEX(PEF_COM_26!$A$3:$AAA$102,MATCH($A13,PEF_COM_26!$A$3:$A$102,0),MATCH(F$3,PEF_COM_26!$A$3:$AAA$3,0))</f>
        <v>0</v>
      </c>
      <c r="G13" s="183">
        <f>INDEX(PEF_COM_26!$A$3:$AAA$102,MATCH($A13,PEF_COM_26!$A$3:$A$102,0),MATCH(G$3,PEF_COM_26!$A$3:$AAA$3,0))</f>
        <v>54149.194963047281</v>
      </c>
    </row>
    <row r="14" spans="1:7" ht="11.4" outlineLevel="1" x14ac:dyDescent="0.2">
      <c r="A14" s="31" t="s">
        <v>5265</v>
      </c>
      <c r="B14" s="142" t="s">
        <v>8569</v>
      </c>
      <c r="C14" s="143">
        <f t="shared" si="0"/>
        <v>16756501.804303249</v>
      </c>
      <c r="D14" s="135"/>
      <c r="E14" s="144">
        <f>E12+E13</f>
        <v>15445901.47535269</v>
      </c>
      <c r="F14" s="144">
        <f>F12+F13</f>
        <v>1256451.1339875134</v>
      </c>
      <c r="G14" s="144">
        <f>G12+G13</f>
        <v>54149.194963047281</v>
      </c>
    </row>
    <row r="15" spans="1:7" ht="11.4" outlineLevel="1" x14ac:dyDescent="0.2">
      <c r="A15" s="85" t="s">
        <v>228</v>
      </c>
      <c r="B15" s="173" t="s">
        <v>5921</v>
      </c>
      <c r="C15" s="184">
        <f t="shared" si="0"/>
        <v>9585446.6099999994</v>
      </c>
      <c r="D15" s="147"/>
      <c r="E15" s="186">
        <f>INDEX(IN_PAR!$A$3:$YE$413,MATCH($A15,IN_PAR!$A$3:$A$413,0),MATCH(E$3,IN_PAR!$A$3:$YE$3,0))</f>
        <v>9585446.6099999994</v>
      </c>
      <c r="F15" s="186">
        <f>INDEX(IN_PAR!$A$3:$YE$413,MATCH($A15,IN_PAR!$A$3:$A$413,0),MATCH(F$3,IN_PAR!$A$3:$YE$3,0))</f>
        <v>0</v>
      </c>
      <c r="G15" s="186">
        <f>INDEX(IN_PAR!$A$3:$YE$413,MATCH($A15,IN_PAR!$A$3:$A$413,0),MATCH(G$3,IN_PAR!$A$3:$YE$3,0))</f>
        <v>0</v>
      </c>
    </row>
    <row r="16" spans="1:7" ht="11.4" outlineLevel="1" x14ac:dyDescent="0.2">
      <c r="A16" s="85" t="s">
        <v>229</v>
      </c>
      <c r="B16" s="175" t="s">
        <v>5922</v>
      </c>
      <c r="C16" s="185">
        <f t="shared" si="0"/>
        <v>6765815.0800000001</v>
      </c>
      <c r="D16" s="147"/>
      <c r="E16" s="187">
        <f>INDEX(IN_PAR!$A$3:$YE$413,MATCH($A16,IN_PAR!$A$3:$A$413,0),MATCH(E$3,IN_PAR!$A$3:$YE$3,0))</f>
        <v>6765815.0800000001</v>
      </c>
      <c r="F16" s="187">
        <f>INDEX(IN_PAR!$A$3:$YE$413,MATCH($A16,IN_PAR!$A$3:$A$413,0),MATCH(F$3,IN_PAR!$A$3:$YE$3,0))</f>
        <v>0</v>
      </c>
      <c r="G16" s="187">
        <f>INDEX(IN_PAR!$A$3:$YE$413,MATCH($A16,IN_PAR!$A$3:$A$413,0),MATCH(G$3,IN_PAR!$A$3:$YE$3,0))</f>
        <v>0</v>
      </c>
    </row>
    <row r="17" spans="1:7" ht="11.4" outlineLevel="1" x14ac:dyDescent="0.2">
      <c r="A17" s="85" t="s">
        <v>230</v>
      </c>
      <c r="B17" s="145" t="s">
        <v>5923</v>
      </c>
      <c r="C17" s="146">
        <f t="shared" si="0"/>
        <v>16351261.689999999</v>
      </c>
      <c r="D17" s="148"/>
      <c r="E17" s="149">
        <f>E15+E16</f>
        <v>16351261.689999999</v>
      </c>
      <c r="F17" s="149">
        <f>F15+F16</f>
        <v>0</v>
      </c>
      <c r="G17" s="149">
        <f>G15+G16</f>
        <v>0</v>
      </c>
    </row>
    <row r="18" spans="1:7" outlineLevel="1" x14ac:dyDescent="0.2">
      <c r="A18" s="85"/>
      <c r="B18" s="74"/>
      <c r="C18" s="74"/>
      <c r="D18" s="74"/>
      <c r="E18" s="75"/>
      <c r="F18" s="75"/>
      <c r="G18" s="75"/>
    </row>
    <row r="19" spans="1:7" ht="11.4" outlineLevel="1" x14ac:dyDescent="0.2">
      <c r="A19" s="85"/>
      <c r="B19" s="71" t="s">
        <v>5915</v>
      </c>
      <c r="C19" s="135"/>
      <c r="D19" s="135"/>
      <c r="E19" s="77">
        <f>1+E20</f>
        <v>1.0189999999999999</v>
      </c>
      <c r="F19" s="77">
        <f>1+F20</f>
        <v>1.0189999999999999</v>
      </c>
      <c r="G19" s="77">
        <f>1+G20</f>
        <v>1.0189999999999999</v>
      </c>
    </row>
    <row r="20" spans="1:7" ht="11.4" outlineLevel="1" x14ac:dyDescent="0.2">
      <c r="A20" s="85" t="s">
        <v>1376</v>
      </c>
      <c r="B20" s="71" t="s">
        <v>5916</v>
      </c>
      <c r="C20" s="135"/>
      <c r="D20" s="135"/>
      <c r="E20" s="77">
        <f>E21-E22+E23+E24</f>
        <v>1.9E-2</v>
      </c>
      <c r="F20" s="77">
        <f>F21-F22+F23+F24</f>
        <v>1.9E-2</v>
      </c>
      <c r="G20" s="77">
        <f>G21-G22+G23+G24</f>
        <v>1.9E-2</v>
      </c>
    </row>
    <row r="21" spans="1:7" ht="11.4" outlineLevel="1" x14ac:dyDescent="0.2">
      <c r="A21" s="85" t="s">
        <v>1355</v>
      </c>
      <c r="B21" s="20" t="s">
        <v>122</v>
      </c>
      <c r="C21" s="78">
        <f>'Parametri MTR-3'!$J$4</f>
        <v>1.9E-2</v>
      </c>
      <c r="D21" s="136"/>
      <c r="E21" s="78">
        <f>$C$21</f>
        <v>1.9E-2</v>
      </c>
      <c r="F21" s="78">
        <f>$C$21</f>
        <v>1.9E-2</v>
      </c>
      <c r="G21" s="78">
        <f>$C$21</f>
        <v>1.9E-2</v>
      </c>
    </row>
    <row r="22" spans="1:7" ht="11.4" outlineLevel="1" x14ac:dyDescent="0.2">
      <c r="A22" s="85" t="s">
        <v>993</v>
      </c>
      <c r="B22" s="173" t="s">
        <v>5917</v>
      </c>
      <c r="C22" s="136"/>
      <c r="D22" s="136"/>
      <c r="E22" s="176">
        <f>INDEX(IN_PAR!$A$3:$AAA$413,MATCH($A22,IN_PAR!$A$3:$A$413,0),MATCH(E$3,IN_PAR!$A$3:$AAA$3,0))</f>
        <v>0</v>
      </c>
      <c r="F22" s="176">
        <f>INDEX(IN_PAR!$A$3:$AAA$413,MATCH($A22,IN_PAR!$A$3:$A$413,0),MATCH(F$3,IN_PAR!$A$3:$AAA$3,0))</f>
        <v>0</v>
      </c>
      <c r="G22" s="176">
        <f>INDEX(IN_PAR!$A$3:$AAA$413,MATCH($A22,IN_PAR!$A$3:$A$413,0),MATCH(G$3,IN_PAR!$A$3:$AAA$3,0))</f>
        <v>0</v>
      </c>
    </row>
    <row r="23" spans="1:7" ht="11.4" outlineLevel="1" x14ac:dyDescent="0.2">
      <c r="A23" s="85" t="s">
        <v>1372</v>
      </c>
      <c r="B23" s="174" t="s">
        <v>6053</v>
      </c>
      <c r="C23" s="136"/>
      <c r="D23" s="136"/>
      <c r="E23" s="177">
        <f>INDEX(IN_PAR!$A$3:$AAA$413,MATCH($A23,IN_PAR!$A$3:$A$413,0),MATCH(E$3,IN_PAR!$A$3:$AAA$3,0))</f>
        <v>0</v>
      </c>
      <c r="F23" s="177">
        <f>INDEX(IN_PAR!$A$3:$AAA$413,MATCH($A23,IN_PAR!$A$3:$A$413,0),MATCH(F$3,IN_PAR!$A$3:$AAA$3,0))</f>
        <v>0</v>
      </c>
      <c r="G23" s="177">
        <f>INDEX(IN_PAR!$A$3:$AAA$413,MATCH($A23,IN_PAR!$A$3:$A$413,0),MATCH(G$3,IN_PAR!$A$3:$AAA$3,0))</f>
        <v>0</v>
      </c>
    </row>
    <row r="24" spans="1:7" ht="11.4" outlineLevel="1" x14ac:dyDescent="0.2">
      <c r="A24" s="85" t="s">
        <v>953</v>
      </c>
      <c r="B24" s="174" t="s">
        <v>6052</v>
      </c>
      <c r="C24" s="136"/>
      <c r="D24" s="136"/>
      <c r="E24" s="177">
        <f>INDEX(IN_PAR!$A$3:$AAA$413,MATCH($A24,IN_PAR!$A$3:$A$413,0),MATCH(E$3,IN_PAR!$A$3:$AAA$3,0))</f>
        <v>0</v>
      </c>
      <c r="F24" s="177">
        <f>INDEX(IN_PAR!$A$3:$AAA$413,MATCH($A24,IN_PAR!$A$3:$A$413,0),MATCH(F$3,IN_PAR!$A$3:$AAA$3,0))</f>
        <v>0</v>
      </c>
      <c r="G24" s="177">
        <f>INDEX(IN_PAR!$A$3:$AAA$413,MATCH($A24,IN_PAR!$A$3:$A$413,0),MATCH(G$3,IN_PAR!$A$3:$AAA$3,0))</f>
        <v>0</v>
      </c>
    </row>
    <row r="25" spans="1:7" outlineLevel="1" x14ac:dyDescent="0.2">
      <c r="A25" s="85"/>
      <c r="B25" s="65" t="s">
        <v>123</v>
      </c>
      <c r="C25" s="137"/>
      <c r="D25" s="137"/>
      <c r="E25" s="708" t="str">
        <f>IF(E20&gt;8.8%,"errore","ok")</f>
        <v>ok</v>
      </c>
      <c r="F25" s="708" t="str">
        <f>IF(F20&gt;8.8%,"errore","ok")</f>
        <v>ok</v>
      </c>
      <c r="G25" s="708" t="str">
        <f>IF(G20&gt;8.8%,"errore","ok")</f>
        <v>ok</v>
      </c>
    </row>
    <row r="26" spans="1:7" outlineLevel="1" x14ac:dyDescent="0.2"/>
    <row r="27" spans="1:7" s="159" customFormat="1" ht="11.4" outlineLevel="1" x14ac:dyDescent="0.2">
      <c r="A27" s="85" t="s">
        <v>5924</v>
      </c>
      <c r="B27" s="150" t="s">
        <v>5925</v>
      </c>
      <c r="C27" s="74"/>
      <c r="D27" s="74"/>
      <c r="E27" s="133">
        <f>IFERROR(E14/E17,0)</f>
        <v>0.94463055929188611</v>
      </c>
      <c r="F27" s="133">
        <f>IFERROR(F14/F17,0)</f>
        <v>0</v>
      </c>
      <c r="G27" s="133">
        <f>IFERROR(G14/G17,0)</f>
        <v>0</v>
      </c>
    </row>
    <row r="28" spans="1:7" s="159" customFormat="1" outlineLevel="1" x14ac:dyDescent="0.2">
      <c r="A28" s="85"/>
      <c r="B28" s="154" t="s">
        <v>218</v>
      </c>
      <c r="C28" s="74"/>
      <c r="D28" s="74"/>
      <c r="E28" s="155" t="str">
        <f>IF(E27&lt;=(1+E20),"NO","SI")</f>
        <v>NO</v>
      </c>
      <c r="F28" s="155" t="str">
        <f>IF(F27&lt;=(1+F20),"NO","SI")</f>
        <v>NO</v>
      </c>
      <c r="G28" s="155" t="str">
        <f>IF(G27&lt;=(1+G20),"NO","SI")</f>
        <v>NO</v>
      </c>
    </row>
    <row r="29" spans="1:7" outlineLevel="1" x14ac:dyDescent="0.2"/>
    <row r="30" spans="1:7" ht="11.4" outlineLevel="1" x14ac:dyDescent="0.2">
      <c r="A30" s="85" t="s">
        <v>1355</v>
      </c>
      <c r="B30" s="20" t="s">
        <v>122</v>
      </c>
      <c r="C30" s="78">
        <f>'Parametri MTR-3'!$J$4</f>
        <v>1.9E-2</v>
      </c>
      <c r="D30" s="136"/>
      <c r="E30" s="78">
        <f>$C$30</f>
        <v>1.9E-2</v>
      </c>
      <c r="F30" s="78">
        <f>$C$30</f>
        <v>1.9E-2</v>
      </c>
      <c r="G30" s="78">
        <f>$C$30</f>
        <v>1.9E-2</v>
      </c>
    </row>
    <row r="31" spans="1:7" outlineLevel="1" x14ac:dyDescent="0.2">
      <c r="A31" s="85" t="s">
        <v>1451</v>
      </c>
      <c r="B31" s="209" t="str">
        <f>"Xreg2026 Singolo Gestore "&amp;"Comune"</f>
        <v>Xreg2026 Singolo Gestore Comune</v>
      </c>
      <c r="E31" s="1041">
        <f>INDEX(IN_PAR!$A$3:$AAA$413,MATCH($A31,IN_PAR!$A$3:$A$413,0),MATCH(E$3,IN_PAR!$A$3:$AAA$3,0))</f>
        <v>0</v>
      </c>
      <c r="F31" s="1041">
        <f>INDEX(IN_PAR!$A$3:$AAA$413,MATCH($A31,IN_PAR!$A$3:$A$413,0),MATCH(F$3,IN_PAR!$A$3:$AAA$3,0))</f>
        <v>0</v>
      </c>
      <c r="G31" s="1041">
        <f>INDEX(IN_PAR!$A$3:$AAA$413,MATCH($A31,IN_PAR!$A$3:$A$413,0),MATCH(G$3,IN_PAR!$A$3:$AAA$3,0))</f>
        <v>0</v>
      </c>
    </row>
    <row r="32" spans="1:7" outlineLevel="1" x14ac:dyDescent="0.2">
      <c r="A32" s="85" t="s">
        <v>1452</v>
      </c>
      <c r="B32" s="1039" t="str">
        <f>"Xcom2026 Singolo Gestore "&amp;"Comune"</f>
        <v>Xcom2026 Singolo Gestore Comune</v>
      </c>
      <c r="E32" s="1042">
        <f>INDEX(IN_PAR!$A$3:$AAA$413,MATCH($A32,IN_PAR!$A$3:$A$413,0),MATCH(E$3,IN_PAR!$A$3:$AAA$3,0))</f>
        <v>0</v>
      </c>
      <c r="F32" s="1042">
        <f>INDEX(IN_PAR!$A$3:$AAA$413,MATCH($A32,IN_PAR!$A$3:$A$413,0),MATCH(F$3,IN_PAR!$A$3:$AAA$3,0))</f>
        <v>0</v>
      </c>
      <c r="G32" s="1042">
        <f>INDEX(IN_PAR!$A$3:$AAA$413,MATCH($A32,IN_PAR!$A$3:$A$413,0),MATCH(G$3,IN_PAR!$A$3:$AAA$3,0))</f>
        <v>0</v>
      </c>
    </row>
    <row r="33" spans="1:7" outlineLevel="1" x14ac:dyDescent="0.2">
      <c r="A33" s="85" t="s">
        <v>8680</v>
      </c>
      <c r="B33" s="67" t="str">
        <f>"X2026 Singolo Gestore "&amp;"Comune"</f>
        <v>X2026 Singolo Gestore Comune</v>
      </c>
      <c r="E33" s="1043">
        <f>E31+E32</f>
        <v>0</v>
      </c>
      <c r="F33" s="1043">
        <f>F31+F32</f>
        <v>0</v>
      </c>
      <c r="G33" s="1043">
        <f>G31+G32</f>
        <v>0</v>
      </c>
    </row>
    <row r="34" spans="1:7" outlineLevel="1" x14ac:dyDescent="0.2">
      <c r="A34" s="85" t="s">
        <v>1453</v>
      </c>
      <c r="B34" s="707" t="str">
        <f>"Kcom2026 Singolo Gestore "&amp;"Comune"</f>
        <v>Kcom2026 Singolo Gestore Comune</v>
      </c>
      <c r="E34" s="1041">
        <f>INDEX(IN_PAR!$A$3:$AAA$413,MATCH($A34,IN_PAR!$A$3:$A$413,0),MATCH(E$3,IN_PAR!$A$3:$AAA$3,0))</f>
        <v>0</v>
      </c>
      <c r="F34" s="1041">
        <f>INDEX(IN_PAR!$A$3:$AAA$413,MATCH($A34,IN_PAR!$A$3:$A$413,0),MATCH(F$3,IN_PAR!$A$3:$AAA$3,0))</f>
        <v>0</v>
      </c>
      <c r="G34" s="1041">
        <f>INDEX(IN_PAR!$A$3:$AAA$413,MATCH($A34,IN_PAR!$A$3:$A$413,0),MATCH(G$3,IN_PAR!$A$3:$AAA$3,0))</f>
        <v>0</v>
      </c>
    </row>
    <row r="35" spans="1:7" outlineLevel="1" x14ac:dyDescent="0.2">
      <c r="A35" s="85" t="s">
        <v>1456</v>
      </c>
      <c r="B35" s="527" t="str">
        <f>"Kreg2026 Singolo Gestore "&amp;"Comune"</f>
        <v>Kreg2026 Singolo Gestore Comune</v>
      </c>
      <c r="E35" s="1042">
        <f>INDEX(IN_PAR!$A$3:$AAA$413,MATCH($A35,IN_PAR!$A$3:$A$413,0),MATCH(E$3,IN_PAR!$A$3:$AAA$3,0))</f>
        <v>0</v>
      </c>
      <c r="F35" s="1042">
        <f>INDEX(IN_PAR!$A$3:$AAA$413,MATCH($A35,IN_PAR!$A$3:$A$413,0),MATCH(F$3,IN_PAR!$A$3:$AAA$3,0))</f>
        <v>0</v>
      </c>
      <c r="G35" s="1042">
        <f>INDEX(IN_PAR!$A$3:$AAA$413,MATCH($A35,IN_PAR!$A$3:$A$413,0),MATCH(G$3,IN_PAR!$A$3:$AAA$3,0))</f>
        <v>0</v>
      </c>
    </row>
    <row r="36" spans="1:7" outlineLevel="1" x14ac:dyDescent="0.2">
      <c r="A36" s="85" t="s">
        <v>8681</v>
      </c>
      <c r="B36" s="67" t="str">
        <f>"K2026 Singolo Gestore " &amp;"Comune"</f>
        <v>K2026 Singolo Gestore Comune</v>
      </c>
      <c r="E36" s="1043">
        <f>E34+E35</f>
        <v>0</v>
      </c>
      <c r="F36" s="1043">
        <f>F34+F35</f>
        <v>0</v>
      </c>
      <c r="G36" s="1043">
        <f>G34+G35</f>
        <v>0</v>
      </c>
    </row>
    <row r="37" spans="1:7" outlineLevel="1" x14ac:dyDescent="0.2">
      <c r="A37" s="85" t="s">
        <v>1454</v>
      </c>
      <c r="B37" s="445" t="str">
        <f>"CRI2026 Singolo Gestore "&amp;"Comune"</f>
        <v>CRI2026 Singolo Gestore Comune</v>
      </c>
      <c r="E37" s="1040">
        <f>INDEX(IN_PAR!$A$3:$AAA$413,MATCH($A37,IN_PAR!$A$3:$A$413,0),MATCH(E$3,IN_PAR!$A$3:$AAA$3,0))</f>
        <v>0</v>
      </c>
      <c r="F37" s="1040">
        <f>INDEX(IN_PAR!$A$3:$AAA$413,MATCH($A37,IN_PAR!$A$3:$A$413,0),MATCH(F$3,IN_PAR!$A$3:$AAA$3,0))</f>
        <v>0</v>
      </c>
      <c r="G37" s="1040">
        <f>INDEX(IN_PAR!$A$3:$AAA$413,MATCH($A37,IN_PAR!$A$3:$A$413,0),MATCH(G$3,IN_PAR!$A$3:$AAA$3,0))</f>
        <v>0</v>
      </c>
    </row>
    <row r="38" spans="1:7" ht="11.4" outlineLevel="1" x14ac:dyDescent="0.2">
      <c r="A38" s="85" t="s">
        <v>8682</v>
      </c>
      <c r="B38" s="71" t="s">
        <v>8708</v>
      </c>
      <c r="C38" s="135"/>
      <c r="D38" s="135"/>
      <c r="E38" s="77">
        <f>E30-E33+E36+E37</f>
        <v>1.9E-2</v>
      </c>
      <c r="F38" s="77">
        <f>F30-F33+F36+F37</f>
        <v>1.9E-2</v>
      </c>
      <c r="G38" s="77">
        <f>G30-G33+G36+G37</f>
        <v>1.9E-2</v>
      </c>
    </row>
    <row r="39" spans="1:7" outlineLevel="1" x14ac:dyDescent="0.2"/>
    <row r="40" spans="1:7" ht="11.4" outlineLevel="1" x14ac:dyDescent="0.25">
      <c r="A40" s="85" t="s">
        <v>253</v>
      </c>
      <c r="B40" s="335" t="s">
        <v>1505</v>
      </c>
      <c r="E40" s="1044">
        <f>INDEX(IN_PAR!$A$3:$AAA$413,MATCH($A40,IN_PAR!$A$3:$A$413,0),MATCH(E$3,IN_PAR!$A$3:$AAA$3,0))</f>
        <v>-46833.73</v>
      </c>
      <c r="F40" s="1044">
        <f>INDEX(IN_PAR!$A$3:$AAA$413,MATCH($A40,IN_PAR!$A$3:$A$413,0),MATCH(F$3,IN_PAR!$A$3:$AAA$3,0))</f>
        <v>0</v>
      </c>
      <c r="G40" s="1044">
        <f>INDEX(IN_PAR!$A$3:$AAA$413,MATCH($A40,IN_PAR!$A$3:$A$413,0),MATCH(G$3,IN_PAR!$A$3:$AAA$3,0))</f>
        <v>0</v>
      </c>
    </row>
    <row r="41" spans="1:7" s="159" customFormat="1" ht="11.4" outlineLevel="1" x14ac:dyDescent="0.2">
      <c r="A41" s="85" t="s">
        <v>8683</v>
      </c>
      <c r="B41" s="150" t="s">
        <v>8709</v>
      </c>
      <c r="C41" s="74"/>
      <c r="D41" s="74"/>
      <c r="E41" s="133">
        <f>IFERROR(E13/E40,0)</f>
        <v>0</v>
      </c>
      <c r="F41" s="133">
        <f>IFERROR(F13/F40,0)</f>
        <v>0</v>
      </c>
      <c r="G41" s="133">
        <f>IFERROR(G13/G40,0)</f>
        <v>0</v>
      </c>
    </row>
    <row r="42" spans="1:7" s="159" customFormat="1" outlineLevel="1" x14ac:dyDescent="0.2">
      <c r="A42" s="85"/>
      <c r="B42" s="154" t="s">
        <v>8578</v>
      </c>
      <c r="C42" s="74"/>
      <c r="D42" s="74"/>
      <c r="E42" s="155" t="str">
        <f>IF(E41&lt;=(1+E38),"NO","SI")</f>
        <v>NO</v>
      </c>
      <c r="F42" s="155" t="str">
        <f>IF(F41&lt;=(1+F38),"NO","SI")</f>
        <v>NO</v>
      </c>
      <c r="G42" s="155" t="str">
        <f>IF(G41&lt;=(1+G38),"NO","SI")</f>
        <v>NO</v>
      </c>
    </row>
    <row r="43" spans="1:7" outlineLevel="1" x14ac:dyDescent="0.2"/>
    <row r="44" spans="1:7" s="159" customFormat="1" ht="11.4" outlineLevel="1" x14ac:dyDescent="0.2">
      <c r="A44" s="138"/>
      <c r="B44" s="1045" t="s">
        <v>8710</v>
      </c>
      <c r="C44" s="1046">
        <f t="shared" ref="C44:C47" si="1">SUM(E44:AAA44)</f>
        <v>101872.76583304728</v>
      </c>
      <c r="D44" s="151"/>
      <c r="E44" s="1047">
        <f>MAX(E13-E40*(1+E38),0)</f>
        <v>47723.570869999996</v>
      </c>
      <c r="F44" s="1047">
        <f>MAX(F13-F40*(1+F38),0)</f>
        <v>0</v>
      </c>
      <c r="G44" s="1047">
        <f>MAX(G13-G40*(1+G38),0)</f>
        <v>54149.194963047281</v>
      </c>
    </row>
    <row r="45" spans="1:7" outlineLevel="1" x14ac:dyDescent="0.2">
      <c r="A45" s="85" t="s">
        <v>8684</v>
      </c>
      <c r="B45" s="1048" t="s">
        <v>8711</v>
      </c>
      <c r="C45" s="87">
        <f t="shared" si="1"/>
        <v>0</v>
      </c>
      <c r="D45" s="1051"/>
      <c r="E45" s="1052">
        <v>0</v>
      </c>
      <c r="F45" s="1052">
        <v>0</v>
      </c>
      <c r="G45" s="1053">
        <v>0</v>
      </c>
    </row>
    <row r="46" spans="1:7" outlineLevel="1" x14ac:dyDescent="0.2">
      <c r="A46" s="85" t="s">
        <v>8685</v>
      </c>
      <c r="B46" s="1049" t="s">
        <v>8712</v>
      </c>
      <c r="C46" s="87">
        <f t="shared" si="1"/>
        <v>0</v>
      </c>
      <c r="D46" s="1051"/>
      <c r="E46" s="1054">
        <v>0</v>
      </c>
      <c r="F46" s="1054">
        <v>0</v>
      </c>
      <c r="G46" s="1055">
        <v>0</v>
      </c>
    </row>
    <row r="47" spans="1:7" outlineLevel="1" x14ac:dyDescent="0.2">
      <c r="A47" s="85" t="s">
        <v>8686</v>
      </c>
      <c r="B47" s="1050" t="s">
        <v>8713</v>
      </c>
      <c r="C47" s="87">
        <f t="shared" si="1"/>
        <v>0</v>
      </c>
      <c r="D47" s="1051"/>
      <c r="E47" s="1056">
        <v>0</v>
      </c>
      <c r="F47" s="1056">
        <v>0</v>
      </c>
      <c r="G47" s="1057">
        <v>0</v>
      </c>
    </row>
    <row r="48" spans="1:7" x14ac:dyDescent="0.2">
      <c r="B48" s="409"/>
      <c r="E48" s="1058">
        <f>E44-SUM(E45:E47)</f>
        <v>47723.570869999996</v>
      </c>
      <c r="F48" s="1058">
        <f>F44-SUM(F45:F47)</f>
        <v>0</v>
      </c>
      <c r="G48" s="1058">
        <f>G44-SUM(G45:G47)</f>
        <v>54149.194963047281</v>
      </c>
    </row>
    <row r="49" spans="1:7" x14ac:dyDescent="0.2">
      <c r="A49" s="350"/>
      <c r="B49" s="457">
        <v>2027</v>
      </c>
      <c r="C49" s="348"/>
      <c r="D49" s="348"/>
      <c r="E49" s="709"/>
      <c r="F49" s="709"/>
      <c r="G49" s="709"/>
    </row>
    <row r="50" spans="1:7" ht="11.4" outlineLevel="1" x14ac:dyDescent="0.2">
      <c r="A50" s="31" t="s">
        <v>5498</v>
      </c>
      <c r="B50" s="178" t="s">
        <v>8590</v>
      </c>
      <c r="C50" s="179">
        <f t="shared" ref="C50:C61" si="2">SUM(E50:AAA50)</f>
        <v>10588004.451898372</v>
      </c>
      <c r="D50" s="135"/>
      <c r="E50" s="182">
        <f>INDEX(PEF_GEST_27!$A$3:$AAA$102,MATCH($A50,PEF_GEST_27!$A$3:$A$102,0),MATCH(E$3,PEF_GEST_27!$A$3:$AAA$3,0))</f>
        <v>8746298.9873807728</v>
      </c>
      <c r="F50" s="182">
        <f>INDEX(PEF_GEST_27!$A$3:$AAA$102,MATCH($A50,PEF_GEST_27!$A$3:$A$102,0),MATCH(F$3,PEF_GEST_27!$A$3:$AAA$3,0))</f>
        <v>1121291.8505976</v>
      </c>
      <c r="G50" s="182">
        <f>INDEX(PEF_GEST_27!$A$3:$AAA$102,MATCH($A50,PEF_GEST_27!$A$3:$A$102,0),MATCH(G$3,PEF_GEST_27!$A$3:$AAA$3,0))</f>
        <v>720413.61392000003</v>
      </c>
    </row>
    <row r="51" spans="1:7" ht="11.4" outlineLevel="1" x14ac:dyDescent="0.2">
      <c r="A51" s="31" t="s">
        <v>5659</v>
      </c>
      <c r="B51" s="180" t="s">
        <v>8591</v>
      </c>
      <c r="C51" s="181">
        <f t="shared" si="2"/>
        <v>0</v>
      </c>
      <c r="D51" s="135"/>
      <c r="E51" s="183">
        <f>INDEX(PEF_COM_27!$A$3:$AAA$102,MATCH($A51,PEF_COM_27!$A$3:$A$102,0),MATCH(E$3,PEF_COM_27!$A$3:$AAA$3,0))</f>
        <v>0</v>
      </c>
      <c r="F51" s="183">
        <f>INDEX(PEF_COM_27!$A$3:$AAA$102,MATCH($A51,PEF_COM_27!$A$3:$A$102,0),MATCH(F$3,PEF_COM_27!$A$3:$AAA$3,0))</f>
        <v>0</v>
      </c>
      <c r="G51" s="183">
        <f>INDEX(PEF_COM_27!$A$3:$AAA$102,MATCH($A51,PEF_COM_27!$A$3:$A$102,0),MATCH(G$3,PEF_COM_27!$A$3:$AAA$3,0))</f>
        <v>0</v>
      </c>
    </row>
    <row r="52" spans="1:7" ht="11.4" outlineLevel="1" x14ac:dyDescent="0.2">
      <c r="A52" s="31" t="s">
        <v>8589</v>
      </c>
      <c r="B52" s="142" t="s">
        <v>8592</v>
      </c>
      <c r="C52" s="143">
        <f t="shared" si="2"/>
        <v>10588004.451898372</v>
      </c>
      <c r="D52" s="135"/>
      <c r="E52" s="144">
        <f>E50+E51</f>
        <v>8746298.9873807728</v>
      </c>
      <c r="F52" s="144">
        <f>F50+F51</f>
        <v>1121291.8505976</v>
      </c>
      <c r="G52" s="144">
        <f>G50+G51</f>
        <v>720413.61392000003</v>
      </c>
    </row>
    <row r="53" spans="1:7" ht="11.4" outlineLevel="1" x14ac:dyDescent="0.2">
      <c r="A53" s="31" t="s">
        <v>5500</v>
      </c>
      <c r="B53" s="178" t="s">
        <v>8593</v>
      </c>
      <c r="C53" s="179">
        <f t="shared" si="2"/>
        <v>7902432.5896523157</v>
      </c>
      <c r="D53" s="135"/>
      <c r="E53" s="182">
        <f>INDEX(PEF_GEST_27!$A$3:$AAA$102,MATCH($A53,PEF_GEST_27!$A$3:$A$102,0),MATCH(E$3,PEF_GEST_27!$A$3:$AAA$3,0))</f>
        <v>7652796.8636533553</v>
      </c>
      <c r="F53" s="182">
        <f>INDEX(PEF_GEST_27!$A$3:$AAA$102,MATCH($A53,PEF_GEST_27!$A$3:$A$102,0),MATCH(F$3,PEF_GEST_27!$A$3:$AAA$3,0))</f>
        <v>129706.70226632972</v>
      </c>
      <c r="G53" s="182">
        <f>INDEX(PEF_GEST_27!$A$3:$AAA$102,MATCH($A53,PEF_GEST_27!$A$3:$A$102,0),MATCH(G$3,PEF_GEST_27!$A$3:$AAA$3,0))</f>
        <v>119929.02373263093</v>
      </c>
    </row>
    <row r="54" spans="1:7" ht="11.4" outlineLevel="1" x14ac:dyDescent="0.2">
      <c r="A54" s="31" t="s">
        <v>5662</v>
      </c>
      <c r="B54" s="180" t="s">
        <v>8594</v>
      </c>
      <c r="C54" s="181">
        <f t="shared" si="2"/>
        <v>52902.058472230645</v>
      </c>
      <c r="D54" s="135"/>
      <c r="E54" s="183">
        <f>INDEX(PEF_COM_27!$A$3:$AAA$102,MATCH($A54,PEF_COM_27!$A$3:$A$102,0),MATCH(E$3,PEF_COM_27!$A$3:$AAA$3,0))</f>
        <v>0</v>
      </c>
      <c r="F54" s="183">
        <f>INDEX(PEF_COM_27!$A$3:$AAA$102,MATCH($A54,PEF_COM_27!$A$3:$A$102,0),MATCH(F$3,PEF_COM_27!$A$3:$AAA$3,0))</f>
        <v>0</v>
      </c>
      <c r="G54" s="183">
        <f>INDEX(PEF_COM_27!$A$3:$AAA$102,MATCH($A54,PEF_COM_27!$A$3:$A$102,0),MATCH(G$3,PEF_COM_27!$A$3:$AAA$3,0))</f>
        <v>52902.058472230645</v>
      </c>
    </row>
    <row r="55" spans="1:7" ht="11.4" outlineLevel="1" x14ac:dyDescent="0.2">
      <c r="A55" s="31" t="s">
        <v>8602</v>
      </c>
      <c r="B55" s="142" t="s">
        <v>8595</v>
      </c>
      <c r="C55" s="143">
        <f t="shared" si="2"/>
        <v>7955334.6481245467</v>
      </c>
      <c r="D55" s="135"/>
      <c r="E55" s="144">
        <f>E53+E54</f>
        <v>7652796.8636533553</v>
      </c>
      <c r="F55" s="144">
        <f>F53+F54</f>
        <v>129706.70226632972</v>
      </c>
      <c r="G55" s="144">
        <f>G53+G54</f>
        <v>172831.08220486157</v>
      </c>
    </row>
    <row r="56" spans="1:7" ht="11.4" outlineLevel="1" x14ac:dyDescent="0.2">
      <c r="A56" s="31" t="s">
        <v>5504</v>
      </c>
      <c r="B56" s="178" t="s">
        <v>8596</v>
      </c>
      <c r="C56" s="179">
        <f t="shared" si="2"/>
        <v>18490437.041550688</v>
      </c>
      <c r="D56" s="135"/>
      <c r="E56" s="182">
        <f>INDEX(PEF_GEST_27!$A$3:$AAA$102,MATCH($A56,PEF_GEST_27!$A$3:$A$102,0),MATCH(E$3,PEF_GEST_27!$A$3:$AAA$3,0))</f>
        <v>16399095.851034127</v>
      </c>
      <c r="F56" s="182">
        <f>INDEX(PEF_GEST_27!$A$3:$AAA$102,MATCH($A56,PEF_GEST_27!$A$3:$A$102,0),MATCH(F$3,PEF_GEST_27!$A$3:$AAA$3,0))</f>
        <v>1250998.5528639297</v>
      </c>
      <c r="G56" s="182">
        <f>INDEX(PEF_GEST_27!$A$3:$AAA$102,MATCH($A56,PEF_GEST_27!$A$3:$A$102,0),MATCH(G$3,PEF_GEST_27!$A$3:$AAA$3,0))</f>
        <v>840342.63765263092</v>
      </c>
    </row>
    <row r="57" spans="1:7" ht="11.4" outlineLevel="1" x14ac:dyDescent="0.2">
      <c r="A57" s="31" t="s">
        <v>5665</v>
      </c>
      <c r="B57" s="180" t="s">
        <v>8597</v>
      </c>
      <c r="C57" s="181">
        <f t="shared" si="2"/>
        <v>52902.058472230645</v>
      </c>
      <c r="D57" s="135"/>
      <c r="E57" s="183">
        <f>INDEX(PEF_COM_27!$A$3:$AAA$102,MATCH($A57,PEF_COM_27!$A$3:$A$102,0),MATCH(E$3,PEF_COM_27!$A$3:$AAA$3,0))</f>
        <v>0</v>
      </c>
      <c r="F57" s="183">
        <f>INDEX(PEF_COM_27!$A$3:$AAA$102,MATCH($A57,PEF_COM_27!$A$3:$A$102,0),MATCH(F$3,PEF_COM_27!$A$3:$AAA$3,0))</f>
        <v>0</v>
      </c>
      <c r="G57" s="183">
        <f>INDEX(PEF_COM_27!$A$3:$AAA$102,MATCH($A57,PEF_COM_27!$A$3:$A$102,0),MATCH(G$3,PEF_COM_27!$A$3:$AAA$3,0))</f>
        <v>52902.058472230645</v>
      </c>
    </row>
    <row r="58" spans="1:7" ht="11.4" outlineLevel="1" x14ac:dyDescent="0.2">
      <c r="A58" s="31" t="s">
        <v>8603</v>
      </c>
      <c r="B58" s="142" t="s">
        <v>8598</v>
      </c>
      <c r="C58" s="143">
        <f t="shared" si="2"/>
        <v>18543339.100022919</v>
      </c>
      <c r="D58" s="135"/>
      <c r="E58" s="144">
        <f>E56+E57</f>
        <v>16399095.851034127</v>
      </c>
      <c r="F58" s="144">
        <f>F56+F57</f>
        <v>1250998.5528639297</v>
      </c>
      <c r="G58" s="144">
        <f>G56+G57</f>
        <v>893244.6961248616</v>
      </c>
    </row>
    <row r="59" spans="1:7" ht="11.4" outlineLevel="1" x14ac:dyDescent="0.2">
      <c r="A59" s="85" t="s">
        <v>6557</v>
      </c>
      <c r="B59" s="173" t="s">
        <v>8599</v>
      </c>
      <c r="C59" s="184">
        <f t="shared" si="2"/>
        <v>9035624.7360059675</v>
      </c>
      <c r="D59" s="147"/>
      <c r="E59" s="186">
        <f>INDEX('Rett_Ta-1'!$A$3:$AAA$99,MATCH($A59,'Rett_Ta-1'!$A$3:$A$99,0),MATCH(E$3,'Rett_Ta-1'!$A$3:$AAA$3,0))</f>
        <v>7914332.885408367</v>
      </c>
      <c r="F59" s="186">
        <f>INDEX('Rett_Ta-1'!$A$3:$AAA$99,MATCH($A59,'Rett_Ta-1'!$A$3:$A$99,0),MATCH(F$3,'Rett_Ta-1'!$A$3:$AAA$3,0))</f>
        <v>1121291.8505976</v>
      </c>
      <c r="G59" s="186">
        <f>INDEX('Rett_Ta-1'!$A$3:$AAA$99,MATCH($A59,'Rett_Ta-1'!$A$3:$A$99,0),MATCH(G$3,'Rett_Ta-1'!$A$3:$AAA$3,0))</f>
        <v>0</v>
      </c>
    </row>
    <row r="60" spans="1:7" ht="11.4" outlineLevel="1" x14ac:dyDescent="0.2">
      <c r="A60" s="85" t="s">
        <v>6560</v>
      </c>
      <c r="B60" s="175" t="s">
        <v>8600</v>
      </c>
      <c r="C60" s="185">
        <f t="shared" si="2"/>
        <v>7720877.0682972828</v>
      </c>
      <c r="D60" s="147"/>
      <c r="E60" s="187">
        <f>INDEX('Rett_Ta-1'!$A$3:$AAA$99,MATCH($A60,'Rett_Ta-1'!$A$3:$A$99,0),MATCH(E$3,'Rett_Ta-1'!$A$3:$AAA$3,0))</f>
        <v>7531568.5899443226</v>
      </c>
      <c r="F60" s="187">
        <f>INDEX('Rett_Ta-1'!$A$3:$AAA$99,MATCH($A60,'Rett_Ta-1'!$A$3:$A$99,0),MATCH(F$3,'Rett_Ta-1'!$A$3:$AAA$3,0))</f>
        <v>135159.28338991333</v>
      </c>
      <c r="G60" s="187">
        <f>INDEX('Rett_Ta-1'!$A$3:$AAA$99,MATCH($A60,'Rett_Ta-1'!$A$3:$A$99,0),MATCH(G$3,'Rett_Ta-1'!$A$3:$AAA$3,0))</f>
        <v>54149.194963047281</v>
      </c>
    </row>
    <row r="61" spans="1:7" ht="11.4" outlineLevel="1" x14ac:dyDescent="0.2">
      <c r="A61" s="85" t="s">
        <v>6561</v>
      </c>
      <c r="B61" s="145" t="s">
        <v>8601</v>
      </c>
      <c r="C61" s="146">
        <f t="shared" si="2"/>
        <v>16756501.804303249</v>
      </c>
      <c r="D61" s="148"/>
      <c r="E61" s="149">
        <f>E59+E60</f>
        <v>15445901.47535269</v>
      </c>
      <c r="F61" s="149">
        <f>F59+F60</f>
        <v>1256451.1339875134</v>
      </c>
      <c r="G61" s="149">
        <f>G59+G60</f>
        <v>54149.194963047281</v>
      </c>
    </row>
    <row r="62" spans="1:7" outlineLevel="1" x14ac:dyDescent="0.2">
      <c r="A62" s="85"/>
      <c r="B62" s="74"/>
      <c r="C62" s="74"/>
      <c r="D62" s="74"/>
      <c r="E62" s="75"/>
      <c r="F62" s="75"/>
      <c r="G62" s="75"/>
    </row>
    <row r="63" spans="1:7" ht="11.4" outlineLevel="1" x14ac:dyDescent="0.2">
      <c r="A63" s="85"/>
      <c r="B63" s="71" t="s">
        <v>6063</v>
      </c>
      <c r="C63" s="135"/>
      <c r="D63" s="135"/>
      <c r="E63" s="77">
        <f>1+E64</f>
        <v>1.0189999999999999</v>
      </c>
      <c r="F63" s="77">
        <f>1+F64</f>
        <v>1.0189999999999999</v>
      </c>
      <c r="G63" s="77">
        <f>1+G64</f>
        <v>1.0189999999999999</v>
      </c>
    </row>
    <row r="64" spans="1:7" ht="11.4" outlineLevel="1" x14ac:dyDescent="0.2">
      <c r="A64" s="85" t="s">
        <v>1384</v>
      </c>
      <c r="B64" s="71" t="s">
        <v>6064</v>
      </c>
      <c r="C64" s="135"/>
      <c r="D64" s="135"/>
      <c r="E64" s="77">
        <f>E65-E66+E67+E68</f>
        <v>1.9E-2</v>
      </c>
      <c r="F64" s="77">
        <f>F65-F66+F67+F68</f>
        <v>1.9E-2</v>
      </c>
      <c r="G64" s="77">
        <f>G65-G66+G67+G68</f>
        <v>1.9E-2</v>
      </c>
    </row>
    <row r="65" spans="1:7" ht="11.4" outlineLevel="1" x14ac:dyDescent="0.2">
      <c r="A65" s="85" t="s">
        <v>1378</v>
      </c>
      <c r="B65" s="20" t="s">
        <v>122</v>
      </c>
      <c r="C65" s="78">
        <f>'Parametri MTR-3'!$J$4</f>
        <v>1.9E-2</v>
      </c>
      <c r="D65" s="136"/>
      <c r="E65" s="78">
        <f>$C$21</f>
        <v>1.9E-2</v>
      </c>
      <c r="F65" s="78">
        <f>$C$21</f>
        <v>1.9E-2</v>
      </c>
      <c r="G65" s="78">
        <f>$C$21</f>
        <v>1.9E-2</v>
      </c>
    </row>
    <row r="66" spans="1:7" ht="11.4" outlineLevel="1" x14ac:dyDescent="0.2">
      <c r="A66" s="85" t="s">
        <v>1003</v>
      </c>
      <c r="B66" s="173" t="s">
        <v>6065</v>
      </c>
      <c r="C66" s="136"/>
      <c r="D66" s="136"/>
      <c r="E66" s="176">
        <f>INDEX(IN_PAR!$A$3:$AAA$413,MATCH($A66,IN_PAR!$A$3:$A$413,0),MATCH(E$3,IN_PAR!$A$3:$AAA$3,0))</f>
        <v>0</v>
      </c>
      <c r="F66" s="176">
        <f>INDEX(IN_PAR!$A$3:$AAA$413,MATCH($A66,IN_PAR!$A$3:$A$413,0),MATCH(F$3,IN_PAR!$A$3:$AAA$3,0))</f>
        <v>0</v>
      </c>
      <c r="G66" s="176">
        <f>INDEX(IN_PAR!$A$3:$AAA$413,MATCH($A66,IN_PAR!$A$3:$A$413,0),MATCH(G$3,IN_PAR!$A$3:$AAA$3,0))</f>
        <v>0</v>
      </c>
    </row>
    <row r="67" spans="1:7" ht="11.4" outlineLevel="1" x14ac:dyDescent="0.2">
      <c r="A67" s="85" t="s">
        <v>1383</v>
      </c>
      <c r="B67" s="174" t="s">
        <v>6066</v>
      </c>
      <c r="C67" s="136"/>
      <c r="D67" s="136"/>
      <c r="E67" s="177">
        <f>INDEX(IN_PAR!$A$3:$AAA$413,MATCH($A67,IN_PAR!$A$3:$A$413,0),MATCH(E$3,IN_PAR!$A$3:$AAA$3,0))</f>
        <v>0</v>
      </c>
      <c r="F67" s="177">
        <f>INDEX(IN_PAR!$A$3:$AAA$413,MATCH($A67,IN_PAR!$A$3:$A$413,0),MATCH(F$3,IN_PAR!$A$3:$AAA$3,0))</f>
        <v>0</v>
      </c>
      <c r="G67" s="177">
        <f>INDEX(IN_PAR!$A$3:$AAA$413,MATCH($A67,IN_PAR!$A$3:$A$413,0),MATCH(G$3,IN_PAR!$A$3:$AAA$3,0))</f>
        <v>0</v>
      </c>
    </row>
    <row r="68" spans="1:7" ht="11.4" outlineLevel="1" x14ac:dyDescent="0.2">
      <c r="A68" s="85" t="s">
        <v>954</v>
      </c>
      <c r="B68" s="174" t="s">
        <v>6067</v>
      </c>
      <c r="C68" s="136"/>
      <c r="D68" s="136"/>
      <c r="E68" s="177">
        <f>INDEX(IN_PAR!$A$3:$AAA$413,MATCH($A68,IN_PAR!$A$3:$A$413,0),MATCH(E$3,IN_PAR!$A$3:$AAA$3,0))</f>
        <v>0</v>
      </c>
      <c r="F68" s="177">
        <f>INDEX(IN_PAR!$A$3:$AAA$413,MATCH($A68,IN_PAR!$A$3:$A$413,0),MATCH(F$3,IN_PAR!$A$3:$AAA$3,0))</f>
        <v>0</v>
      </c>
      <c r="G68" s="177">
        <f>INDEX(IN_PAR!$A$3:$AAA$413,MATCH($A68,IN_PAR!$A$3:$A$413,0),MATCH(G$3,IN_PAR!$A$3:$AAA$3,0))</f>
        <v>0</v>
      </c>
    </row>
    <row r="69" spans="1:7" outlineLevel="1" x14ac:dyDescent="0.2">
      <c r="A69" s="85"/>
      <c r="B69" s="65" t="s">
        <v>123</v>
      </c>
      <c r="C69" s="137"/>
      <c r="D69" s="137"/>
      <c r="E69" s="708" t="str">
        <f>IF(E64&gt;8.8%,"errore","ok")</f>
        <v>ok</v>
      </c>
      <c r="F69" s="708" t="str">
        <f>IF(F64&gt;8.8%,"errore","ok")</f>
        <v>ok</v>
      </c>
      <c r="G69" s="708" t="str">
        <f>IF(G64&gt;8.8%,"errore","ok")</f>
        <v>ok</v>
      </c>
    </row>
    <row r="70" spans="1:7" outlineLevel="1" x14ac:dyDescent="0.2"/>
    <row r="71" spans="1:7" s="159" customFormat="1" ht="11.4" outlineLevel="1" x14ac:dyDescent="0.2">
      <c r="A71" s="85" t="s">
        <v>6084</v>
      </c>
      <c r="B71" s="150" t="s">
        <v>6080</v>
      </c>
      <c r="C71" s="74"/>
      <c r="D71" s="74"/>
      <c r="E71" s="133">
        <f>IFERROR(E58/E61,0)</f>
        <v>1.0617117995477614</v>
      </c>
      <c r="F71" s="133">
        <f>IFERROR(F58/F61,0)</f>
        <v>0.99566033172632884</v>
      </c>
      <c r="G71" s="133">
        <f>IFERROR(G58/G61,0)</f>
        <v>16.495992170048574</v>
      </c>
    </row>
    <row r="72" spans="1:7" s="159" customFormat="1" outlineLevel="1" x14ac:dyDescent="0.2">
      <c r="A72" s="85"/>
      <c r="B72" s="154" t="s">
        <v>218</v>
      </c>
      <c r="C72" s="74"/>
      <c r="D72" s="74"/>
      <c r="E72" s="155" t="str">
        <f>IF(E71&lt;=(1+E64),"NO","SI")</f>
        <v>SI</v>
      </c>
      <c r="F72" s="155" t="str">
        <f>IF(F71&lt;=(1+F64),"NO","SI")</f>
        <v>NO</v>
      </c>
      <c r="G72" s="155" t="str">
        <f>IF(G71&lt;=(1+G64),"NO","SI")</f>
        <v>SI</v>
      </c>
    </row>
    <row r="73" spans="1:7" outlineLevel="1" x14ac:dyDescent="0.2"/>
    <row r="74" spans="1:7" ht="11.4" outlineLevel="1" x14ac:dyDescent="0.2">
      <c r="A74" s="85" t="s">
        <v>1378</v>
      </c>
      <c r="B74" s="20" t="s">
        <v>122</v>
      </c>
      <c r="C74" s="78">
        <f>'Parametri MTR-3'!$J$4</f>
        <v>1.9E-2</v>
      </c>
      <c r="D74" s="136"/>
      <c r="E74" s="78">
        <f>$C$30</f>
        <v>1.9E-2</v>
      </c>
      <c r="F74" s="78">
        <f>$C$30</f>
        <v>1.9E-2</v>
      </c>
      <c r="G74" s="78">
        <f>$C$30</f>
        <v>1.9E-2</v>
      </c>
    </row>
    <row r="75" spans="1:7" outlineLevel="1" x14ac:dyDescent="0.2">
      <c r="A75" s="85" t="s">
        <v>1464</v>
      </c>
      <c r="B75" s="209" t="str">
        <f>"Xreg2027 Singolo Gestore "&amp;"Comune"</f>
        <v>Xreg2027 Singolo Gestore Comune</v>
      </c>
      <c r="E75" s="1041">
        <f>INDEX(IN_PAR!$A$3:$AAA$413,MATCH($A75,IN_PAR!$A$3:$A$413,0),MATCH(E$3,IN_PAR!$A$3:$AAA$3,0))</f>
        <v>0</v>
      </c>
      <c r="F75" s="1041">
        <f>INDEX(IN_PAR!$A$3:$AAA$413,MATCH($A75,IN_PAR!$A$3:$A$413,0),MATCH(F$3,IN_PAR!$A$3:$AAA$3,0))</f>
        <v>0</v>
      </c>
      <c r="G75" s="1041">
        <f>INDEX(IN_PAR!$A$3:$AAA$413,MATCH($A75,IN_PAR!$A$3:$A$413,0),MATCH(G$3,IN_PAR!$A$3:$AAA$3,0))</f>
        <v>0</v>
      </c>
    </row>
    <row r="76" spans="1:7" outlineLevel="1" x14ac:dyDescent="0.2">
      <c r="A76" s="85" t="s">
        <v>1466</v>
      </c>
      <c r="B76" s="1039" t="str">
        <f>"Xcom2027 Singolo Gestore "&amp;"Comune"</f>
        <v>Xcom2027 Singolo Gestore Comune</v>
      </c>
      <c r="E76" s="1042">
        <f>INDEX(IN_PAR!$A$3:$AAA$413,MATCH($A76,IN_PAR!$A$3:$A$413,0),MATCH(E$3,IN_PAR!$A$3:$AAA$3,0))</f>
        <v>0</v>
      </c>
      <c r="F76" s="1042">
        <f>INDEX(IN_PAR!$A$3:$AAA$413,MATCH($A76,IN_PAR!$A$3:$A$413,0),MATCH(F$3,IN_PAR!$A$3:$AAA$3,0))</f>
        <v>0</v>
      </c>
      <c r="G76" s="1042">
        <f>INDEX(IN_PAR!$A$3:$AAA$413,MATCH($A76,IN_PAR!$A$3:$A$413,0),MATCH(G$3,IN_PAR!$A$3:$AAA$3,0))</f>
        <v>0</v>
      </c>
    </row>
    <row r="77" spans="1:7" outlineLevel="1" x14ac:dyDescent="0.2">
      <c r="A77" s="85" t="s">
        <v>8687</v>
      </c>
      <c r="B77" s="67" t="str">
        <f>"X2027 Singolo Gestore "&amp;"Comune"</f>
        <v>X2027 Singolo Gestore Comune</v>
      </c>
      <c r="E77" s="1043">
        <f>E75+E76</f>
        <v>0</v>
      </c>
      <c r="F77" s="1043">
        <f>F75+F76</f>
        <v>0</v>
      </c>
      <c r="G77" s="1043">
        <f>G75+G76</f>
        <v>0</v>
      </c>
    </row>
    <row r="78" spans="1:7" outlineLevel="1" x14ac:dyDescent="0.2">
      <c r="A78" s="85" t="s">
        <v>1468</v>
      </c>
      <c r="B78" s="707" t="str">
        <f>"Kcom2027 Singolo Gestore "&amp;"Comune"</f>
        <v>Kcom2027 Singolo Gestore Comune</v>
      </c>
      <c r="E78" s="1041">
        <f>INDEX(IN_PAR!$A$3:$AAA$413,MATCH($A78,IN_PAR!$A$3:$A$413,0),MATCH(E$3,IN_PAR!$A$3:$AAA$3,0))</f>
        <v>0</v>
      </c>
      <c r="F78" s="1041">
        <f>INDEX(IN_PAR!$A$3:$AAA$413,MATCH($A78,IN_PAR!$A$3:$A$413,0),MATCH(F$3,IN_PAR!$A$3:$AAA$3,0))</f>
        <v>0</v>
      </c>
      <c r="G78" s="1041">
        <f>INDEX(IN_PAR!$A$3:$AAA$413,MATCH($A78,IN_PAR!$A$3:$A$413,0),MATCH(G$3,IN_PAR!$A$3:$AAA$3,0))</f>
        <v>0</v>
      </c>
    </row>
    <row r="79" spans="1:7" outlineLevel="1" x14ac:dyDescent="0.2">
      <c r="A79" s="85" t="s">
        <v>1470</v>
      </c>
      <c r="B79" s="527" t="str">
        <f>"Kreg2027 Singolo Gestore "&amp;"Comune"</f>
        <v>Kreg2027 Singolo Gestore Comune</v>
      </c>
      <c r="E79" s="1042">
        <f>INDEX(IN_PAR!$A$3:$AAA$413,MATCH($A79,IN_PAR!$A$3:$A$413,0),MATCH(E$3,IN_PAR!$A$3:$AAA$3,0))</f>
        <v>0</v>
      </c>
      <c r="F79" s="1042">
        <f>INDEX(IN_PAR!$A$3:$AAA$413,MATCH($A79,IN_PAR!$A$3:$A$413,0),MATCH(F$3,IN_PAR!$A$3:$AAA$3,0))</f>
        <v>0</v>
      </c>
      <c r="G79" s="1042">
        <f>INDEX(IN_PAR!$A$3:$AAA$413,MATCH($A79,IN_PAR!$A$3:$A$413,0),MATCH(G$3,IN_PAR!$A$3:$AAA$3,0))</f>
        <v>0</v>
      </c>
    </row>
    <row r="80" spans="1:7" outlineLevel="1" x14ac:dyDescent="0.2">
      <c r="A80" s="85" t="s">
        <v>8688</v>
      </c>
      <c r="B80" s="67" t="str">
        <f>"K2027 Singolo Gestore "&amp;"Comune"</f>
        <v>K2027 Singolo Gestore Comune</v>
      </c>
      <c r="E80" s="1043">
        <f>E78+E79</f>
        <v>0</v>
      </c>
      <c r="F80" s="1043">
        <f>F78+F79</f>
        <v>0</v>
      </c>
      <c r="G80" s="1043">
        <f>G78+G79</f>
        <v>0</v>
      </c>
    </row>
    <row r="81" spans="1:7" outlineLevel="1" x14ac:dyDescent="0.2">
      <c r="A81" s="85" t="s">
        <v>1472</v>
      </c>
      <c r="B81" s="445" t="str">
        <f>"CRI2027 Singolo Gestore "&amp;"Comune"</f>
        <v>CRI2027 Singolo Gestore Comune</v>
      </c>
      <c r="E81" s="1040">
        <f>INDEX(IN_PAR!$A$3:$AAA$413,MATCH($A81,IN_PAR!$A$3:$A$413,0),MATCH(E$3,IN_PAR!$A$3:$AAA$3,0))</f>
        <v>0</v>
      </c>
      <c r="F81" s="1040">
        <f>INDEX(IN_PAR!$A$3:$AAA$413,MATCH($A81,IN_PAR!$A$3:$A$413,0),MATCH(F$3,IN_PAR!$A$3:$AAA$3,0))</f>
        <v>0</v>
      </c>
      <c r="G81" s="1040">
        <f>INDEX(IN_PAR!$A$3:$AAA$413,MATCH($A81,IN_PAR!$A$3:$A$413,0),MATCH(G$3,IN_PAR!$A$3:$AAA$3,0))</f>
        <v>0</v>
      </c>
    </row>
    <row r="82" spans="1:7" ht="11.4" outlineLevel="1" x14ac:dyDescent="0.2">
      <c r="A82" s="85" t="s">
        <v>8689</v>
      </c>
      <c r="B82" s="71" t="s">
        <v>8714</v>
      </c>
      <c r="C82" s="135"/>
      <c r="D82" s="135"/>
      <c r="E82" s="77">
        <f>E74-E77+E80+E81</f>
        <v>1.9E-2</v>
      </c>
      <c r="F82" s="77">
        <f>F74-F77+F80+F81</f>
        <v>1.9E-2</v>
      </c>
      <c r="G82" s="77">
        <f>G74-G77+G80+G81</f>
        <v>1.9E-2</v>
      </c>
    </row>
    <row r="83" spans="1:7" outlineLevel="1" x14ac:dyDescent="0.2"/>
    <row r="84" spans="1:7" ht="11.4" outlineLevel="1" x14ac:dyDescent="0.25">
      <c r="A84" s="85" t="s">
        <v>8616</v>
      </c>
      <c r="B84" s="335" t="s">
        <v>1519</v>
      </c>
      <c r="E84" s="1044">
        <f>INDEX('Rett_Ta-1'!$A$3:$AAA$99,MATCH($A84,'Rett_Ta-1'!$A$3:$A$99,0),MATCH(E$3,'Rett_Ta-1'!$A$3:$AAA$3,0))</f>
        <v>0</v>
      </c>
      <c r="F84" s="1044">
        <f>INDEX('Rett_Ta-1'!$A$3:$AAA$99,MATCH($A84,'Rett_Ta-1'!$A$3:$A$99,0),MATCH(F$3,'Rett_Ta-1'!$A$3:$AAA$3,0))</f>
        <v>0</v>
      </c>
      <c r="G84" s="1044">
        <f>INDEX('Rett_Ta-1'!$A$3:$AAA$99,MATCH($A84,'Rett_Ta-1'!$A$3:$A$99,0),MATCH(G$3,'Rett_Ta-1'!$A$3:$AAA$3,0))</f>
        <v>54149.194963047281</v>
      </c>
    </row>
    <row r="85" spans="1:7" s="159" customFormat="1" ht="11.4" outlineLevel="1" x14ac:dyDescent="0.2">
      <c r="A85" s="85" t="s">
        <v>8690</v>
      </c>
      <c r="B85" s="150" t="s">
        <v>8715</v>
      </c>
      <c r="C85" s="74"/>
      <c r="D85" s="74"/>
      <c r="E85" s="133">
        <f>IFERROR(E57/E84,0)</f>
        <v>0</v>
      </c>
      <c r="F85" s="133">
        <f>IFERROR(F57/F84,0)</f>
        <v>0</v>
      </c>
      <c r="G85" s="133">
        <f>IFERROR(G57/G84,0)</f>
        <v>0.97696851279750863</v>
      </c>
    </row>
    <row r="86" spans="1:7" s="159" customFormat="1" outlineLevel="1" x14ac:dyDescent="0.2">
      <c r="A86" s="85"/>
      <c r="B86" s="154" t="s">
        <v>8716</v>
      </c>
      <c r="C86" s="74"/>
      <c r="D86" s="74"/>
      <c r="E86" s="155" t="str">
        <f>IF(E85&lt;=(1+E82),"NO","SI")</f>
        <v>NO</v>
      </c>
      <c r="F86" s="155" t="str">
        <f>IF(F85&lt;=(1+F82),"NO","SI")</f>
        <v>NO</v>
      </c>
      <c r="G86" s="155" t="str">
        <f>IF(G85&lt;=(1+G82),"NO","SI")</f>
        <v>NO</v>
      </c>
    </row>
    <row r="87" spans="1:7" outlineLevel="1" x14ac:dyDescent="0.2"/>
    <row r="88" spans="1:7" s="159" customFormat="1" ht="11.4" outlineLevel="1" x14ac:dyDescent="0.2">
      <c r="A88" s="138"/>
      <c r="B88" s="1045" t="s">
        <v>8717</v>
      </c>
      <c r="C88" s="1046">
        <f t="shared" ref="C88:C91" si="3">SUM(E88:AAA88)</f>
        <v>0</v>
      </c>
      <c r="D88" s="151"/>
      <c r="E88" s="1047">
        <f>MAX(E57-E84*(1+E82),0)</f>
        <v>0</v>
      </c>
      <c r="F88" s="1047">
        <f>MAX(F57-F84*(1+F82),0)</f>
        <v>0</v>
      </c>
      <c r="G88" s="1047">
        <f>MAX(G57-G84*(1+G82),0)</f>
        <v>0</v>
      </c>
    </row>
    <row r="89" spans="1:7" outlineLevel="1" x14ac:dyDescent="0.2">
      <c r="A89" s="85" t="s">
        <v>8691</v>
      </c>
      <c r="B89" s="1048" t="s">
        <v>8711</v>
      </c>
      <c r="C89" s="87">
        <f t="shared" si="3"/>
        <v>0</v>
      </c>
      <c r="D89" s="1051"/>
      <c r="E89" s="1052">
        <v>0</v>
      </c>
      <c r="F89" s="1052">
        <v>0</v>
      </c>
      <c r="G89" s="1053">
        <v>0</v>
      </c>
    </row>
    <row r="90" spans="1:7" outlineLevel="1" x14ac:dyDescent="0.2">
      <c r="A90" s="85" t="s">
        <v>8692</v>
      </c>
      <c r="B90" s="1049" t="s">
        <v>8718</v>
      </c>
      <c r="C90" s="87">
        <f t="shared" si="3"/>
        <v>0</v>
      </c>
      <c r="D90" s="1051"/>
      <c r="E90" s="1054">
        <v>0</v>
      </c>
      <c r="F90" s="1054">
        <v>0</v>
      </c>
      <c r="G90" s="1055">
        <v>0</v>
      </c>
    </row>
    <row r="91" spans="1:7" outlineLevel="1" x14ac:dyDescent="0.2">
      <c r="A91" s="85" t="s">
        <v>8693</v>
      </c>
      <c r="B91" s="1050" t="s">
        <v>8713</v>
      </c>
      <c r="C91" s="87">
        <f t="shared" si="3"/>
        <v>0</v>
      </c>
      <c r="D91" s="1051"/>
      <c r="E91" s="1056">
        <v>0</v>
      </c>
      <c r="F91" s="1056">
        <v>0</v>
      </c>
      <c r="G91" s="1057">
        <v>0</v>
      </c>
    </row>
    <row r="92" spans="1:7" x14ac:dyDescent="0.2">
      <c r="E92" s="1058">
        <f>E88-SUM(E89:E91)</f>
        <v>0</v>
      </c>
      <c r="F92" s="1058">
        <f>F88-SUM(F89:F91)</f>
        <v>0</v>
      </c>
      <c r="G92" s="1058">
        <f>G88-SUM(G89:G91)</f>
        <v>0</v>
      </c>
    </row>
    <row r="93" spans="1:7" x14ac:dyDescent="0.2">
      <c r="A93" s="350"/>
      <c r="B93" s="457">
        <v>2028</v>
      </c>
      <c r="C93" s="348"/>
      <c r="D93" s="348"/>
      <c r="E93" s="709"/>
      <c r="F93" s="709"/>
      <c r="G93" s="709"/>
    </row>
    <row r="94" spans="1:7" ht="11.4" outlineLevel="1" x14ac:dyDescent="0.2">
      <c r="A94" s="31" t="s">
        <v>5527</v>
      </c>
      <c r="B94" s="178" t="s">
        <v>8630</v>
      </c>
      <c r="C94" s="179">
        <f t="shared" ref="C94:C105" si="4">SUM(E94:AAA94)</f>
        <v>10094338.994965419</v>
      </c>
      <c r="D94" s="135"/>
      <c r="E94" s="182">
        <f>INDEX(PEF_GEST_28!$A$3:$AAA$102,MATCH($A94,PEF_GEST_28!$A$3:$A$102,0),MATCH(E$3,PEF_GEST_28!$A$3:$AAA$3,0))</f>
        <v>8252633.5304478202</v>
      </c>
      <c r="F94" s="182">
        <f>INDEX(PEF_GEST_28!$A$3:$AAA$102,MATCH($A94,PEF_GEST_28!$A$3:$A$102,0),MATCH(F$3,PEF_GEST_28!$A$3:$AAA$3,0))</f>
        <v>1121291.8505976</v>
      </c>
      <c r="G94" s="182">
        <f>INDEX(PEF_GEST_28!$A$3:$AAA$102,MATCH($A94,PEF_GEST_28!$A$3:$A$102,0),MATCH(G$3,PEF_GEST_28!$A$3:$AAA$3,0))</f>
        <v>720413.61392000003</v>
      </c>
    </row>
    <row r="95" spans="1:7" ht="11.4" outlineLevel="1" x14ac:dyDescent="0.2">
      <c r="A95" s="31" t="s">
        <v>5633</v>
      </c>
      <c r="B95" s="180" t="s">
        <v>8631</v>
      </c>
      <c r="C95" s="181">
        <f t="shared" si="4"/>
        <v>0</v>
      </c>
      <c r="D95" s="135"/>
      <c r="E95" s="183">
        <f>INDEX(PEF_COM_28!$A$3:$AAA$102,MATCH($A95,PEF_COM_28!$A$3:$A$102,0),MATCH(E$3,PEF_COM_28!$A$3:$AAA$3,0))</f>
        <v>0</v>
      </c>
      <c r="F95" s="183">
        <f>INDEX(PEF_COM_28!$A$3:$AAA$102,MATCH($A95,PEF_COM_28!$A$3:$A$102,0),MATCH(F$3,PEF_COM_28!$A$3:$AAA$3,0))</f>
        <v>0</v>
      </c>
      <c r="G95" s="183">
        <f>INDEX(PEF_COM_28!$A$3:$AAA$102,MATCH($A95,PEF_COM_28!$A$3:$A$102,0),MATCH(G$3,PEF_COM_28!$A$3:$AAA$3,0))</f>
        <v>0</v>
      </c>
    </row>
    <row r="96" spans="1:7" ht="11.4" outlineLevel="1" x14ac:dyDescent="0.2">
      <c r="A96" s="31" t="s">
        <v>8627</v>
      </c>
      <c r="B96" s="142" t="s">
        <v>8632</v>
      </c>
      <c r="C96" s="143">
        <f t="shared" si="4"/>
        <v>10094338.994965419</v>
      </c>
      <c r="D96" s="135"/>
      <c r="E96" s="144">
        <f>E94+E95</f>
        <v>8252633.5304478202</v>
      </c>
      <c r="F96" s="144">
        <f>F94+F95</f>
        <v>1121291.8505976</v>
      </c>
      <c r="G96" s="144">
        <f>G94+G95</f>
        <v>720413.61392000003</v>
      </c>
    </row>
    <row r="97" spans="1:7" ht="11.4" outlineLevel="1" x14ac:dyDescent="0.2">
      <c r="A97" s="31" t="s">
        <v>5531</v>
      </c>
      <c r="B97" s="178" t="s">
        <v>8633</v>
      </c>
      <c r="C97" s="179">
        <f t="shared" si="4"/>
        <v>7207729.0492472257</v>
      </c>
      <c r="D97" s="135"/>
      <c r="E97" s="182">
        <f>INDEX(PEF_GEST_28!$A$3:$AAA$102,MATCH($A97,PEF_GEST_28!$A$3:$A$102,0),MATCH(E$3,PEF_GEST_28!$A$3:$AAA$3,0))</f>
        <v>6964646.892502577</v>
      </c>
      <c r="F97" s="182">
        <f>INDEX(PEF_GEST_28!$A$3:$AAA$102,MATCH($A97,PEF_GEST_28!$A$3:$A$102,0),MATCH(F$3,PEF_GEST_28!$A$3:$AAA$3,0))</f>
        <v>123153.1330120179</v>
      </c>
      <c r="G97" s="182">
        <f>INDEX(PEF_GEST_28!$A$3:$AAA$102,MATCH($A97,PEF_GEST_28!$A$3:$A$102,0),MATCH(G$3,PEF_GEST_28!$A$3:$AAA$3,0))</f>
        <v>119929.02373263093</v>
      </c>
    </row>
    <row r="98" spans="1:7" ht="11.4" outlineLevel="1" x14ac:dyDescent="0.2">
      <c r="A98" s="31" t="s">
        <v>5636</v>
      </c>
      <c r="B98" s="180" t="s">
        <v>8634</v>
      </c>
      <c r="C98" s="181">
        <f t="shared" si="4"/>
        <v>48623.568806579729</v>
      </c>
      <c r="D98" s="135"/>
      <c r="E98" s="183">
        <f>INDEX(PEF_COM_28!$A$3:$AAA$102,MATCH($A98,PEF_COM_28!$A$3:$A$102,0),MATCH(E$3,PEF_COM_28!$A$3:$AAA$3,0))</f>
        <v>0</v>
      </c>
      <c r="F98" s="183">
        <f>INDEX(PEF_COM_28!$A$3:$AAA$102,MATCH($A98,PEF_COM_28!$A$3:$A$102,0),MATCH(F$3,PEF_COM_28!$A$3:$AAA$3,0))</f>
        <v>0</v>
      </c>
      <c r="G98" s="183">
        <f>INDEX(PEF_COM_28!$A$3:$AAA$102,MATCH($A98,PEF_COM_28!$A$3:$A$102,0),MATCH(G$3,PEF_COM_28!$A$3:$AAA$3,0))</f>
        <v>48623.568806579729</v>
      </c>
    </row>
    <row r="99" spans="1:7" ht="11.4" outlineLevel="1" x14ac:dyDescent="0.2">
      <c r="A99" s="31" t="s">
        <v>8628</v>
      </c>
      <c r="B99" s="142" t="s">
        <v>8635</v>
      </c>
      <c r="C99" s="143">
        <f t="shared" si="4"/>
        <v>7256352.618053806</v>
      </c>
      <c r="D99" s="135"/>
      <c r="E99" s="144">
        <f>E97+E98</f>
        <v>6964646.892502577</v>
      </c>
      <c r="F99" s="144">
        <f>F97+F98</f>
        <v>123153.1330120179</v>
      </c>
      <c r="G99" s="144">
        <f>G97+G98</f>
        <v>168552.59253921066</v>
      </c>
    </row>
    <row r="100" spans="1:7" ht="11.4" outlineLevel="1" x14ac:dyDescent="0.2">
      <c r="A100" s="31" t="s">
        <v>5535</v>
      </c>
      <c r="B100" s="178" t="s">
        <v>8636</v>
      </c>
      <c r="C100" s="179">
        <f t="shared" si="4"/>
        <v>17302068.044212647</v>
      </c>
      <c r="D100" s="135"/>
      <c r="E100" s="182">
        <f>INDEX(PEF_GEST_28!$A$3:$AAA$102,MATCH($A100,PEF_GEST_28!$A$3:$A$102,0),MATCH(E$3,PEF_GEST_28!$A$3:$AAA$3,0))</f>
        <v>15217280.422950398</v>
      </c>
      <c r="F100" s="182">
        <f>INDEX(PEF_GEST_28!$A$3:$AAA$102,MATCH($A100,PEF_GEST_28!$A$3:$A$102,0),MATCH(F$3,PEF_GEST_28!$A$3:$AAA$3,0))</f>
        <v>1244444.9836096179</v>
      </c>
      <c r="G100" s="182">
        <f>INDEX(PEF_GEST_28!$A$3:$AAA$102,MATCH($A100,PEF_GEST_28!$A$3:$A$102,0),MATCH(G$3,PEF_GEST_28!$A$3:$AAA$3,0))</f>
        <v>840342.63765263092</v>
      </c>
    </row>
    <row r="101" spans="1:7" ht="11.4" outlineLevel="1" x14ac:dyDescent="0.2">
      <c r="A101" s="31" t="s">
        <v>5639</v>
      </c>
      <c r="B101" s="180" t="s">
        <v>8637</v>
      </c>
      <c r="C101" s="181">
        <f t="shared" si="4"/>
        <v>48623.568806579729</v>
      </c>
      <c r="D101" s="135"/>
      <c r="E101" s="183">
        <f>INDEX(PEF_COM_28!$A$3:$AAA$102,MATCH($A101,PEF_COM_28!$A$3:$A$102,0),MATCH(E$3,PEF_COM_28!$A$3:$AAA$3,0))</f>
        <v>0</v>
      </c>
      <c r="F101" s="183">
        <f>INDEX(PEF_COM_28!$A$3:$AAA$102,MATCH($A101,PEF_COM_28!$A$3:$A$102,0),MATCH(F$3,PEF_COM_28!$A$3:$AAA$3,0))</f>
        <v>0</v>
      </c>
      <c r="G101" s="183">
        <f>INDEX(PEF_COM_28!$A$3:$AAA$102,MATCH($A101,PEF_COM_28!$A$3:$A$102,0),MATCH(G$3,PEF_COM_28!$A$3:$AAA$3,0))</f>
        <v>48623.568806579729</v>
      </c>
    </row>
    <row r="102" spans="1:7" ht="11.4" outlineLevel="1" x14ac:dyDescent="0.2">
      <c r="A102" s="31" t="s">
        <v>8629</v>
      </c>
      <c r="B102" s="142" t="s">
        <v>8638</v>
      </c>
      <c r="C102" s="143">
        <f t="shared" si="4"/>
        <v>17350691.613019228</v>
      </c>
      <c r="D102" s="135"/>
      <c r="E102" s="144">
        <f>E100+E101</f>
        <v>15217280.422950398</v>
      </c>
      <c r="F102" s="144">
        <f>F100+F101</f>
        <v>1244444.9836096179</v>
      </c>
      <c r="G102" s="144">
        <f>G100+G101</f>
        <v>888966.2064592106</v>
      </c>
    </row>
    <row r="103" spans="1:7" ht="11.4" outlineLevel="1" x14ac:dyDescent="0.2">
      <c r="A103" s="85" t="s">
        <v>6585</v>
      </c>
      <c r="B103" s="173" t="s">
        <v>8639</v>
      </c>
      <c r="C103" s="184">
        <f t="shared" si="4"/>
        <v>10249969.052142553</v>
      </c>
      <c r="D103" s="147"/>
      <c r="E103" s="186">
        <f>INDEX('Rett_Ta-1'!$A$3:$AAA$99,MATCH($A103,'Rett_Ta-1'!$A$3:$A$99,0),MATCH(E$3,'Rett_Ta-1'!$A$3:$AAA$3,0))</f>
        <v>8408263.5876249541</v>
      </c>
      <c r="F103" s="186">
        <f>INDEX('Rett_Ta-1'!$A$3:$AAA$99,MATCH($A103,'Rett_Ta-1'!$A$3:$A$99,0),MATCH(F$3,'Rett_Ta-1'!$A$3:$AAA$3,0))</f>
        <v>1121291.8505976</v>
      </c>
      <c r="G103" s="186">
        <f>INDEX('Rett_Ta-1'!$A$3:$AAA$99,MATCH($A103,'Rett_Ta-1'!$A$3:$A$99,0),MATCH(G$3,'Rett_Ta-1'!$A$3:$AAA$3,0))</f>
        <v>720413.61392000003</v>
      </c>
    </row>
    <row r="104" spans="1:7" ht="11.4" outlineLevel="1" x14ac:dyDescent="0.2">
      <c r="A104" s="85" t="s">
        <v>6588</v>
      </c>
      <c r="B104" s="175" t="s">
        <v>8640</v>
      </c>
      <c r="C104" s="185">
        <f t="shared" si="4"/>
        <v>7633647.8002306279</v>
      </c>
      <c r="D104" s="147"/>
      <c r="E104" s="187">
        <f>INDEX('Rett_Ta-1'!$A$3:$AAA$99,MATCH($A104,'Rett_Ta-1'!$A$3:$A$99,0),MATCH(E$3,'Rett_Ta-1'!$A$3:$AAA$3,0))</f>
        <v>7331110.0157594364</v>
      </c>
      <c r="F104" s="187">
        <f>INDEX('Rett_Ta-1'!$A$3:$AAA$99,MATCH($A104,'Rett_Ta-1'!$A$3:$A$99,0),MATCH(F$3,'Rett_Ta-1'!$A$3:$AAA$3,0))</f>
        <v>129706.70226632972</v>
      </c>
      <c r="G104" s="187">
        <f>INDEX('Rett_Ta-1'!$A$3:$AAA$99,MATCH($A104,'Rett_Ta-1'!$A$3:$A$99,0),MATCH(G$3,'Rett_Ta-1'!$A$3:$AAA$3,0))</f>
        <v>172831.08220486157</v>
      </c>
    </row>
    <row r="105" spans="1:7" ht="11.4" outlineLevel="1" x14ac:dyDescent="0.2">
      <c r="A105" s="85" t="s">
        <v>6589</v>
      </c>
      <c r="B105" s="145" t="s">
        <v>8641</v>
      </c>
      <c r="C105" s="146">
        <f t="shared" si="4"/>
        <v>17883616.852373183</v>
      </c>
      <c r="D105" s="148"/>
      <c r="E105" s="149">
        <f>E103+E104</f>
        <v>15739373.60338439</v>
      </c>
      <c r="F105" s="149">
        <f>F103+F104</f>
        <v>1250998.5528639297</v>
      </c>
      <c r="G105" s="149">
        <f>G103+G104</f>
        <v>893244.6961248616</v>
      </c>
    </row>
    <row r="106" spans="1:7" outlineLevel="1" x14ac:dyDescent="0.2">
      <c r="A106" s="85"/>
      <c r="B106" s="74"/>
      <c r="C106" s="74"/>
      <c r="D106" s="74"/>
      <c r="E106" s="75"/>
      <c r="F106" s="75"/>
      <c r="G106" s="75"/>
    </row>
    <row r="107" spans="1:7" ht="11.4" outlineLevel="1" x14ac:dyDescent="0.2">
      <c r="A107" s="85"/>
      <c r="B107" s="71" t="s">
        <v>6166</v>
      </c>
      <c r="C107" s="135"/>
      <c r="D107" s="135"/>
      <c r="E107" s="77">
        <f>1+E108</f>
        <v>1.0189999999999999</v>
      </c>
      <c r="F107" s="77">
        <f>1+F108</f>
        <v>1.0189999999999999</v>
      </c>
      <c r="G107" s="77">
        <f>1+G108</f>
        <v>1.0189999999999999</v>
      </c>
    </row>
    <row r="108" spans="1:7" ht="11.4" outlineLevel="1" x14ac:dyDescent="0.2">
      <c r="A108" s="85" t="s">
        <v>1406</v>
      </c>
      <c r="B108" s="71" t="s">
        <v>6167</v>
      </c>
      <c r="C108" s="135"/>
      <c r="D108" s="135"/>
      <c r="E108" s="77">
        <f>E109-E110+E111+E112</f>
        <v>1.9E-2</v>
      </c>
      <c r="F108" s="77">
        <f>F109-F110+F111+F112</f>
        <v>1.9E-2</v>
      </c>
      <c r="G108" s="77">
        <f>G109-G110+G111+G112</f>
        <v>1.9E-2</v>
      </c>
    </row>
    <row r="109" spans="1:7" ht="11.4" outlineLevel="1" x14ac:dyDescent="0.2">
      <c r="A109" s="85" t="s">
        <v>1398</v>
      </c>
      <c r="B109" s="20" t="s">
        <v>122</v>
      </c>
      <c r="C109" s="78">
        <f>'Parametri MTR-3'!$J$4</f>
        <v>1.9E-2</v>
      </c>
      <c r="D109" s="136"/>
      <c r="E109" s="78">
        <f>$C$21</f>
        <v>1.9E-2</v>
      </c>
      <c r="F109" s="78">
        <f>$C$21</f>
        <v>1.9E-2</v>
      </c>
      <c r="G109" s="78">
        <f>$C$21</f>
        <v>1.9E-2</v>
      </c>
    </row>
    <row r="110" spans="1:7" ht="11.4" outlineLevel="1" x14ac:dyDescent="0.2">
      <c r="A110" s="85" t="s">
        <v>1401</v>
      </c>
      <c r="B110" s="173" t="s">
        <v>6168</v>
      </c>
      <c r="C110" s="136"/>
      <c r="D110" s="136"/>
      <c r="E110" s="176">
        <f>INDEX(IN_PAR!$A$3:$AAA$413,MATCH($A110,IN_PAR!$A$3:$A$413,0),MATCH(E$3,IN_PAR!$A$3:$AAA$3,0))</f>
        <v>0</v>
      </c>
      <c r="F110" s="176">
        <f>INDEX(IN_PAR!$A$3:$AAA$413,MATCH($A110,IN_PAR!$A$3:$A$413,0),MATCH(F$3,IN_PAR!$A$3:$AAA$3,0))</f>
        <v>0</v>
      </c>
      <c r="G110" s="176">
        <f>INDEX(IN_PAR!$A$3:$AAA$413,MATCH($A110,IN_PAR!$A$3:$A$413,0),MATCH(G$3,IN_PAR!$A$3:$AAA$3,0))</f>
        <v>0</v>
      </c>
    </row>
    <row r="111" spans="1:7" ht="11.4" outlineLevel="1" x14ac:dyDescent="0.2">
      <c r="A111" s="85" t="s">
        <v>1404</v>
      </c>
      <c r="B111" s="174" t="s">
        <v>6169</v>
      </c>
      <c r="C111" s="136"/>
      <c r="D111" s="136"/>
      <c r="E111" s="177">
        <f>INDEX(IN_PAR!$A$3:$AAA$413,MATCH($A111,IN_PAR!$A$3:$A$413,0),MATCH(E$3,IN_PAR!$A$3:$AAA$3,0))</f>
        <v>0</v>
      </c>
      <c r="F111" s="177">
        <f>INDEX(IN_PAR!$A$3:$AAA$413,MATCH($A111,IN_PAR!$A$3:$A$413,0),MATCH(F$3,IN_PAR!$A$3:$AAA$3,0))</f>
        <v>0</v>
      </c>
      <c r="G111" s="177">
        <f>INDEX(IN_PAR!$A$3:$AAA$413,MATCH($A111,IN_PAR!$A$3:$A$413,0),MATCH(G$3,IN_PAR!$A$3:$AAA$3,0))</f>
        <v>0</v>
      </c>
    </row>
    <row r="112" spans="1:7" ht="11.4" outlineLevel="1" x14ac:dyDescent="0.2">
      <c r="A112" s="85" t="s">
        <v>1405</v>
      </c>
      <c r="B112" s="174" t="s">
        <v>6170</v>
      </c>
      <c r="C112" s="136"/>
      <c r="D112" s="136"/>
      <c r="E112" s="177">
        <f>INDEX(IN_PAR!$A$3:$AAA$413,MATCH($A112,IN_PAR!$A$3:$A$413,0),MATCH(E$3,IN_PAR!$A$3:$AAA$3,0))</f>
        <v>0</v>
      </c>
      <c r="F112" s="177">
        <f>INDEX(IN_PAR!$A$3:$AAA$413,MATCH($A112,IN_PAR!$A$3:$A$413,0),MATCH(F$3,IN_PAR!$A$3:$AAA$3,0))</f>
        <v>0</v>
      </c>
      <c r="G112" s="177">
        <f>INDEX(IN_PAR!$A$3:$AAA$413,MATCH($A112,IN_PAR!$A$3:$A$413,0),MATCH(G$3,IN_PAR!$A$3:$AAA$3,0))</f>
        <v>0</v>
      </c>
    </row>
    <row r="113" spans="1:7" outlineLevel="1" x14ac:dyDescent="0.2">
      <c r="A113" s="85"/>
      <c r="B113" s="65" t="s">
        <v>123</v>
      </c>
      <c r="C113" s="137"/>
      <c r="D113" s="137"/>
      <c r="E113" s="708" t="str">
        <f>IF(E108&gt;8.8%,"errore","ok")</f>
        <v>ok</v>
      </c>
      <c r="F113" s="708" t="str">
        <f>IF(F108&gt;8.8%,"errore","ok")</f>
        <v>ok</v>
      </c>
      <c r="G113" s="708" t="str">
        <f>IF(G108&gt;8.8%,"errore","ok")</f>
        <v>ok</v>
      </c>
    </row>
    <row r="114" spans="1:7" outlineLevel="1" x14ac:dyDescent="0.2"/>
    <row r="115" spans="1:7" s="159" customFormat="1" ht="11.4" outlineLevel="1" x14ac:dyDescent="0.2">
      <c r="A115" s="85" t="s">
        <v>6143</v>
      </c>
      <c r="B115" s="150" t="s">
        <v>6207</v>
      </c>
      <c r="C115" s="74"/>
      <c r="D115" s="74"/>
      <c r="E115" s="133">
        <f>IFERROR(E102/E105,0)</f>
        <v>0.96682884633212285</v>
      </c>
      <c r="F115" s="133">
        <f>IFERROR(F102/F105,0)</f>
        <v>0.99476132946812079</v>
      </c>
      <c r="G115" s="133">
        <f>IFERROR(G102/G105,0)</f>
        <v>0.9952101706461709</v>
      </c>
    </row>
    <row r="116" spans="1:7" s="159" customFormat="1" outlineLevel="1" x14ac:dyDescent="0.2">
      <c r="A116" s="85"/>
      <c r="B116" s="154" t="s">
        <v>218</v>
      </c>
      <c r="C116" s="74"/>
      <c r="D116" s="74"/>
      <c r="E116" s="155" t="str">
        <f>IF(E115&lt;=(1+E108),"NO","SI")</f>
        <v>NO</v>
      </c>
      <c r="F116" s="155" t="str">
        <f>IF(F115&lt;=(1+F108),"NO","SI")</f>
        <v>NO</v>
      </c>
      <c r="G116" s="155" t="str">
        <f>IF(G115&lt;=(1+G108),"NO","SI")</f>
        <v>NO</v>
      </c>
    </row>
    <row r="117" spans="1:7" outlineLevel="1" x14ac:dyDescent="0.2"/>
    <row r="118" spans="1:7" ht="11.4" outlineLevel="1" x14ac:dyDescent="0.2">
      <c r="A118" s="85" t="s">
        <v>1398</v>
      </c>
      <c r="B118" s="20" t="s">
        <v>122</v>
      </c>
      <c r="C118" s="78">
        <f>'Parametri MTR-3'!$J$4</f>
        <v>1.9E-2</v>
      </c>
      <c r="D118" s="136"/>
      <c r="E118" s="78">
        <f>$C$30</f>
        <v>1.9E-2</v>
      </c>
      <c r="F118" s="78">
        <f>$C$30</f>
        <v>1.9E-2</v>
      </c>
      <c r="G118" s="78">
        <f>$C$30</f>
        <v>1.9E-2</v>
      </c>
    </row>
    <row r="119" spans="1:7" outlineLevel="1" x14ac:dyDescent="0.2">
      <c r="A119" s="85" t="s">
        <v>1479</v>
      </c>
      <c r="B119" s="209" t="str">
        <f>"Xreg2028 Singolo Gestore "&amp;"Comune"</f>
        <v>Xreg2028 Singolo Gestore Comune</v>
      </c>
      <c r="E119" s="1041">
        <f>INDEX(IN_PAR!$A$3:$AAA$413,MATCH($A119,IN_PAR!$A$3:$A$413,0),MATCH(E$3,IN_PAR!$A$3:$AAA$3,0))</f>
        <v>0</v>
      </c>
      <c r="F119" s="1041">
        <f>INDEX(IN_PAR!$A$3:$AAA$413,MATCH($A119,IN_PAR!$A$3:$A$413,0),MATCH(F$3,IN_PAR!$A$3:$AAA$3,0))</f>
        <v>0</v>
      </c>
      <c r="G119" s="1041">
        <f>INDEX(IN_PAR!$A$3:$AAA$413,MATCH($A119,IN_PAR!$A$3:$A$413,0),MATCH(G$3,IN_PAR!$A$3:$AAA$3,0))</f>
        <v>0</v>
      </c>
    </row>
    <row r="120" spans="1:7" outlineLevel="1" x14ac:dyDescent="0.2">
      <c r="A120" s="85" t="s">
        <v>1481</v>
      </c>
      <c r="B120" s="1039" t="str">
        <f>"Xcom2028 Singolo Gestore "&amp;"Comune"</f>
        <v>Xcom2028 Singolo Gestore Comune</v>
      </c>
      <c r="E120" s="1042">
        <f>INDEX(IN_PAR!$A$3:$AAA$413,MATCH($A120,IN_PAR!$A$3:$A$413,0),MATCH(E$3,IN_PAR!$A$3:$AAA$3,0))</f>
        <v>0</v>
      </c>
      <c r="F120" s="1042">
        <f>INDEX(IN_PAR!$A$3:$AAA$413,MATCH($A120,IN_PAR!$A$3:$A$413,0),MATCH(F$3,IN_PAR!$A$3:$AAA$3,0))</f>
        <v>0</v>
      </c>
      <c r="G120" s="1042">
        <f>INDEX(IN_PAR!$A$3:$AAA$413,MATCH($A120,IN_PAR!$A$3:$A$413,0),MATCH(G$3,IN_PAR!$A$3:$AAA$3,0))</f>
        <v>0</v>
      </c>
    </row>
    <row r="121" spans="1:7" outlineLevel="1" x14ac:dyDescent="0.2">
      <c r="A121" s="85" t="s">
        <v>8694</v>
      </c>
      <c r="B121" s="67" t="str">
        <f>"X2028 Singolo Gestore "&amp;"Comune"</f>
        <v>X2028 Singolo Gestore Comune</v>
      </c>
      <c r="E121" s="1043">
        <f>E119+E120</f>
        <v>0</v>
      </c>
      <c r="F121" s="1043">
        <f>F119+F120</f>
        <v>0</v>
      </c>
      <c r="G121" s="1043">
        <f>G119+G120</f>
        <v>0</v>
      </c>
    </row>
    <row r="122" spans="1:7" outlineLevel="1" x14ac:dyDescent="0.2">
      <c r="A122" s="85" t="s">
        <v>1483</v>
      </c>
      <c r="B122" s="707" t="str">
        <f>"Kcom2028 Singolo Gestore "&amp;"Comune"</f>
        <v>Kcom2028 Singolo Gestore Comune</v>
      </c>
      <c r="E122" s="1041">
        <f>INDEX(IN_PAR!$A$3:$AAA$413,MATCH($A122,IN_PAR!$A$3:$A$413,0),MATCH(E$3,IN_PAR!$A$3:$AAA$3,0))</f>
        <v>0</v>
      </c>
      <c r="F122" s="1041">
        <f>INDEX(IN_PAR!$A$3:$AAA$413,MATCH($A122,IN_PAR!$A$3:$A$413,0),MATCH(F$3,IN_PAR!$A$3:$AAA$3,0))</f>
        <v>0</v>
      </c>
      <c r="G122" s="1041">
        <f>INDEX(IN_PAR!$A$3:$AAA$413,MATCH($A122,IN_PAR!$A$3:$A$413,0),MATCH(G$3,IN_PAR!$A$3:$AAA$3,0))</f>
        <v>0</v>
      </c>
    </row>
    <row r="123" spans="1:7" outlineLevel="1" x14ac:dyDescent="0.2">
      <c r="A123" s="85" t="s">
        <v>1485</v>
      </c>
      <c r="B123" s="527" t="str">
        <f>"Kreg2028 Singolo Gestore "&amp;"Comune"</f>
        <v>Kreg2028 Singolo Gestore Comune</v>
      </c>
      <c r="E123" s="1042">
        <f>INDEX(IN_PAR!$A$3:$AAA$413,MATCH($A123,IN_PAR!$A$3:$A$413,0),MATCH(E$3,IN_PAR!$A$3:$AAA$3,0))</f>
        <v>0</v>
      </c>
      <c r="F123" s="1042">
        <f>INDEX(IN_PAR!$A$3:$AAA$413,MATCH($A123,IN_PAR!$A$3:$A$413,0),MATCH(F$3,IN_PAR!$A$3:$AAA$3,0))</f>
        <v>0</v>
      </c>
      <c r="G123" s="1042">
        <f>INDEX(IN_PAR!$A$3:$AAA$413,MATCH($A123,IN_PAR!$A$3:$A$413,0),MATCH(G$3,IN_PAR!$A$3:$AAA$3,0))</f>
        <v>0</v>
      </c>
    </row>
    <row r="124" spans="1:7" outlineLevel="1" x14ac:dyDescent="0.2">
      <c r="A124" s="85" t="s">
        <v>8695</v>
      </c>
      <c r="B124" s="67" t="str">
        <f>"K2028 Singolo Gestore "&amp;"Comune"</f>
        <v>K2028 Singolo Gestore Comune</v>
      </c>
      <c r="E124" s="1043">
        <f>E122+E123</f>
        <v>0</v>
      </c>
      <c r="F124" s="1043">
        <f>F122+F123</f>
        <v>0</v>
      </c>
      <c r="G124" s="1043">
        <f>G122+G123</f>
        <v>0</v>
      </c>
    </row>
    <row r="125" spans="1:7" outlineLevel="1" x14ac:dyDescent="0.2">
      <c r="A125" s="85" t="s">
        <v>1487</v>
      </c>
      <c r="B125" s="445" t="str">
        <f>"CRI2028 Singolo Gestore "&amp;"Comune"</f>
        <v>CRI2028 Singolo Gestore Comune</v>
      </c>
      <c r="E125" s="1040">
        <f>INDEX(IN_PAR!$A$3:$AAA$413,MATCH($A125,IN_PAR!$A$3:$A$413,0),MATCH(E$3,IN_PAR!$A$3:$AAA$3,0))</f>
        <v>0</v>
      </c>
      <c r="F125" s="1040">
        <f>INDEX(IN_PAR!$A$3:$AAA$413,MATCH($A125,IN_PAR!$A$3:$A$413,0),MATCH(F$3,IN_PAR!$A$3:$AAA$3,0))</f>
        <v>0</v>
      </c>
      <c r="G125" s="1040">
        <f>INDEX(IN_PAR!$A$3:$AAA$413,MATCH($A125,IN_PAR!$A$3:$A$413,0),MATCH(G$3,IN_PAR!$A$3:$AAA$3,0))</f>
        <v>0</v>
      </c>
    </row>
    <row r="126" spans="1:7" ht="11.4" outlineLevel="1" x14ac:dyDescent="0.2">
      <c r="A126" s="85" t="s">
        <v>8696</v>
      </c>
      <c r="B126" s="71" t="s">
        <v>8719</v>
      </c>
      <c r="C126" s="135"/>
      <c r="D126" s="135"/>
      <c r="E126" s="77">
        <f>E118-E121+E124+E125</f>
        <v>1.9E-2</v>
      </c>
      <c r="F126" s="77">
        <f>F118-F121+F124+F125</f>
        <v>1.9E-2</v>
      </c>
      <c r="G126" s="77">
        <f>G118-G121+G124+G125</f>
        <v>1.9E-2</v>
      </c>
    </row>
    <row r="127" spans="1:7" outlineLevel="1" x14ac:dyDescent="0.2"/>
    <row r="128" spans="1:7" ht="11.4" outlineLevel="1" x14ac:dyDescent="0.25">
      <c r="A128" s="85" t="s">
        <v>8620</v>
      </c>
      <c r="B128" s="335" t="s">
        <v>1540</v>
      </c>
      <c r="E128" s="1044">
        <f>INDEX('Rett_Ta-1'!$A$3:$AAA$99,MATCH($A128,'Rett_Ta-1'!$A$3:$A$99,0),MATCH(E$3,'Rett_Ta-1'!$A$3:$AAA$3,0))</f>
        <v>0</v>
      </c>
      <c r="F128" s="1044">
        <f>INDEX('Rett_Ta-1'!$A$3:$AAA$99,MATCH($A128,'Rett_Ta-1'!$A$3:$A$99,0),MATCH(F$3,'Rett_Ta-1'!$A$3:$AAA$3,0))</f>
        <v>0</v>
      </c>
      <c r="G128" s="1044">
        <f>INDEX('Rett_Ta-1'!$A$3:$AAA$99,MATCH($A128,'Rett_Ta-1'!$A$3:$A$99,0),MATCH(G$3,'Rett_Ta-1'!$A$3:$AAA$3,0))</f>
        <v>52902.058472230645</v>
      </c>
    </row>
    <row r="129" spans="1:7" s="159" customFormat="1" ht="11.4" outlineLevel="1" x14ac:dyDescent="0.2">
      <c r="A129" s="85" t="s">
        <v>8697</v>
      </c>
      <c r="B129" s="150" t="s">
        <v>8720</v>
      </c>
      <c r="C129" s="74"/>
      <c r="D129" s="74"/>
      <c r="E129" s="133">
        <f>IFERROR(E101/E128,0)</f>
        <v>0</v>
      </c>
      <c r="F129" s="133">
        <f>IFERROR(F101/F128,0)</f>
        <v>0</v>
      </c>
      <c r="G129" s="133">
        <f>IFERROR(G101/G128,0)</f>
        <v>0.91912432541926925</v>
      </c>
    </row>
    <row r="130" spans="1:7" s="159" customFormat="1" outlineLevel="1" x14ac:dyDescent="0.2">
      <c r="A130" s="85"/>
      <c r="B130" s="154" t="s">
        <v>8716</v>
      </c>
      <c r="C130" s="74"/>
      <c r="D130" s="74"/>
      <c r="E130" s="155" t="str">
        <f>IF(E129&lt;=(1+E126),"NO","SI")</f>
        <v>NO</v>
      </c>
      <c r="F130" s="155" t="str">
        <f>IF(F129&lt;=(1+F126),"NO","SI")</f>
        <v>NO</v>
      </c>
      <c r="G130" s="155" t="str">
        <f>IF(G129&lt;=(1+G126),"NO","SI")</f>
        <v>NO</v>
      </c>
    </row>
    <row r="131" spans="1:7" outlineLevel="1" x14ac:dyDescent="0.2"/>
    <row r="132" spans="1:7" s="159" customFormat="1" ht="11.4" outlineLevel="1" x14ac:dyDescent="0.2">
      <c r="A132" s="138"/>
      <c r="B132" s="1045" t="s">
        <v>8721</v>
      </c>
      <c r="C132" s="1046">
        <f t="shared" ref="C132:C135" si="5">SUM(E132:AAA132)</f>
        <v>0</v>
      </c>
      <c r="D132" s="151"/>
      <c r="E132" s="1047">
        <f>MAX(E101-E128*(1+E126),0)</f>
        <v>0</v>
      </c>
      <c r="F132" s="1047">
        <f>MAX(F101-F128*(1+F126),0)</f>
        <v>0</v>
      </c>
      <c r="G132" s="1047">
        <f>MAX(G101-G128*(1+G126),0)</f>
        <v>0</v>
      </c>
    </row>
    <row r="133" spans="1:7" outlineLevel="1" x14ac:dyDescent="0.2">
      <c r="A133" s="85" t="s">
        <v>8698</v>
      </c>
      <c r="B133" s="1048" t="s">
        <v>8711</v>
      </c>
      <c r="C133" s="87">
        <f t="shared" si="5"/>
        <v>0</v>
      </c>
      <c r="D133" s="1051"/>
      <c r="E133" s="1052">
        <v>0</v>
      </c>
      <c r="F133" s="1052">
        <v>0</v>
      </c>
      <c r="G133" s="1053">
        <v>0</v>
      </c>
    </row>
    <row r="134" spans="1:7" outlineLevel="1" x14ac:dyDescent="0.2">
      <c r="A134" s="85" t="s">
        <v>8699</v>
      </c>
      <c r="B134" s="1049" t="s">
        <v>8722</v>
      </c>
      <c r="C134" s="87">
        <f t="shared" si="5"/>
        <v>0</v>
      </c>
      <c r="D134" s="1051"/>
      <c r="E134" s="1054">
        <v>0</v>
      </c>
      <c r="F134" s="1054">
        <v>0</v>
      </c>
      <c r="G134" s="1055">
        <v>0</v>
      </c>
    </row>
    <row r="135" spans="1:7" outlineLevel="1" x14ac:dyDescent="0.2">
      <c r="A135" s="85" t="s">
        <v>8700</v>
      </c>
      <c r="B135" s="1050" t="s">
        <v>8713</v>
      </c>
      <c r="C135" s="87">
        <f t="shared" si="5"/>
        <v>0</v>
      </c>
      <c r="D135" s="1051"/>
      <c r="E135" s="1056">
        <v>0</v>
      </c>
      <c r="F135" s="1056">
        <v>0</v>
      </c>
      <c r="G135" s="1057">
        <v>0</v>
      </c>
    </row>
    <row r="136" spans="1:7" x14ac:dyDescent="0.2">
      <c r="E136" s="1058">
        <f>E132-SUM(E133:E135)</f>
        <v>0</v>
      </c>
      <c r="F136" s="1058">
        <f>F132-SUM(F133:F135)</f>
        <v>0</v>
      </c>
      <c r="G136" s="1058">
        <f>G132-SUM(G133:G135)</f>
        <v>0</v>
      </c>
    </row>
    <row r="137" spans="1:7" x14ac:dyDescent="0.2">
      <c r="A137" s="350"/>
      <c r="B137" s="457">
        <v>2029</v>
      </c>
      <c r="C137" s="348"/>
      <c r="D137" s="348"/>
      <c r="E137" s="709"/>
      <c r="F137" s="709"/>
      <c r="G137" s="709"/>
    </row>
    <row r="138" spans="1:7" ht="11.4" outlineLevel="1" x14ac:dyDescent="0.2">
      <c r="A138" s="31" t="s">
        <v>5570</v>
      </c>
      <c r="B138" s="178" t="s">
        <v>8663</v>
      </c>
      <c r="C138" s="179">
        <f t="shared" ref="C138:C149" si="6">SUM(E138:AAA138)</f>
        <v>9756303.5952096004</v>
      </c>
      <c r="D138" s="135"/>
      <c r="E138" s="182">
        <f>INDEX(PEF_GEST_29!$A$3:$AAA$102,MATCH($A138,PEF_GEST_29!$A$3:$A$102,0),MATCH(E$3,PEF_GEST_29!$A$3:$AAA$3,0))</f>
        <v>7914598.1306920005</v>
      </c>
      <c r="F138" s="182">
        <f>INDEX(PEF_GEST_29!$A$3:$AAA$102,MATCH($A138,PEF_GEST_29!$A$3:$A$102,0),MATCH(F$3,PEF_GEST_29!$A$3:$AAA$3,0))</f>
        <v>1121291.8505976</v>
      </c>
      <c r="G138" s="182">
        <f>INDEX(PEF_GEST_29!$A$3:$AAA$102,MATCH($A138,PEF_GEST_29!$A$3:$A$102,0),MATCH(G$3,PEF_GEST_29!$A$3:$AAA$3,0))</f>
        <v>720413.61392000003</v>
      </c>
    </row>
    <row r="139" spans="1:7" ht="11.4" outlineLevel="1" x14ac:dyDescent="0.2">
      <c r="A139" s="31" t="s">
        <v>5607</v>
      </c>
      <c r="B139" s="180" t="s">
        <v>8664</v>
      </c>
      <c r="C139" s="181">
        <f t="shared" si="6"/>
        <v>0</v>
      </c>
      <c r="D139" s="135"/>
      <c r="E139" s="183">
        <f>INDEX(PEF_COM_29!$A$3:$AAA$102,MATCH($A139,PEF_COM_29!$A$3:$A$102,0),MATCH(E$3,PEF_COM_29!$A$3:$AAA$3,0))</f>
        <v>0</v>
      </c>
      <c r="F139" s="183">
        <f>INDEX(PEF_COM_29!$A$3:$AAA$102,MATCH($A139,PEF_COM_29!$A$3:$A$102,0),MATCH(F$3,PEF_COM_29!$A$3:$AAA$3,0))</f>
        <v>0</v>
      </c>
      <c r="G139" s="183">
        <f>INDEX(PEF_COM_29!$A$3:$AAA$102,MATCH($A139,PEF_COM_29!$A$3:$A$102,0),MATCH(G$3,PEF_COM_29!$A$3:$AAA$3,0))</f>
        <v>0</v>
      </c>
    </row>
    <row r="140" spans="1:7" ht="11.4" outlineLevel="1" x14ac:dyDescent="0.2">
      <c r="A140" s="31" t="s">
        <v>8653</v>
      </c>
      <c r="B140" s="142" t="s">
        <v>8665</v>
      </c>
      <c r="C140" s="143">
        <f t="shared" si="6"/>
        <v>9756303.5952096004</v>
      </c>
      <c r="D140" s="135"/>
      <c r="E140" s="144">
        <f>E138+E139</f>
        <v>7914598.1306920005</v>
      </c>
      <c r="F140" s="144">
        <f>F138+F139</f>
        <v>1121291.8505976</v>
      </c>
      <c r="G140" s="144">
        <f>G138+G139</f>
        <v>720413.61392000003</v>
      </c>
    </row>
    <row r="141" spans="1:7" ht="11.4" outlineLevel="1" x14ac:dyDescent="0.2">
      <c r="A141" s="31" t="s">
        <v>5574</v>
      </c>
      <c r="B141" s="178" t="s">
        <v>8666</v>
      </c>
      <c r="C141" s="179">
        <f t="shared" si="6"/>
        <v>6476663.2082239753</v>
      </c>
      <c r="D141" s="135"/>
      <c r="E141" s="182">
        <f>INDEX(PEF_GEST_29!$A$3:$AAA$102,MATCH($A141,PEF_GEST_29!$A$3:$A$102,0),MATCH(E$3,PEF_GEST_29!$A$3:$AAA$3,0))</f>
        <v>6243898.0065433783</v>
      </c>
      <c r="F141" s="182">
        <f>INDEX(PEF_GEST_29!$A$3:$AAA$102,MATCH($A141,PEF_GEST_29!$A$3:$A$102,0),MATCH(F$3,PEF_GEST_29!$A$3:$AAA$3,0))</f>
        <v>112836.17794796609</v>
      </c>
      <c r="G141" s="182">
        <f>INDEX(PEF_GEST_29!$A$3:$AAA$102,MATCH($A141,PEF_GEST_29!$A$3:$A$102,0),MATCH(G$3,PEF_GEST_29!$A$3:$AAA$3,0))</f>
        <v>119929.02373263093</v>
      </c>
    </row>
    <row r="142" spans="1:7" ht="11.4" outlineLevel="1" x14ac:dyDescent="0.2">
      <c r="A142" s="31" t="s">
        <v>5610</v>
      </c>
      <c r="B142" s="180" t="s">
        <v>8667</v>
      </c>
      <c r="C142" s="181">
        <f t="shared" si="6"/>
        <v>45912.895766702641</v>
      </c>
      <c r="D142" s="135"/>
      <c r="E142" s="183">
        <f>INDEX(PEF_COM_29!$A$3:$AAA$102,MATCH($A142,PEF_COM_29!$A$3:$A$102,0),MATCH(E$3,PEF_COM_29!$A$3:$AAA$3,0))</f>
        <v>0</v>
      </c>
      <c r="F142" s="183">
        <f>INDEX(PEF_COM_29!$A$3:$AAA$102,MATCH($A142,PEF_COM_29!$A$3:$A$102,0),MATCH(F$3,PEF_COM_29!$A$3:$AAA$3,0))</f>
        <v>0</v>
      </c>
      <c r="G142" s="183">
        <f>INDEX(PEF_COM_29!$A$3:$AAA$102,MATCH($A142,PEF_COM_29!$A$3:$A$102,0),MATCH(G$3,PEF_COM_29!$A$3:$AAA$3,0))</f>
        <v>45912.895766702641</v>
      </c>
    </row>
    <row r="143" spans="1:7" ht="11.4" outlineLevel="1" x14ac:dyDescent="0.2">
      <c r="A143" s="31" t="s">
        <v>8654</v>
      </c>
      <c r="B143" s="142" t="s">
        <v>8668</v>
      </c>
      <c r="C143" s="143">
        <f t="shared" si="6"/>
        <v>6522576.1039906787</v>
      </c>
      <c r="D143" s="135"/>
      <c r="E143" s="144">
        <f>E141+E142</f>
        <v>6243898.0065433783</v>
      </c>
      <c r="F143" s="144">
        <f>F141+F142</f>
        <v>112836.17794796609</v>
      </c>
      <c r="G143" s="144">
        <f>G141+G142</f>
        <v>165841.91949933357</v>
      </c>
    </row>
    <row r="144" spans="1:7" ht="11.4" outlineLevel="1" x14ac:dyDescent="0.2">
      <c r="A144" s="31" t="s">
        <v>5578</v>
      </c>
      <c r="B144" s="178" t="s">
        <v>8669</v>
      </c>
      <c r="C144" s="179">
        <f t="shared" si="6"/>
        <v>16232966.803433575</v>
      </c>
      <c r="D144" s="135"/>
      <c r="E144" s="182">
        <f>INDEX(PEF_GEST_29!$A$3:$AAA$102,MATCH($A144,PEF_GEST_29!$A$3:$A$102,0),MATCH(E$3,PEF_GEST_29!$A$3:$AAA$3,0))</f>
        <v>14158496.137235379</v>
      </c>
      <c r="F144" s="182">
        <f>INDEX(PEF_GEST_29!$A$3:$AAA$102,MATCH($A144,PEF_GEST_29!$A$3:$A$102,0),MATCH(F$3,PEF_GEST_29!$A$3:$AAA$3,0))</f>
        <v>1234128.0285455661</v>
      </c>
      <c r="G144" s="182">
        <f>INDEX(PEF_GEST_29!$A$3:$AAA$102,MATCH($A144,PEF_GEST_29!$A$3:$A$102,0),MATCH(G$3,PEF_GEST_29!$A$3:$AAA$3,0))</f>
        <v>840342.63765263092</v>
      </c>
    </row>
    <row r="145" spans="1:7" ht="11.4" outlineLevel="1" x14ac:dyDescent="0.2">
      <c r="A145" s="31" t="s">
        <v>5613</v>
      </c>
      <c r="B145" s="180" t="s">
        <v>8670</v>
      </c>
      <c r="C145" s="181">
        <f t="shared" si="6"/>
        <v>45912.895766702641</v>
      </c>
      <c r="D145" s="135"/>
      <c r="E145" s="183">
        <f>INDEX(PEF_COM_29!$A$3:$AAA$102,MATCH($A145,PEF_COM_29!$A$3:$A$102,0),MATCH(E$3,PEF_COM_29!$A$3:$AAA$3,0))</f>
        <v>0</v>
      </c>
      <c r="F145" s="183">
        <f>INDEX(PEF_COM_29!$A$3:$AAA$102,MATCH($A145,PEF_COM_29!$A$3:$A$102,0),MATCH(F$3,PEF_COM_29!$A$3:$AAA$3,0))</f>
        <v>0</v>
      </c>
      <c r="G145" s="183">
        <f>INDEX(PEF_COM_29!$A$3:$AAA$102,MATCH($A145,PEF_COM_29!$A$3:$A$102,0),MATCH(G$3,PEF_COM_29!$A$3:$AAA$3,0))</f>
        <v>45912.895766702641</v>
      </c>
    </row>
    <row r="146" spans="1:7" ht="11.4" outlineLevel="1" x14ac:dyDescent="0.2">
      <c r="A146" s="31" t="s">
        <v>8655</v>
      </c>
      <c r="B146" s="142" t="s">
        <v>8671</v>
      </c>
      <c r="C146" s="143">
        <f t="shared" si="6"/>
        <v>16278879.699200278</v>
      </c>
      <c r="D146" s="135"/>
      <c r="E146" s="144">
        <f>E144+E145</f>
        <v>14158496.137235379</v>
      </c>
      <c r="F146" s="144">
        <f>F144+F145</f>
        <v>1234128.0285455661</v>
      </c>
      <c r="G146" s="144">
        <f>G144+G145</f>
        <v>886255.53341933351</v>
      </c>
    </row>
    <row r="147" spans="1:7" ht="11.4" outlineLevel="1" x14ac:dyDescent="0.2">
      <c r="A147" s="85" t="s">
        <v>6618</v>
      </c>
      <c r="B147" s="173" t="s">
        <v>8672</v>
      </c>
      <c r="C147" s="184">
        <f t="shared" si="6"/>
        <v>10094338.994965419</v>
      </c>
      <c r="D147" s="147"/>
      <c r="E147" s="186">
        <f>INDEX('Rett_Ta-1'!$A$3:$AAA$99,MATCH($A147,'Rett_Ta-1'!$A$3:$A$99,0),MATCH(E$3,'Rett_Ta-1'!$A$3:$AAA$3,0))</f>
        <v>8252633.5304478202</v>
      </c>
      <c r="F147" s="186">
        <f>INDEX('Rett_Ta-1'!$A$3:$AAA$99,MATCH($A147,'Rett_Ta-1'!$A$3:$A$99,0),MATCH(F$3,'Rett_Ta-1'!$A$3:$AAA$3,0))</f>
        <v>1121291.8505976</v>
      </c>
      <c r="G147" s="186">
        <f>INDEX('Rett_Ta-1'!$A$3:$AAA$99,MATCH($A147,'Rett_Ta-1'!$A$3:$A$99,0),MATCH(G$3,'Rett_Ta-1'!$A$3:$AAA$3,0))</f>
        <v>720413.61392000003</v>
      </c>
    </row>
    <row r="148" spans="1:7" ht="11.4" outlineLevel="1" x14ac:dyDescent="0.2">
      <c r="A148" s="85" t="s">
        <v>6621</v>
      </c>
      <c r="B148" s="175" t="s">
        <v>8673</v>
      </c>
      <c r="C148" s="185">
        <f t="shared" si="6"/>
        <v>7256352.618053806</v>
      </c>
      <c r="D148" s="147"/>
      <c r="E148" s="187">
        <f>INDEX('Rett_Ta-1'!$A$3:$AAA$99,MATCH($A148,'Rett_Ta-1'!$A$3:$A$99,0),MATCH(E$3,'Rett_Ta-1'!$A$3:$AAA$3,0))</f>
        <v>6964646.892502577</v>
      </c>
      <c r="F148" s="187">
        <f>INDEX('Rett_Ta-1'!$A$3:$AAA$99,MATCH($A148,'Rett_Ta-1'!$A$3:$A$99,0),MATCH(F$3,'Rett_Ta-1'!$A$3:$AAA$3,0))</f>
        <v>123153.1330120179</v>
      </c>
      <c r="G148" s="187">
        <f>INDEX('Rett_Ta-1'!$A$3:$AAA$99,MATCH($A148,'Rett_Ta-1'!$A$3:$A$99,0),MATCH(G$3,'Rett_Ta-1'!$A$3:$AAA$3,0))</f>
        <v>168552.59253921066</v>
      </c>
    </row>
    <row r="149" spans="1:7" ht="11.4" outlineLevel="1" x14ac:dyDescent="0.2">
      <c r="A149" s="85" t="s">
        <v>6622</v>
      </c>
      <c r="B149" s="145" t="s">
        <v>8674</v>
      </c>
      <c r="C149" s="146">
        <f t="shared" si="6"/>
        <v>17350691.613019228</v>
      </c>
      <c r="D149" s="148"/>
      <c r="E149" s="149">
        <f>E147+E148</f>
        <v>15217280.422950398</v>
      </c>
      <c r="F149" s="149">
        <f>F147+F148</f>
        <v>1244444.9836096179</v>
      </c>
      <c r="G149" s="149">
        <f>G147+G148</f>
        <v>888966.20645921072</v>
      </c>
    </row>
    <row r="150" spans="1:7" outlineLevel="1" x14ac:dyDescent="0.2">
      <c r="A150" s="85"/>
      <c r="B150" s="74"/>
      <c r="C150" s="74"/>
      <c r="D150" s="74"/>
      <c r="E150" s="75"/>
      <c r="F150" s="75"/>
      <c r="G150" s="75"/>
    </row>
    <row r="151" spans="1:7" ht="11.4" outlineLevel="1" x14ac:dyDescent="0.2">
      <c r="A151" s="85"/>
      <c r="B151" s="71" t="s">
        <v>6233</v>
      </c>
      <c r="C151" s="135"/>
      <c r="D151" s="135"/>
      <c r="E151" s="77">
        <f>1+E152</f>
        <v>1.0189999999999999</v>
      </c>
      <c r="F151" s="77">
        <f>1+F152</f>
        <v>1.0189999999999999</v>
      </c>
      <c r="G151" s="77">
        <f>1+G152</f>
        <v>1.0189999999999999</v>
      </c>
    </row>
    <row r="152" spans="1:7" ht="11.4" outlineLevel="1" x14ac:dyDescent="0.2">
      <c r="A152" s="85" t="s">
        <v>1428</v>
      </c>
      <c r="B152" s="71" t="s">
        <v>6234</v>
      </c>
      <c r="C152" s="135"/>
      <c r="D152" s="135"/>
      <c r="E152" s="77">
        <f>E153-E154+E155+E156</f>
        <v>1.9E-2</v>
      </c>
      <c r="F152" s="77">
        <f>F153-F154+F155+F156</f>
        <v>1.9E-2</v>
      </c>
      <c r="G152" s="77">
        <f>G153-G154+G155+G156</f>
        <v>1.9E-2</v>
      </c>
    </row>
    <row r="153" spans="1:7" ht="11.4" outlineLevel="1" x14ac:dyDescent="0.2">
      <c r="A153" s="85" t="s">
        <v>1420</v>
      </c>
      <c r="B153" s="20" t="s">
        <v>122</v>
      </c>
      <c r="C153" s="78">
        <f>'Parametri MTR-3'!$J$4</f>
        <v>1.9E-2</v>
      </c>
      <c r="D153" s="136"/>
      <c r="E153" s="78">
        <f>$C$21</f>
        <v>1.9E-2</v>
      </c>
      <c r="F153" s="78">
        <f>$C$21</f>
        <v>1.9E-2</v>
      </c>
      <c r="G153" s="78">
        <f>$C$21</f>
        <v>1.9E-2</v>
      </c>
    </row>
    <row r="154" spans="1:7" ht="11.4" outlineLevel="1" x14ac:dyDescent="0.2">
      <c r="A154" s="85" t="s">
        <v>1423</v>
      </c>
      <c r="B154" s="173" t="s">
        <v>6235</v>
      </c>
      <c r="C154" s="136"/>
      <c r="D154" s="136"/>
      <c r="E154" s="176">
        <f>INDEX(IN_PAR!$A$3:$AAA$413,MATCH($A154,IN_PAR!$A$3:$A$413,0),MATCH(E$3,IN_PAR!$A$3:$AAA$3,0))</f>
        <v>0</v>
      </c>
      <c r="F154" s="176">
        <f>INDEX(IN_PAR!$A$3:$AAA$413,MATCH($A154,IN_PAR!$A$3:$A$413,0),MATCH(F$3,IN_PAR!$A$3:$AAA$3,0))</f>
        <v>0</v>
      </c>
      <c r="G154" s="176">
        <f>INDEX(IN_PAR!$A$3:$AAA$413,MATCH($A154,IN_PAR!$A$3:$A$413,0),MATCH(G$3,IN_PAR!$A$3:$AAA$3,0))</f>
        <v>0</v>
      </c>
    </row>
    <row r="155" spans="1:7" ht="11.4" outlineLevel="1" x14ac:dyDescent="0.2">
      <c r="A155" s="85" t="s">
        <v>1426</v>
      </c>
      <c r="B155" s="174" t="s">
        <v>6236</v>
      </c>
      <c r="C155" s="136"/>
      <c r="D155" s="136"/>
      <c r="E155" s="177">
        <f>INDEX(IN_PAR!$A$3:$AAA$413,MATCH($A155,IN_PAR!$A$3:$A$413,0),MATCH(E$3,IN_PAR!$A$3:$AAA$3,0))</f>
        <v>0</v>
      </c>
      <c r="F155" s="177">
        <f>INDEX(IN_PAR!$A$3:$AAA$413,MATCH($A155,IN_PAR!$A$3:$A$413,0),MATCH(F$3,IN_PAR!$A$3:$AAA$3,0))</f>
        <v>0</v>
      </c>
      <c r="G155" s="177">
        <f>INDEX(IN_PAR!$A$3:$AAA$413,MATCH($A155,IN_PAR!$A$3:$A$413,0),MATCH(G$3,IN_PAR!$A$3:$AAA$3,0))</f>
        <v>0</v>
      </c>
    </row>
    <row r="156" spans="1:7" ht="11.4" outlineLevel="1" x14ac:dyDescent="0.2">
      <c r="A156" s="85" t="s">
        <v>1427</v>
      </c>
      <c r="B156" s="174" t="s">
        <v>6237</v>
      </c>
      <c r="C156" s="136"/>
      <c r="D156" s="136"/>
      <c r="E156" s="177">
        <f>INDEX(IN_PAR!$A$3:$AAA$413,MATCH($A156,IN_PAR!$A$3:$A$413,0),MATCH(E$3,IN_PAR!$A$3:$AAA$3,0))</f>
        <v>0</v>
      </c>
      <c r="F156" s="177">
        <f>INDEX(IN_PAR!$A$3:$AAA$413,MATCH($A156,IN_PAR!$A$3:$A$413,0),MATCH(F$3,IN_PAR!$A$3:$AAA$3,0))</f>
        <v>0</v>
      </c>
      <c r="G156" s="177">
        <f>INDEX(IN_PAR!$A$3:$AAA$413,MATCH($A156,IN_PAR!$A$3:$A$413,0),MATCH(G$3,IN_PAR!$A$3:$AAA$3,0))</f>
        <v>0</v>
      </c>
    </row>
    <row r="157" spans="1:7" outlineLevel="1" x14ac:dyDescent="0.2">
      <c r="A157" s="85"/>
      <c r="B157" s="65" t="s">
        <v>123</v>
      </c>
      <c r="C157" s="137"/>
      <c r="D157" s="137"/>
      <c r="E157" s="708" t="str">
        <f>IF(E152&gt;8.8%,"errore","ok")</f>
        <v>ok</v>
      </c>
      <c r="F157" s="708" t="str">
        <f>IF(F152&gt;8.8%,"errore","ok")</f>
        <v>ok</v>
      </c>
      <c r="G157" s="708" t="str">
        <f>IF(G152&gt;8.8%,"errore","ok")</f>
        <v>ok</v>
      </c>
    </row>
    <row r="158" spans="1:7" outlineLevel="1" x14ac:dyDescent="0.2"/>
    <row r="159" spans="1:7" s="159" customFormat="1" ht="11.4" outlineLevel="1" x14ac:dyDescent="0.2">
      <c r="A159" s="85" t="s">
        <v>6213</v>
      </c>
      <c r="B159" s="150" t="s">
        <v>6271</v>
      </c>
      <c r="C159" s="74"/>
      <c r="D159" s="74"/>
      <c r="E159" s="133">
        <f>IFERROR(E146/E149,0)</f>
        <v>0.93042223996094719</v>
      </c>
      <c r="F159" s="133">
        <f>IFERROR(F146/F149,0)</f>
        <v>0.99170959327255548</v>
      </c>
      <c r="G159" s="133">
        <f>IFERROR(G146/G149,0)</f>
        <v>0.99695075806011357</v>
      </c>
    </row>
    <row r="160" spans="1:7" s="159" customFormat="1" outlineLevel="1" x14ac:dyDescent="0.2">
      <c r="A160" s="85"/>
      <c r="B160" s="154" t="s">
        <v>218</v>
      </c>
      <c r="C160" s="74"/>
      <c r="D160" s="74"/>
      <c r="E160" s="155" t="str">
        <f>IF(E159&lt;=(1+E152),"NO","SI")</f>
        <v>NO</v>
      </c>
      <c r="F160" s="155" t="str">
        <f>IF(F159&lt;=(1+F152),"NO","SI")</f>
        <v>NO</v>
      </c>
      <c r="G160" s="155" t="str">
        <f>IF(G159&lt;=(1+G152),"NO","SI")</f>
        <v>NO</v>
      </c>
    </row>
    <row r="161" spans="1:7" outlineLevel="1" x14ac:dyDescent="0.2"/>
    <row r="162" spans="1:7" ht="11.4" outlineLevel="1" x14ac:dyDescent="0.2">
      <c r="A162" s="85" t="s">
        <v>1420</v>
      </c>
      <c r="B162" s="20" t="s">
        <v>122</v>
      </c>
      <c r="C162" s="78">
        <f>'Parametri MTR-3'!$J$4</f>
        <v>1.9E-2</v>
      </c>
      <c r="D162" s="136"/>
      <c r="E162" s="78">
        <f>$C$30</f>
        <v>1.9E-2</v>
      </c>
      <c r="F162" s="78">
        <f>$C$30</f>
        <v>1.9E-2</v>
      </c>
      <c r="G162" s="78">
        <f>$C$30</f>
        <v>1.9E-2</v>
      </c>
    </row>
    <row r="163" spans="1:7" outlineLevel="1" x14ac:dyDescent="0.2">
      <c r="A163" s="85" t="s">
        <v>1494</v>
      </c>
      <c r="B163" s="209" t="str">
        <f>"Xreg2029 Singolo Gestore "&amp;"Comune"</f>
        <v>Xreg2029 Singolo Gestore Comune</v>
      </c>
      <c r="E163" s="1041">
        <f>INDEX(IN_PAR!$A$3:$AAA$413,MATCH($A163,IN_PAR!$A$3:$A$413,0),MATCH(E$3,IN_PAR!$A$3:$AAA$3,0))</f>
        <v>0</v>
      </c>
      <c r="F163" s="1041">
        <f>INDEX(IN_PAR!$A$3:$AAA$413,MATCH($A163,IN_PAR!$A$3:$A$413,0),MATCH(F$3,IN_PAR!$A$3:$AAA$3,0))</f>
        <v>0</v>
      </c>
      <c r="G163" s="1041">
        <f>INDEX(IN_PAR!$A$3:$AAA$413,MATCH($A163,IN_PAR!$A$3:$A$413,0),MATCH(G$3,IN_PAR!$A$3:$AAA$3,0))</f>
        <v>0</v>
      </c>
    </row>
    <row r="164" spans="1:7" outlineLevel="1" x14ac:dyDescent="0.2">
      <c r="A164" s="85" t="s">
        <v>1496</v>
      </c>
      <c r="B164" s="1039" t="str">
        <f>"Xcom2029 Singolo Gestore "&amp;"Comune"</f>
        <v>Xcom2029 Singolo Gestore Comune</v>
      </c>
      <c r="E164" s="1042">
        <f>INDEX(IN_PAR!$A$3:$AAA$413,MATCH($A164,IN_PAR!$A$3:$A$413,0),MATCH(E$3,IN_PAR!$A$3:$AAA$3,0))</f>
        <v>0</v>
      </c>
      <c r="F164" s="1042">
        <f>INDEX(IN_PAR!$A$3:$AAA$413,MATCH($A164,IN_PAR!$A$3:$A$413,0),MATCH(F$3,IN_PAR!$A$3:$AAA$3,0))</f>
        <v>0</v>
      </c>
      <c r="G164" s="1042">
        <f>INDEX(IN_PAR!$A$3:$AAA$413,MATCH($A164,IN_PAR!$A$3:$A$413,0),MATCH(G$3,IN_PAR!$A$3:$AAA$3,0))</f>
        <v>0</v>
      </c>
    </row>
    <row r="165" spans="1:7" outlineLevel="1" x14ac:dyDescent="0.2">
      <c r="A165" s="85" t="s">
        <v>8701</v>
      </c>
      <c r="B165" s="67" t="str">
        <f>"X2029 Singolo Gestore "&amp;"Comune"</f>
        <v>X2029 Singolo Gestore Comune</v>
      </c>
      <c r="E165" s="1043">
        <f>E163+E164</f>
        <v>0</v>
      </c>
      <c r="F165" s="1043">
        <f>F163+F164</f>
        <v>0</v>
      </c>
      <c r="G165" s="1043">
        <f>G163+G164</f>
        <v>0</v>
      </c>
    </row>
    <row r="166" spans="1:7" outlineLevel="1" x14ac:dyDescent="0.2">
      <c r="A166" s="85" t="s">
        <v>1498</v>
      </c>
      <c r="B166" s="707" t="str">
        <f>"Kcom2029 Singolo Gestore "&amp;"Comune"</f>
        <v>Kcom2029 Singolo Gestore Comune</v>
      </c>
      <c r="E166" s="1041">
        <f>INDEX(IN_PAR!$A$3:$AAA$413,MATCH($A166,IN_PAR!$A$3:$A$413,0),MATCH(E$3,IN_PAR!$A$3:$AAA$3,0))</f>
        <v>0</v>
      </c>
      <c r="F166" s="1041">
        <f>INDEX(IN_PAR!$A$3:$AAA$413,MATCH($A166,IN_PAR!$A$3:$A$413,0),MATCH(F$3,IN_PAR!$A$3:$AAA$3,0))</f>
        <v>0</v>
      </c>
      <c r="G166" s="1041">
        <f>INDEX(IN_PAR!$A$3:$AAA$413,MATCH($A166,IN_PAR!$A$3:$A$413,0),MATCH(G$3,IN_PAR!$A$3:$AAA$3,0))</f>
        <v>0</v>
      </c>
    </row>
    <row r="167" spans="1:7" outlineLevel="1" x14ac:dyDescent="0.2">
      <c r="A167" s="85" t="s">
        <v>1500</v>
      </c>
      <c r="B167" s="527" t="str">
        <f>"Kreg2029 Singolo Gestore "&amp;"Comune"</f>
        <v>Kreg2029 Singolo Gestore Comune</v>
      </c>
      <c r="E167" s="1042">
        <f>INDEX(IN_PAR!$A$3:$AAA$413,MATCH($A167,IN_PAR!$A$3:$A$413,0),MATCH(E$3,IN_PAR!$A$3:$AAA$3,0))</f>
        <v>0</v>
      </c>
      <c r="F167" s="1042">
        <f>INDEX(IN_PAR!$A$3:$AAA$413,MATCH($A167,IN_PAR!$A$3:$A$413,0),MATCH(F$3,IN_PAR!$A$3:$AAA$3,0))</f>
        <v>0</v>
      </c>
      <c r="G167" s="1042">
        <f>INDEX(IN_PAR!$A$3:$AAA$413,MATCH($A167,IN_PAR!$A$3:$A$413,0),MATCH(G$3,IN_PAR!$A$3:$AAA$3,0))</f>
        <v>0</v>
      </c>
    </row>
    <row r="168" spans="1:7" outlineLevel="1" x14ac:dyDescent="0.2">
      <c r="A168" s="85" t="s">
        <v>8702</v>
      </c>
      <c r="B168" s="67" t="str">
        <f>"K2029 Singolo Gestore "&amp;"Comune"</f>
        <v>K2029 Singolo Gestore Comune</v>
      </c>
      <c r="E168" s="1043">
        <f>E166+E167</f>
        <v>0</v>
      </c>
      <c r="F168" s="1043">
        <f>F166+F167</f>
        <v>0</v>
      </c>
      <c r="G168" s="1043">
        <f>G166+G167</f>
        <v>0</v>
      </c>
    </row>
    <row r="169" spans="1:7" outlineLevel="1" x14ac:dyDescent="0.2">
      <c r="A169" s="85" t="s">
        <v>1502</v>
      </c>
      <c r="B169" s="445" t="str">
        <f>"CRI2029 Singolo Gestore "&amp;"Comune"</f>
        <v>CRI2029 Singolo Gestore Comune</v>
      </c>
      <c r="E169" s="1040">
        <f>INDEX(IN_PAR!$A$3:$AAA$413,MATCH($A169,IN_PAR!$A$3:$A$413,0),MATCH(E$3,IN_PAR!$A$3:$AAA$3,0))</f>
        <v>0</v>
      </c>
      <c r="F169" s="1040">
        <f>INDEX(IN_PAR!$A$3:$AAA$413,MATCH($A169,IN_PAR!$A$3:$A$413,0),MATCH(F$3,IN_PAR!$A$3:$AAA$3,0))</f>
        <v>0</v>
      </c>
      <c r="G169" s="1040">
        <f>INDEX(IN_PAR!$A$3:$AAA$413,MATCH($A169,IN_PAR!$A$3:$A$413,0),MATCH(G$3,IN_PAR!$A$3:$AAA$3,0))</f>
        <v>0</v>
      </c>
    </row>
    <row r="170" spans="1:7" ht="11.4" outlineLevel="1" x14ac:dyDescent="0.2">
      <c r="A170" s="85" t="s">
        <v>8703</v>
      </c>
      <c r="B170" s="71" t="s">
        <v>8723</v>
      </c>
      <c r="C170" s="135"/>
      <c r="D170" s="135"/>
      <c r="E170" s="77">
        <f>E162-E165+E168+E169</f>
        <v>1.9E-2</v>
      </c>
      <c r="F170" s="77">
        <f>F162-F165+F168+F169</f>
        <v>1.9E-2</v>
      </c>
      <c r="G170" s="77">
        <f>G162-G165+G168+G169</f>
        <v>1.9E-2</v>
      </c>
    </row>
    <row r="171" spans="1:7" outlineLevel="1" x14ac:dyDescent="0.2"/>
    <row r="172" spans="1:7" ht="11.4" outlineLevel="1" x14ac:dyDescent="0.25">
      <c r="A172" s="85" t="s">
        <v>8622</v>
      </c>
      <c r="B172" s="1107" t="s">
        <v>1542</v>
      </c>
      <c r="E172" s="1106">
        <f>E128</f>
        <v>0</v>
      </c>
      <c r="F172" s="1106">
        <f>F128</f>
        <v>0</v>
      </c>
      <c r="G172" s="1106">
        <f>G128</f>
        <v>52902.058472230645</v>
      </c>
    </row>
    <row r="173" spans="1:7" s="159" customFormat="1" ht="11.4" outlineLevel="1" x14ac:dyDescent="0.2">
      <c r="A173" s="85" t="s">
        <v>8704</v>
      </c>
      <c r="B173" s="150" t="s">
        <v>8724</v>
      </c>
      <c r="C173" s="74"/>
      <c r="D173" s="74"/>
      <c r="E173" s="133">
        <f>IFERROR(E145/E172,0)</f>
        <v>0</v>
      </c>
      <c r="F173" s="133">
        <f>IFERROR(F145/F172,0)</f>
        <v>0</v>
      </c>
      <c r="G173" s="133">
        <f>IFERROR(G145/G172,0)</f>
        <v>0.86788486294542289</v>
      </c>
    </row>
    <row r="174" spans="1:7" s="159" customFormat="1" outlineLevel="1" x14ac:dyDescent="0.2">
      <c r="A174" s="85"/>
      <c r="B174" s="154" t="s">
        <v>8716</v>
      </c>
      <c r="C174" s="74"/>
      <c r="D174" s="74"/>
      <c r="E174" s="155" t="str">
        <f>IF(E173&lt;=(1+E170),"NO","SI")</f>
        <v>NO</v>
      </c>
      <c r="F174" s="155" t="str">
        <f>IF(F173&lt;=(1+F170),"NO","SI")</f>
        <v>NO</v>
      </c>
      <c r="G174" s="155" t="str">
        <f>IF(G173&lt;=(1+G170),"NO","SI")</f>
        <v>NO</v>
      </c>
    </row>
    <row r="175" spans="1:7" outlineLevel="1" x14ac:dyDescent="0.2"/>
    <row r="176" spans="1:7" s="159" customFormat="1" ht="11.4" outlineLevel="1" x14ac:dyDescent="0.2">
      <c r="A176" s="138"/>
      <c r="B176" s="1045" t="s">
        <v>8725</v>
      </c>
      <c r="C176" s="1046">
        <f t="shared" ref="C176:C179" si="7">SUM(E176:AAA176)</f>
        <v>0</v>
      </c>
      <c r="D176" s="151"/>
      <c r="E176" s="1047">
        <f>MAX(E145-E172*(1+E170),0)</f>
        <v>0</v>
      </c>
      <c r="F176" s="1047">
        <f>MAX(F145-F172*(1+F170),0)</f>
        <v>0</v>
      </c>
      <c r="G176" s="1047">
        <f>MAX(G145-G172*(1+G170),0)</f>
        <v>0</v>
      </c>
    </row>
    <row r="177" spans="1:7" outlineLevel="1" x14ac:dyDescent="0.2">
      <c r="A177" s="85" t="s">
        <v>8705</v>
      </c>
      <c r="B177" s="1048" t="s">
        <v>8711</v>
      </c>
      <c r="C177" s="87">
        <f t="shared" si="7"/>
        <v>0</v>
      </c>
      <c r="D177" s="1051"/>
      <c r="E177" s="1052">
        <v>0</v>
      </c>
      <c r="F177" s="1052">
        <v>0</v>
      </c>
      <c r="G177" s="1053">
        <v>0</v>
      </c>
    </row>
    <row r="178" spans="1:7" outlineLevel="1" x14ac:dyDescent="0.2">
      <c r="A178" s="85" t="s">
        <v>8706</v>
      </c>
      <c r="B178" s="1049" t="s">
        <v>8726</v>
      </c>
      <c r="C178" s="87">
        <f t="shared" si="7"/>
        <v>0</v>
      </c>
      <c r="D178" s="1051"/>
      <c r="E178" s="1054">
        <v>0</v>
      </c>
      <c r="F178" s="1054">
        <v>0</v>
      </c>
      <c r="G178" s="1055">
        <v>0</v>
      </c>
    </row>
    <row r="179" spans="1:7" outlineLevel="1" x14ac:dyDescent="0.2">
      <c r="A179" s="85" t="s">
        <v>8707</v>
      </c>
      <c r="B179" s="1050" t="s">
        <v>8713</v>
      </c>
      <c r="C179" s="87">
        <f t="shared" si="7"/>
        <v>0</v>
      </c>
      <c r="D179" s="1051"/>
      <c r="E179" s="1056">
        <v>0</v>
      </c>
      <c r="F179" s="1056">
        <v>0</v>
      </c>
      <c r="G179" s="1057">
        <v>0</v>
      </c>
    </row>
    <row r="180" spans="1:7" x14ac:dyDescent="0.2">
      <c r="E180" s="1058">
        <f>E176-SUM(E177:E179)</f>
        <v>0</v>
      </c>
      <c r="F180" s="1058">
        <f>F176-SUM(F177:F179)</f>
        <v>0</v>
      </c>
      <c r="G180" s="1058">
        <f>G176-SUM(G177:G179)</f>
        <v>0</v>
      </c>
    </row>
  </sheetData>
  <conditionalFormatting sqref="E25:G25">
    <cfRule type="cellIs" dxfId="46" priority="7" operator="equal">
      <formula>"ok"</formula>
    </cfRule>
    <cfRule type="cellIs" dxfId="45" priority="8" operator="equal">
      <formula>"errore"</formula>
    </cfRule>
  </conditionalFormatting>
  <conditionalFormatting sqref="E69:G69">
    <cfRule type="cellIs" dxfId="44" priority="5" operator="equal">
      <formula>"ok"</formula>
    </cfRule>
    <cfRule type="cellIs" dxfId="43" priority="6" operator="equal">
      <formula>"errore"</formula>
    </cfRule>
  </conditionalFormatting>
  <conditionalFormatting sqref="E113:G113">
    <cfRule type="cellIs" dxfId="42" priority="3" operator="equal">
      <formula>"ok"</formula>
    </cfRule>
    <cfRule type="cellIs" dxfId="41" priority="4" operator="equal">
      <formula>"errore"</formula>
    </cfRule>
  </conditionalFormatting>
  <conditionalFormatting sqref="E157:G157">
    <cfRule type="cellIs" dxfId="40" priority="1" operator="equal">
      <formula>"ok"</formula>
    </cfRule>
    <cfRule type="cellIs" dxfId="39" priority="2" operator="equal">
      <formula>"errore"</formula>
    </cfRule>
  </conditionalFormatting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0D62CE-5AD0-4FA2-A22F-26F267243B67}">
  <sheetPr codeName="Foglio33">
    <tabColor rgb="FFFFFFCC"/>
  </sheetPr>
  <dimension ref="A1:I427"/>
  <sheetViews>
    <sheetView showGridLines="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L15" sqref="L15"/>
    </sheetView>
  </sheetViews>
  <sheetFormatPr defaultColWidth="9.109375" defaultRowHeight="10.199999999999999" outlineLevelRow="1" x14ac:dyDescent="0.2"/>
  <cols>
    <col min="1" max="1" width="25.44140625" style="85" bestFit="1" customWidth="1"/>
    <col min="2" max="2" width="71.33203125" style="51" customWidth="1"/>
    <col min="3" max="3" width="13.44140625" style="51" bestFit="1" customWidth="1"/>
    <col min="4" max="4" width="2" style="51" customWidth="1"/>
    <col min="5" max="5" width="17" style="61" customWidth="1"/>
    <col min="6" max="6" width="12.5546875" style="61" bestFit="1" customWidth="1"/>
    <col min="7" max="7" width="11" style="61" bestFit="1" customWidth="1"/>
    <col min="8" max="16384" width="9.109375" style="51"/>
  </cols>
  <sheetData>
    <row r="1" spans="1:7" x14ac:dyDescent="0.2">
      <c r="B1" s="458" t="s">
        <v>439</v>
      </c>
      <c r="C1" s="134"/>
      <c r="D1" s="134"/>
    </row>
    <row r="2" spans="1:7" x14ac:dyDescent="0.2">
      <c r="B2" s="70"/>
      <c r="C2" s="5"/>
      <c r="D2" s="5"/>
    </row>
    <row r="3" spans="1:7" s="351" customFormat="1" ht="20.399999999999999" x14ac:dyDescent="0.3">
      <c r="A3" s="350"/>
      <c r="B3" s="346"/>
      <c r="C3" s="347" t="s">
        <v>0</v>
      </c>
      <c r="D3" s="348"/>
      <c r="E3" s="344" t="str">
        <f>Ambiti!B4</f>
        <v>BUSTO ARSIZIO</v>
      </c>
      <c r="F3" s="344" t="str">
        <f>Ambiti!C4</f>
        <v>FAGNANO OLONA</v>
      </c>
      <c r="G3" s="344" t="str">
        <f>Ambiti!D4</f>
        <v>VENEGONO SUPERIORE</v>
      </c>
    </row>
    <row r="4" spans="1:7" s="351" customFormat="1" x14ac:dyDescent="0.2">
      <c r="A4" s="350"/>
      <c r="B4" s="454" t="s">
        <v>5941</v>
      </c>
      <c r="C4" s="348"/>
      <c r="D4" s="348"/>
      <c r="E4" s="709"/>
      <c r="F4" s="709"/>
      <c r="G4" s="709"/>
    </row>
    <row r="5" spans="1:7" s="351" customFormat="1" outlineLevel="1" x14ac:dyDescent="0.3">
      <c r="A5" s="350"/>
      <c r="B5" s="457" t="s">
        <v>6792</v>
      </c>
      <c r="C5" s="348"/>
      <c r="D5" s="348"/>
      <c r="E5" s="709"/>
      <c r="F5" s="709"/>
      <c r="G5" s="709"/>
    </row>
    <row r="6" spans="1:7" s="351" customFormat="1" outlineLevel="1" x14ac:dyDescent="0.2">
      <c r="A6" s="7" t="s">
        <v>6779</v>
      </c>
      <c r="B6" s="188" t="s">
        <v>6785</v>
      </c>
      <c r="C6" s="189">
        <f>SUM(E6:AAA6)</f>
        <v>631132.73565401591</v>
      </c>
      <c r="D6" s="158"/>
      <c r="E6" s="196">
        <v>631132.73565401591</v>
      </c>
      <c r="F6" s="196">
        <v>0</v>
      </c>
      <c r="G6" s="196">
        <v>0</v>
      </c>
    </row>
    <row r="7" spans="1:7" s="351" customFormat="1" outlineLevel="1" x14ac:dyDescent="0.2">
      <c r="A7" s="7" t="s">
        <v>6780</v>
      </c>
      <c r="B7" s="190" t="s">
        <v>6786</v>
      </c>
      <c r="C7" s="191">
        <f t="shared" ref="C7:C11" si="0">SUM(E7:AAA7)</f>
        <v>0</v>
      </c>
      <c r="D7" s="158"/>
      <c r="E7" s="197">
        <v>0</v>
      </c>
      <c r="F7" s="197">
        <v>0</v>
      </c>
      <c r="G7" s="197">
        <v>0</v>
      </c>
    </row>
    <row r="8" spans="1:7" s="351" customFormat="1" outlineLevel="1" x14ac:dyDescent="0.2">
      <c r="A8" s="7" t="s">
        <v>6781</v>
      </c>
      <c r="B8" s="161" t="s">
        <v>6787</v>
      </c>
      <c r="C8" s="162">
        <f t="shared" si="0"/>
        <v>631132.73565401591</v>
      </c>
      <c r="D8" s="158"/>
      <c r="E8" s="144">
        <f>E6+E7</f>
        <v>631132.73565401591</v>
      </c>
      <c r="F8" s="144">
        <f>F6+F7</f>
        <v>0</v>
      </c>
      <c r="G8" s="144">
        <f>G6+G7</f>
        <v>0</v>
      </c>
    </row>
    <row r="9" spans="1:7" s="351" customFormat="1" outlineLevel="1" x14ac:dyDescent="0.2">
      <c r="A9" s="7" t="s">
        <v>6782</v>
      </c>
      <c r="B9" s="188" t="s">
        <v>6788</v>
      </c>
      <c r="C9" s="189">
        <f t="shared" si="0"/>
        <v>448569.13166320242</v>
      </c>
      <c r="D9" s="158"/>
      <c r="E9" s="196">
        <v>448569.13166320242</v>
      </c>
      <c r="F9" s="196">
        <v>0</v>
      </c>
      <c r="G9" s="196">
        <v>0</v>
      </c>
    </row>
    <row r="10" spans="1:7" s="351" customFormat="1" outlineLevel="1" x14ac:dyDescent="0.2">
      <c r="A10" s="7" t="s">
        <v>6783</v>
      </c>
      <c r="B10" s="190" t="s">
        <v>6789</v>
      </c>
      <c r="C10" s="191">
        <f t="shared" si="0"/>
        <v>0</v>
      </c>
      <c r="D10" s="158"/>
      <c r="E10" s="197">
        <v>0</v>
      </c>
      <c r="F10" s="197">
        <v>0</v>
      </c>
      <c r="G10" s="197">
        <v>0</v>
      </c>
    </row>
    <row r="11" spans="1:7" s="351" customFormat="1" outlineLevel="1" x14ac:dyDescent="0.2">
      <c r="A11" s="7" t="s">
        <v>6784</v>
      </c>
      <c r="B11" s="161" t="s">
        <v>6790</v>
      </c>
      <c r="C11" s="162">
        <f t="shared" si="0"/>
        <v>448569.13166320242</v>
      </c>
      <c r="D11" s="158"/>
      <c r="E11" s="144">
        <f>E9+E10</f>
        <v>448569.13166320242</v>
      </c>
      <c r="F11" s="144">
        <f>F9+F10</f>
        <v>0</v>
      </c>
      <c r="G11" s="144">
        <f>G9+G10</f>
        <v>0</v>
      </c>
    </row>
    <row r="12" spans="1:7" s="351" customFormat="1" outlineLevel="1" x14ac:dyDescent="0.3">
      <c r="A12" s="350"/>
      <c r="B12" s="348"/>
      <c r="C12" s="348"/>
      <c r="D12" s="348"/>
      <c r="E12" s="709"/>
      <c r="F12" s="709"/>
      <c r="G12" s="709"/>
    </row>
    <row r="13" spans="1:7" s="351" customFormat="1" ht="20.399999999999999" outlineLevel="1" x14ac:dyDescent="0.3">
      <c r="A13" s="350"/>
      <c r="B13" s="457" t="s">
        <v>6822</v>
      </c>
      <c r="C13" s="348"/>
      <c r="D13" s="348"/>
      <c r="E13" s="1095" t="s">
        <v>8804</v>
      </c>
      <c r="F13" s="709"/>
      <c r="G13" s="709"/>
    </row>
    <row r="14" spans="1:7" s="351" customFormat="1" ht="11.4" outlineLevel="1" x14ac:dyDescent="0.2">
      <c r="A14" s="7" t="s">
        <v>5983</v>
      </c>
      <c r="B14" s="188" t="s">
        <v>5942</v>
      </c>
      <c r="C14" s="189">
        <f>SUM(E14:AAA14)</f>
        <v>315566.36782700795</v>
      </c>
      <c r="D14" s="158"/>
      <c r="E14" s="196">
        <f>+E6/2</f>
        <v>315566.36782700795</v>
      </c>
      <c r="F14" s="196">
        <v>0</v>
      </c>
      <c r="G14" s="196">
        <v>0</v>
      </c>
    </row>
    <row r="15" spans="1:7" s="351" customFormat="1" ht="11.4" outlineLevel="1" x14ac:dyDescent="0.2">
      <c r="A15" s="7" t="s">
        <v>5984</v>
      </c>
      <c r="B15" s="190" t="s">
        <v>5943</v>
      </c>
      <c r="C15" s="191">
        <f t="shared" ref="C15:C19" si="1">SUM(E15:AAA15)</f>
        <v>0</v>
      </c>
      <c r="D15" s="158"/>
      <c r="E15" s="196">
        <f>+E7</f>
        <v>0</v>
      </c>
      <c r="F15" s="197">
        <v>0</v>
      </c>
      <c r="G15" s="197">
        <v>0</v>
      </c>
    </row>
    <row r="16" spans="1:7" s="351" customFormat="1" ht="11.4" outlineLevel="1" x14ac:dyDescent="0.2">
      <c r="A16" s="7" t="s">
        <v>5985</v>
      </c>
      <c r="B16" s="161" t="s">
        <v>5944</v>
      </c>
      <c r="C16" s="162">
        <f t="shared" si="1"/>
        <v>315566.36782700795</v>
      </c>
      <c r="D16" s="158"/>
      <c r="E16" s="144">
        <f>E14+E15</f>
        <v>315566.36782700795</v>
      </c>
      <c r="F16" s="144">
        <f>F14+F15</f>
        <v>0</v>
      </c>
      <c r="G16" s="144">
        <f>G14+G15</f>
        <v>0</v>
      </c>
    </row>
    <row r="17" spans="1:7" s="351" customFormat="1" ht="11.4" outlineLevel="1" x14ac:dyDescent="0.2">
      <c r="A17" s="7" t="s">
        <v>5986</v>
      </c>
      <c r="B17" s="188" t="s">
        <v>5945</v>
      </c>
      <c r="C17" s="189">
        <f t="shared" si="1"/>
        <v>224284.56583160121</v>
      </c>
      <c r="D17" s="158"/>
      <c r="E17" s="196">
        <f>+E9/2</f>
        <v>224284.56583160121</v>
      </c>
      <c r="F17" s="196">
        <v>0</v>
      </c>
      <c r="G17" s="196">
        <v>0</v>
      </c>
    </row>
    <row r="18" spans="1:7" s="351" customFormat="1" ht="11.4" outlineLevel="1" x14ac:dyDescent="0.2">
      <c r="A18" s="7" t="s">
        <v>5987</v>
      </c>
      <c r="B18" s="190" t="s">
        <v>5946</v>
      </c>
      <c r="C18" s="191">
        <f t="shared" si="1"/>
        <v>0</v>
      </c>
      <c r="D18" s="158"/>
      <c r="E18" s="196">
        <f>+E10</f>
        <v>0</v>
      </c>
      <c r="F18" s="197">
        <v>0</v>
      </c>
      <c r="G18" s="197">
        <v>0</v>
      </c>
    </row>
    <row r="19" spans="1:7" s="351" customFormat="1" ht="11.4" outlineLevel="1" x14ac:dyDescent="0.2">
      <c r="A19" s="7" t="s">
        <v>5988</v>
      </c>
      <c r="B19" s="161" t="s">
        <v>6791</v>
      </c>
      <c r="C19" s="162">
        <f t="shared" si="1"/>
        <v>224284.56583160121</v>
      </c>
      <c r="D19" s="158"/>
      <c r="E19" s="144">
        <f>E17+E18</f>
        <v>224284.56583160121</v>
      </c>
      <c r="F19" s="144">
        <f>F17+F18</f>
        <v>0</v>
      </c>
      <c r="G19" s="144">
        <f>G17+G18</f>
        <v>0</v>
      </c>
    </row>
    <row r="20" spans="1:7" s="351" customFormat="1" outlineLevel="1" x14ac:dyDescent="0.3">
      <c r="A20" s="350"/>
      <c r="B20" s="348"/>
      <c r="C20" s="348"/>
      <c r="D20" s="348"/>
      <c r="E20" s="709"/>
      <c r="F20" s="709"/>
      <c r="G20" s="709"/>
    </row>
    <row r="21" spans="1:7" s="351" customFormat="1" ht="20.399999999999999" outlineLevel="1" x14ac:dyDescent="0.3">
      <c r="A21" s="350"/>
      <c r="B21" s="457" t="s">
        <v>6823</v>
      </c>
      <c r="C21" s="348"/>
      <c r="D21" s="348"/>
      <c r="E21" s="1095" t="s">
        <v>8810</v>
      </c>
      <c r="F21" s="709"/>
      <c r="G21" s="709"/>
    </row>
    <row r="22" spans="1:7" s="351" customFormat="1" ht="11.4" outlineLevel="1" x14ac:dyDescent="0.2">
      <c r="A22" s="7" t="s">
        <v>5989</v>
      </c>
      <c r="B22" s="188" t="s">
        <v>5947</v>
      </c>
      <c r="C22" s="189">
        <f t="shared" ref="C22:C27" si="2">SUM(E22:AAA22)</f>
        <v>315566.36782700795</v>
      </c>
      <c r="D22" s="158"/>
      <c r="E22" s="196">
        <f>+E14</f>
        <v>315566.36782700795</v>
      </c>
      <c r="F22" s="196">
        <v>0</v>
      </c>
      <c r="G22" s="196">
        <v>0</v>
      </c>
    </row>
    <row r="23" spans="1:7" s="351" customFormat="1" ht="11.4" outlineLevel="1" x14ac:dyDescent="0.2">
      <c r="A23" s="7" t="s">
        <v>5990</v>
      </c>
      <c r="B23" s="190" t="s">
        <v>5948</v>
      </c>
      <c r="C23" s="191">
        <f t="shared" si="2"/>
        <v>0</v>
      </c>
      <c r="D23" s="158"/>
      <c r="E23" s="197">
        <v>0</v>
      </c>
      <c r="F23" s="197">
        <v>0</v>
      </c>
      <c r="G23" s="197">
        <v>0</v>
      </c>
    </row>
    <row r="24" spans="1:7" s="351" customFormat="1" ht="11.4" outlineLevel="1" x14ac:dyDescent="0.2">
      <c r="A24" s="7" t="s">
        <v>5991</v>
      </c>
      <c r="B24" s="161" t="s">
        <v>5949</v>
      </c>
      <c r="C24" s="162">
        <f t="shared" si="2"/>
        <v>315566.36782700795</v>
      </c>
      <c r="D24" s="158"/>
      <c r="E24" s="144">
        <f>E22+E23</f>
        <v>315566.36782700795</v>
      </c>
      <c r="F24" s="144">
        <f>F22+F23</f>
        <v>0</v>
      </c>
      <c r="G24" s="144">
        <f>G22+G23</f>
        <v>0</v>
      </c>
    </row>
    <row r="25" spans="1:7" s="351" customFormat="1" ht="11.4" outlineLevel="1" x14ac:dyDescent="0.2">
      <c r="A25" s="7" t="s">
        <v>5992</v>
      </c>
      <c r="B25" s="188" t="s">
        <v>5950</v>
      </c>
      <c r="C25" s="189">
        <f t="shared" si="2"/>
        <v>224284.56583160121</v>
      </c>
      <c r="D25" s="158"/>
      <c r="E25" s="196">
        <f>+E17</f>
        <v>224284.56583160121</v>
      </c>
      <c r="F25" s="196">
        <v>0</v>
      </c>
      <c r="G25" s="196">
        <v>0</v>
      </c>
    </row>
    <row r="26" spans="1:7" s="351" customFormat="1" ht="11.4" outlineLevel="1" x14ac:dyDescent="0.2">
      <c r="A26" s="7" t="s">
        <v>5993</v>
      </c>
      <c r="B26" s="190" t="s">
        <v>5951</v>
      </c>
      <c r="C26" s="191">
        <f t="shared" si="2"/>
        <v>0</v>
      </c>
      <c r="D26" s="158"/>
      <c r="E26" s="197">
        <v>0</v>
      </c>
      <c r="F26" s="197">
        <v>0</v>
      </c>
      <c r="G26" s="197">
        <v>0</v>
      </c>
    </row>
    <row r="27" spans="1:7" s="351" customFormat="1" ht="11.4" outlineLevel="1" x14ac:dyDescent="0.2">
      <c r="A27" s="7" t="s">
        <v>5994</v>
      </c>
      <c r="B27" s="161" t="s">
        <v>5952</v>
      </c>
      <c r="C27" s="162">
        <f t="shared" si="2"/>
        <v>224284.56583160121</v>
      </c>
      <c r="D27" s="158"/>
      <c r="E27" s="144">
        <f>E25+E26</f>
        <v>224284.56583160121</v>
      </c>
      <c r="F27" s="144">
        <f>F25+F26</f>
        <v>0</v>
      </c>
      <c r="G27" s="144">
        <f>G25+G26</f>
        <v>0</v>
      </c>
    </row>
    <row r="28" spans="1:7" s="351" customFormat="1" outlineLevel="1" x14ac:dyDescent="0.3">
      <c r="A28" s="350"/>
      <c r="B28" s="348"/>
      <c r="C28" s="348"/>
      <c r="D28" s="348"/>
      <c r="E28" s="709"/>
      <c r="F28" s="709"/>
      <c r="G28" s="709"/>
    </row>
    <row r="29" spans="1:7" s="351" customFormat="1" outlineLevel="1" x14ac:dyDescent="0.3">
      <c r="A29" s="350"/>
      <c r="B29" s="457" t="s">
        <v>6824</v>
      </c>
      <c r="C29" s="348"/>
      <c r="D29" s="348"/>
      <c r="E29" s="709"/>
      <c r="F29" s="709"/>
      <c r="G29" s="709"/>
    </row>
    <row r="30" spans="1:7" s="351" customFormat="1" ht="11.4" outlineLevel="1" x14ac:dyDescent="0.2">
      <c r="A30" s="7" t="s">
        <v>5995</v>
      </c>
      <c r="B30" s="188" t="s">
        <v>5953</v>
      </c>
      <c r="C30" s="189">
        <f t="shared" ref="C30:C35" si="3">SUM(E30:AAA30)</f>
        <v>0</v>
      </c>
      <c r="D30" s="158"/>
      <c r="E30" s="196">
        <v>0</v>
      </c>
      <c r="F30" s="196">
        <v>0</v>
      </c>
      <c r="G30" s="196">
        <v>0</v>
      </c>
    </row>
    <row r="31" spans="1:7" s="351" customFormat="1" ht="11.4" outlineLevel="1" x14ac:dyDescent="0.2">
      <c r="A31" s="7" t="s">
        <v>5996</v>
      </c>
      <c r="B31" s="190" t="s">
        <v>5954</v>
      </c>
      <c r="C31" s="191">
        <f t="shared" si="3"/>
        <v>0</v>
      </c>
      <c r="D31" s="158"/>
      <c r="E31" s="197">
        <v>0</v>
      </c>
      <c r="F31" s="197">
        <v>0</v>
      </c>
      <c r="G31" s="197">
        <v>0</v>
      </c>
    </row>
    <row r="32" spans="1:7" s="351" customFormat="1" ht="11.4" outlineLevel="1" x14ac:dyDescent="0.2">
      <c r="A32" s="7" t="s">
        <v>5997</v>
      </c>
      <c r="B32" s="161" t="s">
        <v>5955</v>
      </c>
      <c r="C32" s="162">
        <f t="shared" si="3"/>
        <v>0</v>
      </c>
      <c r="D32" s="158"/>
      <c r="E32" s="144">
        <f>E30+E31</f>
        <v>0</v>
      </c>
      <c r="F32" s="144">
        <f>F30+F31</f>
        <v>0</v>
      </c>
      <c r="G32" s="144">
        <f>G30+G31</f>
        <v>0</v>
      </c>
    </row>
    <row r="33" spans="1:7" s="351" customFormat="1" ht="11.4" outlineLevel="1" x14ac:dyDescent="0.2">
      <c r="A33" s="7" t="s">
        <v>5998</v>
      </c>
      <c r="B33" s="188" t="s">
        <v>5956</v>
      </c>
      <c r="C33" s="189">
        <f t="shared" si="3"/>
        <v>0</v>
      </c>
      <c r="D33" s="158"/>
      <c r="E33" s="196">
        <v>0</v>
      </c>
      <c r="F33" s="196">
        <v>0</v>
      </c>
      <c r="G33" s="196">
        <v>0</v>
      </c>
    </row>
    <row r="34" spans="1:7" s="351" customFormat="1" ht="11.4" outlineLevel="1" x14ac:dyDescent="0.2">
      <c r="A34" s="7" t="s">
        <v>5999</v>
      </c>
      <c r="B34" s="190" t="s">
        <v>5957</v>
      </c>
      <c r="C34" s="191">
        <f t="shared" si="3"/>
        <v>0</v>
      </c>
      <c r="D34" s="158"/>
      <c r="E34" s="197">
        <v>0</v>
      </c>
      <c r="F34" s="197">
        <v>0</v>
      </c>
      <c r="G34" s="197">
        <v>0</v>
      </c>
    </row>
    <row r="35" spans="1:7" s="351" customFormat="1" ht="11.4" outlineLevel="1" x14ac:dyDescent="0.2">
      <c r="A35" s="7" t="s">
        <v>6000</v>
      </c>
      <c r="B35" s="161" t="s">
        <v>5958</v>
      </c>
      <c r="C35" s="162">
        <f t="shared" si="3"/>
        <v>0</v>
      </c>
      <c r="D35" s="158"/>
      <c r="E35" s="144">
        <f>E33+E34</f>
        <v>0</v>
      </c>
      <c r="F35" s="144">
        <f>F33+F34</f>
        <v>0</v>
      </c>
      <c r="G35" s="144">
        <f>G33+G34</f>
        <v>0</v>
      </c>
    </row>
    <row r="36" spans="1:7" s="351" customFormat="1" outlineLevel="1" x14ac:dyDescent="0.3">
      <c r="A36" s="350"/>
      <c r="B36" s="348"/>
      <c r="C36" s="348"/>
      <c r="D36" s="348"/>
      <c r="E36" s="709"/>
      <c r="F36" s="709"/>
      <c r="G36" s="709"/>
    </row>
    <row r="37" spans="1:7" s="351" customFormat="1" outlineLevel="1" x14ac:dyDescent="0.3">
      <c r="A37" s="350"/>
      <c r="B37" s="457" t="s">
        <v>6825</v>
      </c>
      <c r="C37" s="348"/>
      <c r="D37" s="348"/>
      <c r="E37" s="709"/>
      <c r="F37" s="709"/>
      <c r="G37" s="709"/>
    </row>
    <row r="38" spans="1:7" s="351" customFormat="1" ht="11.4" outlineLevel="1" x14ac:dyDescent="0.2">
      <c r="A38" s="7" t="s">
        <v>6001</v>
      </c>
      <c r="B38" s="188" t="s">
        <v>5959</v>
      </c>
      <c r="C38" s="189">
        <f t="shared" ref="C38:C43" si="4">SUM(E38:AAA38)</f>
        <v>0</v>
      </c>
      <c r="D38" s="158"/>
      <c r="E38" s="196">
        <v>0</v>
      </c>
      <c r="F38" s="196">
        <v>0</v>
      </c>
      <c r="G38" s="196">
        <v>0</v>
      </c>
    </row>
    <row r="39" spans="1:7" s="351" customFormat="1" ht="11.4" outlineLevel="1" x14ac:dyDescent="0.2">
      <c r="A39" s="7" t="s">
        <v>6002</v>
      </c>
      <c r="B39" s="190" t="s">
        <v>5960</v>
      </c>
      <c r="C39" s="191">
        <f t="shared" si="4"/>
        <v>0</v>
      </c>
      <c r="D39" s="158"/>
      <c r="E39" s="197">
        <v>0</v>
      </c>
      <c r="F39" s="197">
        <v>0</v>
      </c>
      <c r="G39" s="197">
        <v>0</v>
      </c>
    </row>
    <row r="40" spans="1:7" s="351" customFormat="1" ht="11.4" outlineLevel="1" x14ac:dyDescent="0.2">
      <c r="A40" s="7" t="s">
        <v>6003</v>
      </c>
      <c r="B40" s="161" t="s">
        <v>5961</v>
      </c>
      <c r="C40" s="162">
        <f t="shared" si="4"/>
        <v>0</v>
      </c>
      <c r="D40" s="158"/>
      <c r="E40" s="144">
        <f>E38+E39</f>
        <v>0</v>
      </c>
      <c r="F40" s="144">
        <f>F38+F39</f>
        <v>0</v>
      </c>
      <c r="G40" s="144">
        <f>G38+G39</f>
        <v>0</v>
      </c>
    </row>
    <row r="41" spans="1:7" s="351" customFormat="1" ht="11.4" outlineLevel="1" x14ac:dyDescent="0.2">
      <c r="A41" s="7" t="s">
        <v>6004</v>
      </c>
      <c r="B41" s="188" t="s">
        <v>5962</v>
      </c>
      <c r="C41" s="189">
        <f t="shared" si="4"/>
        <v>0</v>
      </c>
      <c r="D41" s="158"/>
      <c r="E41" s="196">
        <v>0</v>
      </c>
      <c r="F41" s="196">
        <v>0</v>
      </c>
      <c r="G41" s="196">
        <v>0</v>
      </c>
    </row>
    <row r="42" spans="1:7" s="351" customFormat="1" ht="11.4" outlineLevel="1" x14ac:dyDescent="0.2">
      <c r="A42" s="7" t="s">
        <v>6005</v>
      </c>
      <c r="B42" s="190" t="s">
        <v>5963</v>
      </c>
      <c r="C42" s="191">
        <f t="shared" si="4"/>
        <v>0</v>
      </c>
      <c r="D42" s="158"/>
      <c r="E42" s="197">
        <v>0</v>
      </c>
      <c r="F42" s="197">
        <v>0</v>
      </c>
      <c r="G42" s="197">
        <v>0</v>
      </c>
    </row>
    <row r="43" spans="1:7" s="351" customFormat="1" ht="11.4" outlineLevel="1" x14ac:dyDescent="0.2">
      <c r="A43" s="7" t="s">
        <v>6006</v>
      </c>
      <c r="B43" s="161" t="s">
        <v>5964</v>
      </c>
      <c r="C43" s="162">
        <f t="shared" si="4"/>
        <v>0</v>
      </c>
      <c r="D43" s="158"/>
      <c r="E43" s="144">
        <f>E41+E42</f>
        <v>0</v>
      </c>
      <c r="F43" s="144">
        <f>F41+F42</f>
        <v>0</v>
      </c>
      <c r="G43" s="144">
        <f>G41+G42</f>
        <v>0</v>
      </c>
    </row>
    <row r="44" spans="1:7" s="351" customFormat="1" outlineLevel="1" x14ac:dyDescent="0.3">
      <c r="A44" s="350"/>
      <c r="B44" s="348"/>
      <c r="C44" s="348"/>
      <c r="D44" s="348"/>
      <c r="E44" s="709"/>
      <c r="F44" s="709"/>
      <c r="G44" s="709"/>
    </row>
    <row r="45" spans="1:7" s="351" customFormat="1" outlineLevel="1" x14ac:dyDescent="0.3">
      <c r="A45" s="350"/>
      <c r="B45" s="457" t="s">
        <v>6826</v>
      </c>
      <c r="C45" s="348">
        <f t="shared" ref="C45:C51" si="5">SUM(E45:AAA45)</f>
        <v>0</v>
      </c>
      <c r="D45" s="348"/>
      <c r="E45" s="709"/>
      <c r="F45" s="709"/>
      <c r="G45" s="709"/>
    </row>
    <row r="46" spans="1:7" s="351" customFormat="1" ht="11.4" outlineLevel="1" x14ac:dyDescent="0.2">
      <c r="A46" s="7" t="s">
        <v>6007</v>
      </c>
      <c r="B46" s="188" t="s">
        <v>5966</v>
      </c>
      <c r="C46" s="189">
        <f t="shared" si="5"/>
        <v>0</v>
      </c>
      <c r="D46" s="158"/>
      <c r="E46" s="196">
        <v>0</v>
      </c>
      <c r="F46" s="196">
        <v>0</v>
      </c>
      <c r="G46" s="196">
        <v>0</v>
      </c>
    </row>
    <row r="47" spans="1:7" s="351" customFormat="1" ht="11.4" outlineLevel="1" x14ac:dyDescent="0.2">
      <c r="A47" s="7" t="s">
        <v>6008</v>
      </c>
      <c r="B47" s="190" t="s">
        <v>5967</v>
      </c>
      <c r="C47" s="191">
        <f t="shared" si="5"/>
        <v>0</v>
      </c>
      <c r="D47" s="158"/>
      <c r="E47" s="197">
        <v>0</v>
      </c>
      <c r="F47" s="197">
        <v>0</v>
      </c>
      <c r="G47" s="197">
        <v>0</v>
      </c>
    </row>
    <row r="48" spans="1:7" s="351" customFormat="1" ht="11.4" outlineLevel="1" x14ac:dyDescent="0.2">
      <c r="A48" s="7" t="s">
        <v>6009</v>
      </c>
      <c r="B48" s="161" t="s">
        <v>5968</v>
      </c>
      <c r="C48" s="162">
        <f t="shared" si="5"/>
        <v>0</v>
      </c>
      <c r="D48" s="158"/>
      <c r="E48" s="144">
        <f>E46+E47</f>
        <v>0</v>
      </c>
      <c r="F48" s="144">
        <f>F46+F47</f>
        <v>0</v>
      </c>
      <c r="G48" s="144">
        <f>G46+G47</f>
        <v>0</v>
      </c>
    </row>
    <row r="49" spans="1:7" s="351" customFormat="1" ht="11.4" outlineLevel="1" x14ac:dyDescent="0.2">
      <c r="A49" s="7" t="s">
        <v>6010</v>
      </c>
      <c r="B49" s="188" t="s">
        <v>5969</v>
      </c>
      <c r="C49" s="189">
        <f t="shared" si="5"/>
        <v>0</v>
      </c>
      <c r="D49" s="158"/>
      <c r="E49" s="196">
        <v>0</v>
      </c>
      <c r="F49" s="196">
        <v>0</v>
      </c>
      <c r="G49" s="196">
        <v>0</v>
      </c>
    </row>
    <row r="50" spans="1:7" s="351" customFormat="1" ht="11.4" outlineLevel="1" x14ac:dyDescent="0.2">
      <c r="A50" s="7" t="s">
        <v>6011</v>
      </c>
      <c r="B50" s="190" t="s">
        <v>5970</v>
      </c>
      <c r="C50" s="191">
        <f t="shared" si="5"/>
        <v>0</v>
      </c>
      <c r="D50" s="158"/>
      <c r="E50" s="197">
        <v>0</v>
      </c>
      <c r="F50" s="197">
        <v>0</v>
      </c>
      <c r="G50" s="197">
        <v>0</v>
      </c>
    </row>
    <row r="51" spans="1:7" s="351" customFormat="1" ht="11.4" outlineLevel="1" x14ac:dyDescent="0.2">
      <c r="A51" s="7" t="s">
        <v>6012</v>
      </c>
      <c r="B51" s="161" t="s">
        <v>5971</v>
      </c>
      <c r="C51" s="162">
        <f t="shared" si="5"/>
        <v>0</v>
      </c>
      <c r="D51" s="158"/>
      <c r="E51" s="144">
        <f>E49+E50</f>
        <v>0</v>
      </c>
      <c r="F51" s="144">
        <f>F49+F50</f>
        <v>0</v>
      </c>
      <c r="G51" s="144">
        <f>G49+G50</f>
        <v>0</v>
      </c>
    </row>
    <row r="52" spans="1:7" s="351" customFormat="1" x14ac:dyDescent="0.3">
      <c r="A52" s="350"/>
      <c r="B52" s="348"/>
      <c r="C52" s="348"/>
      <c r="D52" s="348"/>
      <c r="E52" s="709"/>
      <c r="F52" s="709"/>
      <c r="G52" s="709"/>
    </row>
    <row r="53" spans="1:7" x14ac:dyDescent="0.2">
      <c r="A53" s="350"/>
      <c r="B53" s="454" t="s">
        <v>5972</v>
      </c>
      <c r="C53" s="348"/>
      <c r="D53" s="348"/>
      <c r="E53" s="709"/>
      <c r="F53" s="709"/>
      <c r="G53" s="709"/>
    </row>
    <row r="54" spans="1:7" x14ac:dyDescent="0.2">
      <c r="B54" s="457">
        <v>2026</v>
      </c>
      <c r="C54" s="74"/>
      <c r="D54" s="74"/>
      <c r="E54" s="75"/>
      <c r="F54" s="75"/>
      <c r="G54" s="75"/>
    </row>
    <row r="55" spans="1:7" ht="11.4" outlineLevel="1" x14ac:dyDescent="0.2">
      <c r="B55" s="71" t="s">
        <v>5915</v>
      </c>
      <c r="C55" s="135"/>
      <c r="D55" s="135"/>
      <c r="E55" s="77">
        <f>1+E56</f>
        <v>1.0189999999999999</v>
      </c>
      <c r="F55" s="77">
        <f>1+F56</f>
        <v>1.0189999999999999</v>
      </c>
      <c r="G55" s="77">
        <f>1+G56</f>
        <v>1.0189999999999999</v>
      </c>
    </row>
    <row r="56" spans="1:7" ht="11.4" outlineLevel="1" x14ac:dyDescent="0.2">
      <c r="A56" s="85" t="s">
        <v>1376</v>
      </c>
      <c r="B56" s="71" t="s">
        <v>5916</v>
      </c>
      <c r="C56" s="135"/>
      <c r="D56" s="135"/>
      <c r="E56" s="77">
        <f>E57-E58+E59+E60</f>
        <v>1.9E-2</v>
      </c>
      <c r="F56" s="77">
        <f>F57-F58+F59+F60</f>
        <v>1.9E-2</v>
      </c>
      <c r="G56" s="77">
        <f>G57-G58+G59+G60</f>
        <v>1.9E-2</v>
      </c>
    </row>
    <row r="57" spans="1:7" ht="11.4" outlineLevel="1" x14ac:dyDescent="0.2">
      <c r="A57" s="85" t="s">
        <v>1355</v>
      </c>
      <c r="B57" s="20" t="s">
        <v>122</v>
      </c>
      <c r="C57" s="78">
        <f>'Parametri MTR-3'!$J$4</f>
        <v>1.9E-2</v>
      </c>
      <c r="D57" s="136"/>
      <c r="E57" s="78">
        <f>$C$57</f>
        <v>1.9E-2</v>
      </c>
      <c r="F57" s="78">
        <f>$C$57</f>
        <v>1.9E-2</v>
      </c>
      <c r="G57" s="78">
        <f>$C$57</f>
        <v>1.9E-2</v>
      </c>
    </row>
    <row r="58" spans="1:7" ht="11.4" outlineLevel="1" x14ac:dyDescent="0.2">
      <c r="A58" s="85" t="s">
        <v>993</v>
      </c>
      <c r="B58" s="173" t="s">
        <v>5917</v>
      </c>
      <c r="C58" s="136"/>
      <c r="D58" s="136"/>
      <c r="E58" s="176">
        <f>INDEX(IN_PAR!$A$3:$AAA$413,MATCH($A58,IN_PAR!$A$3:$A$413,0),MATCH(E$3,IN_PAR!$A$3:$AAA$3,0))</f>
        <v>0</v>
      </c>
      <c r="F58" s="176">
        <f>INDEX(IN_PAR!$A$3:$AAA$413,MATCH($A58,IN_PAR!$A$3:$A$413,0),MATCH(F$3,IN_PAR!$A$3:$AAA$3,0))</f>
        <v>0</v>
      </c>
      <c r="G58" s="176">
        <f>INDEX(IN_PAR!$A$3:$AAA$413,MATCH($A58,IN_PAR!$A$3:$A$413,0),MATCH(G$3,IN_PAR!$A$3:$AAA$3,0))</f>
        <v>0</v>
      </c>
    </row>
    <row r="59" spans="1:7" ht="11.4" outlineLevel="1" x14ac:dyDescent="0.2">
      <c r="A59" s="85" t="s">
        <v>1372</v>
      </c>
      <c r="B59" s="174" t="s">
        <v>6053</v>
      </c>
      <c r="C59" s="136"/>
      <c r="D59" s="136"/>
      <c r="E59" s="177">
        <f>INDEX(IN_PAR!$A$3:$AAA$413,MATCH($A59,IN_PAR!$A$3:$A$413,0),MATCH(E$3,IN_PAR!$A$3:$AAA$3,0))</f>
        <v>0</v>
      </c>
      <c r="F59" s="177">
        <f>INDEX(IN_PAR!$A$3:$AAA$413,MATCH($A59,IN_PAR!$A$3:$A$413,0),MATCH(F$3,IN_PAR!$A$3:$AAA$3,0))</f>
        <v>0</v>
      </c>
      <c r="G59" s="177">
        <f>INDEX(IN_PAR!$A$3:$AAA$413,MATCH($A59,IN_PAR!$A$3:$A$413,0),MATCH(G$3,IN_PAR!$A$3:$AAA$3,0))</f>
        <v>0</v>
      </c>
    </row>
    <row r="60" spans="1:7" ht="11.4" outlineLevel="1" x14ac:dyDescent="0.2">
      <c r="A60" s="85" t="s">
        <v>953</v>
      </c>
      <c r="B60" s="174" t="s">
        <v>6052</v>
      </c>
      <c r="C60" s="136"/>
      <c r="D60" s="136"/>
      <c r="E60" s="177">
        <f>INDEX(IN_PAR!$A$3:$AAA$413,MATCH($A60,IN_PAR!$A$3:$A$413,0),MATCH(E$3,IN_PAR!$A$3:$AAA$3,0))</f>
        <v>0</v>
      </c>
      <c r="F60" s="177">
        <f>INDEX(IN_PAR!$A$3:$AAA$413,MATCH($A60,IN_PAR!$A$3:$A$413,0),MATCH(F$3,IN_PAR!$A$3:$AAA$3,0))</f>
        <v>0</v>
      </c>
      <c r="G60" s="177">
        <f>INDEX(IN_PAR!$A$3:$AAA$413,MATCH($A60,IN_PAR!$A$3:$A$413,0),MATCH(G$3,IN_PAR!$A$3:$AAA$3,0))</f>
        <v>0</v>
      </c>
    </row>
    <row r="61" spans="1:7" outlineLevel="1" x14ac:dyDescent="0.2">
      <c r="B61" s="65" t="s">
        <v>123</v>
      </c>
      <c r="C61" s="137"/>
      <c r="D61" s="137"/>
      <c r="E61" s="708" t="str">
        <f>IF(E56&gt;8.8%,"errore","ok")</f>
        <v>ok</v>
      </c>
      <c r="F61" s="708" t="str">
        <f>IF(F56&gt;8.8%,"errore","ok")</f>
        <v>ok</v>
      </c>
      <c r="G61" s="708" t="str">
        <f>IF(G56&gt;8.8%,"errore","ok")</f>
        <v>ok</v>
      </c>
    </row>
    <row r="62" spans="1:7" outlineLevel="1" x14ac:dyDescent="0.2"/>
    <row r="63" spans="1:7" ht="11.4" outlineLevel="1" x14ac:dyDescent="0.2">
      <c r="A63" s="31" t="s">
        <v>3262</v>
      </c>
      <c r="B63" s="178" t="s">
        <v>6056</v>
      </c>
      <c r="C63" s="179">
        <f t="shared" ref="C63:C74" si="6">SUM(E63:AAA63)</f>
        <v>9035624.7360059675</v>
      </c>
      <c r="D63" s="135"/>
      <c r="E63" s="182">
        <f>INDEX(PEF_GEST_26!$A$3:$AAA$102,MATCH($A63,PEF_GEST_26!$A$3:$A$102,0),MATCH(E$3,PEF_GEST_26!$A$3:$AAA$3,0))</f>
        <v>7914332.885408367</v>
      </c>
      <c r="F63" s="182">
        <f>INDEX(PEF_GEST_26!$A$3:$AAA$102,MATCH($A63,PEF_GEST_26!$A$3:$A$102,0),MATCH(F$3,PEF_GEST_26!$A$3:$AAA$3,0))</f>
        <v>1121291.8505976</v>
      </c>
      <c r="G63" s="182">
        <f>INDEX(PEF_GEST_26!$A$3:$AAA$102,MATCH($A63,PEF_GEST_26!$A$3:$A$102,0),MATCH(G$3,PEF_GEST_26!$A$3:$AAA$3,0))</f>
        <v>0</v>
      </c>
    </row>
    <row r="64" spans="1:7" ht="11.4" outlineLevel="1" x14ac:dyDescent="0.2">
      <c r="A64" s="31" t="s">
        <v>5480</v>
      </c>
      <c r="B64" s="180" t="s">
        <v>6057</v>
      </c>
      <c r="C64" s="181">
        <f t="shared" si="6"/>
        <v>0</v>
      </c>
      <c r="D64" s="135"/>
      <c r="E64" s="183">
        <f>INDEX(PEF_COM_26!$A$3:$AAA$102,MATCH($A64,PEF_COM_26!$A$3:$A$102,0),MATCH(E$3,PEF_COM_26!$A$3:$AAA$3,0))</f>
        <v>0</v>
      </c>
      <c r="F64" s="183">
        <f>INDEX(PEF_COM_26!$A$3:$AAA$102,MATCH($A64,PEF_COM_26!$A$3:$A$102,0),MATCH(F$3,PEF_COM_26!$A$3:$AAA$3,0))</f>
        <v>0</v>
      </c>
      <c r="G64" s="183">
        <f>INDEX(PEF_COM_26!$A$3:$AAA$102,MATCH($A64,PEF_COM_26!$A$3:$A$102,0),MATCH(G$3,PEF_COM_26!$A$3:$AAA$3,0))</f>
        <v>0</v>
      </c>
    </row>
    <row r="65" spans="1:7" ht="11.4" outlineLevel="1" x14ac:dyDescent="0.2">
      <c r="A65" s="31" t="s">
        <v>6054</v>
      </c>
      <c r="B65" s="142" t="s">
        <v>6060</v>
      </c>
      <c r="C65" s="143">
        <f t="shared" si="6"/>
        <v>9035624.7360059675</v>
      </c>
      <c r="D65" s="135"/>
      <c r="E65" s="144">
        <f>E63+E64</f>
        <v>7914332.885408367</v>
      </c>
      <c r="F65" s="144">
        <f>F63+F64</f>
        <v>1121291.8505976</v>
      </c>
      <c r="G65" s="144">
        <f>G63+G64</f>
        <v>0</v>
      </c>
    </row>
    <row r="66" spans="1:7" ht="11.4" outlineLevel="1" x14ac:dyDescent="0.2">
      <c r="A66" s="31" t="s">
        <v>3263</v>
      </c>
      <c r="B66" s="178" t="s">
        <v>6058</v>
      </c>
      <c r="C66" s="179">
        <f t="shared" si="6"/>
        <v>7666727.8733342355</v>
      </c>
      <c r="D66" s="135"/>
      <c r="E66" s="182">
        <f>INDEX(PEF_GEST_26!$A$3:$AAA$102,MATCH($A66,PEF_GEST_26!$A$3:$A$102,0),MATCH(E$3,PEF_GEST_26!$A$3:$AAA$3,0))</f>
        <v>7531568.5899443226</v>
      </c>
      <c r="F66" s="182">
        <f>INDEX(PEF_GEST_26!$A$3:$AAA$102,MATCH($A66,PEF_GEST_26!$A$3:$A$102,0),MATCH(F$3,PEF_GEST_26!$A$3:$AAA$3,0))</f>
        <v>135159.28338991333</v>
      </c>
      <c r="G66" s="182">
        <f>INDEX(PEF_GEST_26!$A$3:$AAA$102,MATCH($A66,PEF_GEST_26!$A$3:$A$102,0),MATCH(G$3,PEF_GEST_26!$A$3:$AAA$3,0))</f>
        <v>0</v>
      </c>
    </row>
    <row r="67" spans="1:7" ht="11.4" outlineLevel="1" x14ac:dyDescent="0.2">
      <c r="A67" s="31" t="s">
        <v>5489</v>
      </c>
      <c r="B67" s="180" t="s">
        <v>6059</v>
      </c>
      <c r="C67" s="181">
        <f t="shared" si="6"/>
        <v>54149.194963047281</v>
      </c>
      <c r="D67" s="135"/>
      <c r="E67" s="183">
        <f>INDEX(PEF_COM_26!$A$3:$AAA$102,MATCH($A67,PEF_COM_26!$A$3:$A$102,0),MATCH(E$3,PEF_COM_26!$A$3:$AAA$3,0))</f>
        <v>0</v>
      </c>
      <c r="F67" s="183">
        <f>INDEX(PEF_COM_26!$A$3:$AAA$102,MATCH($A67,PEF_COM_26!$A$3:$A$102,0),MATCH(F$3,PEF_COM_26!$A$3:$AAA$3,0))</f>
        <v>0</v>
      </c>
      <c r="G67" s="183">
        <f>INDEX(PEF_COM_26!$A$3:$AAA$102,MATCH($A67,PEF_COM_26!$A$3:$A$102,0),MATCH(G$3,PEF_COM_26!$A$3:$AAA$3,0))</f>
        <v>54149.194963047281</v>
      </c>
    </row>
    <row r="68" spans="1:7" ht="11.4" outlineLevel="1" x14ac:dyDescent="0.2">
      <c r="A68" s="31" t="s">
        <v>6055</v>
      </c>
      <c r="B68" s="142" t="s">
        <v>6061</v>
      </c>
      <c r="C68" s="143">
        <f t="shared" si="6"/>
        <v>7720877.0682972828</v>
      </c>
      <c r="D68" s="135"/>
      <c r="E68" s="144">
        <f>E66+E67</f>
        <v>7531568.5899443226</v>
      </c>
      <c r="F68" s="144">
        <f>F66+F67</f>
        <v>135159.28338991333</v>
      </c>
      <c r="G68" s="144">
        <f>G66+G67</f>
        <v>54149.194963047281</v>
      </c>
    </row>
    <row r="69" spans="1:7" ht="11.4" outlineLevel="1" x14ac:dyDescent="0.2">
      <c r="A69" s="31" t="s">
        <v>3266</v>
      </c>
      <c r="B69" s="178" t="s">
        <v>5919</v>
      </c>
      <c r="C69" s="179">
        <f t="shared" si="6"/>
        <v>16702352.609340202</v>
      </c>
      <c r="D69" s="135"/>
      <c r="E69" s="182">
        <f>INDEX(PEF_GEST_26!$A$3:$AAA$102,MATCH($A69,PEF_GEST_26!$A$3:$A$102,0),MATCH(E$3,PEF_GEST_26!$A$3:$AAA$3,0))</f>
        <v>15445901.47535269</v>
      </c>
      <c r="F69" s="182">
        <f>INDEX(PEF_GEST_26!$A$3:$AAA$102,MATCH($A69,PEF_GEST_26!$A$3:$A$102,0),MATCH(F$3,PEF_GEST_26!$A$3:$AAA$3,0))</f>
        <v>1256451.1339875134</v>
      </c>
      <c r="G69" s="182">
        <f>INDEX(PEF_GEST_26!$A$3:$AAA$102,MATCH($A69,PEF_GEST_26!$A$3:$A$102,0),MATCH(G$3,PEF_GEST_26!$A$3:$AAA$3,0))</f>
        <v>0</v>
      </c>
    </row>
    <row r="70" spans="1:7" ht="11.4" outlineLevel="1" x14ac:dyDescent="0.2">
      <c r="A70" s="31" t="s">
        <v>5497</v>
      </c>
      <c r="B70" s="180" t="s">
        <v>5920</v>
      </c>
      <c r="C70" s="181">
        <f t="shared" si="6"/>
        <v>54149.194963047281</v>
      </c>
      <c r="D70" s="135"/>
      <c r="E70" s="183">
        <f>INDEX(PEF_COM_26!$A$3:$AAA$102,MATCH($A70,PEF_COM_26!$A$3:$A$102,0),MATCH(E$3,PEF_COM_26!$A$3:$AAA$3,0))</f>
        <v>0</v>
      </c>
      <c r="F70" s="183">
        <f>INDEX(PEF_COM_26!$A$3:$AAA$102,MATCH($A70,PEF_COM_26!$A$3:$A$102,0),MATCH(F$3,PEF_COM_26!$A$3:$AAA$3,0))</f>
        <v>0</v>
      </c>
      <c r="G70" s="183">
        <f>INDEX(PEF_COM_26!$A$3:$AAA$102,MATCH($A70,PEF_COM_26!$A$3:$A$102,0),MATCH(G$3,PEF_COM_26!$A$3:$AAA$3,0))</f>
        <v>54149.194963047281</v>
      </c>
    </row>
    <row r="71" spans="1:7" ht="11.4" outlineLevel="1" x14ac:dyDescent="0.2">
      <c r="A71" s="31" t="s">
        <v>5918</v>
      </c>
      <c r="B71" s="142" t="s">
        <v>6062</v>
      </c>
      <c r="C71" s="143">
        <f t="shared" si="6"/>
        <v>16756501.804303249</v>
      </c>
      <c r="D71" s="135"/>
      <c r="E71" s="144">
        <f>E69+E70</f>
        <v>15445901.47535269</v>
      </c>
      <c r="F71" s="144">
        <f>F69+F70</f>
        <v>1256451.1339875134</v>
      </c>
      <c r="G71" s="144">
        <f>G69+G70</f>
        <v>54149.194963047281</v>
      </c>
    </row>
    <row r="72" spans="1:7" ht="11.4" outlineLevel="1" x14ac:dyDescent="0.2">
      <c r="A72" s="85" t="s">
        <v>228</v>
      </c>
      <c r="B72" s="173" t="s">
        <v>5921</v>
      </c>
      <c r="C72" s="184">
        <f t="shared" si="6"/>
        <v>9585446.6099999994</v>
      </c>
      <c r="D72" s="147"/>
      <c r="E72" s="186">
        <f>INDEX(IN_PAR!$A$3:$YE$413,MATCH($A72,IN_PAR!$A$3:$A$413,0),MATCH(E$3,IN_PAR!$A$3:$YE$3,0))</f>
        <v>9585446.6099999994</v>
      </c>
      <c r="F72" s="186">
        <f>INDEX(IN_PAR!$A$3:$YE$413,MATCH($A72,IN_PAR!$A$3:$A$413,0),MATCH(F$3,IN_PAR!$A$3:$YE$3,0))</f>
        <v>0</v>
      </c>
      <c r="G72" s="186">
        <f>INDEX(IN_PAR!$A$3:$YE$413,MATCH($A72,IN_PAR!$A$3:$A$413,0),MATCH(G$3,IN_PAR!$A$3:$YE$3,0))</f>
        <v>0</v>
      </c>
    </row>
    <row r="73" spans="1:7" ht="11.4" outlineLevel="1" x14ac:dyDescent="0.2">
      <c r="A73" s="85" t="s">
        <v>229</v>
      </c>
      <c r="B73" s="175" t="s">
        <v>5922</v>
      </c>
      <c r="C73" s="185">
        <f t="shared" si="6"/>
        <v>6765815.0800000001</v>
      </c>
      <c r="D73" s="147"/>
      <c r="E73" s="187">
        <f>INDEX(IN_PAR!$A$3:$YE$413,MATCH($A73,IN_PAR!$A$3:$A$413,0),MATCH(E$3,IN_PAR!$A$3:$YE$3,0))</f>
        <v>6765815.0800000001</v>
      </c>
      <c r="F73" s="187">
        <f>INDEX(IN_PAR!$A$3:$YE$413,MATCH($A73,IN_PAR!$A$3:$A$413,0),MATCH(F$3,IN_PAR!$A$3:$YE$3,0))</f>
        <v>0</v>
      </c>
      <c r="G73" s="187">
        <f>INDEX(IN_PAR!$A$3:$YE$413,MATCH($A73,IN_PAR!$A$3:$A$413,0),MATCH(G$3,IN_PAR!$A$3:$YE$3,0))</f>
        <v>0</v>
      </c>
    </row>
    <row r="74" spans="1:7" ht="11.4" outlineLevel="1" x14ac:dyDescent="0.2">
      <c r="A74" s="85" t="s">
        <v>230</v>
      </c>
      <c r="B74" s="145" t="s">
        <v>5923</v>
      </c>
      <c r="C74" s="146">
        <f t="shared" si="6"/>
        <v>16351261.689999999</v>
      </c>
      <c r="D74" s="148"/>
      <c r="E74" s="149">
        <f>E72+E73</f>
        <v>16351261.689999999</v>
      </c>
      <c r="F74" s="149">
        <f>F72+F73</f>
        <v>0</v>
      </c>
      <c r="G74" s="149">
        <f>G72+G73</f>
        <v>0</v>
      </c>
    </row>
    <row r="75" spans="1:7" ht="21" customHeight="1" outlineLevel="1" x14ac:dyDescent="0.2">
      <c r="B75" s="74"/>
      <c r="C75" s="74"/>
      <c r="D75" s="74"/>
      <c r="E75" s="75"/>
      <c r="F75" s="75"/>
      <c r="G75" s="75"/>
    </row>
    <row r="76" spans="1:7" s="159" customFormat="1" ht="11.4" outlineLevel="1" x14ac:dyDescent="0.2">
      <c r="A76" s="85" t="s">
        <v>5924</v>
      </c>
      <c r="B76" s="150" t="s">
        <v>5925</v>
      </c>
      <c r="C76" s="74"/>
      <c r="D76" s="74"/>
      <c r="E76" s="133">
        <f>E71/E74</f>
        <v>0.94463055929188611</v>
      </c>
      <c r="F76" s="133" t="e">
        <f>F71/F74</f>
        <v>#DIV/0!</v>
      </c>
      <c r="G76" s="133" t="e">
        <f>G71/G74</f>
        <v>#DIV/0!</v>
      </c>
    </row>
    <row r="77" spans="1:7" s="159" customFormat="1" outlineLevel="1" x14ac:dyDescent="0.2">
      <c r="A77" s="85"/>
      <c r="B77" s="154" t="s">
        <v>218</v>
      </c>
      <c r="C77" s="74"/>
      <c r="D77" s="74"/>
      <c r="E77" s="155" t="str">
        <f>IF(E76&lt;=(1+E56),"NO","SI")</f>
        <v>NO</v>
      </c>
      <c r="F77" s="155" t="e">
        <f>IF(F76&lt;=(1+F56),"NO","SI")</f>
        <v>#DIV/0!</v>
      </c>
      <c r="G77" s="155" t="e">
        <f>IF(G76&lt;=(1+G56),"NO","SI")</f>
        <v>#DIV/0!</v>
      </c>
    </row>
    <row r="78" spans="1:7" s="159" customFormat="1" ht="11.4" outlineLevel="1" x14ac:dyDescent="0.2">
      <c r="A78" s="85" t="s">
        <v>5926</v>
      </c>
      <c r="B78" s="76" t="s">
        <v>5927</v>
      </c>
      <c r="C78" s="140">
        <f t="shared" ref="C78:C79" si="7">SUM(E78:AAA78)</f>
        <v>15445901.47535269</v>
      </c>
      <c r="D78" s="74"/>
      <c r="E78" s="141">
        <f>IF(E71&lt;=E74*E55,E71,E74*E55)</f>
        <v>15445901.47535269</v>
      </c>
      <c r="F78" s="141">
        <f>IF(F71&lt;=F74*F55,F71,F74*F55)</f>
        <v>0</v>
      </c>
      <c r="G78" s="141">
        <f>IF(G71&lt;=G74*G55,G71,G74*G55)</f>
        <v>0</v>
      </c>
    </row>
    <row r="79" spans="1:7" s="159" customFormat="1" ht="11.4" outlineLevel="1" x14ac:dyDescent="0.2">
      <c r="A79" s="138"/>
      <c r="B79" s="152" t="s">
        <v>6082</v>
      </c>
      <c r="C79" s="140" t="e">
        <f t="shared" si="7"/>
        <v>#DIV/0!</v>
      </c>
      <c r="D79" s="151"/>
      <c r="E79" s="141">
        <f>IF(E76&lt;=E55,0,E71-E78)</f>
        <v>0</v>
      </c>
      <c r="F79" s="141" t="e">
        <f>IF(F76&lt;=F55,0,F71-F78)</f>
        <v>#DIV/0!</v>
      </c>
      <c r="G79" s="141" t="e">
        <f>IF(G76&lt;=G55,0,G71-G78)</f>
        <v>#DIV/0!</v>
      </c>
    </row>
    <row r="80" spans="1:7" s="159" customFormat="1" outlineLevel="1" x14ac:dyDescent="0.2">
      <c r="A80" s="85" t="s">
        <v>6083</v>
      </c>
      <c r="B80" s="153" t="s">
        <v>220</v>
      </c>
      <c r="C80" s="74"/>
      <c r="D80" s="74"/>
      <c r="E80" s="156" t="s">
        <v>221</v>
      </c>
      <c r="F80" s="156" t="s">
        <v>105</v>
      </c>
      <c r="G80" s="156" t="s">
        <v>105</v>
      </c>
    </row>
    <row r="81" spans="1:7" s="159" customFormat="1" ht="20.399999999999999" outlineLevel="1" x14ac:dyDescent="0.2">
      <c r="A81" s="85"/>
      <c r="B81" s="165"/>
      <c r="C81" s="74"/>
      <c r="D81" s="74"/>
      <c r="E81" s="166" t="str">
        <f>IF(E80="SI","Non compilare tabella seguente",IF(E80="NO","Compilare tabella seguente","-"))</f>
        <v>Compilare tabella seguente</v>
      </c>
      <c r="F81" s="166" t="str">
        <f>IF(F80="SI","Non compilare tabella seguente",IF(F80="NO","Compilare tabella seguente","-"))</f>
        <v>-</v>
      </c>
      <c r="G81" s="166" t="str">
        <f>IF(G80="SI","Non compilare tabella seguente",IF(G80="NO","Compilare tabella seguente","-"))</f>
        <v>-</v>
      </c>
    </row>
    <row r="82" spans="1:7" s="157" customFormat="1" ht="11.4" outlineLevel="1" x14ac:dyDescent="0.2">
      <c r="A82" s="7" t="s">
        <v>5928</v>
      </c>
      <c r="B82" s="188" t="s">
        <v>5934</v>
      </c>
      <c r="C82" s="189">
        <f t="shared" ref="C82:C88" si="8">SUM(E82:AAA82)</f>
        <v>0</v>
      </c>
      <c r="D82" s="158"/>
      <c r="E82" s="196">
        <f>+E79/$E$74*E72</f>
        <v>0</v>
      </c>
      <c r="F82" s="196">
        <v>0</v>
      </c>
      <c r="G82" s="196">
        <v>0</v>
      </c>
    </row>
    <row r="83" spans="1:7" s="159" customFormat="1" ht="11.4" outlineLevel="1" x14ac:dyDescent="0.2">
      <c r="A83" s="7" t="s">
        <v>5929</v>
      </c>
      <c r="B83" s="190" t="s">
        <v>5935</v>
      </c>
      <c r="C83" s="191">
        <f t="shared" si="8"/>
        <v>0</v>
      </c>
      <c r="D83" s="158"/>
      <c r="E83" s="197">
        <v>0</v>
      </c>
      <c r="F83" s="197">
        <v>0</v>
      </c>
      <c r="G83" s="197">
        <v>0</v>
      </c>
    </row>
    <row r="84" spans="1:7" s="159" customFormat="1" ht="11.4" outlineLevel="1" x14ac:dyDescent="0.2">
      <c r="A84" s="7" t="s">
        <v>5930</v>
      </c>
      <c r="B84" s="161" t="s">
        <v>5936</v>
      </c>
      <c r="C84" s="162">
        <f t="shared" si="8"/>
        <v>0</v>
      </c>
      <c r="D84" s="158"/>
      <c r="E84" s="144">
        <f>E82+E83</f>
        <v>0</v>
      </c>
      <c r="F84" s="144">
        <f>F82+F83</f>
        <v>0</v>
      </c>
      <c r="G84" s="144">
        <f>G82+G83</f>
        <v>0</v>
      </c>
    </row>
    <row r="85" spans="1:7" s="159" customFormat="1" ht="11.4" outlineLevel="1" x14ac:dyDescent="0.2">
      <c r="A85" s="7" t="s">
        <v>5931</v>
      </c>
      <c r="B85" s="188" t="s">
        <v>5937</v>
      </c>
      <c r="C85" s="189">
        <f t="shared" si="8"/>
        <v>0</v>
      </c>
      <c r="D85" s="158"/>
      <c r="E85" s="196">
        <f>+E79/$E$74*E73</f>
        <v>0</v>
      </c>
      <c r="F85" s="196">
        <v>0</v>
      </c>
      <c r="G85" s="196">
        <v>0</v>
      </c>
    </row>
    <row r="86" spans="1:7" s="159" customFormat="1" ht="11.4" outlineLevel="1" x14ac:dyDescent="0.2">
      <c r="A86" s="7" t="s">
        <v>5932</v>
      </c>
      <c r="B86" s="190" t="s">
        <v>5938</v>
      </c>
      <c r="C86" s="191">
        <f t="shared" si="8"/>
        <v>0</v>
      </c>
      <c r="D86" s="158"/>
      <c r="E86" s="197">
        <v>0</v>
      </c>
      <c r="F86" s="197">
        <v>0</v>
      </c>
      <c r="G86" s="197">
        <v>0</v>
      </c>
    </row>
    <row r="87" spans="1:7" s="157" customFormat="1" ht="11.4" outlineLevel="1" x14ac:dyDescent="0.2">
      <c r="A87" s="7" t="s">
        <v>5933</v>
      </c>
      <c r="B87" s="161" t="s">
        <v>5939</v>
      </c>
      <c r="C87" s="162">
        <f t="shared" si="8"/>
        <v>0</v>
      </c>
      <c r="D87" s="158"/>
      <c r="E87" s="144">
        <f>E85+E86</f>
        <v>0</v>
      </c>
      <c r="F87" s="144">
        <f>F85+F86</f>
        <v>0</v>
      </c>
      <c r="G87" s="144">
        <f>G85+G86</f>
        <v>0</v>
      </c>
    </row>
    <row r="88" spans="1:7" s="159" customFormat="1" ht="11.4" outlineLevel="1" x14ac:dyDescent="0.2">
      <c r="A88" s="157"/>
      <c r="B88" s="152" t="s">
        <v>5940</v>
      </c>
      <c r="C88" s="160" t="e">
        <f t="shared" si="8"/>
        <v>#DIV/0!</v>
      </c>
      <c r="D88" s="164"/>
      <c r="E88" s="139">
        <f t="shared" ref="E88" si="9">E79-E84-E87</f>
        <v>0</v>
      </c>
      <c r="F88" s="139" t="e">
        <f t="shared" ref="F88:G88" si="10">F79-F84-F87</f>
        <v>#DIV/0!</v>
      </c>
      <c r="G88" s="139" t="e">
        <f t="shared" si="10"/>
        <v>#DIV/0!</v>
      </c>
    </row>
    <row r="89" spans="1:7" s="159" customFormat="1" outlineLevel="1" x14ac:dyDescent="0.2">
      <c r="A89" s="157"/>
      <c r="B89" s="158"/>
      <c r="C89" s="158"/>
      <c r="D89" s="158"/>
      <c r="E89" s="713"/>
      <c r="F89" s="713"/>
      <c r="G89" s="713"/>
    </row>
    <row r="90" spans="1:7" s="159" customFormat="1" ht="11.4" outlineLevel="1" x14ac:dyDescent="0.2">
      <c r="A90" s="163"/>
      <c r="B90" s="154" t="s">
        <v>5973</v>
      </c>
      <c r="C90" s="162">
        <f t="shared" ref="C90:C95" si="11">SUM(E90:AAA90)</f>
        <v>0</v>
      </c>
      <c r="D90" s="158"/>
      <c r="E90" s="144">
        <f>E82</f>
        <v>0</v>
      </c>
      <c r="F90" s="144">
        <f>F82</f>
        <v>0</v>
      </c>
      <c r="G90" s="144">
        <f>G82</f>
        <v>0</v>
      </c>
    </row>
    <row r="91" spans="1:7" s="157" customFormat="1" ht="11.4" outlineLevel="1" x14ac:dyDescent="0.2">
      <c r="A91" s="7" t="s">
        <v>5979</v>
      </c>
      <c r="B91" s="188" t="s">
        <v>5975</v>
      </c>
      <c r="C91" s="189">
        <f t="shared" si="11"/>
        <v>0</v>
      </c>
      <c r="D91" s="158"/>
      <c r="E91" s="196">
        <v>0</v>
      </c>
      <c r="F91" s="196">
        <v>0</v>
      </c>
      <c r="G91" s="196">
        <v>0</v>
      </c>
    </row>
    <row r="92" spans="1:7" s="159" customFormat="1" ht="11.4" outlineLevel="1" x14ac:dyDescent="0.2">
      <c r="A92" s="7" t="s">
        <v>5980</v>
      </c>
      <c r="B92" s="710" t="s">
        <v>5976</v>
      </c>
      <c r="C92" s="711">
        <f t="shared" si="11"/>
        <v>0</v>
      </c>
      <c r="D92" s="158"/>
      <c r="E92" s="712">
        <v>0</v>
      </c>
      <c r="F92" s="712">
        <v>0</v>
      </c>
      <c r="G92" s="712">
        <v>0</v>
      </c>
    </row>
    <row r="93" spans="1:7" s="159" customFormat="1" ht="11.4" outlineLevel="1" x14ac:dyDescent="0.2">
      <c r="A93" s="7" t="s">
        <v>5981</v>
      </c>
      <c r="B93" s="710" t="s">
        <v>5977</v>
      </c>
      <c r="C93" s="711">
        <f t="shared" si="11"/>
        <v>0</v>
      </c>
      <c r="D93" s="158"/>
      <c r="E93" s="712">
        <v>0</v>
      </c>
      <c r="F93" s="712">
        <v>0</v>
      </c>
      <c r="G93" s="712">
        <v>0</v>
      </c>
    </row>
    <row r="94" spans="1:7" s="159" customFormat="1" ht="11.4" outlineLevel="1" x14ac:dyDescent="0.2">
      <c r="A94" s="7" t="s">
        <v>5982</v>
      </c>
      <c r="B94" s="190" t="s">
        <v>5978</v>
      </c>
      <c r="C94" s="191">
        <f t="shared" si="11"/>
        <v>0</v>
      </c>
      <c r="D94" s="158"/>
      <c r="E94" s="197">
        <v>0</v>
      </c>
      <c r="F94" s="197">
        <v>0</v>
      </c>
      <c r="G94" s="197">
        <v>0</v>
      </c>
    </row>
    <row r="95" spans="1:7" s="159" customFormat="1" ht="11.4" outlineLevel="1" x14ac:dyDescent="0.2">
      <c r="A95" s="157"/>
      <c r="B95" s="152" t="s">
        <v>5974</v>
      </c>
      <c r="C95" s="160">
        <f t="shared" si="11"/>
        <v>0</v>
      </c>
      <c r="D95" s="164"/>
      <c r="E95" s="139">
        <f>E90-SUM(E91:E94)</f>
        <v>0</v>
      </c>
      <c r="F95" s="139">
        <f>F90-SUM(F91:F94)</f>
        <v>0</v>
      </c>
      <c r="G95" s="139">
        <f>G90-SUM(G91:G94)</f>
        <v>0</v>
      </c>
    </row>
    <row r="96" spans="1:7" s="159" customFormat="1" outlineLevel="1" x14ac:dyDescent="0.2">
      <c r="A96" s="157"/>
      <c r="B96" s="714"/>
      <c r="C96" s="715"/>
      <c r="D96" s="164"/>
      <c r="E96" s="716"/>
      <c r="F96" s="716"/>
      <c r="G96" s="716"/>
    </row>
    <row r="97" spans="1:7" s="159" customFormat="1" ht="11.4" outlineLevel="1" x14ac:dyDescent="0.2">
      <c r="A97" s="163"/>
      <c r="B97" s="154" t="s">
        <v>6017</v>
      </c>
      <c r="C97" s="162">
        <f t="shared" ref="C97:C102" si="12">SUM(E97:AAA97)</f>
        <v>0</v>
      </c>
      <c r="D97" s="158"/>
      <c r="E97" s="144">
        <f t="shared" ref="E97" si="13">E83</f>
        <v>0</v>
      </c>
      <c r="F97" s="144">
        <f t="shared" ref="F97:G97" si="14">F83</f>
        <v>0</v>
      </c>
      <c r="G97" s="144">
        <f t="shared" si="14"/>
        <v>0</v>
      </c>
    </row>
    <row r="98" spans="1:7" s="157" customFormat="1" ht="11.4" outlineLevel="1" x14ac:dyDescent="0.2">
      <c r="A98" s="7" t="s">
        <v>6013</v>
      </c>
      <c r="B98" s="188" t="s">
        <v>6018</v>
      </c>
      <c r="C98" s="189">
        <f t="shared" si="12"/>
        <v>0</v>
      </c>
      <c r="D98" s="158"/>
      <c r="E98" s="196">
        <v>0</v>
      </c>
      <c r="F98" s="196">
        <v>0</v>
      </c>
      <c r="G98" s="196">
        <v>0</v>
      </c>
    </row>
    <row r="99" spans="1:7" s="159" customFormat="1" ht="11.4" outlineLevel="1" x14ac:dyDescent="0.2">
      <c r="A99" s="7" t="s">
        <v>6014</v>
      </c>
      <c r="B99" s="710" t="s">
        <v>6019</v>
      </c>
      <c r="C99" s="711">
        <f t="shared" si="12"/>
        <v>0</v>
      </c>
      <c r="D99" s="158"/>
      <c r="E99" s="712">
        <v>0</v>
      </c>
      <c r="F99" s="712">
        <v>0</v>
      </c>
      <c r="G99" s="712">
        <v>0</v>
      </c>
    </row>
    <row r="100" spans="1:7" s="159" customFormat="1" ht="11.4" outlineLevel="1" x14ac:dyDescent="0.2">
      <c r="A100" s="7" t="s">
        <v>6015</v>
      </c>
      <c r="B100" s="710" t="s">
        <v>6020</v>
      </c>
      <c r="C100" s="711">
        <f t="shared" si="12"/>
        <v>0</v>
      </c>
      <c r="D100" s="158"/>
      <c r="E100" s="712">
        <v>0</v>
      </c>
      <c r="F100" s="712">
        <v>0</v>
      </c>
      <c r="G100" s="712">
        <v>0</v>
      </c>
    </row>
    <row r="101" spans="1:7" s="159" customFormat="1" ht="11.4" outlineLevel="1" x14ac:dyDescent="0.2">
      <c r="A101" s="7" t="s">
        <v>6016</v>
      </c>
      <c r="B101" s="190" t="s">
        <v>6021</v>
      </c>
      <c r="C101" s="191">
        <f t="shared" si="12"/>
        <v>0</v>
      </c>
      <c r="D101" s="158"/>
      <c r="E101" s="197">
        <v>0</v>
      </c>
      <c r="F101" s="197">
        <v>0</v>
      </c>
      <c r="G101" s="197">
        <v>0</v>
      </c>
    </row>
    <row r="102" spans="1:7" s="159" customFormat="1" ht="11.4" outlineLevel="1" x14ac:dyDescent="0.2">
      <c r="A102" s="157"/>
      <c r="B102" s="152" t="s">
        <v>6022</v>
      </c>
      <c r="C102" s="160">
        <f t="shared" si="12"/>
        <v>0</v>
      </c>
      <c r="D102" s="164"/>
      <c r="E102" s="139">
        <f>E97-SUM(E98:E101)</f>
        <v>0</v>
      </c>
      <c r="F102" s="139">
        <f>F97-SUM(F98:F101)</f>
        <v>0</v>
      </c>
      <c r="G102" s="139">
        <f>G97-SUM(G98:G101)</f>
        <v>0</v>
      </c>
    </row>
    <row r="103" spans="1:7" s="159" customFormat="1" outlineLevel="1" x14ac:dyDescent="0.2">
      <c r="A103" s="157"/>
      <c r="B103" s="714"/>
      <c r="C103" s="715"/>
      <c r="D103" s="164"/>
      <c r="E103" s="716"/>
      <c r="F103" s="716"/>
      <c r="G103" s="716"/>
    </row>
    <row r="104" spans="1:7" s="159" customFormat="1" ht="11.4" outlineLevel="1" x14ac:dyDescent="0.2">
      <c r="A104" s="163"/>
      <c r="B104" s="154" t="s">
        <v>226</v>
      </c>
      <c r="C104" s="162">
        <f t="shared" ref="C104:C109" si="15">SUM(E104:AAA104)</f>
        <v>0</v>
      </c>
      <c r="D104" s="158"/>
      <c r="E104" s="144">
        <f>E85</f>
        <v>0</v>
      </c>
      <c r="F104" s="144">
        <f>F85</f>
        <v>0</v>
      </c>
      <c r="G104" s="144">
        <f>G85</f>
        <v>0</v>
      </c>
    </row>
    <row r="105" spans="1:7" s="157" customFormat="1" ht="11.4" outlineLevel="1" x14ac:dyDescent="0.2">
      <c r="A105" s="7" t="s">
        <v>6023</v>
      </c>
      <c r="B105" s="188" t="s">
        <v>6027</v>
      </c>
      <c r="C105" s="189">
        <f t="shared" si="15"/>
        <v>0</v>
      </c>
      <c r="D105" s="158"/>
      <c r="E105" s="196">
        <v>0</v>
      </c>
      <c r="F105" s="196">
        <v>0</v>
      </c>
      <c r="G105" s="196">
        <v>0</v>
      </c>
    </row>
    <row r="106" spans="1:7" s="159" customFormat="1" ht="11.4" outlineLevel="1" x14ac:dyDescent="0.2">
      <c r="A106" s="7" t="s">
        <v>6024</v>
      </c>
      <c r="B106" s="710" t="s">
        <v>6028</v>
      </c>
      <c r="C106" s="711">
        <f t="shared" si="15"/>
        <v>0</v>
      </c>
      <c r="D106" s="158"/>
      <c r="E106" s="712">
        <v>0</v>
      </c>
      <c r="F106" s="712">
        <v>0</v>
      </c>
      <c r="G106" s="712">
        <v>0</v>
      </c>
    </row>
    <row r="107" spans="1:7" s="159" customFormat="1" ht="11.4" outlineLevel="1" x14ac:dyDescent="0.2">
      <c r="A107" s="7" t="s">
        <v>6025</v>
      </c>
      <c r="B107" s="710" t="s">
        <v>6029</v>
      </c>
      <c r="C107" s="711">
        <f t="shared" si="15"/>
        <v>0</v>
      </c>
      <c r="D107" s="158"/>
      <c r="E107" s="712">
        <v>0</v>
      </c>
      <c r="F107" s="712">
        <v>0</v>
      </c>
      <c r="G107" s="712">
        <v>0</v>
      </c>
    </row>
    <row r="108" spans="1:7" s="159" customFormat="1" ht="11.4" outlineLevel="1" x14ac:dyDescent="0.2">
      <c r="A108" s="7" t="s">
        <v>6026</v>
      </c>
      <c r="B108" s="190" t="s">
        <v>6030</v>
      </c>
      <c r="C108" s="191">
        <f t="shared" si="15"/>
        <v>0</v>
      </c>
      <c r="D108" s="158"/>
      <c r="E108" s="197">
        <v>0</v>
      </c>
      <c r="F108" s="197">
        <v>0</v>
      </c>
      <c r="G108" s="197">
        <v>0</v>
      </c>
    </row>
    <row r="109" spans="1:7" s="157" customFormat="1" ht="11.4" outlineLevel="1" x14ac:dyDescent="0.2">
      <c r="B109" s="152" t="s">
        <v>6031</v>
      </c>
      <c r="C109" s="160">
        <f t="shared" si="15"/>
        <v>0</v>
      </c>
      <c r="D109" s="164"/>
      <c r="E109" s="139">
        <f>E104-SUM(E105:E108)</f>
        <v>0</v>
      </c>
      <c r="F109" s="139">
        <f>F104-SUM(F105:F108)</f>
        <v>0</v>
      </c>
      <c r="G109" s="139">
        <f>G104-SUM(G105:G108)</f>
        <v>0</v>
      </c>
    </row>
    <row r="110" spans="1:7" s="157" customFormat="1" outlineLevel="1" x14ac:dyDescent="0.2">
      <c r="B110" s="714"/>
      <c r="C110" s="715"/>
      <c r="D110" s="164"/>
      <c r="E110" s="716"/>
      <c r="F110" s="716"/>
      <c r="G110" s="716"/>
    </row>
    <row r="111" spans="1:7" s="157" customFormat="1" ht="11.4" outlineLevel="1" x14ac:dyDescent="0.2">
      <c r="A111" s="163"/>
      <c r="B111" s="154" t="s">
        <v>227</v>
      </c>
      <c r="C111" s="162">
        <f t="shared" ref="C111:C116" si="16">SUM(E111:AAA111)</f>
        <v>0</v>
      </c>
      <c r="D111" s="158"/>
      <c r="E111" s="144">
        <f>E86</f>
        <v>0</v>
      </c>
      <c r="F111" s="144">
        <f>F86</f>
        <v>0</v>
      </c>
      <c r="G111" s="144">
        <f>G86</f>
        <v>0</v>
      </c>
    </row>
    <row r="112" spans="1:7" s="157" customFormat="1" ht="11.4" outlineLevel="1" x14ac:dyDescent="0.2">
      <c r="A112" s="7" t="s">
        <v>6037</v>
      </c>
      <c r="B112" s="188" t="s">
        <v>6032</v>
      </c>
      <c r="C112" s="189">
        <f t="shared" si="16"/>
        <v>0</v>
      </c>
      <c r="D112" s="158"/>
      <c r="E112" s="196">
        <v>0</v>
      </c>
      <c r="F112" s="196">
        <v>0</v>
      </c>
      <c r="G112" s="196">
        <v>0</v>
      </c>
    </row>
    <row r="113" spans="1:7" s="159" customFormat="1" ht="11.4" outlineLevel="1" x14ac:dyDescent="0.2">
      <c r="A113" s="7" t="s">
        <v>6038</v>
      </c>
      <c r="B113" s="710" t="s">
        <v>6033</v>
      </c>
      <c r="C113" s="711">
        <f t="shared" si="16"/>
        <v>0</v>
      </c>
      <c r="D113" s="158"/>
      <c r="E113" s="712">
        <v>0</v>
      </c>
      <c r="F113" s="712">
        <v>0</v>
      </c>
      <c r="G113" s="712">
        <v>0</v>
      </c>
    </row>
    <row r="114" spans="1:7" s="159" customFormat="1" ht="11.4" outlineLevel="1" x14ac:dyDescent="0.2">
      <c r="A114" s="7" t="s">
        <v>6039</v>
      </c>
      <c r="B114" s="710" t="s">
        <v>6034</v>
      </c>
      <c r="C114" s="711">
        <f t="shared" si="16"/>
        <v>0</v>
      </c>
      <c r="D114" s="158"/>
      <c r="E114" s="712">
        <v>0</v>
      </c>
      <c r="F114" s="712">
        <v>0</v>
      </c>
      <c r="G114" s="712">
        <v>0</v>
      </c>
    </row>
    <row r="115" spans="1:7" s="159" customFormat="1" ht="11.4" outlineLevel="1" x14ac:dyDescent="0.2">
      <c r="A115" s="7" t="s">
        <v>6040</v>
      </c>
      <c r="B115" s="190" t="s">
        <v>6035</v>
      </c>
      <c r="C115" s="191">
        <f t="shared" si="16"/>
        <v>0</v>
      </c>
      <c r="D115" s="158"/>
      <c r="E115" s="197">
        <v>0</v>
      </c>
      <c r="F115" s="197">
        <v>0</v>
      </c>
      <c r="G115" s="197">
        <v>0</v>
      </c>
    </row>
    <row r="116" spans="1:7" s="159" customFormat="1" ht="11.4" outlineLevel="1" x14ac:dyDescent="0.2">
      <c r="A116" s="157"/>
      <c r="B116" s="152" t="s">
        <v>6036</v>
      </c>
      <c r="C116" s="160">
        <f t="shared" si="16"/>
        <v>0</v>
      </c>
      <c r="D116" s="164"/>
      <c r="E116" s="139">
        <f>E111-SUM(E112:E115)</f>
        <v>0</v>
      </c>
      <c r="F116" s="139">
        <f>F111-SUM(F112:F115)</f>
        <v>0</v>
      </c>
      <c r="G116" s="139">
        <f>G111-SUM(G112:G115)</f>
        <v>0</v>
      </c>
    </row>
    <row r="117" spans="1:7" s="157" customFormat="1" x14ac:dyDescent="0.2">
      <c r="B117" s="167"/>
      <c r="C117" s="168"/>
      <c r="D117" s="164"/>
      <c r="E117" s="169"/>
      <c r="F117" s="169"/>
      <c r="G117" s="169"/>
    </row>
    <row r="118" spans="1:7" s="157" customFormat="1" ht="11.4" x14ac:dyDescent="0.2">
      <c r="A118" s="7" t="s">
        <v>6041</v>
      </c>
      <c r="B118" s="192" t="s">
        <v>6045</v>
      </c>
      <c r="C118" s="193">
        <f t="shared" ref="C118:C124" si="17">SUM(E118:AAA118)</f>
        <v>9035624.7360059675</v>
      </c>
      <c r="D118" s="158"/>
      <c r="E118" s="186">
        <f t="shared" ref="E118:G119" si="18">E63-E82</f>
        <v>7914332.885408367</v>
      </c>
      <c r="F118" s="186">
        <f t="shared" si="18"/>
        <v>1121291.8505976</v>
      </c>
      <c r="G118" s="186">
        <f t="shared" si="18"/>
        <v>0</v>
      </c>
    </row>
    <row r="119" spans="1:7" ht="11.4" x14ac:dyDescent="0.2">
      <c r="A119" s="7" t="s">
        <v>6042</v>
      </c>
      <c r="B119" s="194" t="s">
        <v>6046</v>
      </c>
      <c r="C119" s="195">
        <f t="shared" si="17"/>
        <v>0</v>
      </c>
      <c r="D119" s="158"/>
      <c r="E119" s="187">
        <f t="shared" si="18"/>
        <v>0</v>
      </c>
      <c r="F119" s="187">
        <f t="shared" si="18"/>
        <v>0</v>
      </c>
      <c r="G119" s="187">
        <f t="shared" si="18"/>
        <v>0</v>
      </c>
    </row>
    <row r="120" spans="1:7" ht="11.4" x14ac:dyDescent="0.2">
      <c r="A120" s="7" t="s">
        <v>1309</v>
      </c>
      <c r="B120" s="717" t="s">
        <v>6047</v>
      </c>
      <c r="C120" s="718">
        <f t="shared" si="17"/>
        <v>9035624.7360059675</v>
      </c>
      <c r="D120" s="158"/>
      <c r="E120" s="719">
        <f>E118+E119</f>
        <v>7914332.885408367</v>
      </c>
      <c r="F120" s="719">
        <f>F118+F119</f>
        <v>1121291.8505976</v>
      </c>
      <c r="G120" s="719">
        <f>G118+G119</f>
        <v>0</v>
      </c>
    </row>
    <row r="121" spans="1:7" ht="11.4" x14ac:dyDescent="0.2">
      <c r="A121" s="7" t="s">
        <v>6043</v>
      </c>
      <c r="B121" s="192" t="s">
        <v>6048</v>
      </c>
      <c r="C121" s="193">
        <f t="shared" si="17"/>
        <v>7666727.8733342355</v>
      </c>
      <c r="D121" s="158"/>
      <c r="E121" s="186">
        <f t="shared" ref="E121:G122" si="19">E66-E85</f>
        <v>7531568.5899443226</v>
      </c>
      <c r="F121" s="186">
        <f t="shared" si="19"/>
        <v>135159.28338991333</v>
      </c>
      <c r="G121" s="186">
        <f t="shared" si="19"/>
        <v>0</v>
      </c>
    </row>
    <row r="122" spans="1:7" ht="11.4" x14ac:dyDescent="0.2">
      <c r="A122" s="7" t="s">
        <v>6044</v>
      </c>
      <c r="B122" s="194" t="s">
        <v>6049</v>
      </c>
      <c r="C122" s="195">
        <f t="shared" si="17"/>
        <v>54149.194963047281</v>
      </c>
      <c r="D122" s="158"/>
      <c r="E122" s="187">
        <f t="shared" si="19"/>
        <v>0</v>
      </c>
      <c r="F122" s="187">
        <f t="shared" si="19"/>
        <v>0</v>
      </c>
      <c r="G122" s="187">
        <f t="shared" si="19"/>
        <v>54149.194963047281</v>
      </c>
    </row>
    <row r="123" spans="1:7" ht="11.4" x14ac:dyDescent="0.2">
      <c r="A123" s="7" t="s">
        <v>1310</v>
      </c>
      <c r="B123" s="717" t="s">
        <v>6050</v>
      </c>
      <c r="C123" s="718">
        <f t="shared" si="17"/>
        <v>7720877.0682972828</v>
      </c>
      <c r="D123" s="158"/>
      <c r="E123" s="719">
        <f>E121+E122</f>
        <v>7531568.5899443226</v>
      </c>
      <c r="F123" s="719">
        <f>F121+F122</f>
        <v>135159.28338991333</v>
      </c>
      <c r="G123" s="719">
        <f>G121+G122</f>
        <v>54149.194963047281</v>
      </c>
    </row>
    <row r="124" spans="1:7" ht="11.4" x14ac:dyDescent="0.2">
      <c r="A124" s="7" t="s">
        <v>1311</v>
      </c>
      <c r="B124" s="720" t="s">
        <v>6051</v>
      </c>
      <c r="C124" s="721">
        <f t="shared" si="17"/>
        <v>16756501.804303249</v>
      </c>
      <c r="D124" s="158"/>
      <c r="E124" s="722">
        <f>E120+E123</f>
        <v>15445901.47535269</v>
      </c>
      <c r="F124" s="722">
        <f>F120+F123</f>
        <v>1256451.1339875134</v>
      </c>
      <c r="G124" s="722">
        <f>G120+G123</f>
        <v>54149.194963047281</v>
      </c>
    </row>
    <row r="126" spans="1:7" x14ac:dyDescent="0.2">
      <c r="B126" s="457">
        <v>2027</v>
      </c>
      <c r="C126" s="74"/>
      <c r="D126" s="74"/>
      <c r="E126" s="75"/>
      <c r="F126" s="75"/>
      <c r="G126" s="75"/>
    </row>
    <row r="127" spans="1:7" ht="11.4" outlineLevel="1" x14ac:dyDescent="0.2">
      <c r="B127" s="71" t="s">
        <v>6063</v>
      </c>
      <c r="C127" s="135"/>
      <c r="D127" s="135"/>
      <c r="E127" s="77">
        <f>1+E128</f>
        <v>1.0189999999999999</v>
      </c>
      <c r="F127" s="77">
        <f>1+F128</f>
        <v>1.0189999999999999</v>
      </c>
      <c r="G127" s="77">
        <f>1+G128</f>
        <v>1.0189999999999999</v>
      </c>
    </row>
    <row r="128" spans="1:7" ht="11.4" outlineLevel="1" x14ac:dyDescent="0.2">
      <c r="A128" s="85" t="s">
        <v>1384</v>
      </c>
      <c r="B128" s="71" t="s">
        <v>6064</v>
      </c>
      <c r="C128" s="135"/>
      <c r="D128" s="135"/>
      <c r="E128" s="77">
        <f>E129-E130+E131+E132</f>
        <v>1.9E-2</v>
      </c>
      <c r="F128" s="77">
        <f>F129-F130+F131+F132</f>
        <v>1.9E-2</v>
      </c>
      <c r="G128" s="77">
        <f>G129-G130+G131+G132</f>
        <v>1.9E-2</v>
      </c>
    </row>
    <row r="129" spans="1:9" ht="11.4" outlineLevel="1" x14ac:dyDescent="0.2">
      <c r="A129" s="85" t="s">
        <v>1378</v>
      </c>
      <c r="B129" s="20" t="s">
        <v>122</v>
      </c>
      <c r="C129" s="78">
        <f>'Parametri MTR-3'!$J$4</f>
        <v>1.9E-2</v>
      </c>
      <c r="D129" s="136"/>
      <c r="E129" s="78">
        <f>$C$57</f>
        <v>1.9E-2</v>
      </c>
      <c r="F129" s="78">
        <f>$C$57</f>
        <v>1.9E-2</v>
      </c>
      <c r="G129" s="78">
        <f>$C$57</f>
        <v>1.9E-2</v>
      </c>
    </row>
    <row r="130" spans="1:9" ht="11.4" outlineLevel="1" x14ac:dyDescent="0.2">
      <c r="A130" s="85" t="s">
        <v>1003</v>
      </c>
      <c r="B130" s="173" t="s">
        <v>6065</v>
      </c>
      <c r="C130" s="136"/>
      <c r="D130" s="136"/>
      <c r="E130" s="176">
        <f>INDEX(IN_PAR!$A$3:$AAA$413,MATCH($A130,IN_PAR!$A$3:$A$413,0),MATCH(E$3,IN_PAR!$A$3:$AAA$3,0))</f>
        <v>0</v>
      </c>
      <c r="F130" s="176">
        <f>INDEX(IN_PAR!$A$3:$AAA$413,MATCH($A130,IN_PAR!$A$3:$A$413,0),MATCH(F$3,IN_PAR!$A$3:$AAA$3,0))</f>
        <v>0</v>
      </c>
      <c r="G130" s="176">
        <f>INDEX(IN_PAR!$A$3:$AAA$413,MATCH($A130,IN_PAR!$A$3:$A$413,0),MATCH(G$3,IN_PAR!$A$3:$AAA$3,0))</f>
        <v>0</v>
      </c>
    </row>
    <row r="131" spans="1:9" ht="11.4" outlineLevel="1" x14ac:dyDescent="0.2">
      <c r="A131" s="85" t="s">
        <v>1383</v>
      </c>
      <c r="B131" s="174" t="s">
        <v>6066</v>
      </c>
      <c r="C131" s="136"/>
      <c r="D131" s="136"/>
      <c r="E131" s="177">
        <f>INDEX(IN_PAR!$A$3:$AAA$413,MATCH($A131,IN_PAR!$A$3:$A$413,0),MATCH(E$3,IN_PAR!$A$3:$AAA$3,0))</f>
        <v>0</v>
      </c>
      <c r="F131" s="177">
        <f>INDEX(IN_PAR!$A$3:$AAA$413,MATCH($A131,IN_PAR!$A$3:$A$413,0),MATCH(F$3,IN_PAR!$A$3:$AAA$3,0))</f>
        <v>0</v>
      </c>
      <c r="G131" s="177">
        <f>INDEX(IN_PAR!$A$3:$AAA$413,MATCH($A131,IN_PAR!$A$3:$A$413,0),MATCH(G$3,IN_PAR!$A$3:$AAA$3,0))</f>
        <v>0</v>
      </c>
    </row>
    <row r="132" spans="1:9" ht="11.4" outlineLevel="1" x14ac:dyDescent="0.2">
      <c r="A132" s="85" t="s">
        <v>954</v>
      </c>
      <c r="B132" s="174" t="s">
        <v>6067</v>
      </c>
      <c r="C132" s="136"/>
      <c r="D132" s="136"/>
      <c r="E132" s="177">
        <f>INDEX(IN_PAR!$A$3:$AAA$413,MATCH($A132,IN_PAR!$A$3:$A$413,0),MATCH(E$3,IN_PAR!$A$3:$AAA$3,0))</f>
        <v>0</v>
      </c>
      <c r="F132" s="177">
        <f>INDEX(IN_PAR!$A$3:$AAA$413,MATCH($A132,IN_PAR!$A$3:$A$413,0),MATCH(F$3,IN_PAR!$A$3:$AAA$3,0))</f>
        <v>0</v>
      </c>
      <c r="G132" s="177">
        <f>INDEX(IN_PAR!$A$3:$AAA$413,MATCH($A132,IN_PAR!$A$3:$A$413,0),MATCH(G$3,IN_PAR!$A$3:$AAA$3,0))</f>
        <v>0</v>
      </c>
    </row>
    <row r="133" spans="1:9" outlineLevel="1" x14ac:dyDescent="0.2">
      <c r="B133" s="65" t="s">
        <v>123</v>
      </c>
      <c r="C133" s="137"/>
      <c r="D133" s="137"/>
      <c r="E133" s="708" t="str">
        <f>IF(E128&gt;8.8%,"errore","ok")</f>
        <v>ok</v>
      </c>
      <c r="F133" s="708" t="str">
        <f>IF(F128&gt;8.8%,"errore","ok")</f>
        <v>ok</v>
      </c>
      <c r="G133" s="708" t="str">
        <f>IF(G128&gt;8.8%,"errore","ok")</f>
        <v>ok</v>
      </c>
    </row>
    <row r="134" spans="1:9" outlineLevel="1" x14ac:dyDescent="0.2"/>
    <row r="135" spans="1:9" ht="11.4" outlineLevel="1" x14ac:dyDescent="0.2">
      <c r="A135" s="31" t="s">
        <v>5506</v>
      </c>
      <c r="B135" s="178" t="s">
        <v>6068</v>
      </c>
      <c r="C135" s="179">
        <f t="shared" ref="C135:C146" si="20">SUM(E135:AAA135)</f>
        <v>10588004.451898372</v>
      </c>
      <c r="D135" s="135"/>
      <c r="E135" s="182">
        <f>INDEX(PEF_GEST_27!$A$3:$AAA$102,MATCH($A135,PEF_GEST_27!$A$3:$A$102,0),MATCH(E$3,PEF_GEST_27!$A$3:$AAA$3,0))</f>
        <v>8746298.9873807728</v>
      </c>
      <c r="F135" s="182">
        <f>INDEX(PEF_GEST_27!$A$3:$AAA$102,MATCH($A135,PEF_GEST_27!$A$3:$A$102,0),MATCH(F$3,PEF_GEST_27!$A$3:$AAA$3,0))</f>
        <v>1121291.8505976</v>
      </c>
      <c r="G135" s="182">
        <f>INDEX(PEF_GEST_27!$A$3:$AAA$102,MATCH($A135,PEF_GEST_27!$A$3:$A$102,0),MATCH(G$3,PEF_GEST_27!$A$3:$AAA$3,0))</f>
        <v>720413.61392000003</v>
      </c>
    </row>
    <row r="136" spans="1:9" ht="11.4" outlineLevel="1" x14ac:dyDescent="0.2">
      <c r="A136" s="31" t="s">
        <v>5667</v>
      </c>
      <c r="B136" s="180" t="s">
        <v>6069</v>
      </c>
      <c r="C136" s="181">
        <f t="shared" si="20"/>
        <v>0</v>
      </c>
      <c r="D136" s="135"/>
      <c r="E136" s="183">
        <f>INDEX(PEF_COM_27!$A$3:$AAA$102,MATCH($A136,PEF_COM_27!$A$3:$A$102,0),MATCH(E$3,PEF_COM_27!$A$3:$AAA$3,0))</f>
        <v>0</v>
      </c>
      <c r="F136" s="183">
        <f>INDEX(PEF_COM_27!$A$3:$AAA$102,MATCH($A136,PEF_COM_27!$A$3:$A$102,0),MATCH(F$3,PEF_COM_27!$A$3:$AAA$3,0))</f>
        <v>0</v>
      </c>
      <c r="G136" s="183">
        <f>INDEX(PEF_COM_27!$A$3:$AAA$102,MATCH($A136,PEF_COM_27!$A$3:$A$102,0),MATCH(G$3,PEF_COM_27!$A$3:$AAA$3,0))</f>
        <v>0</v>
      </c>
    </row>
    <row r="137" spans="1:9" ht="11.4" outlineLevel="1" x14ac:dyDescent="0.2">
      <c r="A137" s="31" t="s">
        <v>6077</v>
      </c>
      <c r="B137" s="142" t="s">
        <v>6070</v>
      </c>
      <c r="C137" s="143">
        <f t="shared" si="20"/>
        <v>10588004.451898372</v>
      </c>
      <c r="D137" s="135"/>
      <c r="E137" s="144">
        <f>E135+E136</f>
        <v>8746298.9873807728</v>
      </c>
      <c r="F137" s="144">
        <f>F135+F136</f>
        <v>1121291.8505976</v>
      </c>
      <c r="G137" s="144">
        <f>G135+G136</f>
        <v>720413.61392000003</v>
      </c>
    </row>
    <row r="138" spans="1:9" ht="11.4" outlineLevel="1" x14ac:dyDescent="0.2">
      <c r="A138" s="31" t="s">
        <v>5516</v>
      </c>
      <c r="B138" s="178" t="s">
        <v>6071</v>
      </c>
      <c r="C138" s="179">
        <f t="shared" si="20"/>
        <v>7902432.5896523157</v>
      </c>
      <c r="D138" s="135"/>
      <c r="E138" s="182">
        <f>INDEX(PEF_GEST_27!$A$3:$AAA$102,MATCH($A138,PEF_GEST_27!$A$3:$A$102,0),MATCH(E$3,PEF_GEST_27!$A$3:$AAA$3,0))</f>
        <v>7652796.8636533553</v>
      </c>
      <c r="F138" s="182">
        <f>INDEX(PEF_GEST_27!$A$3:$AAA$102,MATCH($A138,PEF_GEST_27!$A$3:$A$102,0),MATCH(F$3,PEF_GEST_27!$A$3:$AAA$3,0))</f>
        <v>129706.70226632972</v>
      </c>
      <c r="G138" s="182">
        <f>INDEX(PEF_GEST_27!$A$3:$AAA$102,MATCH($A138,PEF_GEST_27!$A$3:$A$102,0),MATCH(G$3,PEF_GEST_27!$A$3:$AAA$3,0))</f>
        <v>119929.02373263093</v>
      </c>
    </row>
    <row r="139" spans="1:9" ht="11.4" outlineLevel="1" x14ac:dyDescent="0.2">
      <c r="A139" s="31" t="s">
        <v>5676</v>
      </c>
      <c r="B139" s="180" t="s">
        <v>6072</v>
      </c>
      <c r="C139" s="181">
        <f t="shared" si="20"/>
        <v>52902.058472230645</v>
      </c>
      <c r="D139" s="135"/>
      <c r="E139" s="183">
        <f>INDEX(PEF_COM_27!$A$3:$AAA$102,MATCH($A139,PEF_COM_27!$A$3:$A$102,0),MATCH(E$3,PEF_COM_27!$A$3:$AAA$3,0))</f>
        <v>0</v>
      </c>
      <c r="F139" s="183">
        <f>INDEX(PEF_COM_27!$A$3:$AAA$102,MATCH($A139,PEF_COM_27!$A$3:$A$102,0),MATCH(F$3,PEF_COM_27!$A$3:$AAA$3,0))</f>
        <v>0</v>
      </c>
      <c r="G139" s="183">
        <f>INDEX(PEF_COM_27!$A$3:$AAA$102,MATCH($A139,PEF_COM_27!$A$3:$A$102,0),MATCH(G$3,PEF_COM_27!$A$3:$AAA$3,0))</f>
        <v>52902.058472230645</v>
      </c>
    </row>
    <row r="140" spans="1:9" ht="11.4" outlineLevel="1" x14ac:dyDescent="0.2">
      <c r="A140" s="31" t="s">
        <v>6078</v>
      </c>
      <c r="B140" s="142" t="s">
        <v>6073</v>
      </c>
      <c r="C140" s="143">
        <f t="shared" si="20"/>
        <v>7955334.6481245467</v>
      </c>
      <c r="D140" s="135"/>
      <c r="E140" s="144">
        <f>E138+E139</f>
        <v>7652796.8636533553</v>
      </c>
      <c r="F140" s="144">
        <f>F138+F139</f>
        <v>129706.70226632972</v>
      </c>
      <c r="G140" s="144">
        <f>G138+G139</f>
        <v>172831.08220486157</v>
      </c>
    </row>
    <row r="141" spans="1:9" ht="11.4" outlineLevel="1" x14ac:dyDescent="0.2">
      <c r="A141" s="31" t="s">
        <v>5525</v>
      </c>
      <c r="B141" s="178" t="s">
        <v>6074</v>
      </c>
      <c r="C141" s="179">
        <f t="shared" si="20"/>
        <v>18490437.041550688</v>
      </c>
      <c r="D141" s="135"/>
      <c r="E141" s="182">
        <f>INDEX(PEF_GEST_27!$A$3:$AAA$102,MATCH($A141,PEF_GEST_27!$A$3:$A$102,0),MATCH(E$3,PEF_GEST_27!$A$3:$AAA$3,0))</f>
        <v>16399095.851034127</v>
      </c>
      <c r="F141" s="182">
        <f>INDEX(PEF_GEST_27!$A$3:$AAA$102,MATCH($A141,PEF_GEST_27!$A$3:$A$102,0),MATCH(F$3,PEF_GEST_27!$A$3:$AAA$3,0))</f>
        <v>1250998.5528639297</v>
      </c>
      <c r="G141" s="182">
        <f>INDEX(PEF_GEST_27!$A$3:$AAA$102,MATCH($A141,PEF_GEST_27!$A$3:$A$102,0),MATCH(G$3,PEF_GEST_27!$A$3:$AAA$3,0))</f>
        <v>840342.63765263092</v>
      </c>
    </row>
    <row r="142" spans="1:9" ht="11.4" outlineLevel="1" x14ac:dyDescent="0.2">
      <c r="A142" s="31" t="s">
        <v>5684</v>
      </c>
      <c r="B142" s="180" t="s">
        <v>6075</v>
      </c>
      <c r="C142" s="181">
        <f t="shared" si="20"/>
        <v>52902.058472230645</v>
      </c>
      <c r="D142" s="135"/>
      <c r="E142" s="183">
        <f>INDEX(PEF_COM_27!$A$3:$AAA$102,MATCH($A142,PEF_COM_27!$A$3:$A$102,0),MATCH(E$3,PEF_COM_27!$A$3:$AAA$3,0))</f>
        <v>0</v>
      </c>
      <c r="F142" s="183">
        <f>INDEX(PEF_COM_27!$A$3:$AAA$102,MATCH($A142,PEF_COM_27!$A$3:$A$102,0),MATCH(F$3,PEF_COM_27!$A$3:$AAA$3,0))</f>
        <v>0</v>
      </c>
      <c r="G142" s="183">
        <f>INDEX(PEF_COM_27!$A$3:$AAA$102,MATCH($A142,PEF_COM_27!$A$3:$A$102,0),MATCH(G$3,PEF_COM_27!$A$3:$AAA$3,0))</f>
        <v>52902.058472230645</v>
      </c>
    </row>
    <row r="143" spans="1:9" ht="11.4" outlineLevel="1" x14ac:dyDescent="0.2">
      <c r="A143" s="31" t="s">
        <v>6079</v>
      </c>
      <c r="B143" s="142" t="s">
        <v>6076</v>
      </c>
      <c r="C143" s="143">
        <f t="shared" si="20"/>
        <v>18543339.100022919</v>
      </c>
      <c r="D143" s="135"/>
      <c r="E143" s="144">
        <f>E141+E142</f>
        <v>16399095.851034127</v>
      </c>
      <c r="F143" s="144">
        <f>F141+F142</f>
        <v>1250998.5528639297</v>
      </c>
      <c r="G143" s="144">
        <f>G141+G142</f>
        <v>893244.6961248616</v>
      </c>
    </row>
    <row r="144" spans="1:9" ht="11.4" outlineLevel="1" x14ac:dyDescent="0.2">
      <c r="A144" s="85" t="s">
        <v>6557</v>
      </c>
      <c r="B144" s="173" t="s">
        <v>6640</v>
      </c>
      <c r="C144" s="185">
        <f>+SUM(E144:G144)</f>
        <v>9035624.7360059675</v>
      </c>
      <c r="D144" s="147"/>
      <c r="E144" s="186">
        <f>INDEX('Rett_Ta-1'!$A$3:$E$99,MATCH($A144,'Rett_Ta-1'!$A$3:$A$99,0),MATCH(E$3,'Rett_Ta-1'!$A$3:$E$3,0))</f>
        <v>7914332.885408367</v>
      </c>
      <c r="F144" s="186">
        <f>INDEX('Rett_Ta-1'!$A$3:$E$99,MATCH($A144,'Rett_Ta-1'!$A$3:$A$99,0),MATCH(F$3,'Rett_Ta-1'!$A$3:$E$3,0))</f>
        <v>1121291.8505976</v>
      </c>
      <c r="G144" s="186">
        <f>INDEX('Rett_Ta-1'!$A$3:$E$99,MATCH($A144,'Rett_Ta-1'!$A$3:$A$99,0),MATCH(G$3,'Rett_Ta-1'!$A$3:$E$3,0))</f>
        <v>0</v>
      </c>
      <c r="I144" s="1108">
        <f>+E144/$E$146</f>
        <v>0.51239048093356121</v>
      </c>
    </row>
    <row r="145" spans="1:9" ht="11.4" outlineLevel="1" x14ac:dyDescent="0.2">
      <c r="A145" s="85" t="s">
        <v>6560</v>
      </c>
      <c r="B145" s="175" t="s">
        <v>6641</v>
      </c>
      <c r="C145" s="185">
        <f>+SUM(E145:G145)</f>
        <v>7720877.0682972828</v>
      </c>
      <c r="D145" s="147"/>
      <c r="E145" s="187">
        <f>INDEX('Rett_Ta-1'!$A$3:$E$99,MATCH($A145,'Rett_Ta-1'!$A$3:$A$99,0),MATCH(E$3,'Rett_Ta-1'!$A$3:$E$3,0))</f>
        <v>7531568.5899443226</v>
      </c>
      <c r="F145" s="187">
        <f>INDEX('Rett_Ta-1'!$A$3:$E$99,MATCH($A145,'Rett_Ta-1'!$A$3:$A$99,0),MATCH(F$3,'Rett_Ta-1'!$A$3:$E$3,0))</f>
        <v>135159.28338991333</v>
      </c>
      <c r="G145" s="187">
        <f>INDEX('Rett_Ta-1'!$A$3:$E$99,MATCH($A145,'Rett_Ta-1'!$A$3:$A$99,0),MATCH(G$3,'Rett_Ta-1'!$A$3:$E$3,0))</f>
        <v>54149.194963047281</v>
      </c>
      <c r="I145" s="1108">
        <f>+E145/$E$146</f>
        <v>0.48760951906643879</v>
      </c>
    </row>
    <row r="146" spans="1:9" ht="11.4" outlineLevel="1" x14ac:dyDescent="0.2">
      <c r="A146" s="85" t="s">
        <v>6561</v>
      </c>
      <c r="B146" s="145" t="s">
        <v>6642</v>
      </c>
      <c r="C146" s="146">
        <f t="shared" si="20"/>
        <v>16756501.804303249</v>
      </c>
      <c r="D146" s="148"/>
      <c r="E146" s="149">
        <f>E144+E145</f>
        <v>15445901.47535269</v>
      </c>
      <c r="F146" s="149">
        <f>F144+F145</f>
        <v>1256451.1339875134</v>
      </c>
      <c r="G146" s="149">
        <f>G144+G145</f>
        <v>54149.194963047281</v>
      </c>
    </row>
    <row r="147" spans="1:9" ht="21" customHeight="1" outlineLevel="1" x14ac:dyDescent="0.2">
      <c r="B147" s="74"/>
      <c r="C147" s="74"/>
      <c r="D147" s="74"/>
      <c r="E147" s="75"/>
      <c r="F147" s="75"/>
      <c r="G147" s="75"/>
    </row>
    <row r="148" spans="1:9" s="159" customFormat="1" ht="11.4" outlineLevel="1" x14ac:dyDescent="0.2">
      <c r="A148" s="85" t="s">
        <v>6084</v>
      </c>
      <c r="B148" s="150" t="s">
        <v>6080</v>
      </c>
      <c r="C148" s="74"/>
      <c r="D148" s="74"/>
      <c r="E148" s="133">
        <f>E143/E146</f>
        <v>1.0617117995477614</v>
      </c>
      <c r="F148" s="133">
        <f>F143/F146</f>
        <v>0.99566033172632884</v>
      </c>
      <c r="G148" s="133">
        <f>G143/G146</f>
        <v>16.495992170048574</v>
      </c>
    </row>
    <row r="149" spans="1:9" s="159" customFormat="1" outlineLevel="1" x14ac:dyDescent="0.2">
      <c r="A149" s="85"/>
      <c r="B149" s="154" t="s">
        <v>218</v>
      </c>
      <c r="C149" s="74"/>
      <c r="D149" s="74"/>
      <c r="E149" s="155" t="str">
        <f>IF(E148&lt;=(1+E128),"NO","SI")</f>
        <v>SI</v>
      </c>
      <c r="F149" s="155" t="str">
        <f>IF(F148&lt;=(1+F128),"NO","SI")</f>
        <v>NO</v>
      </c>
      <c r="G149" s="155" t="str">
        <f>IF(G148&lt;=(1+G128),"NO","SI")</f>
        <v>SI</v>
      </c>
    </row>
    <row r="150" spans="1:9" s="159" customFormat="1" ht="11.4" outlineLevel="1" x14ac:dyDescent="0.2">
      <c r="A150" s="85" t="s">
        <v>6081</v>
      </c>
      <c r="B150" s="76" t="s">
        <v>6209</v>
      </c>
      <c r="C150" s="140">
        <f t="shared" ref="C150:C151" si="21">SUM(E150:AAA150)</f>
        <v>17045550.185915664</v>
      </c>
      <c r="D150" s="74"/>
      <c r="E150" s="141">
        <f>IF(E143&lt;=E146*E127,E143,E146*E127)</f>
        <v>15739373.603384389</v>
      </c>
      <c r="F150" s="141">
        <f>IF(F143&lt;=F146*F127,F143,F146*F127)</f>
        <v>1250998.5528639297</v>
      </c>
      <c r="G150" s="141">
        <f>IF(G143&lt;=G146*G127,G143,G146*G127)</f>
        <v>55178.029667345174</v>
      </c>
    </row>
    <row r="151" spans="1:9" s="159" customFormat="1" ht="11.4" outlineLevel="1" x14ac:dyDescent="0.2">
      <c r="A151" s="138"/>
      <c r="B151" s="152" t="s">
        <v>6086</v>
      </c>
      <c r="C151" s="140">
        <f t="shared" si="21"/>
        <v>1497788.9141072549</v>
      </c>
      <c r="D151" s="151"/>
      <c r="E151" s="141">
        <f>IF(E148&lt;=E127,0,E143-E150)</f>
        <v>659722.24764973857</v>
      </c>
      <c r="F151" s="141">
        <f>IF(F148&lt;=F127,0,F143-F150)</f>
        <v>0</v>
      </c>
      <c r="G151" s="141">
        <f>IF(G148&lt;=G127,0,G143-G150)</f>
        <v>838066.66645751637</v>
      </c>
    </row>
    <row r="152" spans="1:9" s="159" customFormat="1" outlineLevel="1" x14ac:dyDescent="0.2">
      <c r="A152" s="85" t="s">
        <v>6085</v>
      </c>
      <c r="B152" s="153" t="s">
        <v>220</v>
      </c>
      <c r="C152" s="74"/>
      <c r="D152" s="74"/>
      <c r="E152" s="156" t="s">
        <v>105</v>
      </c>
      <c r="F152" s="156" t="s">
        <v>105</v>
      </c>
      <c r="G152" s="156" t="s">
        <v>105</v>
      </c>
    </row>
    <row r="153" spans="1:9" s="159" customFormat="1" outlineLevel="1" x14ac:dyDescent="0.2">
      <c r="A153" s="85"/>
      <c r="B153" s="165"/>
      <c r="C153" s="74"/>
      <c r="D153" s="74"/>
      <c r="E153" s="166" t="str">
        <f>IF(E152="SI","Non compilare tabella seguente",IF(E152="NO","Compilare tabella seguente","-"))</f>
        <v>-</v>
      </c>
      <c r="F153" s="166" t="str">
        <f>IF(F152="SI","Non compilare tabella seguente",IF(F152="NO","Compilare tabella seguente","-"))</f>
        <v>-</v>
      </c>
      <c r="G153" s="166" t="str">
        <f>IF(G152="SI","Non compilare tabella seguente",IF(G152="NO","Compilare tabella seguente","-"))</f>
        <v>-</v>
      </c>
    </row>
    <row r="154" spans="1:9" s="157" customFormat="1" ht="11.4" outlineLevel="1" x14ac:dyDescent="0.2">
      <c r="A154" s="7" t="s">
        <v>6087</v>
      </c>
      <c r="B154" s="188" t="s">
        <v>6109</v>
      </c>
      <c r="C154" s="189">
        <f t="shared" ref="C154:C160" si="22">SUM(E154:AAA154)</f>
        <v>338035.39975581953</v>
      </c>
      <c r="D154" s="158"/>
      <c r="E154" s="196">
        <f>+E151*I144</f>
        <v>338035.39975581953</v>
      </c>
      <c r="F154" s="196">
        <v>0</v>
      </c>
      <c r="G154" s="196">
        <v>0</v>
      </c>
    </row>
    <row r="155" spans="1:9" s="159" customFormat="1" ht="11.4" outlineLevel="1" x14ac:dyDescent="0.2">
      <c r="A155" s="7" t="s">
        <v>6088</v>
      </c>
      <c r="B155" s="190" t="s">
        <v>6110</v>
      </c>
      <c r="C155" s="191">
        <f t="shared" si="22"/>
        <v>0</v>
      </c>
      <c r="D155" s="158"/>
      <c r="E155" s="197">
        <v>0</v>
      </c>
      <c r="F155" s="197">
        <v>0</v>
      </c>
      <c r="G155" s="197">
        <v>0</v>
      </c>
    </row>
    <row r="156" spans="1:9" s="159" customFormat="1" ht="11.4" outlineLevel="1" x14ac:dyDescent="0.2">
      <c r="A156" s="7" t="s">
        <v>6089</v>
      </c>
      <c r="B156" s="161" t="s">
        <v>6111</v>
      </c>
      <c r="C156" s="162">
        <f t="shared" si="22"/>
        <v>338035.39975581953</v>
      </c>
      <c r="D156" s="158"/>
      <c r="E156" s="144">
        <f>E154+E155</f>
        <v>338035.39975581953</v>
      </c>
      <c r="F156" s="144">
        <f>F154+F155</f>
        <v>0</v>
      </c>
      <c r="G156" s="144">
        <f>G154+G155</f>
        <v>0</v>
      </c>
    </row>
    <row r="157" spans="1:9" s="159" customFormat="1" ht="11.4" outlineLevel="1" x14ac:dyDescent="0.2">
      <c r="A157" s="7" t="s">
        <v>6090</v>
      </c>
      <c r="B157" s="188" t="s">
        <v>6112</v>
      </c>
      <c r="C157" s="189">
        <f t="shared" si="22"/>
        <v>321686.84789391904</v>
      </c>
      <c r="D157" s="158"/>
      <c r="E157" s="196">
        <f>+E151*I145</f>
        <v>321686.84789391904</v>
      </c>
      <c r="F157" s="196">
        <v>0</v>
      </c>
      <c r="G157" s="196">
        <v>0</v>
      </c>
    </row>
    <row r="158" spans="1:9" s="159" customFormat="1" ht="11.4" outlineLevel="1" x14ac:dyDescent="0.2">
      <c r="A158" s="7" t="s">
        <v>6091</v>
      </c>
      <c r="B158" s="190" t="s">
        <v>6113</v>
      </c>
      <c r="C158" s="191">
        <f t="shared" si="22"/>
        <v>0</v>
      </c>
      <c r="D158" s="158"/>
      <c r="E158" s="197">
        <v>0</v>
      </c>
      <c r="F158" s="197">
        <v>0</v>
      </c>
      <c r="G158" s="197">
        <v>0</v>
      </c>
    </row>
    <row r="159" spans="1:9" s="157" customFormat="1" ht="11.4" outlineLevel="1" x14ac:dyDescent="0.2">
      <c r="A159" s="7" t="s">
        <v>6092</v>
      </c>
      <c r="B159" s="161" t="s">
        <v>5939</v>
      </c>
      <c r="C159" s="162">
        <f t="shared" si="22"/>
        <v>321686.84789391904</v>
      </c>
      <c r="D159" s="158"/>
      <c r="E159" s="144">
        <f>E157+E158</f>
        <v>321686.84789391904</v>
      </c>
      <c r="F159" s="144">
        <f>F157+F158</f>
        <v>0</v>
      </c>
      <c r="G159" s="144">
        <f>G157+G158</f>
        <v>0</v>
      </c>
    </row>
    <row r="160" spans="1:9" s="159" customFormat="1" ht="11.4" outlineLevel="1" x14ac:dyDescent="0.2">
      <c r="A160" s="157"/>
      <c r="B160" s="152" t="s">
        <v>6114</v>
      </c>
      <c r="C160" s="160">
        <f t="shared" si="22"/>
        <v>838066.66645751637</v>
      </c>
      <c r="D160" s="164"/>
      <c r="E160" s="139">
        <f t="shared" ref="E160" si="23">E151-E156-E159</f>
        <v>0</v>
      </c>
      <c r="F160" s="139">
        <f t="shared" ref="F160:G160" si="24">F151-F156-F159</f>
        <v>0</v>
      </c>
      <c r="G160" s="139">
        <f t="shared" si="24"/>
        <v>838066.66645751637</v>
      </c>
    </row>
    <row r="161" spans="1:7" s="159" customFormat="1" outlineLevel="1" x14ac:dyDescent="0.2">
      <c r="A161" s="157"/>
      <c r="B161" s="158"/>
      <c r="C161" s="158"/>
      <c r="D161" s="158"/>
      <c r="E161" s="713"/>
      <c r="F161" s="713"/>
      <c r="G161" s="713"/>
    </row>
    <row r="162" spans="1:7" s="159" customFormat="1" ht="11.4" outlineLevel="1" x14ac:dyDescent="0.2">
      <c r="A162" s="163"/>
      <c r="B162" s="154" t="s">
        <v>6115</v>
      </c>
      <c r="C162" s="162">
        <f t="shared" ref="C162:C166" si="25">SUM(E162:AAA162)</f>
        <v>338035.39975581953</v>
      </c>
      <c r="D162" s="158"/>
      <c r="E162" s="144">
        <f>E154</f>
        <v>338035.39975581953</v>
      </c>
      <c r="F162" s="144">
        <f>F154</f>
        <v>0</v>
      </c>
      <c r="G162" s="144">
        <f>G154</f>
        <v>0</v>
      </c>
    </row>
    <row r="163" spans="1:7" s="159" customFormat="1" ht="11.4" outlineLevel="1" x14ac:dyDescent="0.2">
      <c r="A163" s="7" t="s">
        <v>6093</v>
      </c>
      <c r="B163" s="710" t="s">
        <v>6116</v>
      </c>
      <c r="C163" s="711">
        <f t="shared" si="25"/>
        <v>338035.39975581953</v>
      </c>
      <c r="D163" s="158"/>
      <c r="E163" s="712">
        <f>+E154</f>
        <v>338035.39975581953</v>
      </c>
      <c r="F163" s="712">
        <v>0</v>
      </c>
      <c r="G163" s="712">
        <v>0</v>
      </c>
    </row>
    <row r="164" spans="1:7" s="159" customFormat="1" ht="11.4" outlineLevel="1" x14ac:dyDescent="0.2">
      <c r="A164" s="7" t="s">
        <v>6094</v>
      </c>
      <c r="B164" s="710" t="s">
        <v>6117</v>
      </c>
      <c r="C164" s="711">
        <f t="shared" si="25"/>
        <v>0</v>
      </c>
      <c r="D164" s="158"/>
      <c r="E164" s="712">
        <v>0</v>
      </c>
      <c r="F164" s="712">
        <v>0</v>
      </c>
      <c r="G164" s="712">
        <v>0</v>
      </c>
    </row>
    <row r="165" spans="1:7" s="159" customFormat="1" ht="11.4" outlineLevel="1" x14ac:dyDescent="0.2">
      <c r="A165" s="7" t="s">
        <v>6095</v>
      </c>
      <c r="B165" s="190" t="s">
        <v>6118</v>
      </c>
      <c r="C165" s="191">
        <f t="shared" si="25"/>
        <v>0</v>
      </c>
      <c r="D165" s="158"/>
      <c r="E165" s="197">
        <v>0</v>
      </c>
      <c r="F165" s="197">
        <v>0</v>
      </c>
      <c r="G165" s="197">
        <v>0</v>
      </c>
    </row>
    <row r="166" spans="1:7" s="159" customFormat="1" ht="11.4" outlineLevel="1" x14ac:dyDescent="0.2">
      <c r="A166" s="157"/>
      <c r="B166" s="152" t="s">
        <v>6119</v>
      </c>
      <c r="C166" s="160">
        <f t="shared" si="25"/>
        <v>0</v>
      </c>
      <c r="D166" s="164"/>
      <c r="E166" s="139">
        <f>E162-SUM(E163:E165)</f>
        <v>0</v>
      </c>
      <c r="F166" s="139">
        <f>F162-SUM(F163:F165)</f>
        <v>0</v>
      </c>
      <c r="G166" s="139">
        <f>G162-SUM(G163:G165)</f>
        <v>0</v>
      </c>
    </row>
    <row r="167" spans="1:7" s="159" customFormat="1" outlineLevel="1" x14ac:dyDescent="0.2">
      <c r="A167" s="157"/>
      <c r="B167" s="714"/>
      <c r="C167" s="715"/>
      <c r="D167" s="164"/>
      <c r="E167" s="716"/>
      <c r="F167" s="716"/>
      <c r="G167" s="716"/>
    </row>
    <row r="168" spans="1:7" s="159" customFormat="1" ht="11.4" outlineLevel="1" x14ac:dyDescent="0.2">
      <c r="A168" s="163"/>
      <c r="B168" s="154" t="s">
        <v>6120</v>
      </c>
      <c r="C168" s="162">
        <f t="shared" ref="C168:C172" si="26">SUM(E168:AAA168)</f>
        <v>0</v>
      </c>
      <c r="D168" s="158"/>
      <c r="E168" s="144">
        <f>E155</f>
        <v>0</v>
      </c>
      <c r="F168" s="144">
        <f>F155</f>
        <v>0</v>
      </c>
      <c r="G168" s="144">
        <f>G155</f>
        <v>0</v>
      </c>
    </row>
    <row r="169" spans="1:7" s="159" customFormat="1" ht="11.4" outlineLevel="1" x14ac:dyDescent="0.2">
      <c r="A169" s="7" t="s">
        <v>6096</v>
      </c>
      <c r="B169" s="710" t="s">
        <v>6121</v>
      </c>
      <c r="C169" s="711">
        <f t="shared" si="26"/>
        <v>0</v>
      </c>
      <c r="D169" s="158"/>
      <c r="E169" s="712">
        <v>0</v>
      </c>
      <c r="F169" s="712">
        <v>0</v>
      </c>
      <c r="G169" s="712">
        <v>0</v>
      </c>
    </row>
    <row r="170" spans="1:7" s="159" customFormat="1" ht="11.4" outlineLevel="1" x14ac:dyDescent="0.2">
      <c r="A170" s="7" t="s">
        <v>6097</v>
      </c>
      <c r="B170" s="710" t="s">
        <v>6122</v>
      </c>
      <c r="C170" s="711">
        <f t="shared" si="26"/>
        <v>0</v>
      </c>
      <c r="D170" s="158"/>
      <c r="E170" s="712">
        <v>0</v>
      </c>
      <c r="F170" s="712">
        <v>0</v>
      </c>
      <c r="G170" s="712">
        <v>0</v>
      </c>
    </row>
    <row r="171" spans="1:7" s="159" customFormat="1" ht="11.4" outlineLevel="1" x14ac:dyDescent="0.2">
      <c r="A171" s="7" t="s">
        <v>6098</v>
      </c>
      <c r="B171" s="190" t="s">
        <v>6123</v>
      </c>
      <c r="C171" s="191">
        <f t="shared" si="26"/>
        <v>0</v>
      </c>
      <c r="D171" s="158"/>
      <c r="E171" s="197">
        <v>0</v>
      </c>
      <c r="F171" s="197">
        <v>0</v>
      </c>
      <c r="G171" s="197">
        <v>0</v>
      </c>
    </row>
    <row r="172" spans="1:7" s="159" customFormat="1" ht="11.4" outlineLevel="1" x14ac:dyDescent="0.2">
      <c r="A172" s="157"/>
      <c r="B172" s="152" t="s">
        <v>6124</v>
      </c>
      <c r="C172" s="160">
        <f t="shared" si="26"/>
        <v>0</v>
      </c>
      <c r="D172" s="164"/>
      <c r="E172" s="139">
        <f>E168-SUM(E169:E171)</f>
        <v>0</v>
      </c>
      <c r="F172" s="139">
        <f>F168-SUM(F169:F171)</f>
        <v>0</v>
      </c>
      <c r="G172" s="139">
        <f>G168-SUM(G169:G171)</f>
        <v>0</v>
      </c>
    </row>
    <row r="173" spans="1:7" s="159" customFormat="1" outlineLevel="1" x14ac:dyDescent="0.2">
      <c r="A173" s="157"/>
      <c r="B173" s="714"/>
      <c r="C173" s="715"/>
      <c r="D173" s="164"/>
      <c r="E173" s="716"/>
      <c r="F173" s="716"/>
      <c r="G173" s="716"/>
    </row>
    <row r="174" spans="1:7" s="159" customFormat="1" ht="11.4" outlineLevel="1" x14ac:dyDescent="0.2">
      <c r="A174" s="163"/>
      <c r="B174" s="154" t="s">
        <v>226</v>
      </c>
      <c r="C174" s="162">
        <f t="shared" ref="C174:C178" si="27">SUM(E174:AAA174)</f>
        <v>321686.84789391904</v>
      </c>
      <c r="D174" s="158"/>
      <c r="E174" s="144">
        <f>E157</f>
        <v>321686.84789391904</v>
      </c>
      <c r="F174" s="144">
        <f>F157</f>
        <v>0</v>
      </c>
      <c r="G174" s="144">
        <f>G157</f>
        <v>0</v>
      </c>
    </row>
    <row r="175" spans="1:7" s="159" customFormat="1" ht="11.4" outlineLevel="1" x14ac:dyDescent="0.2">
      <c r="A175" s="7" t="s">
        <v>6099</v>
      </c>
      <c r="B175" s="710" t="s">
        <v>6125</v>
      </c>
      <c r="C175" s="711">
        <f t="shared" si="27"/>
        <v>321686.84789391904</v>
      </c>
      <c r="D175" s="158"/>
      <c r="E175" s="712">
        <f>+E157</f>
        <v>321686.84789391904</v>
      </c>
      <c r="F175" s="712">
        <v>0</v>
      </c>
      <c r="G175" s="712">
        <v>0</v>
      </c>
    </row>
    <row r="176" spans="1:7" s="159" customFormat="1" ht="11.4" outlineLevel="1" x14ac:dyDescent="0.2">
      <c r="A176" s="7" t="s">
        <v>6100</v>
      </c>
      <c r="B176" s="710" t="s">
        <v>6126</v>
      </c>
      <c r="C176" s="711">
        <f t="shared" si="27"/>
        <v>0</v>
      </c>
      <c r="D176" s="158"/>
      <c r="E176" s="712">
        <v>0</v>
      </c>
      <c r="F176" s="712">
        <v>0</v>
      </c>
      <c r="G176" s="712">
        <v>0</v>
      </c>
    </row>
    <row r="177" spans="1:7" s="159" customFormat="1" ht="11.4" outlineLevel="1" x14ac:dyDescent="0.2">
      <c r="A177" s="7" t="s">
        <v>6101</v>
      </c>
      <c r="B177" s="190" t="s">
        <v>6127</v>
      </c>
      <c r="C177" s="191">
        <f t="shared" si="27"/>
        <v>0</v>
      </c>
      <c r="D177" s="158"/>
      <c r="E177" s="197">
        <v>0</v>
      </c>
      <c r="F177" s="197">
        <v>0</v>
      </c>
      <c r="G177" s="197">
        <v>0</v>
      </c>
    </row>
    <row r="178" spans="1:7" s="157" customFormat="1" ht="11.4" outlineLevel="1" x14ac:dyDescent="0.2">
      <c r="B178" s="152" t="s">
        <v>6128</v>
      </c>
      <c r="C178" s="160">
        <f t="shared" si="27"/>
        <v>0</v>
      </c>
      <c r="D178" s="164"/>
      <c r="E178" s="139">
        <f>E174-SUM(E175:E177)</f>
        <v>0</v>
      </c>
      <c r="F178" s="139">
        <f>F174-SUM(F175:F177)</f>
        <v>0</v>
      </c>
      <c r="G178" s="139">
        <f>G174-SUM(G175:G177)</f>
        <v>0</v>
      </c>
    </row>
    <row r="179" spans="1:7" s="157" customFormat="1" outlineLevel="1" x14ac:dyDescent="0.2">
      <c r="B179" s="714"/>
      <c r="C179" s="715"/>
      <c r="D179" s="164"/>
      <c r="E179" s="716"/>
      <c r="F179" s="716"/>
      <c r="G179" s="716"/>
    </row>
    <row r="180" spans="1:7" s="157" customFormat="1" ht="11.4" outlineLevel="1" x14ac:dyDescent="0.2">
      <c r="A180" s="163"/>
      <c r="B180" s="154" t="s">
        <v>227</v>
      </c>
      <c r="C180" s="162">
        <f t="shared" ref="C180:C184" si="28">SUM(E180:AAA180)</f>
        <v>0</v>
      </c>
      <c r="D180" s="158"/>
      <c r="E180" s="144">
        <f>E158</f>
        <v>0</v>
      </c>
      <c r="F180" s="144">
        <f>F158</f>
        <v>0</v>
      </c>
      <c r="G180" s="144">
        <f>G158</f>
        <v>0</v>
      </c>
    </row>
    <row r="181" spans="1:7" s="159" customFormat="1" ht="11.4" outlineLevel="1" x14ac:dyDescent="0.2">
      <c r="A181" s="7" t="s">
        <v>6102</v>
      </c>
      <c r="B181" s="710" t="s">
        <v>6129</v>
      </c>
      <c r="C181" s="711">
        <f t="shared" si="28"/>
        <v>0</v>
      </c>
      <c r="D181" s="158"/>
      <c r="E181" s="712">
        <v>0</v>
      </c>
      <c r="F181" s="712">
        <v>0</v>
      </c>
      <c r="G181" s="712">
        <v>0</v>
      </c>
    </row>
    <row r="182" spans="1:7" s="159" customFormat="1" ht="11.4" outlineLevel="1" x14ac:dyDescent="0.2">
      <c r="A182" s="7" t="s">
        <v>6103</v>
      </c>
      <c r="B182" s="710" t="s">
        <v>6130</v>
      </c>
      <c r="C182" s="711">
        <f t="shared" si="28"/>
        <v>0</v>
      </c>
      <c r="D182" s="158"/>
      <c r="E182" s="712">
        <v>0</v>
      </c>
      <c r="F182" s="712">
        <v>0</v>
      </c>
      <c r="G182" s="712">
        <v>0</v>
      </c>
    </row>
    <row r="183" spans="1:7" s="159" customFormat="1" ht="11.4" outlineLevel="1" x14ac:dyDescent="0.2">
      <c r="A183" s="7" t="s">
        <v>6104</v>
      </c>
      <c r="B183" s="190" t="s">
        <v>6131</v>
      </c>
      <c r="C183" s="191">
        <f t="shared" si="28"/>
        <v>0</v>
      </c>
      <c r="D183" s="158"/>
      <c r="E183" s="197">
        <v>0</v>
      </c>
      <c r="F183" s="197">
        <v>0</v>
      </c>
      <c r="G183" s="197">
        <v>0</v>
      </c>
    </row>
    <row r="184" spans="1:7" s="159" customFormat="1" ht="11.4" outlineLevel="1" x14ac:dyDescent="0.2">
      <c r="A184" s="157"/>
      <c r="B184" s="152" t="s">
        <v>6132</v>
      </c>
      <c r="C184" s="160">
        <f t="shared" si="28"/>
        <v>0</v>
      </c>
      <c r="D184" s="164"/>
      <c r="E184" s="139">
        <f>E180-SUM(E181:E183)</f>
        <v>0</v>
      </c>
      <c r="F184" s="139">
        <f>F180-SUM(F181:F183)</f>
        <v>0</v>
      </c>
      <c r="G184" s="139">
        <f>G180-SUM(G181:G183)</f>
        <v>0</v>
      </c>
    </row>
    <row r="185" spans="1:7" s="157" customFormat="1" x14ac:dyDescent="0.2">
      <c r="B185" s="167"/>
      <c r="C185" s="168"/>
      <c r="D185" s="164"/>
      <c r="E185" s="169"/>
      <c r="F185" s="169"/>
      <c r="G185" s="169"/>
    </row>
    <row r="186" spans="1:7" s="157" customFormat="1" ht="11.4" x14ac:dyDescent="0.2">
      <c r="A186" s="7" t="s">
        <v>6105</v>
      </c>
      <c r="B186" s="192" t="s">
        <v>6133</v>
      </c>
      <c r="C186" s="193">
        <f t="shared" ref="C186:C192" si="29">SUM(E186:AAA186)</f>
        <v>10249969.052142553</v>
      </c>
      <c r="D186" s="158"/>
      <c r="E186" s="186">
        <f t="shared" ref="E186:G187" si="30">E135-E154</f>
        <v>8408263.5876249541</v>
      </c>
      <c r="F186" s="186">
        <f t="shared" si="30"/>
        <v>1121291.8505976</v>
      </c>
      <c r="G186" s="186">
        <f t="shared" si="30"/>
        <v>720413.61392000003</v>
      </c>
    </row>
    <row r="187" spans="1:7" ht="11.4" x14ac:dyDescent="0.2">
      <c r="A187" s="7" t="s">
        <v>6106</v>
      </c>
      <c r="B187" s="194" t="s">
        <v>6134</v>
      </c>
      <c r="C187" s="195">
        <f t="shared" si="29"/>
        <v>0</v>
      </c>
      <c r="D187" s="158"/>
      <c r="E187" s="187">
        <f t="shared" si="30"/>
        <v>0</v>
      </c>
      <c r="F187" s="187">
        <f t="shared" si="30"/>
        <v>0</v>
      </c>
      <c r="G187" s="187">
        <f t="shared" si="30"/>
        <v>0</v>
      </c>
    </row>
    <row r="188" spans="1:7" ht="11.4" x14ac:dyDescent="0.2">
      <c r="A188" s="7" t="s">
        <v>1322</v>
      </c>
      <c r="B188" s="717" t="s">
        <v>6135</v>
      </c>
      <c r="C188" s="718">
        <f t="shared" si="29"/>
        <v>10249969.052142553</v>
      </c>
      <c r="D188" s="158"/>
      <c r="E188" s="719">
        <f>E186+E187</f>
        <v>8408263.5876249541</v>
      </c>
      <c r="F188" s="719">
        <f>F186+F187</f>
        <v>1121291.8505976</v>
      </c>
      <c r="G188" s="719">
        <f>G186+G187</f>
        <v>720413.61392000003</v>
      </c>
    </row>
    <row r="189" spans="1:7" ht="11.4" x14ac:dyDescent="0.2">
      <c r="A189" s="7" t="s">
        <v>6107</v>
      </c>
      <c r="B189" s="192" t="s">
        <v>6136</v>
      </c>
      <c r="C189" s="193">
        <f t="shared" si="29"/>
        <v>7580745.7417583968</v>
      </c>
      <c r="D189" s="158"/>
      <c r="E189" s="186">
        <f t="shared" ref="E189:G190" si="31">E138-E157</f>
        <v>7331110.0157594364</v>
      </c>
      <c r="F189" s="186">
        <f t="shared" si="31"/>
        <v>129706.70226632972</v>
      </c>
      <c r="G189" s="186">
        <f t="shared" si="31"/>
        <v>119929.02373263093</v>
      </c>
    </row>
    <row r="190" spans="1:7" ht="11.4" x14ac:dyDescent="0.2">
      <c r="A190" s="7" t="s">
        <v>6108</v>
      </c>
      <c r="B190" s="194" t="s">
        <v>6137</v>
      </c>
      <c r="C190" s="195">
        <f t="shared" si="29"/>
        <v>52902.058472230645</v>
      </c>
      <c r="D190" s="158"/>
      <c r="E190" s="187">
        <f t="shared" si="31"/>
        <v>0</v>
      </c>
      <c r="F190" s="187">
        <f t="shared" si="31"/>
        <v>0</v>
      </c>
      <c r="G190" s="187">
        <f t="shared" si="31"/>
        <v>52902.058472230645</v>
      </c>
    </row>
    <row r="191" spans="1:7" ht="11.4" x14ac:dyDescent="0.2">
      <c r="A191" s="7" t="s">
        <v>1323</v>
      </c>
      <c r="B191" s="717" t="s">
        <v>6138</v>
      </c>
      <c r="C191" s="718">
        <f t="shared" si="29"/>
        <v>7633647.8002306279</v>
      </c>
      <c r="D191" s="158"/>
      <c r="E191" s="719">
        <f>E189+E190</f>
        <v>7331110.0157594364</v>
      </c>
      <c r="F191" s="719">
        <f>F189+F190</f>
        <v>129706.70226632972</v>
      </c>
      <c r="G191" s="719">
        <f>G189+G190</f>
        <v>172831.08220486157</v>
      </c>
    </row>
    <row r="192" spans="1:7" ht="11.4" x14ac:dyDescent="0.2">
      <c r="A192" s="7" t="s">
        <v>1324</v>
      </c>
      <c r="B192" s="720" t="s">
        <v>6139</v>
      </c>
      <c r="C192" s="721">
        <f t="shared" si="29"/>
        <v>17883616.852373183</v>
      </c>
      <c r="D192" s="158"/>
      <c r="E192" s="722">
        <f>E188+E191</f>
        <v>15739373.60338439</v>
      </c>
      <c r="F192" s="722">
        <f>F188+F191</f>
        <v>1250998.5528639297</v>
      </c>
      <c r="G192" s="722">
        <f>G188+G191</f>
        <v>893244.6961248616</v>
      </c>
    </row>
    <row r="194" spans="1:7" x14ac:dyDescent="0.2">
      <c r="B194" s="457">
        <v>2028</v>
      </c>
      <c r="C194" s="74"/>
      <c r="D194" s="74"/>
      <c r="E194" s="75"/>
      <c r="F194" s="75"/>
      <c r="G194" s="75"/>
    </row>
    <row r="195" spans="1:7" ht="11.4" outlineLevel="1" x14ac:dyDescent="0.2">
      <c r="B195" s="71" t="s">
        <v>6166</v>
      </c>
      <c r="C195" s="135"/>
      <c r="D195" s="135"/>
      <c r="E195" s="77">
        <f>1+E196</f>
        <v>1.0189999999999999</v>
      </c>
      <c r="F195" s="77">
        <f>1+F196</f>
        <v>1.0189999999999999</v>
      </c>
      <c r="G195" s="77">
        <f>1+G196</f>
        <v>1.0189999999999999</v>
      </c>
    </row>
    <row r="196" spans="1:7" ht="11.4" outlineLevel="1" x14ac:dyDescent="0.2">
      <c r="A196" s="85" t="s">
        <v>1406</v>
      </c>
      <c r="B196" s="71" t="s">
        <v>6167</v>
      </c>
      <c r="C196" s="135"/>
      <c r="D196" s="135"/>
      <c r="E196" s="77">
        <f>E197-E198+E199+E200</f>
        <v>1.9E-2</v>
      </c>
      <c r="F196" s="77">
        <f>F197-F198+F199+F200</f>
        <v>1.9E-2</v>
      </c>
      <c r="G196" s="77">
        <f>G197-G198+G199+G200</f>
        <v>1.9E-2</v>
      </c>
    </row>
    <row r="197" spans="1:7" ht="11.4" outlineLevel="1" x14ac:dyDescent="0.2">
      <c r="A197" s="85" t="s">
        <v>1398</v>
      </c>
      <c r="B197" s="20" t="s">
        <v>122</v>
      </c>
      <c r="C197" s="78">
        <f>'Parametri MTR-3'!$J$4</f>
        <v>1.9E-2</v>
      </c>
      <c r="D197" s="136"/>
      <c r="E197" s="78">
        <f>$C$57</f>
        <v>1.9E-2</v>
      </c>
      <c r="F197" s="78">
        <f>$C$57</f>
        <v>1.9E-2</v>
      </c>
      <c r="G197" s="78">
        <f>$C$57</f>
        <v>1.9E-2</v>
      </c>
    </row>
    <row r="198" spans="1:7" ht="11.4" outlineLevel="1" x14ac:dyDescent="0.2">
      <c r="A198" s="85" t="s">
        <v>1401</v>
      </c>
      <c r="B198" s="173" t="s">
        <v>6168</v>
      </c>
      <c r="C198" s="136"/>
      <c r="D198" s="136"/>
      <c r="E198" s="176">
        <f>INDEX(IN_PAR!$A$3:$AAA$413,MATCH($A198,IN_PAR!$A$3:$A$413,0),MATCH(E$3,IN_PAR!$A$3:$AAA$3,0))</f>
        <v>0</v>
      </c>
      <c r="F198" s="176">
        <f>INDEX(IN_PAR!$A$3:$AAA$413,MATCH($A198,IN_PAR!$A$3:$A$413,0),MATCH(F$3,IN_PAR!$A$3:$AAA$3,0))</f>
        <v>0</v>
      </c>
      <c r="G198" s="176">
        <f>INDEX(IN_PAR!$A$3:$AAA$413,MATCH($A198,IN_PAR!$A$3:$A$413,0),MATCH(G$3,IN_PAR!$A$3:$AAA$3,0))</f>
        <v>0</v>
      </c>
    </row>
    <row r="199" spans="1:7" ht="11.4" outlineLevel="1" x14ac:dyDescent="0.2">
      <c r="A199" s="85" t="s">
        <v>1404</v>
      </c>
      <c r="B199" s="174" t="s">
        <v>6169</v>
      </c>
      <c r="C199" s="136"/>
      <c r="D199" s="136"/>
      <c r="E199" s="177">
        <f>INDEX(IN_PAR!$A$3:$AAA$413,MATCH($A199,IN_PAR!$A$3:$A$413,0),MATCH(E$3,IN_PAR!$A$3:$AAA$3,0))</f>
        <v>0</v>
      </c>
      <c r="F199" s="177">
        <f>INDEX(IN_PAR!$A$3:$AAA$413,MATCH($A199,IN_PAR!$A$3:$A$413,0),MATCH(F$3,IN_PAR!$A$3:$AAA$3,0))</f>
        <v>0</v>
      </c>
      <c r="G199" s="177">
        <f>INDEX(IN_PAR!$A$3:$AAA$413,MATCH($A199,IN_PAR!$A$3:$A$413,0),MATCH(G$3,IN_PAR!$A$3:$AAA$3,0))</f>
        <v>0</v>
      </c>
    </row>
    <row r="200" spans="1:7" ht="11.4" outlineLevel="1" x14ac:dyDescent="0.2">
      <c r="A200" s="85" t="s">
        <v>1405</v>
      </c>
      <c r="B200" s="174" t="s">
        <v>6170</v>
      </c>
      <c r="C200" s="136"/>
      <c r="D200" s="136"/>
      <c r="E200" s="177">
        <f>INDEX(IN_PAR!$A$3:$AAA$413,MATCH($A200,IN_PAR!$A$3:$A$413,0),MATCH(E$3,IN_PAR!$A$3:$AAA$3,0))</f>
        <v>0</v>
      </c>
      <c r="F200" s="177">
        <f>INDEX(IN_PAR!$A$3:$AAA$413,MATCH($A200,IN_PAR!$A$3:$A$413,0),MATCH(F$3,IN_PAR!$A$3:$AAA$3,0))</f>
        <v>0</v>
      </c>
      <c r="G200" s="177">
        <f>INDEX(IN_PAR!$A$3:$AAA$413,MATCH($A200,IN_PAR!$A$3:$A$413,0),MATCH(G$3,IN_PAR!$A$3:$AAA$3,0))</f>
        <v>0</v>
      </c>
    </row>
    <row r="201" spans="1:7" outlineLevel="1" x14ac:dyDescent="0.2">
      <c r="B201" s="65" t="s">
        <v>123</v>
      </c>
      <c r="C201" s="137"/>
      <c r="D201" s="137"/>
      <c r="E201" s="708" t="str">
        <f>IF(E196&gt;8.8%,"errore","ok")</f>
        <v>ok</v>
      </c>
      <c r="F201" s="708" t="str">
        <f>IF(F196&gt;8.8%,"errore","ok")</f>
        <v>ok</v>
      </c>
      <c r="G201" s="708" t="str">
        <f>IF(G196&gt;8.8%,"errore","ok")</f>
        <v>ok</v>
      </c>
    </row>
    <row r="202" spans="1:7" outlineLevel="1" x14ac:dyDescent="0.2"/>
    <row r="203" spans="1:7" ht="11.4" outlineLevel="1" x14ac:dyDescent="0.2">
      <c r="A203" s="31" t="s">
        <v>5537</v>
      </c>
      <c r="B203" s="178" t="s">
        <v>6171</v>
      </c>
      <c r="C203" s="179">
        <f t="shared" ref="C203:C214" si="32">SUM(E203:AAA203)</f>
        <v>10094338.994965419</v>
      </c>
      <c r="D203" s="135"/>
      <c r="E203" s="182">
        <f>INDEX(PEF_GEST_28!$A$3:$AAA$102,MATCH($A203,PEF_GEST_28!$A$3:$A$102,0),MATCH(E$3,PEF_GEST_28!$A$3:$AAA$3,0))</f>
        <v>8252633.5304478202</v>
      </c>
      <c r="F203" s="182">
        <f>INDEX(PEF_GEST_28!$A$3:$AAA$102,MATCH($A203,PEF_GEST_28!$A$3:$A$102,0),MATCH(F$3,PEF_GEST_28!$A$3:$AAA$3,0))</f>
        <v>1121291.8505976</v>
      </c>
      <c r="G203" s="182">
        <f>INDEX(PEF_GEST_28!$A$3:$AAA$102,MATCH($A203,PEF_GEST_28!$A$3:$A$102,0),MATCH(G$3,PEF_GEST_28!$A$3:$AAA$3,0))</f>
        <v>720413.61392000003</v>
      </c>
    </row>
    <row r="204" spans="1:7" ht="11.4" outlineLevel="1" x14ac:dyDescent="0.2">
      <c r="A204" s="31" t="s">
        <v>5641</v>
      </c>
      <c r="B204" s="180" t="s">
        <v>6172</v>
      </c>
      <c r="C204" s="181">
        <f t="shared" si="32"/>
        <v>0</v>
      </c>
      <c r="D204" s="135"/>
      <c r="E204" s="183">
        <f>INDEX(PEF_COM_28!$A$3:$AAA$102,MATCH($A204,PEF_COM_28!$A$3:$A$102,0),MATCH(E$3,PEF_COM_28!$A$3:$AAA$3,0))</f>
        <v>0</v>
      </c>
      <c r="F204" s="183">
        <f>INDEX(PEF_COM_28!$A$3:$AAA$102,MATCH($A204,PEF_COM_28!$A$3:$A$102,0),MATCH(F$3,PEF_COM_28!$A$3:$AAA$3,0))</f>
        <v>0</v>
      </c>
      <c r="G204" s="183">
        <f>INDEX(PEF_COM_28!$A$3:$AAA$102,MATCH($A204,PEF_COM_28!$A$3:$A$102,0),MATCH(G$3,PEF_COM_28!$A$3:$AAA$3,0))</f>
        <v>0</v>
      </c>
    </row>
    <row r="205" spans="1:7" ht="11.4" outlineLevel="1" x14ac:dyDescent="0.2">
      <c r="A205" s="31" t="s">
        <v>6140</v>
      </c>
      <c r="B205" s="142" t="s">
        <v>6173</v>
      </c>
      <c r="C205" s="143">
        <f t="shared" si="32"/>
        <v>10094338.994965419</v>
      </c>
      <c r="D205" s="135"/>
      <c r="E205" s="144">
        <f>E203+E204</f>
        <v>8252633.5304478202</v>
      </c>
      <c r="F205" s="144">
        <f>F203+F204</f>
        <v>1121291.8505976</v>
      </c>
      <c r="G205" s="144">
        <f>G203+G204</f>
        <v>720413.61392000003</v>
      </c>
    </row>
    <row r="206" spans="1:7" ht="11.4" outlineLevel="1" x14ac:dyDescent="0.2">
      <c r="A206" s="31" t="s">
        <v>5547</v>
      </c>
      <c r="B206" s="178" t="s">
        <v>6174</v>
      </c>
      <c r="C206" s="179">
        <f t="shared" si="32"/>
        <v>7207729.0492472257</v>
      </c>
      <c r="D206" s="135"/>
      <c r="E206" s="182">
        <f>INDEX(PEF_GEST_28!$A$3:$AAA$102,MATCH($A206,PEF_GEST_28!$A$3:$A$102,0),MATCH(E$3,PEF_GEST_28!$A$3:$AAA$3,0))</f>
        <v>6964646.892502577</v>
      </c>
      <c r="F206" s="182">
        <f>INDEX(PEF_GEST_28!$A$3:$AAA$102,MATCH($A206,PEF_GEST_28!$A$3:$A$102,0),MATCH(F$3,PEF_GEST_28!$A$3:$AAA$3,0))</f>
        <v>123153.1330120179</v>
      </c>
      <c r="G206" s="182">
        <f>INDEX(PEF_GEST_28!$A$3:$AAA$102,MATCH($A206,PEF_GEST_28!$A$3:$A$102,0),MATCH(G$3,PEF_GEST_28!$A$3:$AAA$3,0))</f>
        <v>119929.02373263093</v>
      </c>
    </row>
    <row r="207" spans="1:7" ht="11.4" outlineLevel="1" x14ac:dyDescent="0.2">
      <c r="A207" s="31" t="s">
        <v>5650</v>
      </c>
      <c r="B207" s="180" t="s">
        <v>6175</v>
      </c>
      <c r="C207" s="181">
        <f t="shared" si="32"/>
        <v>48623.568806579729</v>
      </c>
      <c r="D207" s="135"/>
      <c r="E207" s="183">
        <f>INDEX(PEF_COM_28!$A$3:$AAA$102,MATCH($A207,PEF_COM_28!$A$3:$A$102,0),MATCH(E$3,PEF_COM_28!$A$3:$AAA$3,0))</f>
        <v>0</v>
      </c>
      <c r="F207" s="183">
        <f>INDEX(PEF_COM_28!$A$3:$AAA$102,MATCH($A207,PEF_COM_28!$A$3:$A$102,0),MATCH(F$3,PEF_COM_28!$A$3:$AAA$3,0))</f>
        <v>0</v>
      </c>
      <c r="G207" s="183">
        <f>INDEX(PEF_COM_28!$A$3:$AAA$102,MATCH($A207,PEF_COM_28!$A$3:$A$102,0),MATCH(G$3,PEF_COM_28!$A$3:$AAA$3,0))</f>
        <v>48623.568806579729</v>
      </c>
    </row>
    <row r="208" spans="1:7" ht="11.4" outlineLevel="1" x14ac:dyDescent="0.2">
      <c r="A208" s="31" t="s">
        <v>6141</v>
      </c>
      <c r="B208" s="142" t="s">
        <v>6176</v>
      </c>
      <c r="C208" s="143">
        <f t="shared" si="32"/>
        <v>7256352.618053806</v>
      </c>
      <c r="D208" s="135"/>
      <c r="E208" s="144">
        <f>E206+E207</f>
        <v>6964646.892502577</v>
      </c>
      <c r="F208" s="144">
        <f>F206+F207</f>
        <v>123153.1330120179</v>
      </c>
      <c r="G208" s="144">
        <f>G206+G207</f>
        <v>168552.59253921066</v>
      </c>
    </row>
    <row r="209" spans="1:7" ht="11.4" outlineLevel="1" x14ac:dyDescent="0.2">
      <c r="A209" s="31" t="s">
        <v>5556</v>
      </c>
      <c r="B209" s="178" t="s">
        <v>6177</v>
      </c>
      <c r="C209" s="179">
        <f t="shared" si="32"/>
        <v>17302068.044212647</v>
      </c>
      <c r="D209" s="135"/>
      <c r="E209" s="182">
        <f>INDEX(PEF_GEST_28!$A$3:$AAA$102,MATCH($A209,PEF_GEST_28!$A$3:$A$102,0),MATCH(E$3,PEF_GEST_28!$A$3:$AAA$3,0))</f>
        <v>15217280.422950398</v>
      </c>
      <c r="F209" s="182">
        <f>INDEX(PEF_GEST_28!$A$3:$AAA$102,MATCH($A209,PEF_GEST_28!$A$3:$A$102,0),MATCH(F$3,PEF_GEST_28!$A$3:$AAA$3,0))</f>
        <v>1244444.9836096179</v>
      </c>
      <c r="G209" s="182">
        <f>INDEX(PEF_GEST_28!$A$3:$AAA$102,MATCH($A209,PEF_GEST_28!$A$3:$A$102,0),MATCH(G$3,PEF_GEST_28!$A$3:$AAA$3,0))</f>
        <v>840342.63765263092</v>
      </c>
    </row>
    <row r="210" spans="1:7" ht="11.4" outlineLevel="1" x14ac:dyDescent="0.2">
      <c r="A210" s="31" t="s">
        <v>5658</v>
      </c>
      <c r="B210" s="180" t="s">
        <v>6178</v>
      </c>
      <c r="C210" s="181">
        <f t="shared" si="32"/>
        <v>48623.568806579729</v>
      </c>
      <c r="D210" s="135"/>
      <c r="E210" s="183">
        <f>INDEX(PEF_COM_28!$A$3:$AAA$102,MATCH($A210,PEF_COM_28!$A$3:$A$102,0),MATCH(E$3,PEF_COM_28!$A$3:$AAA$3,0))</f>
        <v>0</v>
      </c>
      <c r="F210" s="183">
        <f>INDEX(PEF_COM_28!$A$3:$AAA$102,MATCH($A210,PEF_COM_28!$A$3:$A$102,0),MATCH(F$3,PEF_COM_28!$A$3:$AAA$3,0))</f>
        <v>0</v>
      </c>
      <c r="G210" s="183">
        <f>INDEX(PEF_COM_28!$A$3:$AAA$102,MATCH($A210,PEF_COM_28!$A$3:$A$102,0),MATCH(G$3,PEF_COM_28!$A$3:$AAA$3,0))</f>
        <v>48623.568806579729</v>
      </c>
    </row>
    <row r="211" spans="1:7" ht="11.4" outlineLevel="1" x14ac:dyDescent="0.2">
      <c r="A211" s="31" t="s">
        <v>6142</v>
      </c>
      <c r="B211" s="142" t="s">
        <v>6179</v>
      </c>
      <c r="C211" s="143">
        <f t="shared" si="32"/>
        <v>17350691.613019228</v>
      </c>
      <c r="D211" s="135"/>
      <c r="E211" s="144">
        <f>E209+E210</f>
        <v>15217280.422950398</v>
      </c>
      <c r="F211" s="144">
        <f>F209+F210</f>
        <v>1244444.9836096179</v>
      </c>
      <c r="G211" s="144">
        <f>G209+G210</f>
        <v>888966.2064592106</v>
      </c>
    </row>
    <row r="212" spans="1:7" ht="11.4" outlineLevel="1" x14ac:dyDescent="0.2">
      <c r="A212" s="85" t="s">
        <v>6585</v>
      </c>
      <c r="B212" s="173" t="s">
        <v>6643</v>
      </c>
      <c r="C212" s="184">
        <f t="shared" si="32"/>
        <v>10249969.052142553</v>
      </c>
      <c r="D212" s="147"/>
      <c r="E212" s="186">
        <f>INDEX('Rett_Ta-1'!$A$3:$E$99,MATCH($A212,'Rett_Ta-1'!$A$3:$A$99,0),MATCH(E$3,'Rett_Ta-1'!$A$3:$E$3,0))</f>
        <v>8408263.5876249541</v>
      </c>
      <c r="F212" s="186">
        <f>INDEX('Rett_Ta-1'!$A$3:$E$99,MATCH($A212,'Rett_Ta-1'!$A$3:$A$99,0),MATCH(F$3,'Rett_Ta-1'!$A$3:$E$3,0))</f>
        <v>1121291.8505976</v>
      </c>
      <c r="G212" s="186">
        <f>INDEX('Rett_Ta-1'!$A$3:$E$99,MATCH($A212,'Rett_Ta-1'!$A$3:$A$99,0),MATCH(G$3,'Rett_Ta-1'!$A$3:$E$3,0))</f>
        <v>720413.61392000003</v>
      </c>
    </row>
    <row r="213" spans="1:7" ht="11.4" outlineLevel="1" x14ac:dyDescent="0.2">
      <c r="A213" s="85" t="s">
        <v>6588</v>
      </c>
      <c r="B213" s="175" t="s">
        <v>6644</v>
      </c>
      <c r="C213" s="185">
        <f t="shared" si="32"/>
        <v>7633647.8002306279</v>
      </c>
      <c r="D213" s="147"/>
      <c r="E213" s="187">
        <f>INDEX('Rett_Ta-1'!$A$3:$E$99,MATCH($A213,'Rett_Ta-1'!$A$3:$A$99,0),MATCH(E$3,'Rett_Ta-1'!$A$3:$E$3,0))</f>
        <v>7331110.0157594364</v>
      </c>
      <c r="F213" s="187">
        <f>INDEX('Rett_Ta-1'!$A$3:$E$99,MATCH($A213,'Rett_Ta-1'!$A$3:$A$99,0),MATCH(F$3,'Rett_Ta-1'!$A$3:$E$3,0))</f>
        <v>129706.70226632972</v>
      </c>
      <c r="G213" s="187">
        <f>INDEX('Rett_Ta-1'!$A$3:$E$99,MATCH($A213,'Rett_Ta-1'!$A$3:$A$99,0),MATCH(G$3,'Rett_Ta-1'!$A$3:$E$3,0))</f>
        <v>172831.08220486157</v>
      </c>
    </row>
    <row r="214" spans="1:7" ht="11.4" outlineLevel="1" x14ac:dyDescent="0.2">
      <c r="A214" s="85" t="s">
        <v>6589</v>
      </c>
      <c r="B214" s="145" t="s">
        <v>6645</v>
      </c>
      <c r="C214" s="146">
        <f t="shared" si="32"/>
        <v>17883616.852373183</v>
      </c>
      <c r="D214" s="148"/>
      <c r="E214" s="149">
        <f>E212+E213</f>
        <v>15739373.60338439</v>
      </c>
      <c r="F214" s="149">
        <f>F212+F213</f>
        <v>1250998.5528639297</v>
      </c>
      <c r="G214" s="149">
        <f>G212+G213</f>
        <v>893244.6961248616</v>
      </c>
    </row>
    <row r="215" spans="1:7" ht="21" customHeight="1" outlineLevel="1" x14ac:dyDescent="0.2">
      <c r="B215" s="74"/>
      <c r="C215" s="74"/>
      <c r="D215" s="74"/>
      <c r="E215" s="75"/>
      <c r="F215" s="75"/>
      <c r="G215" s="75"/>
    </row>
    <row r="216" spans="1:7" s="159" customFormat="1" ht="11.4" outlineLevel="1" x14ac:dyDescent="0.2">
      <c r="A216" s="85" t="s">
        <v>6143</v>
      </c>
      <c r="B216" s="150" t="s">
        <v>6207</v>
      </c>
      <c r="C216" s="74"/>
      <c r="D216" s="74"/>
      <c r="E216" s="133">
        <f>E211/E214</f>
        <v>0.96682884633212285</v>
      </c>
      <c r="F216" s="133">
        <f>F211/F214</f>
        <v>0.99476132946812079</v>
      </c>
      <c r="G216" s="133">
        <f>G211/G214</f>
        <v>0.9952101706461709</v>
      </c>
    </row>
    <row r="217" spans="1:7" s="159" customFormat="1" outlineLevel="1" x14ac:dyDescent="0.2">
      <c r="A217" s="85"/>
      <c r="B217" s="154" t="s">
        <v>218</v>
      </c>
      <c r="C217" s="74"/>
      <c r="D217" s="74"/>
      <c r="E217" s="155" t="str">
        <f>IF(E216&lt;=(1+E196),"NO","SI")</f>
        <v>NO</v>
      </c>
      <c r="F217" s="155" t="str">
        <f>IF(F216&lt;=(1+F196),"NO","SI")</f>
        <v>NO</v>
      </c>
      <c r="G217" s="155" t="str">
        <f>IF(G216&lt;=(1+G196),"NO","SI")</f>
        <v>NO</v>
      </c>
    </row>
    <row r="218" spans="1:7" s="159" customFormat="1" ht="11.4" outlineLevel="1" x14ac:dyDescent="0.2">
      <c r="A218" s="85" t="s">
        <v>6144</v>
      </c>
      <c r="B218" s="76" t="s">
        <v>6208</v>
      </c>
      <c r="C218" s="140">
        <f t="shared" ref="C218:C219" si="33">SUM(E218:AAA218)</f>
        <v>17350691.613019228</v>
      </c>
      <c r="D218" s="74"/>
      <c r="E218" s="141">
        <f>IF(E211&lt;=E214*E195,E211,E214*E195)</f>
        <v>15217280.422950398</v>
      </c>
      <c r="F218" s="141">
        <f>IF(F211&lt;=F214*F195,F211,F214*F195)</f>
        <v>1244444.9836096179</v>
      </c>
      <c r="G218" s="141">
        <f>IF(G211&lt;=G214*G195,G211,G214*G195)</f>
        <v>888966.2064592106</v>
      </c>
    </row>
    <row r="219" spans="1:7" s="159" customFormat="1" ht="11.4" outlineLevel="1" x14ac:dyDescent="0.2">
      <c r="A219" s="138"/>
      <c r="B219" s="152" t="s">
        <v>6273</v>
      </c>
      <c r="C219" s="140">
        <f t="shared" si="33"/>
        <v>0</v>
      </c>
      <c r="D219" s="151"/>
      <c r="E219" s="141">
        <f>IF(E216&lt;=E195,0,E211-E218)</f>
        <v>0</v>
      </c>
      <c r="F219" s="141">
        <f>IF(F216&lt;=F195,0,F211-F218)</f>
        <v>0</v>
      </c>
      <c r="G219" s="141">
        <f>IF(G216&lt;=G195,0,G211-G218)</f>
        <v>0</v>
      </c>
    </row>
    <row r="220" spans="1:7" s="159" customFormat="1" outlineLevel="1" x14ac:dyDescent="0.2">
      <c r="A220" s="85" t="s">
        <v>6145</v>
      </c>
      <c r="B220" s="153" t="s">
        <v>220</v>
      </c>
      <c r="C220" s="74"/>
      <c r="D220" s="74"/>
      <c r="E220" s="156" t="s">
        <v>105</v>
      </c>
      <c r="F220" s="156" t="s">
        <v>105</v>
      </c>
      <c r="G220" s="156" t="s">
        <v>105</v>
      </c>
    </row>
    <row r="221" spans="1:7" s="159" customFormat="1" outlineLevel="1" x14ac:dyDescent="0.2">
      <c r="A221" s="85"/>
      <c r="B221" s="165"/>
      <c r="C221" s="74"/>
      <c r="D221" s="74"/>
      <c r="E221" s="166" t="str">
        <f>IF(E220="SI","Non compilare tabella seguente",IF(E220="NO","Compilare tabella seguente","-"))</f>
        <v>-</v>
      </c>
      <c r="F221" s="166" t="str">
        <f>IF(F220="SI","Non compilare tabella seguente",IF(F220="NO","Compilare tabella seguente","-"))</f>
        <v>-</v>
      </c>
      <c r="G221" s="166" t="str">
        <f>IF(G220="SI","Non compilare tabella seguente",IF(G220="NO","Compilare tabella seguente","-"))</f>
        <v>-</v>
      </c>
    </row>
    <row r="222" spans="1:7" s="157" customFormat="1" ht="11.4" outlineLevel="1" x14ac:dyDescent="0.2">
      <c r="A222" s="7" t="s">
        <v>6146</v>
      </c>
      <c r="B222" s="188" t="s">
        <v>6180</v>
      </c>
      <c r="C222" s="189">
        <f t="shared" ref="C222:C228" si="34">SUM(E222:AAA222)</f>
        <v>0</v>
      </c>
      <c r="D222" s="158"/>
      <c r="E222" s="196">
        <v>0</v>
      </c>
      <c r="F222" s="196">
        <v>0</v>
      </c>
      <c r="G222" s="196">
        <v>0</v>
      </c>
    </row>
    <row r="223" spans="1:7" s="159" customFormat="1" ht="11.4" outlineLevel="1" x14ac:dyDescent="0.2">
      <c r="A223" s="7" t="s">
        <v>6147</v>
      </c>
      <c r="B223" s="190" t="s">
        <v>6181</v>
      </c>
      <c r="C223" s="191">
        <f t="shared" si="34"/>
        <v>0</v>
      </c>
      <c r="D223" s="158"/>
      <c r="E223" s="197">
        <v>0</v>
      </c>
      <c r="F223" s="197">
        <v>0</v>
      </c>
      <c r="G223" s="197">
        <v>0</v>
      </c>
    </row>
    <row r="224" spans="1:7" s="159" customFormat="1" ht="11.4" outlineLevel="1" x14ac:dyDescent="0.2">
      <c r="A224" s="7" t="s">
        <v>6148</v>
      </c>
      <c r="B224" s="161" t="s">
        <v>6182</v>
      </c>
      <c r="C224" s="162">
        <f t="shared" si="34"/>
        <v>0</v>
      </c>
      <c r="D224" s="158"/>
      <c r="E224" s="144">
        <f>E222+E223</f>
        <v>0</v>
      </c>
      <c r="F224" s="144">
        <f>F222+F223</f>
        <v>0</v>
      </c>
      <c r="G224" s="144">
        <f>G222+G223</f>
        <v>0</v>
      </c>
    </row>
    <row r="225" spans="1:7" s="159" customFormat="1" ht="11.4" outlineLevel="1" x14ac:dyDescent="0.2">
      <c r="A225" s="7" t="s">
        <v>6149</v>
      </c>
      <c r="B225" s="188" t="s">
        <v>6183</v>
      </c>
      <c r="C225" s="189">
        <f t="shared" si="34"/>
        <v>0</v>
      </c>
      <c r="D225" s="158"/>
      <c r="E225" s="196">
        <v>0</v>
      </c>
      <c r="F225" s="196">
        <v>0</v>
      </c>
      <c r="G225" s="196">
        <v>0</v>
      </c>
    </row>
    <row r="226" spans="1:7" s="159" customFormat="1" ht="11.4" outlineLevel="1" x14ac:dyDescent="0.2">
      <c r="A226" s="7" t="s">
        <v>6150</v>
      </c>
      <c r="B226" s="190" t="s">
        <v>6184</v>
      </c>
      <c r="C226" s="191">
        <f t="shared" si="34"/>
        <v>0</v>
      </c>
      <c r="D226" s="158"/>
      <c r="E226" s="197">
        <v>0</v>
      </c>
      <c r="F226" s="197">
        <v>0</v>
      </c>
      <c r="G226" s="197">
        <v>0</v>
      </c>
    </row>
    <row r="227" spans="1:7" s="157" customFormat="1" ht="11.4" outlineLevel="1" x14ac:dyDescent="0.2">
      <c r="A227" s="7" t="s">
        <v>6151</v>
      </c>
      <c r="B227" s="161" t="s">
        <v>5939</v>
      </c>
      <c r="C227" s="162">
        <f t="shared" si="34"/>
        <v>0</v>
      </c>
      <c r="D227" s="158"/>
      <c r="E227" s="144">
        <f>E225+E226</f>
        <v>0</v>
      </c>
      <c r="F227" s="144">
        <f>F225+F226</f>
        <v>0</v>
      </c>
      <c r="G227" s="144">
        <f>G225+G226</f>
        <v>0</v>
      </c>
    </row>
    <row r="228" spans="1:7" s="159" customFormat="1" ht="11.4" outlineLevel="1" x14ac:dyDescent="0.2">
      <c r="A228" s="157"/>
      <c r="B228" s="152" t="s">
        <v>6185</v>
      </c>
      <c r="C228" s="160">
        <f t="shared" si="34"/>
        <v>0</v>
      </c>
      <c r="D228" s="164"/>
      <c r="E228" s="139">
        <f t="shared" ref="E228" si="35">E219-E224-E227</f>
        <v>0</v>
      </c>
      <c r="F228" s="139">
        <f t="shared" ref="F228:G228" si="36">F219-F224-F227</f>
        <v>0</v>
      </c>
      <c r="G228" s="139">
        <f t="shared" si="36"/>
        <v>0</v>
      </c>
    </row>
    <row r="229" spans="1:7" s="159" customFormat="1" outlineLevel="1" x14ac:dyDescent="0.2">
      <c r="A229" s="157"/>
      <c r="B229" s="158"/>
      <c r="C229" s="158"/>
      <c r="D229" s="158"/>
      <c r="E229" s="713"/>
      <c r="F229" s="713"/>
      <c r="G229" s="713"/>
    </row>
    <row r="230" spans="1:7" s="159" customFormat="1" ht="11.4" outlineLevel="1" x14ac:dyDescent="0.2">
      <c r="A230" s="163"/>
      <c r="B230" s="154" t="s">
        <v>6186</v>
      </c>
      <c r="C230" s="162">
        <f t="shared" ref="C230:C233" si="37">SUM(E230:AAA230)</f>
        <v>0</v>
      </c>
      <c r="D230" s="158"/>
      <c r="E230" s="144">
        <f>E222</f>
        <v>0</v>
      </c>
      <c r="F230" s="144">
        <f>F222</f>
        <v>0</v>
      </c>
      <c r="G230" s="144">
        <f>G222</f>
        <v>0</v>
      </c>
    </row>
    <row r="231" spans="1:7" s="159" customFormat="1" ht="11.4" outlineLevel="1" x14ac:dyDescent="0.2">
      <c r="A231" s="7" t="s">
        <v>6152</v>
      </c>
      <c r="B231" s="710" t="s">
        <v>6187</v>
      </c>
      <c r="C231" s="711">
        <f t="shared" si="37"/>
        <v>0</v>
      </c>
      <c r="D231" s="158"/>
      <c r="E231" s="712">
        <v>0</v>
      </c>
      <c r="F231" s="712">
        <v>0</v>
      </c>
      <c r="G231" s="712">
        <v>0</v>
      </c>
    </row>
    <row r="232" spans="1:7" s="159" customFormat="1" ht="11.4" outlineLevel="1" x14ac:dyDescent="0.2">
      <c r="A232" s="7" t="s">
        <v>6153</v>
      </c>
      <c r="B232" s="190" t="s">
        <v>6188</v>
      </c>
      <c r="C232" s="191">
        <f t="shared" si="37"/>
        <v>0</v>
      </c>
      <c r="D232" s="158"/>
      <c r="E232" s="197">
        <v>0</v>
      </c>
      <c r="F232" s="197">
        <v>0</v>
      </c>
      <c r="G232" s="197">
        <v>0</v>
      </c>
    </row>
    <row r="233" spans="1:7" s="159" customFormat="1" ht="11.4" outlineLevel="1" x14ac:dyDescent="0.2">
      <c r="A233" s="157"/>
      <c r="B233" s="152" t="s">
        <v>6189</v>
      </c>
      <c r="C233" s="160">
        <f t="shared" si="37"/>
        <v>0</v>
      </c>
      <c r="D233" s="164"/>
      <c r="E233" s="139">
        <f>E230-SUM(E231:E232)</f>
        <v>0</v>
      </c>
      <c r="F233" s="139">
        <f>F230-SUM(F231:F232)</f>
        <v>0</v>
      </c>
      <c r="G233" s="139">
        <f>G230-SUM(G231:G232)</f>
        <v>0</v>
      </c>
    </row>
    <row r="234" spans="1:7" s="159" customFormat="1" outlineLevel="1" x14ac:dyDescent="0.2">
      <c r="A234" s="157"/>
      <c r="B234" s="714"/>
      <c r="C234" s="715"/>
      <c r="D234" s="164"/>
      <c r="E234" s="716"/>
      <c r="F234" s="716"/>
      <c r="G234" s="716"/>
    </row>
    <row r="235" spans="1:7" s="159" customFormat="1" ht="11.4" outlineLevel="1" x14ac:dyDescent="0.2">
      <c r="A235" s="163"/>
      <c r="B235" s="154" t="s">
        <v>6190</v>
      </c>
      <c r="C235" s="162">
        <f t="shared" ref="C235:C238" si="38">SUM(E235:AAA235)</f>
        <v>0</v>
      </c>
      <c r="D235" s="158"/>
      <c r="E235" s="144">
        <f>E223</f>
        <v>0</v>
      </c>
      <c r="F235" s="144">
        <f>F223</f>
        <v>0</v>
      </c>
      <c r="G235" s="144">
        <f>G223</f>
        <v>0</v>
      </c>
    </row>
    <row r="236" spans="1:7" s="159" customFormat="1" ht="11.4" outlineLevel="1" x14ac:dyDescent="0.2">
      <c r="A236" s="7" t="s">
        <v>6154</v>
      </c>
      <c r="B236" s="710" t="s">
        <v>6191</v>
      </c>
      <c r="C236" s="711">
        <f t="shared" si="38"/>
        <v>0</v>
      </c>
      <c r="D236" s="158"/>
      <c r="E236" s="712">
        <v>0</v>
      </c>
      <c r="F236" s="712">
        <v>0</v>
      </c>
      <c r="G236" s="712">
        <v>0</v>
      </c>
    </row>
    <row r="237" spans="1:7" s="159" customFormat="1" ht="11.4" outlineLevel="1" x14ac:dyDescent="0.2">
      <c r="A237" s="7" t="s">
        <v>6155</v>
      </c>
      <c r="B237" s="190" t="s">
        <v>6192</v>
      </c>
      <c r="C237" s="191">
        <f t="shared" si="38"/>
        <v>0</v>
      </c>
      <c r="D237" s="158"/>
      <c r="E237" s="197">
        <v>0</v>
      </c>
      <c r="F237" s="197">
        <v>0</v>
      </c>
      <c r="G237" s="197">
        <v>0</v>
      </c>
    </row>
    <row r="238" spans="1:7" s="159" customFormat="1" ht="11.4" outlineLevel="1" x14ac:dyDescent="0.2">
      <c r="A238" s="157"/>
      <c r="B238" s="152" t="s">
        <v>6193</v>
      </c>
      <c r="C238" s="160">
        <f t="shared" si="38"/>
        <v>0</v>
      </c>
      <c r="D238" s="164"/>
      <c r="E238" s="139">
        <f>E235-SUM(E236:E237)</f>
        <v>0</v>
      </c>
      <c r="F238" s="139">
        <f>F235-SUM(F236:F237)</f>
        <v>0</v>
      </c>
      <c r="G238" s="139">
        <f>G235-SUM(G236:G237)</f>
        <v>0</v>
      </c>
    </row>
    <row r="239" spans="1:7" s="159" customFormat="1" outlineLevel="1" x14ac:dyDescent="0.2">
      <c r="A239" s="157"/>
      <c r="B239" s="714"/>
      <c r="C239" s="715"/>
      <c r="D239" s="164"/>
      <c r="E239" s="716"/>
      <c r="F239" s="716"/>
      <c r="G239" s="716"/>
    </row>
    <row r="240" spans="1:7" s="159" customFormat="1" ht="11.4" outlineLevel="1" x14ac:dyDescent="0.2">
      <c r="A240" s="163"/>
      <c r="B240" s="154" t="s">
        <v>226</v>
      </c>
      <c r="C240" s="162">
        <f t="shared" ref="C240:C243" si="39">SUM(E240:AAA240)</f>
        <v>0</v>
      </c>
      <c r="D240" s="158"/>
      <c r="E240" s="144">
        <f>E225</f>
        <v>0</v>
      </c>
      <c r="F240" s="144">
        <f>F225</f>
        <v>0</v>
      </c>
      <c r="G240" s="144">
        <f>G225</f>
        <v>0</v>
      </c>
    </row>
    <row r="241" spans="1:7" s="159" customFormat="1" ht="11.4" outlineLevel="1" x14ac:dyDescent="0.2">
      <c r="A241" s="7" t="s">
        <v>6156</v>
      </c>
      <c r="B241" s="710" t="s">
        <v>6194</v>
      </c>
      <c r="C241" s="711">
        <f t="shared" si="39"/>
        <v>0</v>
      </c>
      <c r="D241" s="158"/>
      <c r="E241" s="712">
        <v>0</v>
      </c>
      <c r="F241" s="712">
        <v>0</v>
      </c>
      <c r="G241" s="712">
        <v>0</v>
      </c>
    </row>
    <row r="242" spans="1:7" s="159" customFormat="1" ht="11.4" outlineLevel="1" x14ac:dyDescent="0.2">
      <c r="A242" s="7" t="s">
        <v>6157</v>
      </c>
      <c r="B242" s="190" t="s">
        <v>6195</v>
      </c>
      <c r="C242" s="191">
        <f t="shared" si="39"/>
        <v>0</v>
      </c>
      <c r="D242" s="158"/>
      <c r="E242" s="197">
        <v>0</v>
      </c>
      <c r="F242" s="197">
        <v>0</v>
      </c>
      <c r="G242" s="197">
        <v>0</v>
      </c>
    </row>
    <row r="243" spans="1:7" s="157" customFormat="1" ht="11.4" outlineLevel="1" x14ac:dyDescent="0.2">
      <c r="B243" s="152" t="s">
        <v>6196</v>
      </c>
      <c r="C243" s="160">
        <f t="shared" si="39"/>
        <v>0</v>
      </c>
      <c r="D243" s="164"/>
      <c r="E243" s="139">
        <f>E240-SUM(E241:E242)</f>
        <v>0</v>
      </c>
      <c r="F243" s="139">
        <f>F240-SUM(F241:F242)</f>
        <v>0</v>
      </c>
      <c r="G243" s="139">
        <f>G240-SUM(G241:G242)</f>
        <v>0</v>
      </c>
    </row>
    <row r="244" spans="1:7" s="157" customFormat="1" outlineLevel="1" x14ac:dyDescent="0.2">
      <c r="B244" s="714"/>
      <c r="C244" s="715"/>
      <c r="D244" s="164"/>
      <c r="E244" s="716"/>
      <c r="F244" s="716"/>
      <c r="G244" s="716"/>
    </row>
    <row r="245" spans="1:7" s="157" customFormat="1" ht="11.4" outlineLevel="1" x14ac:dyDescent="0.2">
      <c r="A245" s="163"/>
      <c r="B245" s="154" t="s">
        <v>227</v>
      </c>
      <c r="C245" s="162">
        <f t="shared" ref="C245:C248" si="40">SUM(E245:AAA245)</f>
        <v>0</v>
      </c>
      <c r="D245" s="158"/>
      <c r="E245" s="144">
        <f>E226</f>
        <v>0</v>
      </c>
      <c r="F245" s="144">
        <f>F226</f>
        <v>0</v>
      </c>
      <c r="G245" s="144">
        <f>G226</f>
        <v>0</v>
      </c>
    </row>
    <row r="246" spans="1:7" s="159" customFormat="1" ht="11.4" outlineLevel="1" x14ac:dyDescent="0.2">
      <c r="A246" s="7" t="s">
        <v>6158</v>
      </c>
      <c r="B246" s="710" t="s">
        <v>6197</v>
      </c>
      <c r="C246" s="711">
        <f t="shared" si="40"/>
        <v>0</v>
      </c>
      <c r="D246" s="158"/>
      <c r="E246" s="712">
        <v>0</v>
      </c>
      <c r="F246" s="712">
        <v>0</v>
      </c>
      <c r="G246" s="712">
        <v>0</v>
      </c>
    </row>
    <row r="247" spans="1:7" s="159" customFormat="1" ht="11.4" outlineLevel="1" x14ac:dyDescent="0.2">
      <c r="A247" s="7" t="s">
        <v>6159</v>
      </c>
      <c r="B247" s="190" t="s">
        <v>6198</v>
      </c>
      <c r="C247" s="191">
        <f t="shared" si="40"/>
        <v>0</v>
      </c>
      <c r="D247" s="158"/>
      <c r="E247" s="197">
        <v>0</v>
      </c>
      <c r="F247" s="197">
        <v>0</v>
      </c>
      <c r="G247" s="197">
        <v>0</v>
      </c>
    </row>
    <row r="248" spans="1:7" s="159" customFormat="1" ht="11.4" outlineLevel="1" x14ac:dyDescent="0.2">
      <c r="A248" s="157"/>
      <c r="B248" s="152" t="s">
        <v>6199</v>
      </c>
      <c r="C248" s="160">
        <f t="shared" si="40"/>
        <v>0</v>
      </c>
      <c r="D248" s="164"/>
      <c r="E248" s="139">
        <f>E245-SUM(E246:E247)</f>
        <v>0</v>
      </c>
      <c r="F248" s="139">
        <f>F245-SUM(F246:F247)</f>
        <v>0</v>
      </c>
      <c r="G248" s="139">
        <f>G245-SUM(G246:G247)</f>
        <v>0</v>
      </c>
    </row>
    <row r="249" spans="1:7" s="157" customFormat="1" x14ac:dyDescent="0.2">
      <c r="B249" s="167"/>
      <c r="C249" s="168"/>
      <c r="D249" s="164"/>
      <c r="E249" s="169"/>
      <c r="F249" s="169"/>
      <c r="G249" s="169"/>
    </row>
    <row r="250" spans="1:7" s="157" customFormat="1" ht="11.4" x14ac:dyDescent="0.2">
      <c r="A250" s="7" t="s">
        <v>6160</v>
      </c>
      <c r="B250" s="192" t="s">
        <v>6200</v>
      </c>
      <c r="C250" s="193">
        <f t="shared" ref="C250:C256" si="41">SUM(E250:AAA250)</f>
        <v>10094338.994965419</v>
      </c>
      <c r="D250" s="158"/>
      <c r="E250" s="186">
        <f t="shared" ref="E250:G251" si="42">E203-E222</f>
        <v>8252633.5304478202</v>
      </c>
      <c r="F250" s="186">
        <f t="shared" si="42"/>
        <v>1121291.8505976</v>
      </c>
      <c r="G250" s="186">
        <f t="shared" si="42"/>
        <v>720413.61392000003</v>
      </c>
    </row>
    <row r="251" spans="1:7" ht="11.4" x14ac:dyDescent="0.2">
      <c r="A251" s="7" t="s">
        <v>6161</v>
      </c>
      <c r="B251" s="194" t="s">
        <v>6201</v>
      </c>
      <c r="C251" s="195">
        <f t="shared" si="41"/>
        <v>0</v>
      </c>
      <c r="D251" s="158"/>
      <c r="E251" s="187">
        <f t="shared" si="42"/>
        <v>0</v>
      </c>
      <c r="F251" s="187">
        <f t="shared" si="42"/>
        <v>0</v>
      </c>
      <c r="G251" s="187">
        <f t="shared" si="42"/>
        <v>0</v>
      </c>
    </row>
    <row r="252" spans="1:7" ht="11.4" x14ac:dyDescent="0.2">
      <c r="A252" s="7" t="s">
        <v>6162</v>
      </c>
      <c r="B252" s="717" t="s">
        <v>6202</v>
      </c>
      <c r="C252" s="718">
        <f t="shared" si="41"/>
        <v>10094338.994965419</v>
      </c>
      <c r="D252" s="158"/>
      <c r="E252" s="719">
        <f>E250+E251</f>
        <v>8252633.5304478202</v>
      </c>
      <c r="F252" s="719">
        <f>F250+F251</f>
        <v>1121291.8505976</v>
      </c>
      <c r="G252" s="719">
        <f>G250+G251</f>
        <v>720413.61392000003</v>
      </c>
    </row>
    <row r="253" spans="1:7" ht="11.4" x14ac:dyDescent="0.2">
      <c r="A253" s="7" t="s">
        <v>6163</v>
      </c>
      <c r="B253" s="192" t="s">
        <v>6203</v>
      </c>
      <c r="C253" s="193">
        <f t="shared" si="41"/>
        <v>7207729.0492472257</v>
      </c>
      <c r="D253" s="158"/>
      <c r="E253" s="186">
        <f t="shared" ref="E253:G254" si="43">E206-E225</f>
        <v>6964646.892502577</v>
      </c>
      <c r="F253" s="186">
        <f t="shared" si="43"/>
        <v>123153.1330120179</v>
      </c>
      <c r="G253" s="186">
        <f t="shared" si="43"/>
        <v>119929.02373263093</v>
      </c>
    </row>
    <row r="254" spans="1:7" ht="11.4" x14ac:dyDescent="0.2">
      <c r="A254" s="7" t="s">
        <v>6164</v>
      </c>
      <c r="B254" s="194" t="s">
        <v>6204</v>
      </c>
      <c r="C254" s="195">
        <f t="shared" si="41"/>
        <v>48623.568806579729</v>
      </c>
      <c r="D254" s="158"/>
      <c r="E254" s="187">
        <f t="shared" si="43"/>
        <v>0</v>
      </c>
      <c r="F254" s="187">
        <f t="shared" si="43"/>
        <v>0</v>
      </c>
      <c r="G254" s="187">
        <f t="shared" si="43"/>
        <v>48623.568806579729</v>
      </c>
    </row>
    <row r="255" spans="1:7" ht="11.4" x14ac:dyDescent="0.2">
      <c r="A255" s="7" t="s">
        <v>6165</v>
      </c>
      <c r="B255" s="717" t="s">
        <v>6205</v>
      </c>
      <c r="C255" s="718">
        <f t="shared" si="41"/>
        <v>7256352.618053806</v>
      </c>
      <c r="D255" s="158"/>
      <c r="E255" s="719">
        <f>E253+E254</f>
        <v>6964646.892502577</v>
      </c>
      <c r="F255" s="719">
        <f>F253+F254</f>
        <v>123153.1330120179</v>
      </c>
      <c r="G255" s="719">
        <f>G253+G254</f>
        <v>168552.59253921066</v>
      </c>
    </row>
    <row r="256" spans="1:7" ht="11.4" x14ac:dyDescent="0.2">
      <c r="A256" s="7" t="s">
        <v>1538</v>
      </c>
      <c r="B256" s="720" t="s">
        <v>6206</v>
      </c>
      <c r="C256" s="721">
        <f t="shared" si="41"/>
        <v>17350691.613019228</v>
      </c>
      <c r="D256" s="158"/>
      <c r="E256" s="722">
        <f>E252+E255</f>
        <v>15217280.422950398</v>
      </c>
      <c r="F256" s="722">
        <f>F252+F255</f>
        <v>1244444.9836096179</v>
      </c>
      <c r="G256" s="722">
        <f>G252+G255</f>
        <v>888966.20645921072</v>
      </c>
    </row>
    <row r="258" spans="1:7" x14ac:dyDescent="0.2">
      <c r="B258" s="457">
        <v>2029</v>
      </c>
      <c r="C258" s="74"/>
      <c r="D258" s="74"/>
      <c r="E258" s="75"/>
      <c r="F258" s="75"/>
      <c r="G258" s="75"/>
    </row>
    <row r="259" spans="1:7" ht="11.4" outlineLevel="1" x14ac:dyDescent="0.2">
      <c r="B259" s="71" t="s">
        <v>6233</v>
      </c>
      <c r="C259" s="135"/>
      <c r="D259" s="135"/>
      <c r="E259" s="77">
        <f>1+E260</f>
        <v>1.0189999999999999</v>
      </c>
      <c r="F259" s="77">
        <f>1+F260</f>
        <v>1.0189999999999999</v>
      </c>
      <c r="G259" s="77">
        <f>1+G260</f>
        <v>1.0189999999999999</v>
      </c>
    </row>
    <row r="260" spans="1:7" ht="11.4" outlineLevel="1" x14ac:dyDescent="0.2">
      <c r="A260" s="85" t="s">
        <v>1428</v>
      </c>
      <c r="B260" s="71" t="s">
        <v>6234</v>
      </c>
      <c r="C260" s="135"/>
      <c r="D260" s="135"/>
      <c r="E260" s="77">
        <f>E261-E262+E263+E264</f>
        <v>1.9E-2</v>
      </c>
      <c r="F260" s="77">
        <f>F261-F262+F263+F264</f>
        <v>1.9E-2</v>
      </c>
      <c r="G260" s="77">
        <f>G261-G262+G263+G264</f>
        <v>1.9E-2</v>
      </c>
    </row>
    <row r="261" spans="1:7" ht="11.4" outlineLevel="1" x14ac:dyDescent="0.2">
      <c r="A261" s="85" t="s">
        <v>1420</v>
      </c>
      <c r="B261" s="20" t="s">
        <v>122</v>
      </c>
      <c r="C261" s="78">
        <f>'Parametri MTR-3'!$J$4</f>
        <v>1.9E-2</v>
      </c>
      <c r="D261" s="136"/>
      <c r="E261" s="78">
        <f>$C$57</f>
        <v>1.9E-2</v>
      </c>
      <c r="F261" s="78">
        <f>$C$57</f>
        <v>1.9E-2</v>
      </c>
      <c r="G261" s="78">
        <f>$C$57</f>
        <v>1.9E-2</v>
      </c>
    </row>
    <row r="262" spans="1:7" ht="11.4" outlineLevel="1" x14ac:dyDescent="0.2">
      <c r="A262" s="85" t="s">
        <v>1423</v>
      </c>
      <c r="B262" s="173" t="s">
        <v>6235</v>
      </c>
      <c r="C262" s="136"/>
      <c r="D262" s="136"/>
      <c r="E262" s="176">
        <f>INDEX(IN_PAR!$A$3:$AAA$413,MATCH($A262,IN_PAR!$A$3:$A$413,0),MATCH(E$3,IN_PAR!$A$3:$AAA$3,0))</f>
        <v>0</v>
      </c>
      <c r="F262" s="176">
        <f>INDEX(IN_PAR!$A$3:$AAA$413,MATCH($A262,IN_PAR!$A$3:$A$413,0),MATCH(F$3,IN_PAR!$A$3:$AAA$3,0))</f>
        <v>0</v>
      </c>
      <c r="G262" s="176">
        <f>INDEX(IN_PAR!$A$3:$AAA$413,MATCH($A262,IN_PAR!$A$3:$A$413,0),MATCH(G$3,IN_PAR!$A$3:$AAA$3,0))</f>
        <v>0</v>
      </c>
    </row>
    <row r="263" spans="1:7" ht="11.4" outlineLevel="1" x14ac:dyDescent="0.2">
      <c r="A263" s="85" t="s">
        <v>1426</v>
      </c>
      <c r="B263" s="174" t="s">
        <v>6236</v>
      </c>
      <c r="C263" s="136"/>
      <c r="D263" s="136"/>
      <c r="E263" s="177">
        <f>INDEX(IN_PAR!$A$3:$AAA$413,MATCH($A263,IN_PAR!$A$3:$A$413,0),MATCH(E$3,IN_PAR!$A$3:$AAA$3,0))</f>
        <v>0</v>
      </c>
      <c r="F263" s="177">
        <f>INDEX(IN_PAR!$A$3:$AAA$413,MATCH($A263,IN_PAR!$A$3:$A$413,0),MATCH(F$3,IN_PAR!$A$3:$AAA$3,0))</f>
        <v>0</v>
      </c>
      <c r="G263" s="177">
        <f>INDEX(IN_PAR!$A$3:$AAA$413,MATCH($A263,IN_PAR!$A$3:$A$413,0),MATCH(G$3,IN_PAR!$A$3:$AAA$3,0))</f>
        <v>0</v>
      </c>
    </row>
    <row r="264" spans="1:7" ht="11.4" outlineLevel="1" x14ac:dyDescent="0.2">
      <c r="A264" s="85" t="s">
        <v>1427</v>
      </c>
      <c r="B264" s="174" t="s">
        <v>6237</v>
      </c>
      <c r="C264" s="136"/>
      <c r="D264" s="136"/>
      <c r="E264" s="177">
        <f>INDEX(IN_PAR!$A$3:$AAA$413,MATCH($A264,IN_PAR!$A$3:$A$413,0),MATCH(E$3,IN_PAR!$A$3:$AAA$3,0))</f>
        <v>0</v>
      </c>
      <c r="F264" s="177">
        <f>INDEX(IN_PAR!$A$3:$AAA$413,MATCH($A264,IN_PAR!$A$3:$A$413,0),MATCH(F$3,IN_PAR!$A$3:$AAA$3,0))</f>
        <v>0</v>
      </c>
      <c r="G264" s="177">
        <f>INDEX(IN_PAR!$A$3:$AAA$413,MATCH($A264,IN_PAR!$A$3:$A$413,0),MATCH(G$3,IN_PAR!$A$3:$AAA$3,0))</f>
        <v>0</v>
      </c>
    </row>
    <row r="265" spans="1:7" outlineLevel="1" x14ac:dyDescent="0.2">
      <c r="B265" s="65" t="s">
        <v>123</v>
      </c>
      <c r="C265" s="137"/>
      <c r="D265" s="137"/>
      <c r="E265" s="708" t="str">
        <f>IF(E260&gt;8.8%,"errore","ok")</f>
        <v>ok</v>
      </c>
      <c r="F265" s="708" t="str">
        <f>IF(F260&gt;8.8%,"errore","ok")</f>
        <v>ok</v>
      </c>
      <c r="G265" s="708" t="str">
        <f>IF(G260&gt;8.8%,"errore","ok")</f>
        <v>ok</v>
      </c>
    </row>
    <row r="266" spans="1:7" outlineLevel="1" x14ac:dyDescent="0.2"/>
    <row r="267" spans="1:7" ht="11.4" outlineLevel="1" x14ac:dyDescent="0.2">
      <c r="A267" s="31" t="s">
        <v>5580</v>
      </c>
      <c r="B267" s="178" t="s">
        <v>6238</v>
      </c>
      <c r="C267" s="179">
        <f t="shared" ref="C267:C278" si="44">SUM(E267:AAA267)</f>
        <v>9756303.5952096004</v>
      </c>
      <c r="D267" s="135"/>
      <c r="E267" s="182">
        <f>INDEX(PEF_GEST_29!$A$3:$AAA$102,MATCH($A267,PEF_GEST_29!$A$3:$A$102,0),MATCH(E$3,PEF_GEST_29!$A$3:$AAA$3,0))</f>
        <v>7914598.1306920005</v>
      </c>
      <c r="F267" s="182">
        <f>INDEX(PEF_GEST_29!$A$3:$AAA$102,MATCH($A267,PEF_GEST_29!$A$3:$A$102,0),MATCH(F$3,PEF_GEST_29!$A$3:$AAA$3,0))</f>
        <v>1121291.8505976</v>
      </c>
      <c r="G267" s="182">
        <f>INDEX(PEF_GEST_29!$A$3:$AAA$102,MATCH($A267,PEF_GEST_29!$A$3:$A$102,0),MATCH(G$3,PEF_GEST_29!$A$3:$AAA$3,0))</f>
        <v>720413.61392000003</v>
      </c>
    </row>
    <row r="268" spans="1:7" ht="11.4" outlineLevel="1" x14ac:dyDescent="0.2">
      <c r="A268" s="31" t="s">
        <v>5615</v>
      </c>
      <c r="B268" s="180" t="s">
        <v>6239</v>
      </c>
      <c r="C268" s="181">
        <f t="shared" si="44"/>
        <v>0</v>
      </c>
      <c r="D268" s="135"/>
      <c r="E268" s="183">
        <f>INDEX(PEF_COM_29!$A$3:$AAA$102,MATCH($A268,PEF_COM_29!$A$3:$A$102,0),MATCH(E$3,PEF_COM_29!$A$3:$AAA$3,0))</f>
        <v>0</v>
      </c>
      <c r="F268" s="183">
        <f>INDEX(PEF_COM_29!$A$3:$AAA$102,MATCH($A268,PEF_COM_29!$A$3:$A$102,0),MATCH(F$3,PEF_COM_29!$A$3:$AAA$3,0))</f>
        <v>0</v>
      </c>
      <c r="G268" s="183">
        <f>INDEX(PEF_COM_29!$A$3:$AAA$102,MATCH($A268,PEF_COM_29!$A$3:$A$102,0),MATCH(G$3,PEF_COM_29!$A$3:$AAA$3,0))</f>
        <v>0</v>
      </c>
    </row>
    <row r="269" spans="1:7" ht="11.4" outlineLevel="1" x14ac:dyDescent="0.2">
      <c r="A269" s="31" t="s">
        <v>6210</v>
      </c>
      <c r="B269" s="142" t="s">
        <v>6240</v>
      </c>
      <c r="C269" s="143">
        <f t="shared" si="44"/>
        <v>9756303.5952096004</v>
      </c>
      <c r="D269" s="135"/>
      <c r="E269" s="144">
        <f>E267+E268</f>
        <v>7914598.1306920005</v>
      </c>
      <c r="F269" s="144">
        <f>F267+F268</f>
        <v>1121291.8505976</v>
      </c>
      <c r="G269" s="144">
        <f>G267+G268</f>
        <v>720413.61392000003</v>
      </c>
    </row>
    <row r="270" spans="1:7" ht="11.4" outlineLevel="1" x14ac:dyDescent="0.2">
      <c r="A270" s="31" t="s">
        <v>5590</v>
      </c>
      <c r="B270" s="178" t="s">
        <v>6241</v>
      </c>
      <c r="C270" s="179">
        <f t="shared" si="44"/>
        <v>6476663.2082239753</v>
      </c>
      <c r="D270" s="135"/>
      <c r="E270" s="182">
        <f>INDEX(PEF_GEST_29!$A$3:$AAA$102,MATCH($A270,PEF_GEST_29!$A$3:$A$102,0),MATCH(E$3,PEF_GEST_29!$A$3:$AAA$3,0))</f>
        <v>6243898.0065433783</v>
      </c>
      <c r="F270" s="182">
        <f>INDEX(PEF_GEST_29!$A$3:$AAA$102,MATCH($A270,PEF_GEST_29!$A$3:$A$102,0),MATCH(F$3,PEF_GEST_29!$A$3:$AAA$3,0))</f>
        <v>112836.17794796609</v>
      </c>
      <c r="G270" s="182">
        <f>INDEX(PEF_GEST_29!$A$3:$AAA$102,MATCH($A270,PEF_GEST_29!$A$3:$A$102,0),MATCH(G$3,PEF_GEST_29!$A$3:$AAA$3,0))</f>
        <v>119929.02373263093</v>
      </c>
    </row>
    <row r="271" spans="1:7" ht="11.4" outlineLevel="1" x14ac:dyDescent="0.2">
      <c r="A271" s="31" t="s">
        <v>5624</v>
      </c>
      <c r="B271" s="180" t="s">
        <v>6242</v>
      </c>
      <c r="C271" s="181">
        <f t="shared" si="44"/>
        <v>45912.895766702641</v>
      </c>
      <c r="D271" s="135"/>
      <c r="E271" s="183">
        <f>INDEX(PEF_COM_29!$A$3:$AAA$102,MATCH($A271,PEF_COM_29!$A$3:$A$102,0),MATCH(E$3,PEF_COM_29!$A$3:$AAA$3,0))</f>
        <v>0</v>
      </c>
      <c r="F271" s="183">
        <f>INDEX(PEF_COM_29!$A$3:$AAA$102,MATCH($A271,PEF_COM_29!$A$3:$A$102,0),MATCH(F$3,PEF_COM_29!$A$3:$AAA$3,0))</f>
        <v>0</v>
      </c>
      <c r="G271" s="183">
        <f>INDEX(PEF_COM_29!$A$3:$AAA$102,MATCH($A271,PEF_COM_29!$A$3:$A$102,0),MATCH(G$3,PEF_COM_29!$A$3:$AAA$3,0))</f>
        <v>45912.895766702641</v>
      </c>
    </row>
    <row r="272" spans="1:7" ht="11.4" outlineLevel="1" x14ac:dyDescent="0.2">
      <c r="A272" s="31" t="s">
        <v>6211</v>
      </c>
      <c r="B272" s="142" t="s">
        <v>6243</v>
      </c>
      <c r="C272" s="143">
        <f t="shared" si="44"/>
        <v>6522576.1039906787</v>
      </c>
      <c r="D272" s="135"/>
      <c r="E272" s="144">
        <f>E270+E271</f>
        <v>6243898.0065433783</v>
      </c>
      <c r="F272" s="144">
        <f>F270+F271</f>
        <v>112836.17794796609</v>
      </c>
      <c r="G272" s="144">
        <f>G270+G271</f>
        <v>165841.91949933357</v>
      </c>
    </row>
    <row r="273" spans="1:7" ht="11.4" outlineLevel="1" x14ac:dyDescent="0.2">
      <c r="A273" s="31" t="s">
        <v>5599</v>
      </c>
      <c r="B273" s="178" t="s">
        <v>6244</v>
      </c>
      <c r="C273" s="179">
        <f t="shared" si="44"/>
        <v>16232966.803433575</v>
      </c>
      <c r="D273" s="135"/>
      <c r="E273" s="182">
        <f>INDEX(PEF_GEST_29!$A$3:$AAA$102,MATCH($A273,PEF_GEST_29!$A$3:$A$102,0),MATCH(E$3,PEF_GEST_29!$A$3:$AAA$3,0))</f>
        <v>14158496.137235379</v>
      </c>
      <c r="F273" s="182">
        <f>INDEX(PEF_GEST_29!$A$3:$AAA$102,MATCH($A273,PEF_GEST_29!$A$3:$A$102,0),MATCH(F$3,PEF_GEST_29!$A$3:$AAA$3,0))</f>
        <v>1234128.0285455661</v>
      </c>
      <c r="G273" s="182">
        <f>INDEX(PEF_GEST_29!$A$3:$AAA$102,MATCH($A273,PEF_GEST_29!$A$3:$A$102,0),MATCH(G$3,PEF_GEST_29!$A$3:$AAA$3,0))</f>
        <v>840342.63765263092</v>
      </c>
    </row>
    <row r="274" spans="1:7" ht="11.4" outlineLevel="1" x14ac:dyDescent="0.2">
      <c r="A274" s="31" t="s">
        <v>5632</v>
      </c>
      <c r="B274" s="180" t="s">
        <v>6245</v>
      </c>
      <c r="C274" s="181">
        <f t="shared" si="44"/>
        <v>45912.895766702641</v>
      </c>
      <c r="D274" s="135"/>
      <c r="E274" s="183">
        <f>INDEX(PEF_COM_29!$A$3:$AAA$102,MATCH($A274,PEF_COM_29!$A$3:$A$102,0),MATCH(E$3,PEF_COM_29!$A$3:$AAA$3,0))</f>
        <v>0</v>
      </c>
      <c r="F274" s="183">
        <f>INDEX(PEF_COM_29!$A$3:$AAA$102,MATCH($A274,PEF_COM_29!$A$3:$A$102,0),MATCH(F$3,PEF_COM_29!$A$3:$AAA$3,0))</f>
        <v>0</v>
      </c>
      <c r="G274" s="183">
        <f>INDEX(PEF_COM_29!$A$3:$AAA$102,MATCH($A274,PEF_COM_29!$A$3:$A$102,0),MATCH(G$3,PEF_COM_29!$A$3:$AAA$3,0))</f>
        <v>45912.895766702641</v>
      </c>
    </row>
    <row r="275" spans="1:7" ht="11.4" outlineLevel="1" x14ac:dyDescent="0.2">
      <c r="A275" s="31" t="s">
        <v>6212</v>
      </c>
      <c r="B275" s="142" t="s">
        <v>6246</v>
      </c>
      <c r="C275" s="143">
        <f t="shared" si="44"/>
        <v>16278879.699200278</v>
      </c>
      <c r="D275" s="135"/>
      <c r="E275" s="144">
        <f>E273+E274</f>
        <v>14158496.137235379</v>
      </c>
      <c r="F275" s="144">
        <f>F273+F274</f>
        <v>1234128.0285455661</v>
      </c>
      <c r="G275" s="144">
        <f>G273+G274</f>
        <v>886255.53341933351</v>
      </c>
    </row>
    <row r="276" spans="1:7" ht="11.4" outlineLevel="1" x14ac:dyDescent="0.2">
      <c r="A276" s="85" t="s">
        <v>6618</v>
      </c>
      <c r="B276" s="173" t="s">
        <v>6646</v>
      </c>
      <c r="C276" s="184">
        <f t="shared" si="44"/>
        <v>10094338.994965419</v>
      </c>
      <c r="D276" s="147"/>
      <c r="E276" s="186">
        <f>INDEX('Rett_Ta-1'!$A$3:$E$99,MATCH($A276,'Rett_Ta-1'!$A$3:$A$99,0),MATCH(E$3,'Rett_Ta-1'!$A$3:$E$3,0))</f>
        <v>8252633.5304478202</v>
      </c>
      <c r="F276" s="186">
        <f>INDEX('Rett_Ta-1'!$A$3:$E$99,MATCH($A276,'Rett_Ta-1'!$A$3:$A$99,0),MATCH(F$3,'Rett_Ta-1'!$A$3:$E$3,0))</f>
        <v>1121291.8505976</v>
      </c>
      <c r="G276" s="186">
        <f>INDEX('Rett_Ta-1'!$A$3:$E$99,MATCH($A276,'Rett_Ta-1'!$A$3:$A$99,0),MATCH(G$3,'Rett_Ta-1'!$A$3:$E$3,0))</f>
        <v>720413.61392000003</v>
      </c>
    </row>
    <row r="277" spans="1:7" ht="11.4" outlineLevel="1" x14ac:dyDescent="0.2">
      <c r="A277" s="85" t="s">
        <v>6621</v>
      </c>
      <c r="B277" s="175" t="s">
        <v>6647</v>
      </c>
      <c r="C277" s="185">
        <f t="shared" si="44"/>
        <v>7256352.618053806</v>
      </c>
      <c r="D277" s="147"/>
      <c r="E277" s="187">
        <f>INDEX('Rett_Ta-1'!$A$3:$E$99,MATCH($A277,'Rett_Ta-1'!$A$3:$A$99,0),MATCH(E$3,'Rett_Ta-1'!$A$3:$E$3,0))</f>
        <v>6964646.892502577</v>
      </c>
      <c r="F277" s="187">
        <f>INDEX('Rett_Ta-1'!$A$3:$E$99,MATCH($A277,'Rett_Ta-1'!$A$3:$A$99,0),MATCH(F$3,'Rett_Ta-1'!$A$3:$E$3,0))</f>
        <v>123153.1330120179</v>
      </c>
      <c r="G277" s="187">
        <f>INDEX('Rett_Ta-1'!$A$3:$E$99,MATCH($A277,'Rett_Ta-1'!$A$3:$A$99,0),MATCH(G$3,'Rett_Ta-1'!$A$3:$E$3,0))</f>
        <v>168552.59253921066</v>
      </c>
    </row>
    <row r="278" spans="1:7" ht="11.4" outlineLevel="1" x14ac:dyDescent="0.2">
      <c r="A278" s="85" t="s">
        <v>6622</v>
      </c>
      <c r="B278" s="145" t="s">
        <v>6648</v>
      </c>
      <c r="C278" s="146">
        <f t="shared" si="44"/>
        <v>17350691.613019228</v>
      </c>
      <c r="D278" s="148"/>
      <c r="E278" s="149">
        <f>E276+E277</f>
        <v>15217280.422950398</v>
      </c>
      <c r="F278" s="149">
        <f>F276+F277</f>
        <v>1244444.9836096179</v>
      </c>
      <c r="G278" s="149">
        <f>G276+G277</f>
        <v>888966.20645921072</v>
      </c>
    </row>
    <row r="279" spans="1:7" ht="21" customHeight="1" outlineLevel="1" x14ac:dyDescent="0.2">
      <c r="B279" s="74"/>
      <c r="C279" s="74"/>
      <c r="D279" s="74"/>
      <c r="E279" s="75"/>
      <c r="F279" s="75"/>
      <c r="G279" s="75"/>
    </row>
    <row r="280" spans="1:7" s="159" customFormat="1" ht="11.4" outlineLevel="1" x14ac:dyDescent="0.2">
      <c r="A280" s="85" t="s">
        <v>6213</v>
      </c>
      <c r="B280" s="150" t="s">
        <v>6271</v>
      </c>
      <c r="C280" s="74"/>
      <c r="D280" s="74"/>
      <c r="E280" s="133">
        <f>E275/E278</f>
        <v>0.93042223996094719</v>
      </c>
      <c r="F280" s="133">
        <f>F275/F278</f>
        <v>0.99170959327255548</v>
      </c>
      <c r="G280" s="133">
        <f>G275/G278</f>
        <v>0.99695075806011357</v>
      </c>
    </row>
    <row r="281" spans="1:7" s="159" customFormat="1" outlineLevel="1" x14ac:dyDescent="0.2">
      <c r="A281" s="85"/>
      <c r="B281" s="154" t="s">
        <v>218</v>
      </c>
      <c r="C281" s="74"/>
      <c r="D281" s="74"/>
      <c r="E281" s="155" t="str">
        <f>IF(E280&lt;=(1+E260),"NO","SI")</f>
        <v>NO</v>
      </c>
      <c r="F281" s="155" t="str">
        <f>IF(F280&lt;=(1+F260),"NO","SI")</f>
        <v>NO</v>
      </c>
      <c r="G281" s="155" t="str">
        <f>IF(G280&lt;=(1+G260),"NO","SI")</f>
        <v>NO</v>
      </c>
    </row>
    <row r="282" spans="1:7" s="159" customFormat="1" ht="11.4" outlineLevel="1" x14ac:dyDescent="0.2">
      <c r="A282" s="85" t="s">
        <v>6214</v>
      </c>
      <c r="B282" s="76" t="s">
        <v>6247</v>
      </c>
      <c r="C282" s="140">
        <f t="shared" ref="C282:C283" si="45">SUM(E282:AAA282)</f>
        <v>16278879.699200278</v>
      </c>
      <c r="D282" s="74"/>
      <c r="E282" s="141">
        <f>IF(E275&lt;=E278*E259,E275,E278*E259)</f>
        <v>14158496.137235379</v>
      </c>
      <c r="F282" s="141">
        <f>IF(F275&lt;=F278*F259,F275,F278*F259)</f>
        <v>1234128.0285455661</v>
      </c>
      <c r="G282" s="141">
        <f>IF(G275&lt;=G278*G259,G275,G278*G259)</f>
        <v>886255.53341933351</v>
      </c>
    </row>
    <row r="283" spans="1:7" s="159" customFormat="1" ht="11.4" outlineLevel="1" x14ac:dyDescent="0.2">
      <c r="A283" s="138"/>
      <c r="B283" s="152" t="s">
        <v>6272</v>
      </c>
      <c r="C283" s="140">
        <f t="shared" si="45"/>
        <v>0</v>
      </c>
      <c r="D283" s="151"/>
      <c r="E283" s="141">
        <f>IF(E280&lt;=E259,0,E275-E282)</f>
        <v>0</v>
      </c>
      <c r="F283" s="141">
        <f>IF(F280&lt;=F259,0,F275-F282)</f>
        <v>0</v>
      </c>
      <c r="G283" s="141">
        <f>IF(G280&lt;=G259,0,G275-G282)</f>
        <v>0</v>
      </c>
    </row>
    <row r="284" spans="1:7" s="159" customFormat="1" outlineLevel="1" x14ac:dyDescent="0.2">
      <c r="A284" s="85" t="s">
        <v>6215</v>
      </c>
      <c r="B284" s="153" t="s">
        <v>220</v>
      </c>
      <c r="C284" s="74"/>
      <c r="D284" s="74"/>
      <c r="E284" s="156" t="s">
        <v>105</v>
      </c>
      <c r="F284" s="156" t="s">
        <v>105</v>
      </c>
      <c r="G284" s="156" t="s">
        <v>105</v>
      </c>
    </row>
    <row r="285" spans="1:7" s="159" customFormat="1" outlineLevel="1" x14ac:dyDescent="0.2">
      <c r="A285" s="85"/>
      <c r="B285" s="165"/>
      <c r="C285" s="74"/>
      <c r="D285" s="74"/>
      <c r="E285" s="166" t="str">
        <f>IF(E284="SI","Non compilare tabella seguente",IF(E284="NO","Compilare tabella seguente","-"))</f>
        <v>-</v>
      </c>
      <c r="F285" s="166" t="str">
        <f>IF(F284="SI","Non compilare tabella seguente",IF(F284="NO","Compilare tabella seguente","-"))</f>
        <v>-</v>
      </c>
      <c r="G285" s="166" t="str">
        <f>IF(G284="SI","Non compilare tabella seguente",IF(G284="NO","Compilare tabella seguente","-"))</f>
        <v>-</v>
      </c>
    </row>
    <row r="286" spans="1:7" s="157" customFormat="1" ht="11.4" outlineLevel="1" x14ac:dyDescent="0.2">
      <c r="A286" s="7" t="s">
        <v>6216</v>
      </c>
      <c r="B286" s="188" t="s">
        <v>6248</v>
      </c>
      <c r="C286" s="189">
        <f t="shared" ref="C286:C292" si="46">SUM(E286:AAA286)</f>
        <v>0</v>
      </c>
      <c r="D286" s="158"/>
      <c r="E286" s="196">
        <v>0</v>
      </c>
      <c r="F286" s="196">
        <v>0</v>
      </c>
      <c r="G286" s="196">
        <v>0</v>
      </c>
    </row>
    <row r="287" spans="1:7" s="159" customFormat="1" ht="11.4" outlineLevel="1" x14ac:dyDescent="0.2">
      <c r="A287" s="7" t="s">
        <v>6217</v>
      </c>
      <c r="B287" s="190" t="s">
        <v>6249</v>
      </c>
      <c r="C287" s="191">
        <f t="shared" si="46"/>
        <v>0</v>
      </c>
      <c r="D287" s="158"/>
      <c r="E287" s="197">
        <v>0</v>
      </c>
      <c r="F287" s="197">
        <v>0</v>
      </c>
      <c r="G287" s="197">
        <v>0</v>
      </c>
    </row>
    <row r="288" spans="1:7" s="159" customFormat="1" ht="11.4" outlineLevel="1" x14ac:dyDescent="0.2">
      <c r="A288" s="7" t="s">
        <v>6218</v>
      </c>
      <c r="B288" s="161" t="s">
        <v>6250</v>
      </c>
      <c r="C288" s="162">
        <f t="shared" si="46"/>
        <v>0</v>
      </c>
      <c r="D288" s="158"/>
      <c r="E288" s="144">
        <f>E286+E287</f>
        <v>0</v>
      </c>
      <c r="F288" s="144">
        <f>F286+F287</f>
        <v>0</v>
      </c>
      <c r="G288" s="144">
        <f>G286+G287</f>
        <v>0</v>
      </c>
    </row>
    <row r="289" spans="1:7" s="159" customFormat="1" ht="11.4" outlineLevel="1" x14ac:dyDescent="0.2">
      <c r="A289" s="7" t="s">
        <v>6219</v>
      </c>
      <c r="B289" s="188" t="s">
        <v>6251</v>
      </c>
      <c r="C289" s="189">
        <f t="shared" si="46"/>
        <v>0</v>
      </c>
      <c r="D289" s="158"/>
      <c r="E289" s="196">
        <v>0</v>
      </c>
      <c r="F289" s="196">
        <v>0</v>
      </c>
      <c r="G289" s="196">
        <v>0</v>
      </c>
    </row>
    <row r="290" spans="1:7" s="159" customFormat="1" ht="11.4" outlineLevel="1" x14ac:dyDescent="0.2">
      <c r="A290" s="7" t="s">
        <v>6220</v>
      </c>
      <c r="B290" s="190" t="s">
        <v>6252</v>
      </c>
      <c r="C290" s="191">
        <f t="shared" si="46"/>
        <v>0</v>
      </c>
      <c r="D290" s="158"/>
      <c r="E290" s="197">
        <v>0</v>
      </c>
      <c r="F290" s="197">
        <v>0</v>
      </c>
      <c r="G290" s="197">
        <v>0</v>
      </c>
    </row>
    <row r="291" spans="1:7" s="157" customFormat="1" ht="11.4" outlineLevel="1" x14ac:dyDescent="0.2">
      <c r="A291" s="7" t="s">
        <v>6221</v>
      </c>
      <c r="B291" s="161" t="s">
        <v>5939</v>
      </c>
      <c r="C291" s="162">
        <f t="shared" si="46"/>
        <v>0</v>
      </c>
      <c r="D291" s="158"/>
      <c r="E291" s="144">
        <f>E289+E290</f>
        <v>0</v>
      </c>
      <c r="F291" s="144">
        <f>F289+F290</f>
        <v>0</v>
      </c>
      <c r="G291" s="144">
        <f>G289+G290</f>
        <v>0</v>
      </c>
    </row>
    <row r="292" spans="1:7" s="159" customFormat="1" ht="11.4" outlineLevel="1" x14ac:dyDescent="0.2">
      <c r="A292" s="157"/>
      <c r="B292" s="152" t="s">
        <v>6253</v>
      </c>
      <c r="C292" s="160">
        <f t="shared" si="46"/>
        <v>0</v>
      </c>
      <c r="D292" s="164"/>
      <c r="E292" s="139">
        <f t="shared" ref="E292" si="47">E283-E288-E291</f>
        <v>0</v>
      </c>
      <c r="F292" s="139">
        <f t="shared" ref="F292:G292" si="48">F283-F288-F291</f>
        <v>0</v>
      </c>
      <c r="G292" s="139">
        <f t="shared" si="48"/>
        <v>0</v>
      </c>
    </row>
    <row r="293" spans="1:7" s="159" customFormat="1" outlineLevel="1" x14ac:dyDescent="0.2">
      <c r="A293" s="157"/>
      <c r="B293" s="158"/>
      <c r="C293" s="158"/>
      <c r="D293" s="158"/>
      <c r="E293" s="713"/>
      <c r="F293" s="713"/>
      <c r="G293" s="713"/>
    </row>
    <row r="294" spans="1:7" s="159" customFormat="1" ht="11.4" outlineLevel="1" x14ac:dyDescent="0.2">
      <c r="A294" s="163"/>
      <c r="B294" s="154" t="s">
        <v>6254</v>
      </c>
      <c r="C294" s="162">
        <f t="shared" ref="C294:C296" si="49">SUM(E294:AAA294)</f>
        <v>0</v>
      </c>
      <c r="D294" s="158"/>
      <c r="E294" s="144">
        <f>E286</f>
        <v>0</v>
      </c>
      <c r="F294" s="144">
        <f>F286</f>
        <v>0</v>
      </c>
      <c r="G294" s="144">
        <f>G286</f>
        <v>0</v>
      </c>
    </row>
    <row r="295" spans="1:7" s="159" customFormat="1" ht="11.4" outlineLevel="1" x14ac:dyDescent="0.2">
      <c r="A295" s="7" t="s">
        <v>6222</v>
      </c>
      <c r="B295" s="190" t="s">
        <v>6255</v>
      </c>
      <c r="C295" s="191">
        <f t="shared" si="49"/>
        <v>0</v>
      </c>
      <c r="D295" s="158"/>
      <c r="E295" s="197">
        <v>0</v>
      </c>
      <c r="F295" s="197">
        <v>0</v>
      </c>
      <c r="G295" s="197">
        <v>0</v>
      </c>
    </row>
    <row r="296" spans="1:7" s="159" customFormat="1" ht="11.4" outlineLevel="1" x14ac:dyDescent="0.2">
      <c r="A296" s="157"/>
      <c r="B296" s="152" t="s">
        <v>6256</v>
      </c>
      <c r="C296" s="160">
        <f t="shared" si="49"/>
        <v>0</v>
      </c>
      <c r="D296" s="164"/>
      <c r="E296" s="139">
        <f>E294-SUM(E295:E295)</f>
        <v>0</v>
      </c>
      <c r="F296" s="139">
        <f>F294-SUM(F295:F295)</f>
        <v>0</v>
      </c>
      <c r="G296" s="139">
        <f>G294-SUM(G295:G295)</f>
        <v>0</v>
      </c>
    </row>
    <row r="297" spans="1:7" s="159" customFormat="1" outlineLevel="1" x14ac:dyDescent="0.2">
      <c r="A297" s="157"/>
      <c r="B297" s="714"/>
      <c r="C297" s="715"/>
      <c r="D297" s="164"/>
      <c r="E297" s="716"/>
      <c r="F297" s="716"/>
      <c r="G297" s="716"/>
    </row>
    <row r="298" spans="1:7" s="159" customFormat="1" ht="11.4" outlineLevel="1" x14ac:dyDescent="0.2">
      <c r="A298" s="163"/>
      <c r="B298" s="154" t="s">
        <v>6257</v>
      </c>
      <c r="C298" s="162">
        <f t="shared" ref="C298:C300" si="50">SUM(E298:AAA298)</f>
        <v>0</v>
      </c>
      <c r="D298" s="158"/>
      <c r="E298" s="144">
        <f>E287</f>
        <v>0</v>
      </c>
      <c r="F298" s="144">
        <f>F287</f>
        <v>0</v>
      </c>
      <c r="G298" s="144">
        <f>G287</f>
        <v>0</v>
      </c>
    </row>
    <row r="299" spans="1:7" s="159" customFormat="1" ht="11.4" outlineLevel="1" x14ac:dyDescent="0.2">
      <c r="A299" s="7" t="s">
        <v>6223</v>
      </c>
      <c r="B299" s="190" t="s">
        <v>6258</v>
      </c>
      <c r="C299" s="191">
        <f t="shared" si="50"/>
        <v>0</v>
      </c>
      <c r="D299" s="158"/>
      <c r="E299" s="197">
        <v>0</v>
      </c>
      <c r="F299" s="197">
        <v>0</v>
      </c>
      <c r="G299" s="197">
        <v>0</v>
      </c>
    </row>
    <row r="300" spans="1:7" s="159" customFormat="1" ht="11.4" outlineLevel="1" x14ac:dyDescent="0.2">
      <c r="A300" s="157"/>
      <c r="B300" s="152" t="s">
        <v>6259</v>
      </c>
      <c r="C300" s="160">
        <f t="shared" si="50"/>
        <v>0</v>
      </c>
      <c r="D300" s="164"/>
      <c r="E300" s="139">
        <f>E298-SUM(E299:E299)</f>
        <v>0</v>
      </c>
      <c r="F300" s="139">
        <f>F298-SUM(F299:F299)</f>
        <v>0</v>
      </c>
      <c r="G300" s="139">
        <f>G298-SUM(G299:G299)</f>
        <v>0</v>
      </c>
    </row>
    <row r="301" spans="1:7" s="159" customFormat="1" outlineLevel="1" x14ac:dyDescent="0.2">
      <c r="A301" s="157"/>
      <c r="B301" s="714"/>
      <c r="C301" s="715"/>
      <c r="D301" s="164"/>
      <c r="E301" s="716"/>
      <c r="F301" s="716"/>
      <c r="G301" s="716"/>
    </row>
    <row r="302" spans="1:7" s="159" customFormat="1" ht="11.4" outlineLevel="1" x14ac:dyDescent="0.2">
      <c r="A302" s="163"/>
      <c r="B302" s="154" t="s">
        <v>226</v>
      </c>
      <c r="C302" s="162">
        <f t="shared" ref="C302:C304" si="51">SUM(E302:AAA302)</f>
        <v>0</v>
      </c>
      <c r="D302" s="158"/>
      <c r="E302" s="144">
        <f>E289</f>
        <v>0</v>
      </c>
      <c r="F302" s="144">
        <f>F289</f>
        <v>0</v>
      </c>
      <c r="G302" s="144">
        <f>G289</f>
        <v>0</v>
      </c>
    </row>
    <row r="303" spans="1:7" s="159" customFormat="1" ht="11.4" outlineLevel="1" x14ac:dyDescent="0.2">
      <c r="A303" s="7" t="s">
        <v>6224</v>
      </c>
      <c r="B303" s="190" t="s">
        <v>6260</v>
      </c>
      <c r="C303" s="191">
        <f t="shared" si="51"/>
        <v>0</v>
      </c>
      <c r="D303" s="158"/>
      <c r="E303" s="197">
        <v>0</v>
      </c>
      <c r="F303" s="197">
        <v>0</v>
      </c>
      <c r="G303" s="197">
        <v>0</v>
      </c>
    </row>
    <row r="304" spans="1:7" s="157" customFormat="1" ht="11.4" outlineLevel="1" x14ac:dyDescent="0.2">
      <c r="B304" s="152" t="s">
        <v>6261</v>
      </c>
      <c r="C304" s="160">
        <f t="shared" si="51"/>
        <v>0</v>
      </c>
      <c r="D304" s="164"/>
      <c r="E304" s="139">
        <f>E302-SUM(E303:E303)</f>
        <v>0</v>
      </c>
      <c r="F304" s="139">
        <f>F302-SUM(F303:F303)</f>
        <v>0</v>
      </c>
      <c r="G304" s="139">
        <f>G302-SUM(G303:G303)</f>
        <v>0</v>
      </c>
    </row>
    <row r="305" spans="1:7" s="157" customFormat="1" outlineLevel="1" x14ac:dyDescent="0.2">
      <c r="B305" s="714"/>
      <c r="C305" s="715"/>
      <c r="D305" s="164"/>
      <c r="E305" s="716"/>
      <c r="F305" s="716"/>
      <c r="G305" s="716"/>
    </row>
    <row r="306" spans="1:7" s="157" customFormat="1" ht="11.4" outlineLevel="1" x14ac:dyDescent="0.2">
      <c r="A306" s="163"/>
      <c r="B306" s="154" t="s">
        <v>227</v>
      </c>
      <c r="C306" s="162">
        <f t="shared" ref="C306:C308" si="52">SUM(E306:AAA306)</f>
        <v>0</v>
      </c>
      <c r="D306" s="158"/>
      <c r="E306" s="144">
        <f>E290</f>
        <v>0</v>
      </c>
      <c r="F306" s="144">
        <f>F290</f>
        <v>0</v>
      </c>
      <c r="G306" s="144">
        <f>G290</f>
        <v>0</v>
      </c>
    </row>
    <row r="307" spans="1:7" s="159" customFormat="1" ht="11.4" outlineLevel="1" x14ac:dyDescent="0.2">
      <c r="A307" s="7" t="s">
        <v>6225</v>
      </c>
      <c r="B307" s="190" t="s">
        <v>6262</v>
      </c>
      <c r="C307" s="191">
        <f t="shared" si="52"/>
        <v>0</v>
      </c>
      <c r="D307" s="158"/>
      <c r="E307" s="197">
        <v>0</v>
      </c>
      <c r="F307" s="197">
        <v>0</v>
      </c>
      <c r="G307" s="197">
        <v>0</v>
      </c>
    </row>
    <row r="308" spans="1:7" s="159" customFormat="1" ht="11.4" outlineLevel="1" x14ac:dyDescent="0.2">
      <c r="A308" s="157"/>
      <c r="B308" s="152" t="s">
        <v>6263</v>
      </c>
      <c r="C308" s="160">
        <f t="shared" si="52"/>
        <v>0</v>
      </c>
      <c r="D308" s="164"/>
      <c r="E308" s="139">
        <f>E306-SUM(E307:E307)</f>
        <v>0</v>
      </c>
      <c r="F308" s="139">
        <f>F306-SUM(F307:F307)</f>
        <v>0</v>
      </c>
      <c r="G308" s="139">
        <f>G306-SUM(G307:G307)</f>
        <v>0</v>
      </c>
    </row>
    <row r="309" spans="1:7" s="157" customFormat="1" x14ac:dyDescent="0.2">
      <c r="B309" s="167"/>
      <c r="C309" s="168"/>
      <c r="D309" s="164"/>
      <c r="E309" s="169"/>
      <c r="F309" s="169"/>
      <c r="G309" s="169"/>
    </row>
    <row r="310" spans="1:7" s="157" customFormat="1" ht="11.4" x14ac:dyDescent="0.2">
      <c r="A310" s="7" t="s">
        <v>6226</v>
      </c>
      <c r="B310" s="192" t="s">
        <v>6264</v>
      </c>
      <c r="C310" s="193">
        <f t="shared" ref="C310:C316" si="53">SUM(E310:AAA310)</f>
        <v>9756303.5952096004</v>
      </c>
      <c r="D310" s="158"/>
      <c r="E310" s="186">
        <f t="shared" ref="E310:G311" si="54">E267-E286</f>
        <v>7914598.1306920005</v>
      </c>
      <c r="F310" s="186">
        <f t="shared" si="54"/>
        <v>1121291.8505976</v>
      </c>
      <c r="G310" s="186">
        <f t="shared" si="54"/>
        <v>720413.61392000003</v>
      </c>
    </row>
    <row r="311" spans="1:7" ht="11.4" x14ac:dyDescent="0.2">
      <c r="A311" s="7" t="s">
        <v>6227</v>
      </c>
      <c r="B311" s="194" t="s">
        <v>6265</v>
      </c>
      <c r="C311" s="195">
        <f t="shared" si="53"/>
        <v>0</v>
      </c>
      <c r="D311" s="158"/>
      <c r="E311" s="187">
        <f t="shared" si="54"/>
        <v>0</v>
      </c>
      <c r="F311" s="187">
        <f t="shared" si="54"/>
        <v>0</v>
      </c>
      <c r="G311" s="187">
        <f t="shared" si="54"/>
        <v>0</v>
      </c>
    </row>
    <row r="312" spans="1:7" ht="11.4" x14ac:dyDescent="0.2">
      <c r="A312" s="7" t="s">
        <v>6228</v>
      </c>
      <c r="B312" s="717" t="s">
        <v>6266</v>
      </c>
      <c r="C312" s="718">
        <f t="shared" si="53"/>
        <v>9756303.5952096004</v>
      </c>
      <c r="D312" s="158"/>
      <c r="E312" s="719">
        <f>E310+E311</f>
        <v>7914598.1306920005</v>
      </c>
      <c r="F312" s="719">
        <f>F310+F311</f>
        <v>1121291.8505976</v>
      </c>
      <c r="G312" s="719">
        <f>G310+G311</f>
        <v>720413.61392000003</v>
      </c>
    </row>
    <row r="313" spans="1:7" ht="11.4" x14ac:dyDescent="0.2">
      <c r="A313" s="7" t="s">
        <v>6229</v>
      </c>
      <c r="B313" s="192" t="s">
        <v>6267</v>
      </c>
      <c r="C313" s="193">
        <f t="shared" si="53"/>
        <v>6476663.2082239753</v>
      </c>
      <c r="D313" s="158"/>
      <c r="E313" s="186">
        <f t="shared" ref="E313:G314" si="55">E270-E289</f>
        <v>6243898.0065433783</v>
      </c>
      <c r="F313" s="186">
        <f t="shared" si="55"/>
        <v>112836.17794796609</v>
      </c>
      <c r="G313" s="186">
        <f t="shared" si="55"/>
        <v>119929.02373263093</v>
      </c>
    </row>
    <row r="314" spans="1:7" ht="11.4" x14ac:dyDescent="0.2">
      <c r="A314" s="7" t="s">
        <v>6230</v>
      </c>
      <c r="B314" s="194" t="s">
        <v>6268</v>
      </c>
      <c r="C314" s="195">
        <f t="shared" si="53"/>
        <v>45912.895766702641</v>
      </c>
      <c r="D314" s="158"/>
      <c r="E314" s="187">
        <f t="shared" si="55"/>
        <v>0</v>
      </c>
      <c r="F314" s="187">
        <f t="shared" si="55"/>
        <v>0</v>
      </c>
      <c r="G314" s="187">
        <f t="shared" si="55"/>
        <v>45912.895766702641</v>
      </c>
    </row>
    <row r="315" spans="1:7" ht="11.4" x14ac:dyDescent="0.2">
      <c r="A315" s="7" t="s">
        <v>6231</v>
      </c>
      <c r="B315" s="717" t="s">
        <v>6269</v>
      </c>
      <c r="C315" s="718">
        <f t="shared" si="53"/>
        <v>6522576.1039906787</v>
      </c>
      <c r="D315" s="158"/>
      <c r="E315" s="719">
        <f>E313+E314</f>
        <v>6243898.0065433783</v>
      </c>
      <c r="F315" s="719">
        <f>F313+F314</f>
        <v>112836.17794796609</v>
      </c>
      <c r="G315" s="719">
        <f>G313+G314</f>
        <v>165841.91949933357</v>
      </c>
    </row>
    <row r="316" spans="1:7" ht="11.4" x14ac:dyDescent="0.2">
      <c r="A316" s="7" t="s">
        <v>6232</v>
      </c>
      <c r="B316" s="720" t="s">
        <v>6270</v>
      </c>
      <c r="C316" s="721">
        <f t="shared" si="53"/>
        <v>16278879.699200278</v>
      </c>
      <c r="D316" s="158"/>
      <c r="E316" s="722">
        <f>E312+E315</f>
        <v>14158496.137235379</v>
      </c>
      <c r="F316" s="722">
        <f>F312+F315</f>
        <v>1234128.0285455661</v>
      </c>
      <c r="G316" s="722">
        <f>G312+G315</f>
        <v>886255.53341933363</v>
      </c>
    </row>
    <row r="318" spans="1:7" s="351" customFormat="1" x14ac:dyDescent="0.2">
      <c r="A318" s="350"/>
      <c r="B318" s="454" t="s">
        <v>6274</v>
      </c>
      <c r="C318" s="348"/>
      <c r="D318" s="348"/>
      <c r="E318" s="709"/>
      <c r="F318" s="709"/>
      <c r="G318" s="709"/>
    </row>
    <row r="319" spans="1:7" s="351" customFormat="1" x14ac:dyDescent="0.3">
      <c r="A319" s="350"/>
      <c r="B319" s="457">
        <v>2026</v>
      </c>
      <c r="C319" s="348"/>
      <c r="D319" s="348"/>
      <c r="E319" s="709"/>
      <c r="F319" s="709"/>
      <c r="G319" s="709"/>
    </row>
    <row r="320" spans="1:7" s="351" customFormat="1" ht="11.4" outlineLevel="1" x14ac:dyDescent="0.2">
      <c r="A320" s="7" t="s">
        <v>5983</v>
      </c>
      <c r="B320" s="192" t="s">
        <v>5942</v>
      </c>
      <c r="C320" s="193">
        <f t="shared" ref="C320:C327" si="56">SUM(E320:AAA320)</f>
        <v>315566.36782700795</v>
      </c>
      <c r="D320" s="158"/>
      <c r="E320" s="186">
        <f>INDEX($A$3:$AAA$316,MATCH($A320,$A$3:$A$316,0),MATCH(E$3,$A$3:$AAA$3,0))</f>
        <v>315566.36782700795</v>
      </c>
      <c r="F320" s="186">
        <f>INDEX($A$3:$AAA$316,MATCH($A320,$A$3:$A$316,0),MATCH(F$3,$A$3:$AAA$3,0))</f>
        <v>0</v>
      </c>
      <c r="G320" s="186">
        <f>INDEX($A$3:$AAA$316,MATCH($A320,$A$3:$A$316,0),MATCH(G$3,$A$3:$AAA$3,0))</f>
        <v>0</v>
      </c>
    </row>
    <row r="321" spans="1:7" s="351" customFormat="1" ht="11.4" outlineLevel="1" x14ac:dyDescent="0.2">
      <c r="A321" s="7" t="s">
        <v>6793</v>
      </c>
      <c r="B321" s="161" t="s">
        <v>6275</v>
      </c>
      <c r="C321" s="162">
        <f t="shared" si="56"/>
        <v>315566.36782700795</v>
      </c>
      <c r="D321" s="158"/>
      <c r="E321" s="144">
        <f>SUM(E320:E320)</f>
        <v>315566.36782700795</v>
      </c>
      <c r="F321" s="144">
        <f>SUM(F320:F320)</f>
        <v>0</v>
      </c>
      <c r="G321" s="144">
        <f>SUM(G320:G320)</f>
        <v>0</v>
      </c>
    </row>
    <row r="322" spans="1:7" s="351" customFormat="1" ht="11.4" outlineLevel="1" x14ac:dyDescent="0.2">
      <c r="A322" s="7" t="s">
        <v>5984</v>
      </c>
      <c r="B322" s="192" t="s">
        <v>5943</v>
      </c>
      <c r="C322" s="193">
        <f t="shared" si="56"/>
        <v>0</v>
      </c>
      <c r="D322" s="158"/>
      <c r="E322" s="186">
        <f>INDEX($A$3:$AAA$316,MATCH($A322,$A$3:$A$316,0),MATCH(E$3,$A$3:$AAA$3,0))</f>
        <v>0</v>
      </c>
      <c r="F322" s="186">
        <f>INDEX($A$3:$AAA$316,MATCH($A322,$A$3:$A$316,0),MATCH(F$3,$A$3:$AAA$3,0))</f>
        <v>0</v>
      </c>
      <c r="G322" s="186">
        <f>INDEX($A$3:$AAA$316,MATCH($A322,$A$3:$A$316,0),MATCH(G$3,$A$3:$AAA$3,0))</f>
        <v>0</v>
      </c>
    </row>
    <row r="323" spans="1:7" s="351" customFormat="1" ht="11.4" outlineLevel="1" x14ac:dyDescent="0.2">
      <c r="A323" s="7" t="s">
        <v>6794</v>
      </c>
      <c r="B323" s="161" t="s">
        <v>6276</v>
      </c>
      <c r="C323" s="162">
        <f t="shared" si="56"/>
        <v>0</v>
      </c>
      <c r="D323" s="158"/>
      <c r="E323" s="144">
        <f>SUM(E322:E322)</f>
        <v>0</v>
      </c>
      <c r="F323" s="144">
        <f>SUM(F322:F322)</f>
        <v>0</v>
      </c>
      <c r="G323" s="144">
        <f>SUM(G322:G322)</f>
        <v>0</v>
      </c>
    </row>
    <row r="324" spans="1:7" s="351" customFormat="1" ht="11.4" outlineLevel="1" x14ac:dyDescent="0.2">
      <c r="A324" s="7" t="s">
        <v>5986</v>
      </c>
      <c r="B324" s="192" t="s">
        <v>5945</v>
      </c>
      <c r="C324" s="193">
        <f t="shared" si="56"/>
        <v>224284.56583160121</v>
      </c>
      <c r="D324" s="158"/>
      <c r="E324" s="186">
        <f>INDEX($A$3:$AAA$316,MATCH($A324,$A$3:$A$316,0),MATCH(E$3,$A$3:$AAA$3,0))</f>
        <v>224284.56583160121</v>
      </c>
      <c r="F324" s="186">
        <f>INDEX($A$3:$AAA$316,MATCH($A324,$A$3:$A$316,0),MATCH(F$3,$A$3:$AAA$3,0))</f>
        <v>0</v>
      </c>
      <c r="G324" s="186">
        <f>INDEX($A$3:$AAA$316,MATCH($A324,$A$3:$A$316,0),MATCH(G$3,$A$3:$AAA$3,0))</f>
        <v>0</v>
      </c>
    </row>
    <row r="325" spans="1:7" s="351" customFormat="1" ht="11.4" outlineLevel="1" x14ac:dyDescent="0.2">
      <c r="A325" s="7" t="s">
        <v>6795</v>
      </c>
      <c r="B325" s="161" t="s">
        <v>6277</v>
      </c>
      <c r="C325" s="162">
        <f t="shared" si="56"/>
        <v>224284.56583160121</v>
      </c>
      <c r="D325" s="158"/>
      <c r="E325" s="144">
        <f>SUM(E324:E324)</f>
        <v>224284.56583160121</v>
      </c>
      <c r="F325" s="144">
        <f>SUM(F324:F324)</f>
        <v>0</v>
      </c>
      <c r="G325" s="144">
        <f>SUM(G324:G324)</f>
        <v>0</v>
      </c>
    </row>
    <row r="326" spans="1:7" s="351" customFormat="1" ht="11.4" outlineLevel="1" x14ac:dyDescent="0.2">
      <c r="A326" s="7" t="s">
        <v>5987</v>
      </c>
      <c r="B326" s="192" t="s">
        <v>5946</v>
      </c>
      <c r="C326" s="193">
        <f t="shared" si="56"/>
        <v>0</v>
      </c>
      <c r="D326" s="158"/>
      <c r="E326" s="186">
        <f>INDEX($A$3:$AAA$316,MATCH($A326,$A$3:$A$316,0),MATCH(E$3,$A$3:$AAA$3,0))</f>
        <v>0</v>
      </c>
      <c r="F326" s="186">
        <f>INDEX($A$3:$AAA$316,MATCH($A326,$A$3:$A$316,0),MATCH(F$3,$A$3:$AAA$3,0))</f>
        <v>0</v>
      </c>
      <c r="G326" s="186">
        <f>INDEX($A$3:$AAA$316,MATCH($A326,$A$3:$A$316,0),MATCH(G$3,$A$3:$AAA$3,0))</f>
        <v>0</v>
      </c>
    </row>
    <row r="327" spans="1:7" s="351" customFormat="1" ht="11.4" outlineLevel="1" x14ac:dyDescent="0.2">
      <c r="A327" s="7" t="s">
        <v>6796</v>
      </c>
      <c r="B327" s="161" t="s">
        <v>6278</v>
      </c>
      <c r="C327" s="162">
        <f t="shared" si="56"/>
        <v>0</v>
      </c>
      <c r="D327" s="158"/>
      <c r="E327" s="144">
        <f>SUM(E326:E326)</f>
        <v>0</v>
      </c>
      <c r="F327" s="144">
        <f>SUM(F326:F326)</f>
        <v>0</v>
      </c>
      <c r="G327" s="144">
        <f>SUM(G326:G326)</f>
        <v>0</v>
      </c>
    </row>
    <row r="328" spans="1:7" s="351" customFormat="1" x14ac:dyDescent="0.3">
      <c r="A328" s="350"/>
      <c r="B328" s="348"/>
      <c r="C328" s="348"/>
      <c r="D328" s="348"/>
      <c r="E328" s="709"/>
      <c r="F328" s="709"/>
      <c r="G328" s="709"/>
    </row>
    <row r="329" spans="1:7" s="351" customFormat="1" ht="11.4" x14ac:dyDescent="0.2">
      <c r="A329" s="7" t="s">
        <v>6337</v>
      </c>
      <c r="B329" s="726" t="s">
        <v>6340</v>
      </c>
      <c r="C329" s="727">
        <f t="shared" ref="C329:C331" si="57">SUM(E329:AAA329)</f>
        <v>315566.36782700795</v>
      </c>
      <c r="D329" s="158"/>
      <c r="E329" s="730">
        <f>E321+E323</f>
        <v>315566.36782700795</v>
      </c>
      <c r="F329" s="730">
        <f>F321+F323</f>
        <v>0</v>
      </c>
      <c r="G329" s="730">
        <f>G321+G323</f>
        <v>0</v>
      </c>
    </row>
    <row r="330" spans="1:7" s="351" customFormat="1" ht="11.4" x14ac:dyDescent="0.2">
      <c r="A330" s="7" t="s">
        <v>6338</v>
      </c>
      <c r="B330" s="728" t="s">
        <v>6341</v>
      </c>
      <c r="C330" s="729">
        <f t="shared" si="57"/>
        <v>224284.56583160121</v>
      </c>
      <c r="D330" s="158"/>
      <c r="E330" s="731">
        <f>E325+E327</f>
        <v>224284.56583160121</v>
      </c>
      <c r="F330" s="731">
        <f>F325+F327</f>
        <v>0</v>
      </c>
      <c r="G330" s="731">
        <f>G325+G327</f>
        <v>0</v>
      </c>
    </row>
    <row r="331" spans="1:7" s="351" customFormat="1" ht="11.4" x14ac:dyDescent="0.2">
      <c r="A331" s="7" t="s">
        <v>6339</v>
      </c>
      <c r="B331" s="161" t="s">
        <v>6342</v>
      </c>
      <c r="C331" s="162">
        <f t="shared" si="57"/>
        <v>539850.93365860917</v>
      </c>
      <c r="D331" s="158"/>
      <c r="E331" s="144">
        <f>SUM(E329:E330)</f>
        <v>539850.93365860917</v>
      </c>
      <c r="F331" s="144">
        <f>SUM(F329:F330)</f>
        <v>0</v>
      </c>
      <c r="G331" s="144">
        <f>SUM(G329:G330)</f>
        <v>0</v>
      </c>
    </row>
    <row r="332" spans="1:7" s="351" customFormat="1" x14ac:dyDescent="0.3">
      <c r="A332" s="350"/>
      <c r="B332" s="348"/>
      <c r="C332" s="348"/>
      <c r="D332" s="348"/>
      <c r="E332" s="709"/>
      <c r="F332" s="709"/>
      <c r="G332" s="709"/>
    </row>
    <row r="333" spans="1:7" s="351" customFormat="1" x14ac:dyDescent="0.3">
      <c r="A333" s="350"/>
      <c r="B333" s="457">
        <v>2027</v>
      </c>
      <c r="C333" s="348"/>
      <c r="D333" s="348"/>
      <c r="E333" s="709"/>
      <c r="F333" s="709"/>
      <c r="G333" s="709"/>
    </row>
    <row r="334" spans="1:7" ht="11.4" outlineLevel="1" x14ac:dyDescent="0.2">
      <c r="A334" s="7" t="s">
        <v>5989</v>
      </c>
      <c r="B334" s="192" t="s">
        <v>5947</v>
      </c>
      <c r="C334" s="193">
        <f t="shared" ref="C334:C345" si="58">SUM(E334:AAA334)</f>
        <v>315566.36782700795</v>
      </c>
      <c r="D334" s="158"/>
      <c r="E334" s="186">
        <f t="shared" ref="E334:G335" si="59">INDEX($A$3:$AAA$316,MATCH($A334,$A$3:$A$316,0),MATCH(E$3,$A$3:$AAA$3,0))</f>
        <v>315566.36782700795</v>
      </c>
      <c r="F334" s="186">
        <f t="shared" si="59"/>
        <v>0</v>
      </c>
      <c r="G334" s="186">
        <f t="shared" si="59"/>
        <v>0</v>
      </c>
    </row>
    <row r="335" spans="1:7" ht="11.4" outlineLevel="1" x14ac:dyDescent="0.2">
      <c r="A335" s="7" t="s">
        <v>5979</v>
      </c>
      <c r="B335" s="723" t="s">
        <v>6279</v>
      </c>
      <c r="C335" s="724">
        <f t="shared" si="58"/>
        <v>0</v>
      </c>
      <c r="D335" s="158"/>
      <c r="E335" s="725">
        <f t="shared" si="59"/>
        <v>0</v>
      </c>
      <c r="F335" s="725">
        <f t="shared" si="59"/>
        <v>0</v>
      </c>
      <c r="G335" s="725">
        <f t="shared" si="59"/>
        <v>0</v>
      </c>
    </row>
    <row r="336" spans="1:7" ht="11.4" outlineLevel="1" x14ac:dyDescent="0.2">
      <c r="A336" s="7" t="s">
        <v>6797</v>
      </c>
      <c r="B336" s="161" t="s">
        <v>6280</v>
      </c>
      <c r="C336" s="162">
        <f t="shared" si="58"/>
        <v>315566.36782700795</v>
      </c>
      <c r="D336" s="158"/>
      <c r="E336" s="144">
        <f>SUM(E334:E335)</f>
        <v>315566.36782700795</v>
      </c>
      <c r="F336" s="144">
        <f>SUM(F334:F335)</f>
        <v>0</v>
      </c>
      <c r="G336" s="144">
        <f>SUM(G334:G335)</f>
        <v>0</v>
      </c>
    </row>
    <row r="337" spans="1:7" ht="11.4" outlineLevel="1" x14ac:dyDescent="0.2">
      <c r="A337" s="7" t="s">
        <v>5990</v>
      </c>
      <c r="B337" s="192" t="s">
        <v>5948</v>
      </c>
      <c r="C337" s="193">
        <f t="shared" si="58"/>
        <v>0</v>
      </c>
      <c r="D337" s="158"/>
      <c r="E337" s="186">
        <f t="shared" ref="E337:G338" si="60">INDEX($A$3:$AAA$316,MATCH($A337,$A$3:$A$316,0),MATCH(E$3,$A$3:$AAA$3,0))</f>
        <v>0</v>
      </c>
      <c r="F337" s="186">
        <f t="shared" si="60"/>
        <v>0</v>
      </c>
      <c r="G337" s="186">
        <f t="shared" si="60"/>
        <v>0</v>
      </c>
    </row>
    <row r="338" spans="1:7" ht="11.4" outlineLevel="1" x14ac:dyDescent="0.2">
      <c r="A338" s="7" t="s">
        <v>6013</v>
      </c>
      <c r="B338" s="723" t="s">
        <v>6281</v>
      </c>
      <c r="C338" s="724">
        <f t="shared" si="58"/>
        <v>0</v>
      </c>
      <c r="D338" s="158"/>
      <c r="E338" s="725">
        <f t="shared" si="60"/>
        <v>0</v>
      </c>
      <c r="F338" s="725">
        <f t="shared" si="60"/>
        <v>0</v>
      </c>
      <c r="G338" s="725">
        <f t="shared" si="60"/>
        <v>0</v>
      </c>
    </row>
    <row r="339" spans="1:7" ht="11.4" outlineLevel="1" x14ac:dyDescent="0.2">
      <c r="A339" s="7" t="s">
        <v>6798</v>
      </c>
      <c r="B339" s="161" t="s">
        <v>6282</v>
      </c>
      <c r="C339" s="162">
        <f t="shared" si="58"/>
        <v>0</v>
      </c>
      <c r="D339" s="158"/>
      <c r="E339" s="144">
        <f>SUM(E337:E338)</f>
        <v>0</v>
      </c>
      <c r="F339" s="144">
        <f>SUM(F337:F338)</f>
        <v>0</v>
      </c>
      <c r="G339" s="144">
        <f>SUM(G337:G338)</f>
        <v>0</v>
      </c>
    </row>
    <row r="340" spans="1:7" ht="11.4" outlineLevel="1" x14ac:dyDescent="0.2">
      <c r="A340" s="7" t="s">
        <v>5992</v>
      </c>
      <c r="B340" s="192" t="s">
        <v>5950</v>
      </c>
      <c r="C340" s="193">
        <f t="shared" si="58"/>
        <v>224284.56583160121</v>
      </c>
      <c r="D340" s="158"/>
      <c r="E340" s="186">
        <f t="shared" ref="E340:G341" si="61">INDEX($A$3:$AAA$316,MATCH($A340,$A$3:$A$316,0),MATCH(E$3,$A$3:$AAA$3,0))</f>
        <v>224284.56583160121</v>
      </c>
      <c r="F340" s="186">
        <f t="shared" si="61"/>
        <v>0</v>
      </c>
      <c r="G340" s="186">
        <f t="shared" si="61"/>
        <v>0</v>
      </c>
    </row>
    <row r="341" spans="1:7" ht="11.4" outlineLevel="1" x14ac:dyDescent="0.2">
      <c r="A341" s="7" t="s">
        <v>6023</v>
      </c>
      <c r="B341" s="723" t="s">
        <v>6283</v>
      </c>
      <c r="C341" s="724">
        <f t="shared" si="58"/>
        <v>0</v>
      </c>
      <c r="D341" s="158"/>
      <c r="E341" s="725">
        <f t="shared" si="61"/>
        <v>0</v>
      </c>
      <c r="F341" s="725">
        <f t="shared" si="61"/>
        <v>0</v>
      </c>
      <c r="G341" s="725">
        <f t="shared" si="61"/>
        <v>0</v>
      </c>
    </row>
    <row r="342" spans="1:7" ht="11.4" outlineLevel="1" x14ac:dyDescent="0.2">
      <c r="A342" s="7" t="s">
        <v>6799</v>
      </c>
      <c r="B342" s="161" t="s">
        <v>6284</v>
      </c>
      <c r="C342" s="162">
        <f t="shared" si="58"/>
        <v>224284.56583160121</v>
      </c>
      <c r="D342" s="158"/>
      <c r="E342" s="144">
        <f>SUM(E340:E341)</f>
        <v>224284.56583160121</v>
      </c>
      <c r="F342" s="144">
        <f>SUM(F340:F341)</f>
        <v>0</v>
      </c>
      <c r="G342" s="144">
        <f>SUM(G340:G341)</f>
        <v>0</v>
      </c>
    </row>
    <row r="343" spans="1:7" ht="11.4" outlineLevel="1" x14ac:dyDescent="0.2">
      <c r="A343" s="7" t="s">
        <v>5993</v>
      </c>
      <c r="B343" s="192" t="s">
        <v>5951</v>
      </c>
      <c r="C343" s="193">
        <f t="shared" si="58"/>
        <v>0</v>
      </c>
      <c r="D343" s="158"/>
      <c r="E343" s="186">
        <f t="shared" ref="E343:G344" si="62">INDEX($A$3:$AAA$316,MATCH($A343,$A$3:$A$316,0),MATCH(E$3,$A$3:$AAA$3,0))</f>
        <v>0</v>
      </c>
      <c r="F343" s="186">
        <f t="shared" si="62"/>
        <v>0</v>
      </c>
      <c r="G343" s="186">
        <f t="shared" si="62"/>
        <v>0</v>
      </c>
    </row>
    <row r="344" spans="1:7" ht="11.4" outlineLevel="1" x14ac:dyDescent="0.2">
      <c r="A344" s="7" t="s">
        <v>6037</v>
      </c>
      <c r="B344" s="723" t="s">
        <v>6285</v>
      </c>
      <c r="C344" s="724">
        <f t="shared" si="58"/>
        <v>0</v>
      </c>
      <c r="D344" s="158"/>
      <c r="E344" s="725">
        <f t="shared" si="62"/>
        <v>0</v>
      </c>
      <c r="F344" s="725">
        <f t="shared" si="62"/>
        <v>0</v>
      </c>
      <c r="G344" s="725">
        <f t="shared" si="62"/>
        <v>0</v>
      </c>
    </row>
    <row r="345" spans="1:7" ht="11.4" outlineLevel="1" x14ac:dyDescent="0.2">
      <c r="A345" s="7" t="s">
        <v>6800</v>
      </c>
      <c r="B345" s="161" t="s">
        <v>6286</v>
      </c>
      <c r="C345" s="162">
        <f t="shared" si="58"/>
        <v>0</v>
      </c>
      <c r="D345" s="158"/>
      <c r="E345" s="144">
        <f>SUM(E343:E344)</f>
        <v>0</v>
      </c>
      <c r="F345" s="144">
        <f>SUM(F343:F344)</f>
        <v>0</v>
      </c>
      <c r="G345" s="144">
        <f>SUM(G343:G344)</f>
        <v>0</v>
      </c>
    </row>
    <row r="347" spans="1:7" s="351" customFormat="1" ht="11.4" x14ac:dyDescent="0.2">
      <c r="A347" s="7" t="s">
        <v>6343</v>
      </c>
      <c r="B347" s="726" t="s">
        <v>6346</v>
      </c>
      <c r="C347" s="727">
        <f t="shared" ref="C347:C349" si="63">SUM(E347:AAA347)</f>
        <v>315566.36782700795</v>
      </c>
      <c r="D347" s="158"/>
      <c r="E347" s="730">
        <f>E336+E339</f>
        <v>315566.36782700795</v>
      </c>
      <c r="F347" s="730">
        <f>F336+F339</f>
        <v>0</v>
      </c>
      <c r="G347" s="730">
        <f>G336+G339</f>
        <v>0</v>
      </c>
    </row>
    <row r="348" spans="1:7" s="351" customFormat="1" ht="11.4" x14ac:dyDescent="0.2">
      <c r="A348" s="7" t="s">
        <v>6344</v>
      </c>
      <c r="B348" s="728" t="s">
        <v>6347</v>
      </c>
      <c r="C348" s="729">
        <f t="shared" si="63"/>
        <v>224284.56583160121</v>
      </c>
      <c r="D348" s="158"/>
      <c r="E348" s="731">
        <f>E342+E345</f>
        <v>224284.56583160121</v>
      </c>
      <c r="F348" s="731">
        <f>F342+F345</f>
        <v>0</v>
      </c>
      <c r="G348" s="731">
        <f>G342+G345</f>
        <v>0</v>
      </c>
    </row>
    <row r="349" spans="1:7" s="351" customFormat="1" ht="11.4" x14ac:dyDescent="0.2">
      <c r="A349" s="7" t="s">
        <v>6345</v>
      </c>
      <c r="B349" s="161" t="s">
        <v>6348</v>
      </c>
      <c r="C349" s="162">
        <f t="shared" si="63"/>
        <v>539850.93365860917</v>
      </c>
      <c r="D349" s="158"/>
      <c r="E349" s="144">
        <f>SUM(E347:E348)</f>
        <v>539850.93365860917</v>
      </c>
      <c r="F349" s="144">
        <f>SUM(F347:F348)</f>
        <v>0</v>
      </c>
      <c r="G349" s="144">
        <f>SUM(G347:G348)</f>
        <v>0</v>
      </c>
    </row>
    <row r="351" spans="1:7" s="351" customFormat="1" x14ac:dyDescent="0.3">
      <c r="A351" s="350"/>
      <c r="B351" s="457">
        <v>2028</v>
      </c>
      <c r="C351" s="348"/>
      <c r="D351" s="348"/>
      <c r="E351" s="709"/>
      <c r="F351" s="709"/>
      <c r="G351" s="709"/>
    </row>
    <row r="352" spans="1:7" ht="11.4" outlineLevel="1" x14ac:dyDescent="0.2">
      <c r="A352" s="7" t="s">
        <v>5995</v>
      </c>
      <c r="B352" s="192" t="s">
        <v>5953</v>
      </c>
      <c r="C352" s="193">
        <f t="shared" ref="C352:C367" si="64">SUM(E352:AAA352)</f>
        <v>0</v>
      </c>
      <c r="D352" s="158"/>
      <c r="E352" s="186">
        <f t="shared" ref="E352:G354" si="65">INDEX($A$3:$AAA$316,MATCH($A352,$A$3:$A$316,0),MATCH(E$3,$A$3:$AAA$3,0))</f>
        <v>0</v>
      </c>
      <c r="F352" s="186">
        <f t="shared" si="65"/>
        <v>0</v>
      </c>
      <c r="G352" s="186">
        <f t="shared" si="65"/>
        <v>0</v>
      </c>
    </row>
    <row r="353" spans="1:7" ht="11.4" outlineLevel="1" x14ac:dyDescent="0.2">
      <c r="A353" s="7" t="s">
        <v>5980</v>
      </c>
      <c r="B353" s="723" t="s">
        <v>6287</v>
      </c>
      <c r="C353" s="724">
        <f t="shared" si="64"/>
        <v>0</v>
      </c>
      <c r="D353" s="158"/>
      <c r="E353" s="725">
        <f t="shared" si="65"/>
        <v>0</v>
      </c>
      <c r="F353" s="725">
        <f t="shared" si="65"/>
        <v>0</v>
      </c>
      <c r="G353" s="725">
        <f t="shared" si="65"/>
        <v>0</v>
      </c>
    </row>
    <row r="354" spans="1:7" ht="11.4" outlineLevel="1" x14ac:dyDescent="0.2">
      <c r="A354" s="7" t="s">
        <v>6093</v>
      </c>
      <c r="B354" s="723" t="s">
        <v>6288</v>
      </c>
      <c r="C354" s="724">
        <f t="shared" si="64"/>
        <v>338035.39975581953</v>
      </c>
      <c r="D354" s="158"/>
      <c r="E354" s="725">
        <f t="shared" si="65"/>
        <v>338035.39975581953</v>
      </c>
      <c r="F354" s="725">
        <f t="shared" si="65"/>
        <v>0</v>
      </c>
      <c r="G354" s="725">
        <f t="shared" si="65"/>
        <v>0</v>
      </c>
    </row>
    <row r="355" spans="1:7" ht="11.4" outlineLevel="1" x14ac:dyDescent="0.2">
      <c r="A355" s="7" t="s">
        <v>6801</v>
      </c>
      <c r="B355" s="161" t="s">
        <v>6289</v>
      </c>
      <c r="C355" s="162">
        <f t="shared" si="64"/>
        <v>338035.39975581953</v>
      </c>
      <c r="D355" s="158"/>
      <c r="E355" s="144">
        <f>SUM(E352:E354)</f>
        <v>338035.39975581953</v>
      </c>
      <c r="F355" s="144">
        <f>SUM(F352:F354)</f>
        <v>0</v>
      </c>
      <c r="G355" s="144">
        <f>SUM(G352:G354)</f>
        <v>0</v>
      </c>
    </row>
    <row r="356" spans="1:7" ht="11.4" outlineLevel="1" x14ac:dyDescent="0.2">
      <c r="A356" s="7" t="s">
        <v>5996</v>
      </c>
      <c r="B356" s="192" t="s">
        <v>5954</v>
      </c>
      <c r="C356" s="193">
        <f t="shared" si="64"/>
        <v>0</v>
      </c>
      <c r="D356" s="158"/>
      <c r="E356" s="186">
        <f t="shared" ref="E356:G358" si="66">INDEX($A$3:$AAA$316,MATCH($A356,$A$3:$A$316,0),MATCH(E$3,$A$3:$AAA$3,0))</f>
        <v>0</v>
      </c>
      <c r="F356" s="186">
        <f t="shared" si="66"/>
        <v>0</v>
      </c>
      <c r="G356" s="186">
        <f t="shared" si="66"/>
        <v>0</v>
      </c>
    </row>
    <row r="357" spans="1:7" ht="11.4" outlineLevel="1" x14ac:dyDescent="0.2">
      <c r="A357" s="7" t="s">
        <v>6014</v>
      </c>
      <c r="B357" s="723" t="s">
        <v>6290</v>
      </c>
      <c r="C357" s="724">
        <f t="shared" si="64"/>
        <v>0</v>
      </c>
      <c r="D357" s="158"/>
      <c r="E357" s="725">
        <f t="shared" si="66"/>
        <v>0</v>
      </c>
      <c r="F357" s="725">
        <f t="shared" si="66"/>
        <v>0</v>
      </c>
      <c r="G357" s="725">
        <f t="shared" si="66"/>
        <v>0</v>
      </c>
    </row>
    <row r="358" spans="1:7" ht="11.4" outlineLevel="1" x14ac:dyDescent="0.2">
      <c r="A358" s="7" t="s">
        <v>6096</v>
      </c>
      <c r="B358" s="723" t="s">
        <v>6291</v>
      </c>
      <c r="C358" s="724">
        <f t="shared" si="64"/>
        <v>0</v>
      </c>
      <c r="D358" s="158"/>
      <c r="E358" s="725">
        <f t="shared" si="66"/>
        <v>0</v>
      </c>
      <c r="F358" s="725">
        <f t="shared" si="66"/>
        <v>0</v>
      </c>
      <c r="G358" s="725">
        <f t="shared" si="66"/>
        <v>0</v>
      </c>
    </row>
    <row r="359" spans="1:7" ht="11.4" outlineLevel="1" x14ac:dyDescent="0.2">
      <c r="A359" s="7" t="s">
        <v>6802</v>
      </c>
      <c r="B359" s="161" t="s">
        <v>6292</v>
      </c>
      <c r="C359" s="162">
        <f t="shared" si="64"/>
        <v>0</v>
      </c>
      <c r="D359" s="158"/>
      <c r="E359" s="144">
        <f>SUM(E356:E358)</f>
        <v>0</v>
      </c>
      <c r="F359" s="144">
        <f>SUM(F356:F358)</f>
        <v>0</v>
      </c>
      <c r="G359" s="144">
        <f>SUM(G356:G358)</f>
        <v>0</v>
      </c>
    </row>
    <row r="360" spans="1:7" ht="11.4" outlineLevel="1" x14ac:dyDescent="0.2">
      <c r="A360" s="7" t="s">
        <v>5998</v>
      </c>
      <c r="B360" s="192" t="s">
        <v>5956</v>
      </c>
      <c r="C360" s="193">
        <f t="shared" si="64"/>
        <v>0</v>
      </c>
      <c r="D360" s="158"/>
      <c r="E360" s="186">
        <f t="shared" ref="E360:G362" si="67">INDEX($A$3:$AAA$316,MATCH($A360,$A$3:$A$316,0),MATCH(E$3,$A$3:$AAA$3,0))</f>
        <v>0</v>
      </c>
      <c r="F360" s="186">
        <f t="shared" si="67"/>
        <v>0</v>
      </c>
      <c r="G360" s="186">
        <f t="shared" si="67"/>
        <v>0</v>
      </c>
    </row>
    <row r="361" spans="1:7" ht="11.4" outlineLevel="1" x14ac:dyDescent="0.2">
      <c r="A361" s="7" t="s">
        <v>6024</v>
      </c>
      <c r="B361" s="723" t="s">
        <v>6293</v>
      </c>
      <c r="C361" s="724">
        <f t="shared" si="64"/>
        <v>0</v>
      </c>
      <c r="D361" s="158"/>
      <c r="E361" s="725">
        <f t="shared" si="67"/>
        <v>0</v>
      </c>
      <c r="F361" s="725">
        <f t="shared" si="67"/>
        <v>0</v>
      </c>
      <c r="G361" s="725">
        <f t="shared" si="67"/>
        <v>0</v>
      </c>
    </row>
    <row r="362" spans="1:7" ht="11.4" outlineLevel="1" x14ac:dyDescent="0.2">
      <c r="A362" s="7" t="s">
        <v>6099</v>
      </c>
      <c r="B362" s="723" t="s">
        <v>6294</v>
      </c>
      <c r="C362" s="724">
        <f t="shared" si="64"/>
        <v>321686.84789391904</v>
      </c>
      <c r="D362" s="158"/>
      <c r="E362" s="725">
        <f t="shared" si="67"/>
        <v>321686.84789391904</v>
      </c>
      <c r="F362" s="725">
        <f t="shared" si="67"/>
        <v>0</v>
      </c>
      <c r="G362" s="725">
        <f t="shared" si="67"/>
        <v>0</v>
      </c>
    </row>
    <row r="363" spans="1:7" ht="11.4" outlineLevel="1" x14ac:dyDescent="0.2">
      <c r="A363" s="7" t="s">
        <v>6803</v>
      </c>
      <c r="B363" s="161" t="s">
        <v>6295</v>
      </c>
      <c r="C363" s="162">
        <f t="shared" si="64"/>
        <v>321686.84789391904</v>
      </c>
      <c r="D363" s="158"/>
      <c r="E363" s="144">
        <f>SUM(E360:E362)</f>
        <v>321686.84789391904</v>
      </c>
      <c r="F363" s="144">
        <f>SUM(F360:F362)</f>
        <v>0</v>
      </c>
      <c r="G363" s="144">
        <f>SUM(G360:G362)</f>
        <v>0</v>
      </c>
    </row>
    <row r="364" spans="1:7" ht="11.4" outlineLevel="1" x14ac:dyDescent="0.2">
      <c r="A364" s="7" t="s">
        <v>5999</v>
      </c>
      <c r="B364" s="192" t="s">
        <v>5957</v>
      </c>
      <c r="C364" s="193">
        <f t="shared" si="64"/>
        <v>0</v>
      </c>
      <c r="D364" s="158"/>
      <c r="E364" s="186">
        <f t="shared" ref="E364:G366" si="68">INDEX($A$3:$AAA$316,MATCH($A364,$A$3:$A$316,0),MATCH(E$3,$A$3:$AAA$3,0))</f>
        <v>0</v>
      </c>
      <c r="F364" s="186">
        <f t="shared" si="68"/>
        <v>0</v>
      </c>
      <c r="G364" s="186">
        <f t="shared" si="68"/>
        <v>0</v>
      </c>
    </row>
    <row r="365" spans="1:7" ht="11.4" outlineLevel="1" x14ac:dyDescent="0.2">
      <c r="A365" s="7" t="s">
        <v>6038</v>
      </c>
      <c r="B365" s="723" t="s">
        <v>6296</v>
      </c>
      <c r="C365" s="724">
        <f t="shared" si="64"/>
        <v>0</v>
      </c>
      <c r="D365" s="158"/>
      <c r="E365" s="725">
        <f t="shared" si="68"/>
        <v>0</v>
      </c>
      <c r="F365" s="725">
        <f t="shared" si="68"/>
        <v>0</v>
      </c>
      <c r="G365" s="725">
        <f t="shared" si="68"/>
        <v>0</v>
      </c>
    </row>
    <row r="366" spans="1:7" ht="11.4" outlineLevel="1" x14ac:dyDescent="0.2">
      <c r="A366" s="7" t="s">
        <v>6102</v>
      </c>
      <c r="B366" s="723" t="s">
        <v>6297</v>
      </c>
      <c r="C366" s="724">
        <f t="shared" si="64"/>
        <v>0</v>
      </c>
      <c r="D366" s="158"/>
      <c r="E366" s="725">
        <f t="shared" si="68"/>
        <v>0</v>
      </c>
      <c r="F366" s="725">
        <f t="shared" si="68"/>
        <v>0</v>
      </c>
      <c r="G366" s="725">
        <f t="shared" si="68"/>
        <v>0</v>
      </c>
    </row>
    <row r="367" spans="1:7" ht="11.4" outlineLevel="1" x14ac:dyDescent="0.2">
      <c r="A367" s="7" t="s">
        <v>6804</v>
      </c>
      <c r="B367" s="161" t="s">
        <v>6298</v>
      </c>
      <c r="C367" s="162">
        <f t="shared" si="64"/>
        <v>0</v>
      </c>
      <c r="D367" s="158"/>
      <c r="E367" s="144">
        <f>SUM(E364:E366)</f>
        <v>0</v>
      </c>
      <c r="F367" s="144">
        <f>SUM(F364:F366)</f>
        <v>0</v>
      </c>
      <c r="G367" s="144">
        <f>SUM(G364:G366)</f>
        <v>0</v>
      </c>
    </row>
    <row r="369" spans="1:7" s="351" customFormat="1" ht="11.4" x14ac:dyDescent="0.2">
      <c r="A369" s="7" t="s">
        <v>6349</v>
      </c>
      <c r="B369" s="726" t="s">
        <v>6352</v>
      </c>
      <c r="C369" s="727">
        <f t="shared" ref="C369:C371" si="69">SUM(E369:AAA369)</f>
        <v>338035.39975581953</v>
      </c>
      <c r="D369" s="158"/>
      <c r="E369" s="730">
        <f>E355+E359</f>
        <v>338035.39975581953</v>
      </c>
      <c r="F369" s="730">
        <f>F355+F359</f>
        <v>0</v>
      </c>
      <c r="G369" s="730">
        <f>G355+G359</f>
        <v>0</v>
      </c>
    </row>
    <row r="370" spans="1:7" s="351" customFormat="1" ht="11.4" x14ac:dyDescent="0.2">
      <c r="A370" s="7" t="s">
        <v>6350</v>
      </c>
      <c r="B370" s="728" t="s">
        <v>6353</v>
      </c>
      <c r="C370" s="729">
        <f t="shared" si="69"/>
        <v>321686.84789391904</v>
      </c>
      <c r="D370" s="158"/>
      <c r="E370" s="731">
        <f>E363+E367</f>
        <v>321686.84789391904</v>
      </c>
      <c r="F370" s="731">
        <f>F363+F367</f>
        <v>0</v>
      </c>
      <c r="G370" s="731">
        <f>G363+G367</f>
        <v>0</v>
      </c>
    </row>
    <row r="371" spans="1:7" s="351" customFormat="1" ht="11.4" x14ac:dyDescent="0.2">
      <c r="A371" s="7" t="s">
        <v>6351</v>
      </c>
      <c r="B371" s="161" t="s">
        <v>6354</v>
      </c>
      <c r="C371" s="162">
        <f t="shared" si="69"/>
        <v>659722.24764973857</v>
      </c>
      <c r="D371" s="158"/>
      <c r="E371" s="144">
        <f>SUM(E369:E370)</f>
        <v>659722.24764973857</v>
      </c>
      <c r="F371" s="144">
        <f>SUM(F369:F370)</f>
        <v>0</v>
      </c>
      <c r="G371" s="144">
        <f>SUM(G369:G370)</f>
        <v>0</v>
      </c>
    </row>
    <row r="373" spans="1:7" s="351" customFormat="1" x14ac:dyDescent="0.3">
      <c r="A373" s="350"/>
      <c r="B373" s="457">
        <v>2029</v>
      </c>
      <c r="C373" s="348"/>
      <c r="D373" s="348"/>
      <c r="E373" s="709"/>
      <c r="F373" s="709"/>
      <c r="G373" s="709"/>
    </row>
    <row r="374" spans="1:7" ht="11.4" outlineLevel="1" x14ac:dyDescent="0.2">
      <c r="A374" s="7" t="s">
        <v>6001</v>
      </c>
      <c r="B374" s="192" t="s">
        <v>5959</v>
      </c>
      <c r="C374" s="193">
        <f t="shared" ref="C374:C393" si="70">SUM(E374:AAA374)</f>
        <v>0</v>
      </c>
      <c r="D374" s="158"/>
      <c r="E374" s="186">
        <f t="shared" ref="E374:G377" si="71">INDEX($A$3:$AAA$316,MATCH($A374,$A$3:$A$316,0),MATCH(E$3,$A$3:$AAA$3,0))</f>
        <v>0</v>
      </c>
      <c r="F374" s="186">
        <f t="shared" si="71"/>
        <v>0</v>
      </c>
      <c r="G374" s="186">
        <f t="shared" si="71"/>
        <v>0</v>
      </c>
    </row>
    <row r="375" spans="1:7" ht="11.4" outlineLevel="1" x14ac:dyDescent="0.2">
      <c r="A375" s="7" t="s">
        <v>5981</v>
      </c>
      <c r="B375" s="723" t="s">
        <v>6299</v>
      </c>
      <c r="C375" s="724">
        <f t="shared" si="70"/>
        <v>0</v>
      </c>
      <c r="D375" s="158"/>
      <c r="E375" s="725">
        <f t="shared" si="71"/>
        <v>0</v>
      </c>
      <c r="F375" s="725">
        <f t="shared" si="71"/>
        <v>0</v>
      </c>
      <c r="G375" s="725">
        <f t="shared" si="71"/>
        <v>0</v>
      </c>
    </row>
    <row r="376" spans="1:7" ht="11.4" outlineLevel="1" x14ac:dyDescent="0.2">
      <c r="A376" s="7" t="s">
        <v>6094</v>
      </c>
      <c r="B376" s="723" t="s">
        <v>6300</v>
      </c>
      <c r="C376" s="724">
        <f t="shared" si="70"/>
        <v>0</v>
      </c>
      <c r="D376" s="158"/>
      <c r="E376" s="725">
        <f t="shared" si="71"/>
        <v>0</v>
      </c>
      <c r="F376" s="725">
        <f t="shared" si="71"/>
        <v>0</v>
      </c>
      <c r="G376" s="725">
        <f t="shared" si="71"/>
        <v>0</v>
      </c>
    </row>
    <row r="377" spans="1:7" ht="11.4" outlineLevel="1" x14ac:dyDescent="0.2">
      <c r="A377" s="7" t="s">
        <v>6152</v>
      </c>
      <c r="B377" s="723" t="s">
        <v>6301</v>
      </c>
      <c r="C377" s="724">
        <f t="shared" si="70"/>
        <v>0</v>
      </c>
      <c r="D377" s="158"/>
      <c r="E377" s="725">
        <f t="shared" si="71"/>
        <v>0</v>
      </c>
      <c r="F377" s="725">
        <f t="shared" si="71"/>
        <v>0</v>
      </c>
      <c r="G377" s="725">
        <f t="shared" si="71"/>
        <v>0</v>
      </c>
    </row>
    <row r="378" spans="1:7" ht="11.4" outlineLevel="1" x14ac:dyDescent="0.2">
      <c r="A378" s="7" t="s">
        <v>6805</v>
      </c>
      <c r="B378" s="161" t="s">
        <v>6302</v>
      </c>
      <c r="C378" s="162">
        <f t="shared" si="70"/>
        <v>0</v>
      </c>
      <c r="D378" s="158"/>
      <c r="E378" s="144">
        <f>SUM(E374:E377)</f>
        <v>0</v>
      </c>
      <c r="F378" s="144">
        <f>SUM(F374:F377)</f>
        <v>0</v>
      </c>
      <c r="G378" s="144">
        <f>SUM(G374:G377)</f>
        <v>0</v>
      </c>
    </row>
    <row r="379" spans="1:7" ht="11.4" outlineLevel="1" x14ac:dyDescent="0.2">
      <c r="A379" s="7" t="s">
        <v>6002</v>
      </c>
      <c r="B379" s="192" t="s">
        <v>5960</v>
      </c>
      <c r="C379" s="193">
        <f t="shared" si="70"/>
        <v>0</v>
      </c>
      <c r="D379" s="158"/>
      <c r="E379" s="186">
        <f t="shared" ref="E379:G382" si="72">INDEX($A$3:$AAA$316,MATCH($A379,$A$3:$A$316,0),MATCH(E$3,$A$3:$AAA$3,0))</f>
        <v>0</v>
      </c>
      <c r="F379" s="186">
        <f t="shared" si="72"/>
        <v>0</v>
      </c>
      <c r="G379" s="186">
        <f t="shared" si="72"/>
        <v>0</v>
      </c>
    </row>
    <row r="380" spans="1:7" ht="11.4" outlineLevel="1" x14ac:dyDescent="0.2">
      <c r="A380" s="7" t="s">
        <v>6015</v>
      </c>
      <c r="B380" s="723" t="s">
        <v>6303</v>
      </c>
      <c r="C380" s="724">
        <f t="shared" si="70"/>
        <v>0</v>
      </c>
      <c r="D380" s="158"/>
      <c r="E380" s="725">
        <f t="shared" si="72"/>
        <v>0</v>
      </c>
      <c r="F380" s="725">
        <f t="shared" si="72"/>
        <v>0</v>
      </c>
      <c r="G380" s="725">
        <f t="shared" si="72"/>
        <v>0</v>
      </c>
    </row>
    <row r="381" spans="1:7" ht="11.4" outlineLevel="1" x14ac:dyDescent="0.2">
      <c r="A381" s="7" t="s">
        <v>6097</v>
      </c>
      <c r="B381" s="723" t="s">
        <v>6304</v>
      </c>
      <c r="C381" s="724">
        <f t="shared" si="70"/>
        <v>0</v>
      </c>
      <c r="D381" s="158"/>
      <c r="E381" s="725">
        <f t="shared" si="72"/>
        <v>0</v>
      </c>
      <c r="F381" s="725">
        <f t="shared" si="72"/>
        <v>0</v>
      </c>
      <c r="G381" s="725">
        <f t="shared" si="72"/>
        <v>0</v>
      </c>
    </row>
    <row r="382" spans="1:7" ht="11.4" outlineLevel="1" x14ac:dyDescent="0.2">
      <c r="A382" s="7" t="s">
        <v>6154</v>
      </c>
      <c r="B382" s="723" t="s">
        <v>6305</v>
      </c>
      <c r="C382" s="724">
        <f t="shared" si="70"/>
        <v>0</v>
      </c>
      <c r="D382" s="158"/>
      <c r="E382" s="725">
        <f t="shared" si="72"/>
        <v>0</v>
      </c>
      <c r="F382" s="725">
        <f t="shared" si="72"/>
        <v>0</v>
      </c>
      <c r="G382" s="725">
        <f t="shared" si="72"/>
        <v>0</v>
      </c>
    </row>
    <row r="383" spans="1:7" ht="11.4" outlineLevel="1" x14ac:dyDescent="0.2">
      <c r="A383" s="7" t="s">
        <v>6806</v>
      </c>
      <c r="B383" s="161" t="s">
        <v>6306</v>
      </c>
      <c r="C383" s="162">
        <f t="shared" si="70"/>
        <v>0</v>
      </c>
      <c r="D383" s="158"/>
      <c r="E383" s="144">
        <f>SUM(E379:E382)</f>
        <v>0</v>
      </c>
      <c r="F383" s="144">
        <f>SUM(F379:F382)</f>
        <v>0</v>
      </c>
      <c r="G383" s="144">
        <f>SUM(G379:G382)</f>
        <v>0</v>
      </c>
    </row>
    <row r="384" spans="1:7" ht="11.4" outlineLevel="1" x14ac:dyDescent="0.2">
      <c r="A384" s="7" t="s">
        <v>6004</v>
      </c>
      <c r="B384" s="192" t="s">
        <v>5962</v>
      </c>
      <c r="C384" s="193">
        <f t="shared" si="70"/>
        <v>0</v>
      </c>
      <c r="D384" s="158"/>
      <c r="E384" s="186">
        <f t="shared" ref="E384:G387" si="73">INDEX($A$3:$AAA$316,MATCH($A384,$A$3:$A$316,0),MATCH(E$3,$A$3:$AAA$3,0))</f>
        <v>0</v>
      </c>
      <c r="F384" s="186">
        <f t="shared" si="73"/>
        <v>0</v>
      </c>
      <c r="G384" s="186">
        <f t="shared" si="73"/>
        <v>0</v>
      </c>
    </row>
    <row r="385" spans="1:7" ht="11.4" outlineLevel="1" x14ac:dyDescent="0.2">
      <c r="A385" s="7" t="s">
        <v>6025</v>
      </c>
      <c r="B385" s="723" t="s">
        <v>6307</v>
      </c>
      <c r="C385" s="724">
        <f t="shared" si="70"/>
        <v>0</v>
      </c>
      <c r="D385" s="158"/>
      <c r="E385" s="725">
        <f t="shared" si="73"/>
        <v>0</v>
      </c>
      <c r="F385" s="725">
        <f t="shared" si="73"/>
        <v>0</v>
      </c>
      <c r="G385" s="725">
        <f t="shared" si="73"/>
        <v>0</v>
      </c>
    </row>
    <row r="386" spans="1:7" ht="11.4" outlineLevel="1" x14ac:dyDescent="0.2">
      <c r="A386" s="7" t="s">
        <v>6100</v>
      </c>
      <c r="B386" s="723" t="s">
        <v>6308</v>
      </c>
      <c r="C386" s="724">
        <f t="shared" si="70"/>
        <v>0</v>
      </c>
      <c r="D386" s="158"/>
      <c r="E386" s="725">
        <f t="shared" si="73"/>
        <v>0</v>
      </c>
      <c r="F386" s="725">
        <f t="shared" si="73"/>
        <v>0</v>
      </c>
      <c r="G386" s="725">
        <f t="shared" si="73"/>
        <v>0</v>
      </c>
    </row>
    <row r="387" spans="1:7" ht="11.4" outlineLevel="1" x14ac:dyDescent="0.2">
      <c r="A387" s="7" t="s">
        <v>6156</v>
      </c>
      <c r="B387" s="723" t="s">
        <v>6309</v>
      </c>
      <c r="C387" s="724">
        <f t="shared" si="70"/>
        <v>0</v>
      </c>
      <c r="D387" s="158"/>
      <c r="E387" s="725">
        <f t="shared" si="73"/>
        <v>0</v>
      </c>
      <c r="F387" s="725">
        <f t="shared" si="73"/>
        <v>0</v>
      </c>
      <c r="G387" s="725">
        <f t="shared" si="73"/>
        <v>0</v>
      </c>
    </row>
    <row r="388" spans="1:7" ht="11.4" outlineLevel="1" x14ac:dyDescent="0.2">
      <c r="A388" s="7" t="s">
        <v>6807</v>
      </c>
      <c r="B388" s="161" t="s">
        <v>6310</v>
      </c>
      <c r="C388" s="162">
        <f t="shared" si="70"/>
        <v>0</v>
      </c>
      <c r="D388" s="158"/>
      <c r="E388" s="144">
        <f>SUM(E384:E387)</f>
        <v>0</v>
      </c>
      <c r="F388" s="144">
        <f>SUM(F384:F387)</f>
        <v>0</v>
      </c>
      <c r="G388" s="144">
        <f>SUM(G384:G387)</f>
        <v>0</v>
      </c>
    </row>
    <row r="389" spans="1:7" ht="11.4" outlineLevel="1" x14ac:dyDescent="0.2">
      <c r="A389" s="7" t="s">
        <v>6005</v>
      </c>
      <c r="B389" s="192" t="s">
        <v>5963</v>
      </c>
      <c r="C389" s="193">
        <f t="shared" si="70"/>
        <v>0</v>
      </c>
      <c r="D389" s="158"/>
      <c r="E389" s="186">
        <f t="shared" ref="E389:G392" si="74">INDEX($A$3:$AAA$316,MATCH($A389,$A$3:$A$316,0),MATCH(E$3,$A$3:$AAA$3,0))</f>
        <v>0</v>
      </c>
      <c r="F389" s="186">
        <f t="shared" si="74"/>
        <v>0</v>
      </c>
      <c r="G389" s="186">
        <f t="shared" si="74"/>
        <v>0</v>
      </c>
    </row>
    <row r="390" spans="1:7" ht="11.4" outlineLevel="1" x14ac:dyDescent="0.2">
      <c r="A390" s="7" t="s">
        <v>6039</v>
      </c>
      <c r="B390" s="723" t="s">
        <v>6311</v>
      </c>
      <c r="C390" s="724">
        <f t="shared" si="70"/>
        <v>0</v>
      </c>
      <c r="D390" s="158"/>
      <c r="E390" s="725">
        <f t="shared" si="74"/>
        <v>0</v>
      </c>
      <c r="F390" s="725">
        <f t="shared" si="74"/>
        <v>0</v>
      </c>
      <c r="G390" s="725">
        <f t="shared" si="74"/>
        <v>0</v>
      </c>
    </row>
    <row r="391" spans="1:7" ht="11.4" outlineLevel="1" x14ac:dyDescent="0.2">
      <c r="A391" s="7" t="s">
        <v>6103</v>
      </c>
      <c r="B391" s="723" t="s">
        <v>6312</v>
      </c>
      <c r="C391" s="724">
        <f t="shared" si="70"/>
        <v>0</v>
      </c>
      <c r="D391" s="158"/>
      <c r="E391" s="725">
        <f t="shared" si="74"/>
        <v>0</v>
      </c>
      <c r="F391" s="725">
        <f t="shared" si="74"/>
        <v>0</v>
      </c>
      <c r="G391" s="725">
        <f t="shared" si="74"/>
        <v>0</v>
      </c>
    </row>
    <row r="392" spans="1:7" ht="11.4" outlineLevel="1" x14ac:dyDescent="0.2">
      <c r="A392" s="7" t="s">
        <v>6158</v>
      </c>
      <c r="B392" s="723" t="s">
        <v>6313</v>
      </c>
      <c r="C392" s="724">
        <f t="shared" si="70"/>
        <v>0</v>
      </c>
      <c r="D392" s="158"/>
      <c r="E392" s="725">
        <f t="shared" si="74"/>
        <v>0</v>
      </c>
      <c r="F392" s="725">
        <f t="shared" si="74"/>
        <v>0</v>
      </c>
      <c r="G392" s="725">
        <f t="shared" si="74"/>
        <v>0</v>
      </c>
    </row>
    <row r="393" spans="1:7" ht="11.4" outlineLevel="1" x14ac:dyDescent="0.2">
      <c r="A393" s="7" t="s">
        <v>6808</v>
      </c>
      <c r="B393" s="161" t="s">
        <v>6314</v>
      </c>
      <c r="C393" s="162">
        <f t="shared" si="70"/>
        <v>0</v>
      </c>
      <c r="D393" s="158"/>
      <c r="E393" s="144">
        <f>SUM(E389:E392)</f>
        <v>0</v>
      </c>
      <c r="F393" s="144">
        <f>SUM(F389:F392)</f>
        <v>0</v>
      </c>
      <c r="G393" s="144">
        <f>SUM(G389:G392)</f>
        <v>0</v>
      </c>
    </row>
    <row r="395" spans="1:7" s="351" customFormat="1" ht="11.4" x14ac:dyDescent="0.2">
      <c r="A395" s="7" t="s">
        <v>6355</v>
      </c>
      <c r="B395" s="726" t="s">
        <v>6358</v>
      </c>
      <c r="C395" s="727">
        <f t="shared" ref="C395:C397" si="75">SUM(E395:AAA395)</f>
        <v>0</v>
      </c>
      <c r="D395" s="158"/>
      <c r="E395" s="730">
        <f>E378+E383</f>
        <v>0</v>
      </c>
      <c r="F395" s="730">
        <f>F378+F383</f>
        <v>0</v>
      </c>
      <c r="G395" s="730">
        <f>G378+G383</f>
        <v>0</v>
      </c>
    </row>
    <row r="396" spans="1:7" s="351" customFormat="1" ht="11.4" x14ac:dyDescent="0.2">
      <c r="A396" s="7" t="s">
        <v>6356</v>
      </c>
      <c r="B396" s="728" t="s">
        <v>6359</v>
      </c>
      <c r="C396" s="729">
        <f t="shared" si="75"/>
        <v>0</v>
      </c>
      <c r="D396" s="158"/>
      <c r="E396" s="731">
        <f>E388+E393</f>
        <v>0</v>
      </c>
      <c r="F396" s="731">
        <f>F388+F393</f>
        <v>0</v>
      </c>
      <c r="G396" s="731">
        <f>G388+G393</f>
        <v>0</v>
      </c>
    </row>
    <row r="397" spans="1:7" s="351" customFormat="1" ht="11.4" x14ac:dyDescent="0.2">
      <c r="A397" s="7" t="s">
        <v>6357</v>
      </c>
      <c r="B397" s="161" t="s">
        <v>6360</v>
      </c>
      <c r="C397" s="162">
        <f t="shared" si="75"/>
        <v>0</v>
      </c>
      <c r="D397" s="158"/>
      <c r="E397" s="144">
        <f>SUM(E395:E396)</f>
        <v>0</v>
      </c>
      <c r="F397" s="144">
        <f>SUM(F395:F396)</f>
        <v>0</v>
      </c>
      <c r="G397" s="144">
        <f>SUM(G395:G396)</f>
        <v>0</v>
      </c>
    </row>
    <row r="399" spans="1:7" s="351" customFormat="1" x14ac:dyDescent="0.3">
      <c r="A399" s="350"/>
      <c r="B399" s="457" t="s">
        <v>5965</v>
      </c>
      <c r="C399" s="348"/>
      <c r="D399" s="348"/>
      <c r="E399" s="709"/>
      <c r="F399" s="709"/>
      <c r="G399" s="709"/>
    </row>
    <row r="400" spans="1:7" ht="11.4" outlineLevel="1" x14ac:dyDescent="0.2">
      <c r="A400" s="7" t="s">
        <v>6007</v>
      </c>
      <c r="B400" s="192" t="s">
        <v>6315</v>
      </c>
      <c r="C400" s="193">
        <f t="shared" ref="C400:C423" si="76">SUM(E400:AAA400)</f>
        <v>0</v>
      </c>
      <c r="D400" s="158"/>
      <c r="E400" s="186">
        <f t="shared" ref="E400:G404" si="77">INDEX($A$3:$AAA$316,MATCH($A400,$A$3:$A$316,0),MATCH(E$3,$A$3:$AAA$3,0))</f>
        <v>0</v>
      </c>
      <c r="F400" s="186">
        <f t="shared" si="77"/>
        <v>0</v>
      </c>
      <c r="G400" s="186">
        <f t="shared" si="77"/>
        <v>0</v>
      </c>
    </row>
    <row r="401" spans="1:7" ht="11.4" outlineLevel="1" x14ac:dyDescent="0.2">
      <c r="A401" s="7" t="s">
        <v>5982</v>
      </c>
      <c r="B401" s="723" t="s">
        <v>6316</v>
      </c>
      <c r="C401" s="724">
        <f t="shared" si="76"/>
        <v>0</v>
      </c>
      <c r="D401" s="158"/>
      <c r="E401" s="725">
        <f t="shared" si="77"/>
        <v>0</v>
      </c>
      <c r="F401" s="725">
        <f t="shared" si="77"/>
        <v>0</v>
      </c>
      <c r="G401" s="725">
        <f t="shared" si="77"/>
        <v>0</v>
      </c>
    </row>
    <row r="402" spans="1:7" ht="11.4" outlineLevel="1" x14ac:dyDescent="0.2">
      <c r="A402" s="7" t="s">
        <v>6095</v>
      </c>
      <c r="B402" s="723" t="s">
        <v>6317</v>
      </c>
      <c r="C402" s="724">
        <f t="shared" si="76"/>
        <v>0</v>
      </c>
      <c r="D402" s="158"/>
      <c r="E402" s="725">
        <f t="shared" si="77"/>
        <v>0</v>
      </c>
      <c r="F402" s="725">
        <f t="shared" si="77"/>
        <v>0</v>
      </c>
      <c r="G402" s="725">
        <f t="shared" si="77"/>
        <v>0</v>
      </c>
    </row>
    <row r="403" spans="1:7" ht="11.4" outlineLevel="1" x14ac:dyDescent="0.2">
      <c r="A403" s="7" t="s">
        <v>6153</v>
      </c>
      <c r="B403" s="723" t="s">
        <v>6318</v>
      </c>
      <c r="C403" s="724">
        <f t="shared" si="76"/>
        <v>0</v>
      </c>
      <c r="D403" s="158"/>
      <c r="E403" s="725">
        <f t="shared" si="77"/>
        <v>0</v>
      </c>
      <c r="F403" s="725">
        <f t="shared" si="77"/>
        <v>0</v>
      </c>
      <c r="G403" s="725">
        <f t="shared" si="77"/>
        <v>0</v>
      </c>
    </row>
    <row r="404" spans="1:7" ht="11.4" outlineLevel="1" x14ac:dyDescent="0.2">
      <c r="A404" s="7" t="s">
        <v>6222</v>
      </c>
      <c r="B404" s="194" t="s">
        <v>6319</v>
      </c>
      <c r="C404" s="195">
        <f t="shared" si="76"/>
        <v>0</v>
      </c>
      <c r="D404" s="158"/>
      <c r="E404" s="187">
        <f t="shared" si="77"/>
        <v>0</v>
      </c>
      <c r="F404" s="187">
        <f t="shared" si="77"/>
        <v>0</v>
      </c>
      <c r="G404" s="187">
        <f t="shared" si="77"/>
        <v>0</v>
      </c>
    </row>
    <row r="405" spans="1:7" ht="11.4" outlineLevel="1" x14ac:dyDescent="0.2">
      <c r="A405" s="7" t="s">
        <v>6809</v>
      </c>
      <c r="B405" s="161" t="s">
        <v>6320</v>
      </c>
      <c r="C405" s="162">
        <f t="shared" si="76"/>
        <v>0</v>
      </c>
      <c r="D405" s="158"/>
      <c r="E405" s="144">
        <f>SUM(E400:E404)</f>
        <v>0</v>
      </c>
      <c r="F405" s="144">
        <f>SUM(F400:F404)</f>
        <v>0</v>
      </c>
      <c r="G405" s="144">
        <f>SUM(G400:G404)</f>
        <v>0</v>
      </c>
    </row>
    <row r="406" spans="1:7" ht="11.4" outlineLevel="1" x14ac:dyDescent="0.2">
      <c r="A406" s="7" t="s">
        <v>6008</v>
      </c>
      <c r="B406" s="192" t="s">
        <v>6321</v>
      </c>
      <c r="C406" s="193">
        <f t="shared" si="76"/>
        <v>0</v>
      </c>
      <c r="D406" s="158"/>
      <c r="E406" s="186">
        <f t="shared" ref="E406:G410" si="78">INDEX($A$3:$AAA$316,MATCH($A406,$A$3:$A$316,0),MATCH(E$3,$A$3:$AAA$3,0))</f>
        <v>0</v>
      </c>
      <c r="F406" s="186">
        <f t="shared" si="78"/>
        <v>0</v>
      </c>
      <c r="G406" s="186">
        <f t="shared" si="78"/>
        <v>0</v>
      </c>
    </row>
    <row r="407" spans="1:7" ht="11.4" outlineLevel="1" x14ac:dyDescent="0.2">
      <c r="A407" s="7" t="s">
        <v>6016</v>
      </c>
      <c r="B407" s="723" t="s">
        <v>6322</v>
      </c>
      <c r="C407" s="724">
        <f t="shared" si="76"/>
        <v>0</v>
      </c>
      <c r="D407" s="158"/>
      <c r="E407" s="725">
        <f t="shared" si="78"/>
        <v>0</v>
      </c>
      <c r="F407" s="725">
        <f t="shared" si="78"/>
        <v>0</v>
      </c>
      <c r="G407" s="725">
        <f t="shared" si="78"/>
        <v>0</v>
      </c>
    </row>
    <row r="408" spans="1:7" ht="11.4" outlineLevel="1" x14ac:dyDescent="0.2">
      <c r="A408" s="7" t="s">
        <v>6098</v>
      </c>
      <c r="B408" s="723" t="s">
        <v>6323</v>
      </c>
      <c r="C408" s="724">
        <f t="shared" si="76"/>
        <v>0</v>
      </c>
      <c r="D408" s="158"/>
      <c r="E408" s="725">
        <f t="shared" si="78"/>
        <v>0</v>
      </c>
      <c r="F408" s="725">
        <f t="shared" si="78"/>
        <v>0</v>
      </c>
      <c r="G408" s="725">
        <f t="shared" si="78"/>
        <v>0</v>
      </c>
    </row>
    <row r="409" spans="1:7" ht="11.4" outlineLevel="1" x14ac:dyDescent="0.2">
      <c r="A409" s="7" t="s">
        <v>6155</v>
      </c>
      <c r="B409" s="723" t="s">
        <v>6324</v>
      </c>
      <c r="C409" s="724">
        <f t="shared" si="76"/>
        <v>0</v>
      </c>
      <c r="D409" s="158"/>
      <c r="E409" s="725">
        <f t="shared" si="78"/>
        <v>0</v>
      </c>
      <c r="F409" s="725">
        <f t="shared" si="78"/>
        <v>0</v>
      </c>
      <c r="G409" s="725">
        <f t="shared" si="78"/>
        <v>0</v>
      </c>
    </row>
    <row r="410" spans="1:7" ht="11.4" outlineLevel="1" x14ac:dyDescent="0.2">
      <c r="A410" s="7" t="s">
        <v>6223</v>
      </c>
      <c r="B410" s="194" t="s">
        <v>6325</v>
      </c>
      <c r="C410" s="195">
        <f t="shared" si="76"/>
        <v>0</v>
      </c>
      <c r="D410" s="158"/>
      <c r="E410" s="187">
        <f t="shared" si="78"/>
        <v>0</v>
      </c>
      <c r="F410" s="187">
        <f t="shared" si="78"/>
        <v>0</v>
      </c>
      <c r="G410" s="187">
        <f t="shared" si="78"/>
        <v>0</v>
      </c>
    </row>
    <row r="411" spans="1:7" ht="11.4" outlineLevel="1" x14ac:dyDescent="0.2">
      <c r="A411" s="7" t="s">
        <v>6810</v>
      </c>
      <c r="B411" s="161" t="s">
        <v>6326</v>
      </c>
      <c r="C411" s="162">
        <f t="shared" si="76"/>
        <v>0</v>
      </c>
      <c r="D411" s="158"/>
      <c r="E411" s="144">
        <f>SUM(E406:E410)</f>
        <v>0</v>
      </c>
      <c r="F411" s="144">
        <f>SUM(F406:F410)</f>
        <v>0</v>
      </c>
      <c r="G411" s="144">
        <f>SUM(G406:G410)</f>
        <v>0</v>
      </c>
    </row>
    <row r="412" spans="1:7" ht="11.4" outlineLevel="1" x14ac:dyDescent="0.2">
      <c r="A412" s="7" t="s">
        <v>6010</v>
      </c>
      <c r="B412" s="192" t="s">
        <v>5969</v>
      </c>
      <c r="C412" s="193">
        <f t="shared" si="76"/>
        <v>0</v>
      </c>
      <c r="D412" s="158"/>
      <c r="E412" s="186">
        <f t="shared" ref="E412:G416" si="79">INDEX($A$3:$AAA$316,MATCH($A412,$A$3:$A$316,0),MATCH(E$3,$A$3:$AAA$3,0))</f>
        <v>0</v>
      </c>
      <c r="F412" s="186">
        <f t="shared" si="79"/>
        <v>0</v>
      </c>
      <c r="G412" s="186">
        <f t="shared" si="79"/>
        <v>0</v>
      </c>
    </row>
    <row r="413" spans="1:7" ht="11.4" outlineLevel="1" x14ac:dyDescent="0.2">
      <c r="A413" s="7" t="s">
        <v>6026</v>
      </c>
      <c r="B413" s="723" t="s">
        <v>6327</v>
      </c>
      <c r="C413" s="724">
        <f t="shared" si="76"/>
        <v>0</v>
      </c>
      <c r="D413" s="158"/>
      <c r="E413" s="725">
        <f t="shared" si="79"/>
        <v>0</v>
      </c>
      <c r="F413" s="725">
        <f t="shared" si="79"/>
        <v>0</v>
      </c>
      <c r="G413" s="725">
        <f t="shared" si="79"/>
        <v>0</v>
      </c>
    </row>
    <row r="414" spans="1:7" ht="11.4" outlineLevel="1" x14ac:dyDescent="0.2">
      <c r="A414" s="7" t="s">
        <v>6101</v>
      </c>
      <c r="B414" s="723" t="s">
        <v>6328</v>
      </c>
      <c r="C414" s="724">
        <f t="shared" si="76"/>
        <v>0</v>
      </c>
      <c r="D414" s="158"/>
      <c r="E414" s="725">
        <f t="shared" si="79"/>
        <v>0</v>
      </c>
      <c r="F414" s="725">
        <f t="shared" si="79"/>
        <v>0</v>
      </c>
      <c r="G414" s="725">
        <f t="shared" si="79"/>
        <v>0</v>
      </c>
    </row>
    <row r="415" spans="1:7" ht="11.4" outlineLevel="1" x14ac:dyDescent="0.2">
      <c r="A415" s="7" t="s">
        <v>6157</v>
      </c>
      <c r="B415" s="723" t="s">
        <v>6329</v>
      </c>
      <c r="C415" s="724">
        <f t="shared" si="76"/>
        <v>0</v>
      </c>
      <c r="D415" s="158"/>
      <c r="E415" s="725">
        <f t="shared" si="79"/>
        <v>0</v>
      </c>
      <c r="F415" s="725">
        <f t="shared" si="79"/>
        <v>0</v>
      </c>
      <c r="G415" s="725">
        <f t="shared" si="79"/>
        <v>0</v>
      </c>
    </row>
    <row r="416" spans="1:7" ht="11.4" outlineLevel="1" x14ac:dyDescent="0.2">
      <c r="A416" s="7" t="s">
        <v>6224</v>
      </c>
      <c r="B416" s="194" t="s">
        <v>6330</v>
      </c>
      <c r="C416" s="195">
        <f t="shared" si="76"/>
        <v>0</v>
      </c>
      <c r="D416" s="158"/>
      <c r="E416" s="187">
        <f t="shared" si="79"/>
        <v>0</v>
      </c>
      <c r="F416" s="187">
        <f t="shared" si="79"/>
        <v>0</v>
      </c>
      <c r="G416" s="187">
        <f t="shared" si="79"/>
        <v>0</v>
      </c>
    </row>
    <row r="417" spans="1:7" ht="11.4" outlineLevel="1" x14ac:dyDescent="0.2">
      <c r="A417" s="7" t="s">
        <v>6811</v>
      </c>
      <c r="B417" s="161" t="s">
        <v>6331</v>
      </c>
      <c r="C417" s="162">
        <f t="shared" si="76"/>
        <v>0</v>
      </c>
      <c r="D417" s="158"/>
      <c r="E417" s="144">
        <f>SUM(E412:E416)</f>
        <v>0</v>
      </c>
      <c r="F417" s="144">
        <f>SUM(F412:F416)</f>
        <v>0</v>
      </c>
      <c r="G417" s="144">
        <f>SUM(G412:G416)</f>
        <v>0</v>
      </c>
    </row>
    <row r="418" spans="1:7" ht="11.4" outlineLevel="1" x14ac:dyDescent="0.2">
      <c r="A418" s="7" t="s">
        <v>6011</v>
      </c>
      <c r="B418" s="192" t="s">
        <v>5970</v>
      </c>
      <c r="C418" s="193">
        <f t="shared" si="76"/>
        <v>0</v>
      </c>
      <c r="D418" s="158"/>
      <c r="E418" s="186">
        <f t="shared" ref="E418:G422" si="80">INDEX($A$3:$AAA$316,MATCH($A418,$A$3:$A$316,0),MATCH(E$3,$A$3:$AAA$3,0))</f>
        <v>0</v>
      </c>
      <c r="F418" s="186">
        <f t="shared" si="80"/>
        <v>0</v>
      </c>
      <c r="G418" s="186">
        <f t="shared" si="80"/>
        <v>0</v>
      </c>
    </row>
    <row r="419" spans="1:7" ht="11.4" outlineLevel="1" x14ac:dyDescent="0.2">
      <c r="A419" s="7" t="s">
        <v>6040</v>
      </c>
      <c r="B419" s="723" t="s">
        <v>6332</v>
      </c>
      <c r="C419" s="724">
        <f t="shared" si="76"/>
        <v>0</v>
      </c>
      <c r="D419" s="158"/>
      <c r="E419" s="725">
        <f t="shared" si="80"/>
        <v>0</v>
      </c>
      <c r="F419" s="725">
        <f t="shared" si="80"/>
        <v>0</v>
      </c>
      <c r="G419" s="725">
        <f t="shared" si="80"/>
        <v>0</v>
      </c>
    </row>
    <row r="420" spans="1:7" ht="11.4" outlineLevel="1" x14ac:dyDescent="0.2">
      <c r="A420" s="7" t="s">
        <v>6104</v>
      </c>
      <c r="B420" s="723" t="s">
        <v>6333</v>
      </c>
      <c r="C420" s="724">
        <f t="shared" si="76"/>
        <v>0</v>
      </c>
      <c r="D420" s="158"/>
      <c r="E420" s="725">
        <f t="shared" si="80"/>
        <v>0</v>
      </c>
      <c r="F420" s="725">
        <f t="shared" si="80"/>
        <v>0</v>
      </c>
      <c r="G420" s="725">
        <f t="shared" si="80"/>
        <v>0</v>
      </c>
    </row>
    <row r="421" spans="1:7" ht="11.4" outlineLevel="1" x14ac:dyDescent="0.2">
      <c r="A421" s="7" t="s">
        <v>6159</v>
      </c>
      <c r="B421" s="723" t="s">
        <v>6334</v>
      </c>
      <c r="C421" s="724">
        <f t="shared" si="76"/>
        <v>0</v>
      </c>
      <c r="D421" s="158"/>
      <c r="E421" s="725">
        <f t="shared" si="80"/>
        <v>0</v>
      </c>
      <c r="F421" s="725">
        <f t="shared" si="80"/>
        <v>0</v>
      </c>
      <c r="G421" s="725">
        <f t="shared" si="80"/>
        <v>0</v>
      </c>
    </row>
    <row r="422" spans="1:7" ht="11.4" outlineLevel="1" x14ac:dyDescent="0.2">
      <c r="A422" s="7" t="s">
        <v>6225</v>
      </c>
      <c r="B422" s="194" t="s">
        <v>6335</v>
      </c>
      <c r="C422" s="195">
        <f t="shared" si="76"/>
        <v>0</v>
      </c>
      <c r="D422" s="158"/>
      <c r="E422" s="187">
        <f t="shared" si="80"/>
        <v>0</v>
      </c>
      <c r="F422" s="187">
        <f t="shared" si="80"/>
        <v>0</v>
      </c>
      <c r="G422" s="187">
        <f t="shared" si="80"/>
        <v>0</v>
      </c>
    </row>
    <row r="423" spans="1:7" ht="11.4" outlineLevel="1" x14ac:dyDescent="0.2">
      <c r="A423" s="7" t="s">
        <v>6812</v>
      </c>
      <c r="B423" s="161" t="s">
        <v>6336</v>
      </c>
      <c r="C423" s="162">
        <f t="shared" si="76"/>
        <v>0</v>
      </c>
      <c r="D423" s="158"/>
      <c r="E423" s="144">
        <f>SUM(E418:E422)</f>
        <v>0</v>
      </c>
      <c r="F423" s="144">
        <f>SUM(F418:F422)</f>
        <v>0</v>
      </c>
      <c r="G423" s="144">
        <f>SUM(G418:G422)</f>
        <v>0</v>
      </c>
    </row>
    <row r="425" spans="1:7" s="351" customFormat="1" ht="11.4" x14ac:dyDescent="0.2">
      <c r="A425" s="7" t="s">
        <v>6361</v>
      </c>
      <c r="B425" s="726" t="s">
        <v>6366</v>
      </c>
      <c r="C425" s="727">
        <f t="shared" ref="C425:C427" si="81">SUM(E425:AAA425)</f>
        <v>0</v>
      </c>
      <c r="D425" s="158"/>
      <c r="E425" s="730">
        <f>E405+E411</f>
        <v>0</v>
      </c>
      <c r="F425" s="730">
        <f>F405+F411</f>
        <v>0</v>
      </c>
      <c r="G425" s="730">
        <f>G405+G411</f>
        <v>0</v>
      </c>
    </row>
    <row r="426" spans="1:7" s="351" customFormat="1" ht="11.4" x14ac:dyDescent="0.2">
      <c r="A426" s="7" t="s">
        <v>6362</v>
      </c>
      <c r="B426" s="728" t="s">
        <v>6364</v>
      </c>
      <c r="C426" s="729">
        <f t="shared" si="81"/>
        <v>0</v>
      </c>
      <c r="D426" s="158"/>
      <c r="E426" s="731">
        <f>E417+E423</f>
        <v>0</v>
      </c>
      <c r="F426" s="731">
        <f>F417+F423</f>
        <v>0</v>
      </c>
      <c r="G426" s="731">
        <f>G417+G423</f>
        <v>0</v>
      </c>
    </row>
    <row r="427" spans="1:7" s="351" customFormat="1" ht="11.4" x14ac:dyDescent="0.2">
      <c r="A427" s="7" t="s">
        <v>6363</v>
      </c>
      <c r="B427" s="161" t="s">
        <v>6365</v>
      </c>
      <c r="C427" s="162">
        <f t="shared" si="81"/>
        <v>0</v>
      </c>
      <c r="D427" s="158"/>
      <c r="E427" s="144">
        <f>SUM(E425:E426)</f>
        <v>0</v>
      </c>
      <c r="F427" s="144">
        <f>SUM(F425:F426)</f>
        <v>0</v>
      </c>
      <c r="G427" s="144">
        <f>SUM(G425:G426)</f>
        <v>0</v>
      </c>
    </row>
  </sheetData>
  <conditionalFormatting sqref="E82:F83 E85:F86 E91:F94 E98:F101 E105:F108 E112:F115">
    <cfRule type="expression" dxfId="38" priority="56">
      <formula>E$80:G$80="SI"</formula>
    </cfRule>
  </conditionalFormatting>
  <conditionalFormatting sqref="E154:F155 E157:F158 E163:F165 E169:F171 E175:F177 E181:F183">
    <cfRule type="expression" dxfId="37" priority="68">
      <formula>E$152:G$152="SI"</formula>
    </cfRule>
  </conditionalFormatting>
  <conditionalFormatting sqref="E222:F223 E225:F226 E231:F232 E236:F237 E241:F242 E246:F247">
    <cfRule type="expression" dxfId="36" priority="80">
      <formula>E$220:G$220="SI"</formula>
    </cfRule>
  </conditionalFormatting>
  <conditionalFormatting sqref="E286:F287 E289:F290 E295:F295 E299:F299 E303:F303 E307:F307">
    <cfRule type="expression" dxfId="35" priority="92">
      <formula>E$284:G$284="SI"</formula>
    </cfRule>
  </conditionalFormatting>
  <conditionalFormatting sqref="E61:G61">
    <cfRule type="cellIs" dxfId="34" priority="12" operator="equal">
      <formula>"ok"</formula>
    </cfRule>
    <cfRule type="cellIs" dxfId="33" priority="13" operator="equal">
      <formula>"errore"</formula>
    </cfRule>
  </conditionalFormatting>
  <conditionalFormatting sqref="E80:G80">
    <cfRule type="cellIs" dxfId="32" priority="17" operator="equal">
      <formula>"-"</formula>
    </cfRule>
  </conditionalFormatting>
  <conditionalFormatting sqref="E133:G133">
    <cfRule type="cellIs" dxfId="31" priority="10" operator="equal">
      <formula>"ok"</formula>
    </cfRule>
    <cfRule type="cellIs" dxfId="30" priority="11" operator="equal">
      <formula>"errore"</formula>
    </cfRule>
  </conditionalFormatting>
  <conditionalFormatting sqref="E152:G152">
    <cfRule type="cellIs" dxfId="29" priority="16" operator="equal">
      <formula>"-"</formula>
    </cfRule>
  </conditionalFormatting>
  <conditionalFormatting sqref="E201:G201">
    <cfRule type="cellIs" dxfId="28" priority="8" operator="equal">
      <formula>"ok"</formula>
    </cfRule>
    <cfRule type="cellIs" dxfId="27" priority="9" operator="equal">
      <formula>"errore"</formula>
    </cfRule>
  </conditionalFormatting>
  <conditionalFormatting sqref="E220:G220">
    <cfRule type="cellIs" dxfId="26" priority="15" operator="equal">
      <formula>"-"</formula>
    </cfRule>
  </conditionalFormatting>
  <conditionalFormatting sqref="E265:G265">
    <cfRule type="cellIs" dxfId="25" priority="6" operator="equal">
      <formula>"ok"</formula>
    </cfRule>
    <cfRule type="cellIs" dxfId="24" priority="7" operator="equal">
      <formula>"errore"</formula>
    </cfRule>
  </conditionalFormatting>
  <conditionalFormatting sqref="E284:G284">
    <cfRule type="cellIs" dxfId="23" priority="14" operator="equal">
      <formula>"-"</formula>
    </cfRule>
  </conditionalFormatting>
  <conditionalFormatting sqref="G82:G83 G85:G86 G91:G94 G98:G101 G105:G108 G112:G115">
    <cfRule type="expression" dxfId="22" priority="4">
      <formula>G$80:H$80="SI"</formula>
    </cfRule>
  </conditionalFormatting>
  <conditionalFormatting sqref="G154:G155 G157:G158 G163:G165 G169:G171 G175:G177 G181:G183">
    <cfRule type="expression" dxfId="21" priority="3">
      <formula>G$152:H$152="SI"</formula>
    </cfRule>
  </conditionalFormatting>
  <conditionalFormatting sqref="G222:G223 G225:G226 G231:G232 G236:G237 G241:G242 G246:G247">
    <cfRule type="expression" dxfId="20" priority="2">
      <formula>G$220:H$220="SI"</formula>
    </cfRule>
  </conditionalFormatting>
  <conditionalFormatting sqref="G286:G287 G289:G290 G295 G299 G303 G307">
    <cfRule type="expression" dxfId="19" priority="1">
      <formula>G$284:H$284="SI"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133B09A-5C19-472C-913F-BC3BB06D4F13}">
          <x14:formula1>
            <xm:f>'Parametri MTR-3'!$C$21:$C$23</xm:f>
          </x14:formula1>
          <xm:sqref>E284:G284 E220:G220 E152:G152 E80:G80</xm:sqref>
        </x14:dataValidation>
      </x14:dataValidations>
    </ext>
  </extLst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DBAC3-EE82-49C4-8C10-0A9B3B3E0886}">
  <sheetPr codeName="Foglio41">
    <tabColor rgb="FFFFFFCC"/>
  </sheetPr>
  <dimension ref="A1:E45"/>
  <sheetViews>
    <sheetView showGridLines="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19" sqref="C19"/>
    </sheetView>
  </sheetViews>
  <sheetFormatPr defaultColWidth="9.109375" defaultRowHeight="10.199999999999999" outlineLevelRow="1" x14ac:dyDescent="0.2"/>
  <cols>
    <col min="1" max="1" width="19.5546875" style="51" customWidth="1"/>
    <col min="2" max="2" width="52.44140625" style="51" customWidth="1"/>
    <col min="3" max="3" width="11.5546875" style="51" bestFit="1" customWidth="1"/>
    <col min="4" max="4" width="12.5546875" style="51" bestFit="1" customWidth="1"/>
    <col min="5" max="5" width="8.5546875" style="51" bestFit="1" customWidth="1"/>
    <col min="6" max="16384" width="9.109375" style="51"/>
  </cols>
  <sheetData>
    <row r="1" spans="1:5" x14ac:dyDescent="0.2">
      <c r="B1" s="454" t="s">
        <v>6415</v>
      </c>
      <c r="C1" s="61"/>
      <c r="D1" s="61"/>
      <c r="E1" s="61"/>
    </row>
    <row r="2" spans="1:5" x14ac:dyDescent="0.2">
      <c r="C2" s="61"/>
      <c r="D2" s="61"/>
      <c r="E2" s="61"/>
    </row>
    <row r="3" spans="1:5" s="351" customFormat="1" ht="20.399999999999999" x14ac:dyDescent="0.3">
      <c r="B3" s="344"/>
      <c r="C3" s="344" t="str">
        <f>Ambiti!B4</f>
        <v>BUSTO ARSIZIO</v>
      </c>
      <c r="D3" s="344" t="str">
        <f>Ambiti!C4</f>
        <v>FAGNANO OLONA</v>
      </c>
      <c r="E3" s="344" t="str">
        <f>Ambiti!D4</f>
        <v>VENEGONO SUPERIORE</v>
      </c>
    </row>
    <row r="5" spans="1:5" x14ac:dyDescent="0.2">
      <c r="B5" s="454" t="s">
        <v>6761</v>
      </c>
    </row>
    <row r="6" spans="1:5" outlineLevel="1" x14ac:dyDescent="0.2">
      <c r="B6" s="79">
        <v>2026</v>
      </c>
    </row>
    <row r="7" spans="1:5" ht="11.4" outlineLevel="1" x14ac:dyDescent="0.25">
      <c r="A7" s="85" t="s">
        <v>6416</v>
      </c>
      <c r="B7" s="198" t="s">
        <v>6762</v>
      </c>
      <c r="C7" s="200">
        <v>103312</v>
      </c>
      <c r="D7" s="200">
        <v>0</v>
      </c>
      <c r="E7" s="200">
        <v>0</v>
      </c>
    </row>
    <row r="8" spans="1:5" ht="11.4" outlineLevel="1" x14ac:dyDescent="0.25">
      <c r="A8" s="85" t="s">
        <v>6417</v>
      </c>
      <c r="B8" s="199" t="s">
        <v>6763</v>
      </c>
      <c r="C8" s="201">
        <v>0</v>
      </c>
      <c r="D8" s="201">
        <v>0</v>
      </c>
      <c r="E8" s="201">
        <v>0</v>
      </c>
    </row>
    <row r="9" spans="1:5" ht="11.4" outlineLevel="1" x14ac:dyDescent="0.25">
      <c r="A9" s="85" t="s">
        <v>6424</v>
      </c>
      <c r="B9" s="445" t="s">
        <v>6764</v>
      </c>
      <c r="C9" s="844">
        <f>SUM(C7:C8)</f>
        <v>103312</v>
      </c>
      <c r="D9" s="844">
        <f>SUM(D7:D8)</f>
        <v>0</v>
      </c>
      <c r="E9" s="844">
        <f>SUM(E7:E8)</f>
        <v>0</v>
      </c>
    </row>
    <row r="10" spans="1:5" outlineLevel="1" x14ac:dyDescent="0.2"/>
    <row r="11" spans="1:5" outlineLevel="1" x14ac:dyDescent="0.2">
      <c r="B11" s="79">
        <v>2027</v>
      </c>
    </row>
    <row r="12" spans="1:5" ht="11.4" outlineLevel="1" x14ac:dyDescent="0.25">
      <c r="A12" s="85" t="s">
        <v>6418</v>
      </c>
      <c r="B12" s="198" t="s">
        <v>6765</v>
      </c>
      <c r="C12" s="200">
        <v>103312</v>
      </c>
      <c r="D12" s="200">
        <v>0</v>
      </c>
      <c r="E12" s="200">
        <v>0</v>
      </c>
    </row>
    <row r="13" spans="1:5" ht="11.4" outlineLevel="1" x14ac:dyDescent="0.25">
      <c r="A13" s="85" t="s">
        <v>6419</v>
      </c>
      <c r="B13" s="199" t="s">
        <v>6766</v>
      </c>
      <c r="C13" s="201">
        <v>0</v>
      </c>
      <c r="D13" s="201">
        <v>0</v>
      </c>
      <c r="E13" s="201">
        <v>0</v>
      </c>
    </row>
    <row r="14" spans="1:5" ht="11.4" outlineLevel="1" x14ac:dyDescent="0.25">
      <c r="A14" s="85" t="s">
        <v>6425</v>
      </c>
      <c r="B14" s="445" t="s">
        <v>6767</v>
      </c>
      <c r="C14" s="844">
        <f>SUM(C12:C13)</f>
        <v>103312</v>
      </c>
      <c r="D14" s="844">
        <f>SUM(D12:D13)</f>
        <v>0</v>
      </c>
      <c r="E14" s="844">
        <f>SUM(E12:E13)</f>
        <v>0</v>
      </c>
    </row>
    <row r="15" spans="1:5" outlineLevel="1" x14ac:dyDescent="0.2">
      <c r="A15" s="85"/>
      <c r="B15" s="82"/>
      <c r="C15" s="83"/>
      <c r="D15" s="83"/>
      <c r="E15" s="83"/>
    </row>
    <row r="16" spans="1:5" outlineLevel="1" x14ac:dyDescent="0.2">
      <c r="B16" s="79">
        <v>2028</v>
      </c>
    </row>
    <row r="17" spans="1:5" ht="11.4" outlineLevel="1" x14ac:dyDescent="0.25">
      <c r="A17" s="85" t="s">
        <v>6420</v>
      </c>
      <c r="B17" s="198" t="s">
        <v>6768</v>
      </c>
      <c r="C17" s="200">
        <v>103312</v>
      </c>
      <c r="D17" s="200">
        <v>0</v>
      </c>
      <c r="E17" s="200">
        <v>0</v>
      </c>
    </row>
    <row r="18" spans="1:5" ht="11.4" outlineLevel="1" x14ac:dyDescent="0.25">
      <c r="A18" s="85" t="s">
        <v>6421</v>
      </c>
      <c r="B18" s="199" t="s">
        <v>6769</v>
      </c>
      <c r="C18" s="201">
        <v>0</v>
      </c>
      <c r="D18" s="201">
        <v>0</v>
      </c>
      <c r="E18" s="201">
        <v>0</v>
      </c>
    </row>
    <row r="19" spans="1:5" ht="11.4" outlineLevel="1" x14ac:dyDescent="0.25">
      <c r="A19" s="85" t="s">
        <v>6426</v>
      </c>
      <c r="B19" s="445" t="s">
        <v>6770</v>
      </c>
      <c r="C19" s="844">
        <f>SUM(C17:C18)</f>
        <v>103312</v>
      </c>
      <c r="D19" s="844">
        <f>SUM(D17:D18)</f>
        <v>0</v>
      </c>
      <c r="E19" s="844">
        <f>SUM(E17:E18)</f>
        <v>0</v>
      </c>
    </row>
    <row r="20" spans="1:5" outlineLevel="1" x14ac:dyDescent="0.2"/>
    <row r="21" spans="1:5" outlineLevel="1" x14ac:dyDescent="0.2">
      <c r="B21" s="79">
        <v>2029</v>
      </c>
    </row>
    <row r="22" spans="1:5" ht="11.4" outlineLevel="1" x14ac:dyDescent="0.25">
      <c r="A22" s="85" t="s">
        <v>6422</v>
      </c>
      <c r="B22" s="198" t="s">
        <v>6771</v>
      </c>
      <c r="C22" s="200">
        <v>103312</v>
      </c>
      <c r="D22" s="200">
        <v>0</v>
      </c>
      <c r="E22" s="200">
        <v>0</v>
      </c>
    </row>
    <row r="23" spans="1:5" ht="11.4" outlineLevel="1" x14ac:dyDescent="0.25">
      <c r="A23" s="85" t="s">
        <v>6423</v>
      </c>
      <c r="B23" s="199" t="s">
        <v>6772</v>
      </c>
      <c r="C23" s="201">
        <v>0</v>
      </c>
      <c r="D23" s="201">
        <v>0</v>
      </c>
      <c r="E23" s="201">
        <v>0</v>
      </c>
    </row>
    <row r="24" spans="1:5" ht="11.4" outlineLevel="1" x14ac:dyDescent="0.25">
      <c r="A24" s="85" t="s">
        <v>6427</v>
      </c>
      <c r="B24" s="445" t="s">
        <v>6773</v>
      </c>
      <c r="C24" s="844">
        <f>SUM(C22:C23)</f>
        <v>103312</v>
      </c>
      <c r="D24" s="844">
        <f>SUM(D22:D23)</f>
        <v>0</v>
      </c>
      <c r="E24" s="844">
        <f>SUM(E22:E23)</f>
        <v>0</v>
      </c>
    </row>
    <row r="26" spans="1:5" x14ac:dyDescent="0.2">
      <c r="B26" s="454" t="s">
        <v>6429</v>
      </c>
    </row>
    <row r="27" spans="1:5" outlineLevel="1" x14ac:dyDescent="0.2">
      <c r="B27" s="79">
        <v>2026</v>
      </c>
    </row>
    <row r="28" spans="1:5" ht="11.4" outlineLevel="1" x14ac:dyDescent="0.25">
      <c r="A28" s="85" t="s">
        <v>6442</v>
      </c>
      <c r="B28" s="198" t="s">
        <v>6430</v>
      </c>
      <c r="C28" s="200">
        <v>0</v>
      </c>
      <c r="D28" s="200">
        <v>0</v>
      </c>
      <c r="E28" s="200">
        <v>0</v>
      </c>
    </row>
    <row r="29" spans="1:5" ht="11.4" outlineLevel="1" x14ac:dyDescent="0.25">
      <c r="A29" s="85" t="s">
        <v>6443</v>
      </c>
      <c r="B29" s="199" t="s">
        <v>6434</v>
      </c>
      <c r="C29" s="201">
        <v>0</v>
      </c>
      <c r="D29" s="201">
        <v>0</v>
      </c>
      <c r="E29" s="201">
        <v>0</v>
      </c>
    </row>
    <row r="30" spans="1:5" ht="11.4" outlineLevel="1" x14ac:dyDescent="0.25">
      <c r="A30" s="85" t="s">
        <v>6444</v>
      </c>
      <c r="B30" s="445" t="s">
        <v>6438</v>
      </c>
      <c r="C30" s="844">
        <f>SUM(C28:C29)</f>
        <v>0</v>
      </c>
      <c r="D30" s="844">
        <f>SUM(D28:D29)</f>
        <v>0</v>
      </c>
      <c r="E30" s="844">
        <f>SUM(E28:E29)</f>
        <v>0</v>
      </c>
    </row>
    <row r="31" spans="1:5" outlineLevel="1" x14ac:dyDescent="0.2"/>
    <row r="32" spans="1:5" outlineLevel="1" x14ac:dyDescent="0.2">
      <c r="B32" s="79">
        <v>2027</v>
      </c>
    </row>
    <row r="33" spans="1:5" ht="11.4" outlineLevel="1" x14ac:dyDescent="0.25">
      <c r="A33" s="85" t="s">
        <v>6445</v>
      </c>
      <c r="B33" s="198" t="s">
        <v>6431</v>
      </c>
      <c r="C33" s="200">
        <v>0</v>
      </c>
      <c r="D33" s="200">
        <v>0</v>
      </c>
      <c r="E33" s="200">
        <v>0</v>
      </c>
    </row>
    <row r="34" spans="1:5" ht="11.4" outlineLevel="1" x14ac:dyDescent="0.25">
      <c r="A34" s="85" t="s">
        <v>6446</v>
      </c>
      <c r="B34" s="199" t="s">
        <v>6435</v>
      </c>
      <c r="C34" s="201">
        <v>0</v>
      </c>
      <c r="D34" s="201">
        <v>0</v>
      </c>
      <c r="E34" s="201">
        <v>0</v>
      </c>
    </row>
    <row r="35" spans="1:5" ht="11.4" outlineLevel="1" x14ac:dyDescent="0.25">
      <c r="A35" s="85" t="s">
        <v>6447</v>
      </c>
      <c r="B35" s="445" t="s">
        <v>6439</v>
      </c>
      <c r="C35" s="844">
        <f>SUM(C33:C34)</f>
        <v>0</v>
      </c>
      <c r="D35" s="844">
        <f>SUM(D33:D34)</f>
        <v>0</v>
      </c>
      <c r="E35" s="844">
        <f>SUM(E33:E34)</f>
        <v>0</v>
      </c>
    </row>
    <row r="36" spans="1:5" outlineLevel="1" x14ac:dyDescent="0.2">
      <c r="A36" s="85"/>
      <c r="B36" s="82"/>
      <c r="C36" s="83"/>
      <c r="D36" s="83"/>
      <c r="E36" s="83"/>
    </row>
    <row r="37" spans="1:5" outlineLevel="1" x14ac:dyDescent="0.2">
      <c r="B37" s="79">
        <v>2028</v>
      </c>
    </row>
    <row r="38" spans="1:5" ht="11.4" outlineLevel="1" x14ac:dyDescent="0.25">
      <c r="A38" s="85" t="s">
        <v>6448</v>
      </c>
      <c r="B38" s="198" t="s">
        <v>6432</v>
      </c>
      <c r="C38" s="200">
        <v>0</v>
      </c>
      <c r="D38" s="200">
        <v>0</v>
      </c>
      <c r="E38" s="200">
        <v>0</v>
      </c>
    </row>
    <row r="39" spans="1:5" ht="11.4" outlineLevel="1" x14ac:dyDescent="0.25">
      <c r="A39" s="85" t="s">
        <v>6449</v>
      </c>
      <c r="B39" s="199" t="s">
        <v>6436</v>
      </c>
      <c r="C39" s="201">
        <v>0</v>
      </c>
      <c r="D39" s="201">
        <v>0</v>
      </c>
      <c r="E39" s="201">
        <v>0</v>
      </c>
    </row>
    <row r="40" spans="1:5" ht="11.4" outlineLevel="1" x14ac:dyDescent="0.25">
      <c r="A40" s="85" t="s">
        <v>6450</v>
      </c>
      <c r="B40" s="445" t="s">
        <v>6440</v>
      </c>
      <c r="C40" s="844">
        <f>SUM(C38:C39)</f>
        <v>0</v>
      </c>
      <c r="D40" s="844">
        <f>SUM(D38:D39)</f>
        <v>0</v>
      </c>
      <c r="E40" s="844">
        <f>SUM(E38:E39)</f>
        <v>0</v>
      </c>
    </row>
    <row r="41" spans="1:5" outlineLevel="1" x14ac:dyDescent="0.2"/>
    <row r="42" spans="1:5" outlineLevel="1" x14ac:dyDescent="0.2">
      <c r="B42" s="79">
        <v>2029</v>
      </c>
    </row>
    <row r="43" spans="1:5" ht="11.4" outlineLevel="1" x14ac:dyDescent="0.25">
      <c r="A43" s="85" t="s">
        <v>6451</v>
      </c>
      <c r="B43" s="198" t="s">
        <v>6433</v>
      </c>
      <c r="C43" s="200">
        <v>0</v>
      </c>
      <c r="D43" s="200">
        <v>0</v>
      </c>
      <c r="E43" s="200">
        <v>0</v>
      </c>
    </row>
    <row r="44" spans="1:5" ht="11.4" outlineLevel="1" x14ac:dyDescent="0.25">
      <c r="A44" s="85" t="s">
        <v>6452</v>
      </c>
      <c r="B44" s="199" t="s">
        <v>6437</v>
      </c>
      <c r="C44" s="201">
        <v>0</v>
      </c>
      <c r="D44" s="201">
        <v>0</v>
      </c>
      <c r="E44" s="201">
        <v>0</v>
      </c>
    </row>
    <row r="45" spans="1:5" ht="11.4" outlineLevel="1" x14ac:dyDescent="0.25">
      <c r="A45" s="85" t="s">
        <v>6453</v>
      </c>
      <c r="B45" s="445" t="s">
        <v>6441</v>
      </c>
      <c r="C45" s="844">
        <f>SUM(C43:C44)</f>
        <v>0</v>
      </c>
      <c r="D45" s="844">
        <f>SUM(D43:D44)</f>
        <v>0</v>
      </c>
      <c r="E45" s="844">
        <f>SUM(E43:E44)</f>
        <v>0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F76D5-67A2-43D4-A844-C71FEF64EB50}">
  <sheetPr codeName="Foglio34">
    <tabColor theme="4" tint="-0.499984740745262"/>
  </sheetPr>
  <dimension ref="A1:G22"/>
  <sheetViews>
    <sheetView showGridLines="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E11" sqref="E11"/>
    </sheetView>
  </sheetViews>
  <sheetFormatPr defaultColWidth="8.88671875" defaultRowHeight="10.199999999999999" x14ac:dyDescent="0.2"/>
  <cols>
    <col min="1" max="1" width="14" style="85" customWidth="1"/>
    <col min="2" max="2" width="54.6640625" style="51" customWidth="1"/>
    <col min="3" max="3" width="12.6640625" style="51" bestFit="1" customWidth="1"/>
    <col min="4" max="4" width="0.6640625" style="51" customWidth="1"/>
    <col min="5" max="5" width="11.5546875" style="51" bestFit="1" customWidth="1"/>
    <col min="6" max="6" width="12.5546875" style="51" bestFit="1" customWidth="1"/>
    <col min="7" max="7" width="8.5546875" style="51" bestFit="1" customWidth="1"/>
    <col min="8" max="16384" width="8.88671875" style="51"/>
  </cols>
  <sheetData>
    <row r="1" spans="1:7" x14ac:dyDescent="0.2">
      <c r="B1" s="1" t="s">
        <v>250</v>
      </c>
      <c r="C1" s="134"/>
      <c r="D1" s="134"/>
      <c r="E1" s="61"/>
      <c r="F1" s="61"/>
      <c r="G1" s="61"/>
    </row>
    <row r="2" spans="1:7" x14ac:dyDescent="0.2">
      <c r="B2" s="70"/>
      <c r="C2" s="5"/>
      <c r="D2" s="5"/>
      <c r="E2" s="61"/>
      <c r="F2" s="61"/>
      <c r="G2" s="61"/>
    </row>
    <row r="3" spans="1:7" s="351" customFormat="1" ht="20.399999999999999" x14ac:dyDescent="0.3">
      <c r="A3" s="350"/>
      <c r="B3" s="346"/>
      <c r="C3" s="347" t="s">
        <v>0</v>
      </c>
      <c r="D3" s="348"/>
      <c r="E3" s="344" t="str">
        <f>Ambiti!B4</f>
        <v>BUSTO ARSIZIO</v>
      </c>
      <c r="F3" s="344" t="str">
        <f>Ambiti!C4</f>
        <v>FAGNANO OLONA</v>
      </c>
      <c r="G3" s="349" t="str">
        <f>Ambiti!D4</f>
        <v>VENEGONO SUPERIORE</v>
      </c>
    </row>
    <row r="4" spans="1:7" x14ac:dyDescent="0.2">
      <c r="B4" s="72">
        <v>2026</v>
      </c>
    </row>
    <row r="5" spans="1:7" ht="11.4" x14ac:dyDescent="0.25">
      <c r="A5" s="85" t="s">
        <v>6041</v>
      </c>
      <c r="B5" s="209" t="s">
        <v>6507</v>
      </c>
      <c r="C5" s="210">
        <f>SUM(E5:AAA5)</f>
        <v>9035624.7360059675</v>
      </c>
      <c r="E5" s="210">
        <f>PEF_GEST_26!E$56</f>
        <v>7914332.885408367</v>
      </c>
      <c r="F5" s="210">
        <f>PEF_GEST_26!F$56</f>
        <v>1121291.8505976</v>
      </c>
      <c r="G5" s="210">
        <f>PEF_GEST_26!G$56</f>
        <v>0</v>
      </c>
    </row>
    <row r="6" spans="1:7" ht="11.4" x14ac:dyDescent="0.25">
      <c r="A6" s="85" t="s">
        <v>6043</v>
      </c>
      <c r="B6" s="211" t="s">
        <v>6508</v>
      </c>
      <c r="C6" s="212">
        <f t="shared" ref="C6:C7" si="0">SUM(E6:AAA6)</f>
        <v>7666727.8733342355</v>
      </c>
      <c r="E6" s="212">
        <f>PEF_GEST_26!E$76</f>
        <v>7531568.5899443226</v>
      </c>
      <c r="F6" s="212">
        <f>PEF_GEST_26!F$76</f>
        <v>135159.28338991333</v>
      </c>
      <c r="G6" s="212">
        <f>PEF_GEST_26!G$76</f>
        <v>0</v>
      </c>
    </row>
    <row r="7" spans="1:7" ht="11.4" x14ac:dyDescent="0.25">
      <c r="A7" s="85" t="s">
        <v>1516</v>
      </c>
      <c r="B7" s="335" t="s">
        <v>6509</v>
      </c>
      <c r="C7" s="336">
        <f t="shared" si="0"/>
        <v>16702352.609340202</v>
      </c>
      <c r="E7" s="336">
        <f>E5+E6</f>
        <v>15445901.47535269</v>
      </c>
      <c r="F7" s="336">
        <f>F5+F6</f>
        <v>1256451.1339875134</v>
      </c>
      <c r="G7" s="336">
        <f>G5+G6</f>
        <v>0</v>
      </c>
    </row>
    <row r="9" spans="1:7" x14ac:dyDescent="0.2">
      <c r="B9" s="72">
        <v>2027</v>
      </c>
    </row>
    <row r="10" spans="1:7" ht="11.4" x14ac:dyDescent="0.25">
      <c r="A10" s="85" t="s">
        <v>6105</v>
      </c>
      <c r="B10" s="209" t="s">
        <v>6512</v>
      </c>
      <c r="C10" s="210">
        <f t="shared" ref="C10:C12" si="1">SUM(E10:AAA10)</f>
        <v>10588004.451898372</v>
      </c>
      <c r="E10" s="210">
        <f>PEF_GEST_27!E$56</f>
        <v>8746298.9873807728</v>
      </c>
      <c r="F10" s="210">
        <f>PEF_GEST_27!F$56</f>
        <v>1121291.8505976</v>
      </c>
      <c r="G10" s="210">
        <f>PEF_GEST_27!G$56</f>
        <v>720413.61392000003</v>
      </c>
    </row>
    <row r="11" spans="1:7" ht="11.4" x14ac:dyDescent="0.25">
      <c r="A11" s="85" t="s">
        <v>6107</v>
      </c>
      <c r="B11" s="211" t="s">
        <v>6511</v>
      </c>
      <c r="C11" s="212">
        <f t="shared" si="1"/>
        <v>7902432.5896523157</v>
      </c>
      <c r="E11" s="212">
        <f>PEF_GEST_27!E$76</f>
        <v>7652796.8636533553</v>
      </c>
      <c r="F11" s="212">
        <f>PEF_GEST_27!F$76</f>
        <v>129706.70226632972</v>
      </c>
      <c r="G11" s="212">
        <f>PEF_GEST_27!G$76</f>
        <v>119929.02373263093</v>
      </c>
    </row>
    <row r="12" spans="1:7" ht="11.4" x14ac:dyDescent="0.25">
      <c r="A12" s="85" t="s">
        <v>1527</v>
      </c>
      <c r="B12" s="335" t="s">
        <v>6510</v>
      </c>
      <c r="C12" s="336">
        <f t="shared" si="1"/>
        <v>18490437.041550688</v>
      </c>
      <c r="E12" s="336">
        <f>E10+E11</f>
        <v>16399095.851034127</v>
      </c>
      <c r="F12" s="336">
        <f>F10+F11</f>
        <v>1250998.5528639297</v>
      </c>
      <c r="G12" s="336">
        <f>G10+G11</f>
        <v>840342.63765263092</v>
      </c>
    </row>
    <row r="14" spans="1:7" x14ac:dyDescent="0.2">
      <c r="B14" s="72">
        <v>2028</v>
      </c>
    </row>
    <row r="15" spans="1:7" ht="11.4" x14ac:dyDescent="0.25">
      <c r="A15" s="85" t="s">
        <v>6160</v>
      </c>
      <c r="B15" s="209" t="s">
        <v>6514</v>
      </c>
      <c r="C15" s="210">
        <f t="shared" ref="C15:C17" si="2">SUM(E15:AAA15)</f>
        <v>10094338.994965419</v>
      </c>
      <c r="E15" s="210">
        <f>PEF_GEST_28!E$56</f>
        <v>8252633.5304478202</v>
      </c>
      <c r="F15" s="210">
        <f>PEF_GEST_28!F$56</f>
        <v>1121291.8505976</v>
      </c>
      <c r="G15" s="210">
        <f>PEF_GEST_28!G$56</f>
        <v>720413.61392000003</v>
      </c>
    </row>
    <row r="16" spans="1:7" ht="11.4" x14ac:dyDescent="0.25">
      <c r="A16" s="85" t="s">
        <v>6163</v>
      </c>
      <c r="B16" s="211" t="s">
        <v>6515</v>
      </c>
      <c r="C16" s="212">
        <f t="shared" si="2"/>
        <v>7207729.0492472257</v>
      </c>
      <c r="E16" s="212">
        <f>PEF_GEST_28!E$76</f>
        <v>6964646.892502577</v>
      </c>
      <c r="F16" s="212">
        <f>PEF_GEST_28!F$76</f>
        <v>123153.1330120179</v>
      </c>
      <c r="G16" s="212">
        <f>PEF_GEST_28!G$76</f>
        <v>119929.02373263093</v>
      </c>
    </row>
    <row r="17" spans="1:7" ht="11.4" x14ac:dyDescent="0.25">
      <c r="A17" s="85" t="s">
        <v>1536</v>
      </c>
      <c r="B17" s="335" t="s">
        <v>6516</v>
      </c>
      <c r="C17" s="336">
        <f t="shared" si="2"/>
        <v>17302068.044212647</v>
      </c>
      <c r="E17" s="336">
        <f>E15+E16</f>
        <v>15217280.422950398</v>
      </c>
      <c r="F17" s="336">
        <f>F15+F16</f>
        <v>1244444.9836096179</v>
      </c>
      <c r="G17" s="336">
        <f>G15+G16</f>
        <v>840342.63765263092</v>
      </c>
    </row>
    <row r="19" spans="1:7" x14ac:dyDescent="0.2">
      <c r="B19" s="72">
        <v>2029</v>
      </c>
    </row>
    <row r="20" spans="1:7" ht="11.4" x14ac:dyDescent="0.25">
      <c r="A20" s="85" t="s">
        <v>6226</v>
      </c>
      <c r="B20" s="209" t="s">
        <v>6517</v>
      </c>
      <c r="C20" s="210">
        <f t="shared" ref="C20:C22" si="3">SUM(E20:AAA20)</f>
        <v>9756303.5952096004</v>
      </c>
      <c r="E20" s="210">
        <f>PEF_GEST_29!E$56</f>
        <v>7914598.1306920005</v>
      </c>
      <c r="F20" s="210">
        <f>PEF_GEST_29!F$56</f>
        <v>1121291.8505976</v>
      </c>
      <c r="G20" s="210">
        <f>PEF_GEST_29!G$56</f>
        <v>720413.61392000003</v>
      </c>
    </row>
    <row r="21" spans="1:7" ht="11.4" x14ac:dyDescent="0.25">
      <c r="A21" s="85" t="s">
        <v>6229</v>
      </c>
      <c r="B21" s="211" t="s">
        <v>6518</v>
      </c>
      <c r="C21" s="212">
        <f t="shared" si="3"/>
        <v>6476663.2082239753</v>
      </c>
      <c r="E21" s="212">
        <f>PEF_GEST_29!E$76</f>
        <v>6243898.0065433783</v>
      </c>
      <c r="F21" s="212">
        <f>PEF_GEST_29!F$76</f>
        <v>112836.17794796609</v>
      </c>
      <c r="G21" s="212">
        <f>PEF_GEST_29!G$76</f>
        <v>119929.02373263093</v>
      </c>
    </row>
    <row r="22" spans="1:7" ht="11.4" x14ac:dyDescent="0.25">
      <c r="A22" s="85" t="s">
        <v>6513</v>
      </c>
      <c r="B22" s="335" t="s">
        <v>6519</v>
      </c>
      <c r="C22" s="336">
        <f t="shared" si="3"/>
        <v>16232966.803433575</v>
      </c>
      <c r="E22" s="336">
        <f>E20+E21</f>
        <v>14158496.137235379</v>
      </c>
      <c r="F22" s="336">
        <f>F20+F21</f>
        <v>1234128.0285455661</v>
      </c>
      <c r="G22" s="336">
        <f>G20+G21</f>
        <v>840342.63765263092</v>
      </c>
    </row>
  </sheetData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8A63F-2FEB-4D6E-818A-4EC4B94F3771}">
  <sheetPr codeName="Foglio35">
    <tabColor rgb="FF92D050"/>
  </sheetPr>
  <dimension ref="A1:G22"/>
  <sheetViews>
    <sheetView showGridLines="0" workbookViewId="0">
      <pane xSplit="4" ySplit="3" topLeftCell="E4" activePane="bottomRight" state="frozen"/>
      <selection activeCell="G1" sqref="G1:XFD1048576"/>
      <selection pane="topRight" activeCell="G1" sqref="G1:XFD1048576"/>
      <selection pane="bottomLeft" activeCell="G1" sqref="G1:XFD1048576"/>
      <selection pane="bottomRight" activeCell="F10" sqref="F10"/>
    </sheetView>
  </sheetViews>
  <sheetFormatPr defaultColWidth="8.88671875" defaultRowHeight="10.199999999999999" x14ac:dyDescent="0.2"/>
  <cols>
    <col min="1" max="1" width="14" style="85" customWidth="1"/>
    <col min="2" max="2" width="54.6640625" style="51" customWidth="1"/>
    <col min="3" max="3" width="12.33203125" style="51" customWidth="1"/>
    <col min="4" max="4" width="0.6640625" style="51" customWidth="1"/>
    <col min="5" max="5" width="11.5546875" style="51" bestFit="1" customWidth="1"/>
    <col min="6" max="6" width="12.5546875" style="51" bestFit="1" customWidth="1"/>
    <col min="7" max="7" width="8.5546875" style="51" bestFit="1" customWidth="1"/>
    <col min="8" max="16384" width="8.88671875" style="51"/>
  </cols>
  <sheetData>
    <row r="1" spans="1:7" x14ac:dyDescent="0.2">
      <c r="B1" s="699" t="s">
        <v>252</v>
      </c>
      <c r="C1" s="134"/>
      <c r="D1" s="134"/>
      <c r="E1" s="61"/>
      <c r="F1" s="61"/>
      <c r="G1" s="61"/>
    </row>
    <row r="2" spans="1:7" x14ac:dyDescent="0.2">
      <c r="B2" s="70"/>
      <c r="C2" s="5"/>
      <c r="D2" s="5"/>
      <c r="E2" s="61"/>
      <c r="F2" s="61"/>
      <c r="G2" s="61"/>
    </row>
    <row r="3" spans="1:7" s="351" customFormat="1" ht="20.399999999999999" x14ac:dyDescent="0.3">
      <c r="A3" s="350"/>
      <c r="B3" s="854"/>
      <c r="C3" s="856" t="s">
        <v>0</v>
      </c>
      <c r="D3" s="348"/>
      <c r="E3" s="857" t="str">
        <f>Ambiti!B4</f>
        <v>BUSTO ARSIZIO</v>
      </c>
      <c r="F3" s="857" t="str">
        <f>Ambiti!C4</f>
        <v>FAGNANO OLONA</v>
      </c>
      <c r="G3" s="858" t="str">
        <f>Ambiti!D4</f>
        <v>VENEGONO SUPERIORE</v>
      </c>
    </row>
    <row r="4" spans="1:7" x14ac:dyDescent="0.2">
      <c r="B4" s="855">
        <v>2026</v>
      </c>
    </row>
    <row r="5" spans="1:7" ht="11.4" x14ac:dyDescent="0.25">
      <c r="A5" s="85" t="s">
        <v>6042</v>
      </c>
      <c r="B5" s="209" t="s">
        <v>6521</v>
      </c>
      <c r="C5" s="210">
        <f>SUM(E5:AAA5)</f>
        <v>0</v>
      </c>
      <c r="E5" s="210">
        <f>PEF_COM_26!E$56</f>
        <v>0</v>
      </c>
      <c r="F5" s="210">
        <f>PEF_COM_26!F$56</f>
        <v>0</v>
      </c>
      <c r="G5" s="210">
        <f>PEF_COM_26!G$56</f>
        <v>0</v>
      </c>
    </row>
    <row r="6" spans="1:7" ht="11.4" x14ac:dyDescent="0.25">
      <c r="A6" s="85" t="s">
        <v>6044</v>
      </c>
      <c r="B6" s="211" t="s">
        <v>6522</v>
      </c>
      <c r="C6" s="212">
        <f t="shared" ref="C6:C7" si="0">SUM(E6:AAA6)</f>
        <v>54149.194963047281</v>
      </c>
      <c r="E6" s="212">
        <f>PEF_COM_26!E$76</f>
        <v>0</v>
      </c>
      <c r="F6" s="212">
        <f>PEF_COM_26!F$76</f>
        <v>0</v>
      </c>
      <c r="G6" s="212">
        <f>PEF_COM_26!G$76</f>
        <v>54149.194963047281</v>
      </c>
    </row>
    <row r="7" spans="1:7" ht="11.4" x14ac:dyDescent="0.25">
      <c r="A7" s="85" t="s">
        <v>1517</v>
      </c>
      <c r="B7" s="335" t="s">
        <v>6523</v>
      </c>
      <c r="C7" s="336">
        <f t="shared" si="0"/>
        <v>54149.194963047281</v>
      </c>
      <c r="E7" s="336">
        <f>E5+E6</f>
        <v>0</v>
      </c>
      <c r="F7" s="336">
        <f>F5+F6</f>
        <v>0</v>
      </c>
      <c r="G7" s="336">
        <f>G5+G6</f>
        <v>54149.194963047281</v>
      </c>
    </row>
    <row r="9" spans="1:7" x14ac:dyDescent="0.2">
      <c r="B9" s="855">
        <v>2027</v>
      </c>
    </row>
    <row r="10" spans="1:7" ht="11.4" x14ac:dyDescent="0.25">
      <c r="A10" s="85" t="s">
        <v>6106</v>
      </c>
      <c r="B10" s="209" t="s">
        <v>6524</v>
      </c>
      <c r="C10" s="210">
        <f t="shared" ref="C10:C12" si="1">SUM(E10:AAA10)</f>
        <v>0</v>
      </c>
      <c r="E10" s="210">
        <f>PEF_COM_27!E$56</f>
        <v>0</v>
      </c>
      <c r="F10" s="210">
        <f>PEF_COM_27!F$56</f>
        <v>0</v>
      </c>
      <c r="G10" s="210">
        <f>PEF_COM_27!G$56</f>
        <v>0</v>
      </c>
    </row>
    <row r="11" spans="1:7" ht="11.4" x14ac:dyDescent="0.25">
      <c r="A11" s="85" t="s">
        <v>6108</v>
      </c>
      <c r="B11" s="211" t="s">
        <v>6525</v>
      </c>
      <c r="C11" s="212">
        <f t="shared" si="1"/>
        <v>52902.058472230645</v>
      </c>
      <c r="E11" s="212">
        <f>PEF_COM_27!E$76</f>
        <v>0</v>
      </c>
      <c r="F11" s="212">
        <f>PEF_COM_27!F$76</f>
        <v>0</v>
      </c>
      <c r="G11" s="212">
        <f>PEF_COM_27!G$76</f>
        <v>52902.058472230645</v>
      </c>
    </row>
    <row r="12" spans="1:7" ht="11.4" x14ac:dyDescent="0.25">
      <c r="A12" s="85" t="s">
        <v>1528</v>
      </c>
      <c r="B12" s="335" t="s">
        <v>6526</v>
      </c>
      <c r="C12" s="336">
        <f t="shared" si="1"/>
        <v>52902.058472230645</v>
      </c>
      <c r="E12" s="336">
        <f>E10+E11</f>
        <v>0</v>
      </c>
      <c r="F12" s="336">
        <f>F10+F11</f>
        <v>0</v>
      </c>
      <c r="G12" s="336">
        <f>G10+G11</f>
        <v>52902.058472230645</v>
      </c>
    </row>
    <row r="14" spans="1:7" x14ac:dyDescent="0.2">
      <c r="B14" s="855">
        <v>2028</v>
      </c>
    </row>
    <row r="15" spans="1:7" ht="11.4" x14ac:dyDescent="0.25">
      <c r="A15" s="85" t="s">
        <v>6161</v>
      </c>
      <c r="B15" s="209" t="s">
        <v>6527</v>
      </c>
      <c r="C15" s="210">
        <f t="shared" ref="C15:C17" si="2">SUM(E15:AAA15)</f>
        <v>0</v>
      </c>
      <c r="E15" s="210">
        <f>PEF_COM_28!E$56</f>
        <v>0</v>
      </c>
      <c r="F15" s="210">
        <f>PEF_COM_28!F$56</f>
        <v>0</v>
      </c>
      <c r="G15" s="210">
        <f>PEF_COM_28!G$56</f>
        <v>0</v>
      </c>
    </row>
    <row r="16" spans="1:7" ht="11.4" x14ac:dyDescent="0.25">
      <c r="A16" s="85" t="s">
        <v>6164</v>
      </c>
      <c r="B16" s="211" t="s">
        <v>6528</v>
      </c>
      <c r="C16" s="212">
        <f t="shared" si="2"/>
        <v>48623.568806579729</v>
      </c>
      <c r="E16" s="212">
        <f>PEF_COM_28!E$76</f>
        <v>0</v>
      </c>
      <c r="F16" s="212">
        <f>PEF_COM_28!F$76</f>
        <v>0</v>
      </c>
      <c r="G16" s="212">
        <f>PEF_COM_28!G$76</f>
        <v>48623.568806579729</v>
      </c>
    </row>
    <row r="17" spans="1:7" ht="11.4" x14ac:dyDescent="0.25">
      <c r="A17" s="85" t="s">
        <v>1537</v>
      </c>
      <c r="B17" s="335" t="s">
        <v>6529</v>
      </c>
      <c r="C17" s="336">
        <f t="shared" si="2"/>
        <v>48623.568806579729</v>
      </c>
      <c r="E17" s="336">
        <f>E15+E16</f>
        <v>0</v>
      </c>
      <c r="F17" s="336">
        <f>F15+F16</f>
        <v>0</v>
      </c>
      <c r="G17" s="336">
        <f>G15+G16</f>
        <v>48623.568806579729</v>
      </c>
    </row>
    <row r="19" spans="1:7" x14ac:dyDescent="0.2">
      <c r="B19" s="855">
        <v>2029</v>
      </c>
    </row>
    <row r="20" spans="1:7" ht="11.4" x14ac:dyDescent="0.25">
      <c r="A20" s="85" t="s">
        <v>6227</v>
      </c>
      <c r="B20" s="209" t="s">
        <v>6530</v>
      </c>
      <c r="C20" s="210">
        <f t="shared" ref="C20:C22" si="3">SUM(E20:AAA20)</f>
        <v>0</v>
      </c>
      <c r="E20" s="210">
        <f>PEF_COM_29!E$56</f>
        <v>0</v>
      </c>
      <c r="F20" s="210">
        <f>PEF_COM_29!F$56</f>
        <v>0</v>
      </c>
      <c r="G20" s="210">
        <f>PEF_COM_29!G$56</f>
        <v>0</v>
      </c>
    </row>
    <row r="21" spans="1:7" ht="11.4" x14ac:dyDescent="0.25">
      <c r="A21" s="85" t="s">
        <v>6230</v>
      </c>
      <c r="B21" s="211" t="s">
        <v>6531</v>
      </c>
      <c r="C21" s="212">
        <f t="shared" si="3"/>
        <v>45912.895766702641</v>
      </c>
      <c r="E21" s="212">
        <f>PEF_COM_29!E$76</f>
        <v>0</v>
      </c>
      <c r="F21" s="212">
        <f>PEF_COM_29!F$76</f>
        <v>0</v>
      </c>
      <c r="G21" s="212">
        <f>PEF_COM_29!G$76</f>
        <v>45912.895766702641</v>
      </c>
    </row>
    <row r="22" spans="1:7" ht="11.4" x14ac:dyDescent="0.25">
      <c r="A22" s="85" t="s">
        <v>6520</v>
      </c>
      <c r="B22" s="335" t="s">
        <v>6532</v>
      </c>
      <c r="C22" s="336">
        <f t="shared" si="3"/>
        <v>45912.895766702641</v>
      </c>
      <c r="E22" s="336">
        <f>E20+E21</f>
        <v>0</v>
      </c>
      <c r="F22" s="336">
        <f>F20+F21</f>
        <v>0</v>
      </c>
      <c r="G22" s="336">
        <f>G20+G21</f>
        <v>45912.895766702641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38511-0462-425C-AE3A-7DF42D26CC07}">
  <sheetPr codeName="Foglio3">
    <tabColor rgb="FFFFFFCC"/>
  </sheetPr>
  <dimension ref="A1:B12"/>
  <sheetViews>
    <sheetView showGridLines="0" workbookViewId="0">
      <selection activeCell="B12" sqref="B12"/>
    </sheetView>
  </sheetViews>
  <sheetFormatPr defaultColWidth="9.109375" defaultRowHeight="10.199999999999999" x14ac:dyDescent="0.2"/>
  <cols>
    <col min="1" max="1" width="31.109375" style="51" bestFit="1" customWidth="1"/>
    <col min="2" max="2" width="43.5546875" style="51" customWidth="1"/>
    <col min="3" max="16384" width="9.109375" style="51"/>
  </cols>
  <sheetData>
    <row r="1" spans="1:2" x14ac:dyDescent="0.2">
      <c r="A1" s="575" t="s">
        <v>280</v>
      </c>
      <c r="B1" s="560" t="s">
        <v>8762</v>
      </c>
    </row>
    <row r="3" spans="1:2" ht="20.399999999999999" x14ac:dyDescent="0.2">
      <c r="A3" s="576" t="s">
        <v>6748</v>
      </c>
      <c r="B3" s="560" t="s">
        <v>105</v>
      </c>
    </row>
    <row r="5" spans="1:2" x14ac:dyDescent="0.2">
      <c r="A5" s="575" t="s">
        <v>533</v>
      </c>
      <c r="B5" s="560" t="s">
        <v>8763</v>
      </c>
    </row>
    <row r="6" spans="1:2" x14ac:dyDescent="0.2">
      <c r="A6" s="575" t="s">
        <v>534</v>
      </c>
      <c r="B6" s="560" t="s">
        <v>8764</v>
      </c>
    </row>
    <row r="8" spans="1:2" x14ac:dyDescent="0.2">
      <c r="A8" s="1036" t="s">
        <v>8532</v>
      </c>
    </row>
    <row r="9" spans="1:2" x14ac:dyDescent="0.2">
      <c r="A9" s="1035" t="s">
        <v>8531</v>
      </c>
      <c r="B9" s="1059" t="s">
        <v>221</v>
      </c>
    </row>
    <row r="11" spans="1:2" x14ac:dyDescent="0.2">
      <c r="A11" s="1036" t="s">
        <v>8587</v>
      </c>
    </row>
    <row r="12" spans="1:2" x14ac:dyDescent="0.2">
      <c r="A12" s="1035" t="s">
        <v>8588</v>
      </c>
      <c r="B12" s="1059" t="s">
        <v>221</v>
      </c>
    </row>
  </sheetData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2FECCEA-B5CC-41CF-A72A-BF93E6F70405}">
          <x14:formula1>
            <xm:f>'Parametri MTR-3'!$C$33:$C$35</xm:f>
          </x14:formula1>
          <xm:sqref>B3</xm:sqref>
        </x14:dataValidation>
        <x14:dataValidation type="list" allowBlank="1" showInputMessage="1" showErrorMessage="1" xr:uid="{FE658C48-915E-437E-9922-30D1FC98B1D3}">
          <x14:formula1>
            <xm:f>'Parametri MTR-3'!$C$51:$C$52</xm:f>
          </x14:formula1>
          <xm:sqref>B9 B12</xm:sqref>
        </x14:dataValidation>
      </x14:dataValidations>
    </ext>
  </extLst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6C3F6-577A-4802-AEA9-0AC1D1C858F9}">
  <sheetPr codeName="Foglio37">
    <tabColor rgb="FF0070C0"/>
  </sheetPr>
  <dimension ref="A1:CA579"/>
  <sheetViews>
    <sheetView showGridLines="0" tabSelected="1" zoomScaleNormal="100" zoomScaleSheetLayoutView="80" workbookViewId="0">
      <pane xSplit="18" ySplit="5" topLeftCell="S6" activePane="bottomRight" state="frozen"/>
      <selection activeCell="N1" sqref="N1"/>
      <selection pane="topRight" activeCell="P1" sqref="P1"/>
      <selection pane="bottomLeft" activeCell="N6" sqref="N6"/>
      <selection pane="bottomRight" activeCell="W46" sqref="W46"/>
    </sheetView>
  </sheetViews>
  <sheetFormatPr defaultColWidth="9.88671875" defaultRowHeight="10.199999999999999" outlineLevelCol="1" x14ac:dyDescent="0.2"/>
  <cols>
    <col min="1" max="1" width="16.5546875" style="85" hidden="1" customWidth="1" outlineLevel="1"/>
    <col min="2" max="2" width="14.5546875" style="319" hidden="1" customWidth="1" outlineLevel="1"/>
    <col min="3" max="3" width="14.5546875" style="326" hidden="1" customWidth="1" outlineLevel="1"/>
    <col min="4" max="4" width="13.109375" style="85" hidden="1" customWidth="1" outlineLevel="1"/>
    <col min="5" max="5" width="14.5546875" style="319" hidden="1" customWidth="1" outlineLevel="1"/>
    <col min="6" max="6" width="14.5546875" style="326" hidden="1" customWidth="1" outlineLevel="1"/>
    <col min="7" max="7" width="13.109375" style="85" hidden="1" customWidth="1" outlineLevel="1"/>
    <col min="8" max="8" width="14.5546875" style="319" hidden="1" customWidth="1" outlineLevel="1"/>
    <col min="9" max="9" width="14.5546875" style="326" hidden="1" customWidth="1" outlineLevel="1"/>
    <col min="10" max="10" width="13.88671875" style="85" hidden="1" customWidth="1" outlineLevel="1"/>
    <col min="11" max="11" width="14.5546875" style="319" hidden="1" customWidth="1" outlineLevel="1"/>
    <col min="12" max="12" width="14.5546875" style="326" hidden="1" customWidth="1" outlineLevel="1"/>
    <col min="13" max="13" width="13.109375" style="85" hidden="1" customWidth="1" outlineLevel="1"/>
    <col min="14" max="14" width="14.5546875" style="319" hidden="1" customWidth="1" outlineLevel="1"/>
    <col min="15" max="15" width="14.5546875" style="326" hidden="1" customWidth="1" outlineLevel="1"/>
    <col min="16" max="16" width="13.109375" style="85" hidden="1" customWidth="1" outlineLevel="1"/>
    <col min="17" max="17" width="3.33203125" style="226" customWidth="1" collapsed="1"/>
    <col min="18" max="18" width="78" style="51" customWidth="1"/>
    <col min="19" max="19" width="0.88671875" style="51" customWidth="1"/>
    <col min="20" max="20" width="16.109375" style="51" bestFit="1" customWidth="1"/>
    <col min="21" max="22" width="11.44140625" style="51" bestFit="1" customWidth="1"/>
    <col min="23" max="23" width="16.109375" style="51" bestFit="1" customWidth="1"/>
    <col min="24" max="25" width="11.44140625" style="51" bestFit="1" customWidth="1"/>
    <col min="26" max="26" width="16.109375" style="51" customWidth="1" outlineLevel="1"/>
    <col min="27" max="27" width="11.44140625" style="51" customWidth="1" outlineLevel="1"/>
    <col min="28" max="28" width="12.6640625" style="51" bestFit="1" customWidth="1" outlineLevel="1"/>
    <col min="29" max="29" width="16.109375" style="51" customWidth="1" outlineLevel="1"/>
    <col min="30" max="30" width="11.44140625" style="51" customWidth="1" outlineLevel="1"/>
    <col min="31" max="31" width="12.6640625" style="51" bestFit="1" customWidth="1" outlineLevel="1"/>
    <col min="32" max="32" width="16.109375" style="51" customWidth="1" outlineLevel="1"/>
    <col min="33" max="33" width="11.44140625" style="51" customWidth="1" outlineLevel="1"/>
    <col min="34" max="34" width="11.33203125" style="51" customWidth="1" outlineLevel="1"/>
    <col min="35" max="35" width="4.44140625" style="226" customWidth="1"/>
    <col min="36" max="36" width="9.88671875" style="226" bestFit="1" customWidth="1"/>
    <col min="37" max="37" width="1.109375" style="226" customWidth="1"/>
    <col min="38" max="38" width="9.33203125" style="226" bestFit="1" customWidth="1"/>
    <col min="39" max="39" width="9" style="226" bestFit="1" customWidth="1"/>
    <col min="40" max="40" width="14.88671875" style="226" bestFit="1" customWidth="1"/>
    <col min="41" max="41" width="6.88671875" style="226" bestFit="1" customWidth="1"/>
    <col min="42" max="79" width="9.88671875" style="226"/>
    <col min="80" max="16384" width="9.88671875" style="51"/>
  </cols>
  <sheetData>
    <row r="1" spans="1:79" s="222" customFormat="1" ht="10.8" thickBot="1" x14ac:dyDescent="0.25">
      <c r="A1" s="304"/>
      <c r="B1" s="318"/>
      <c r="C1" s="325"/>
      <c r="D1" s="304"/>
      <c r="E1" s="318"/>
      <c r="F1" s="325"/>
      <c r="G1" s="304"/>
      <c r="H1" s="318"/>
      <c r="I1" s="325"/>
      <c r="J1" s="304"/>
      <c r="K1" s="318"/>
      <c r="L1" s="325"/>
      <c r="M1" s="304"/>
      <c r="N1" s="318"/>
      <c r="O1" s="325"/>
      <c r="P1" s="304"/>
      <c r="R1" s="303" t="s">
        <v>6367</v>
      </c>
      <c r="S1" s="223"/>
      <c r="T1" s="224"/>
      <c r="U1" s="224"/>
      <c r="V1" s="225"/>
      <c r="W1" s="224"/>
      <c r="X1" s="224"/>
      <c r="Y1" s="225"/>
      <c r="Z1" s="224"/>
      <c r="AA1" s="224"/>
      <c r="AB1" s="225"/>
      <c r="AC1" s="224"/>
      <c r="AD1" s="224"/>
      <c r="AE1" s="225"/>
      <c r="AF1" s="224"/>
      <c r="AG1" s="224"/>
      <c r="AH1" s="225"/>
    </row>
    <row r="2" spans="1:79" ht="11.4" thickTop="1" thickBot="1" x14ac:dyDescent="0.25">
      <c r="R2" s="226"/>
      <c r="S2" s="227"/>
      <c r="T2" s="228"/>
      <c r="U2" s="228"/>
      <c r="V2" s="229"/>
      <c r="W2" s="228"/>
      <c r="X2" s="228"/>
      <c r="Y2" s="229"/>
      <c r="Z2" s="228"/>
      <c r="AA2" s="228"/>
      <c r="AB2" s="229"/>
      <c r="AC2" s="228"/>
      <c r="AD2" s="228"/>
      <c r="AE2" s="229"/>
      <c r="AF2" s="228"/>
      <c r="AG2" s="228"/>
      <c r="AH2" s="229"/>
    </row>
    <row r="3" spans="1:79" ht="10.8" thickBot="1" x14ac:dyDescent="0.25">
      <c r="R3" s="226"/>
      <c r="S3" s="227"/>
      <c r="T3" s="1111">
        <v>2026</v>
      </c>
      <c r="U3" s="1112"/>
      <c r="V3" s="1113"/>
      <c r="W3" s="1111">
        <v>2027</v>
      </c>
      <c r="X3" s="1112"/>
      <c r="Y3" s="1113"/>
      <c r="Z3" s="1111">
        <v>2028</v>
      </c>
      <c r="AA3" s="1112"/>
      <c r="AB3" s="1113"/>
      <c r="AC3" s="1111">
        <v>2029</v>
      </c>
      <c r="AD3" s="1112"/>
      <c r="AE3" s="1113"/>
      <c r="AF3" s="1111" t="s">
        <v>5965</v>
      </c>
      <c r="AG3" s="1112"/>
      <c r="AH3" s="1113"/>
      <c r="AL3" s="238"/>
    </row>
    <row r="4" spans="1:79" ht="10.8" thickBot="1" x14ac:dyDescent="0.25">
      <c r="R4" s="230"/>
      <c r="S4" s="231"/>
      <c r="T4" s="1117" t="s">
        <v>8759</v>
      </c>
      <c r="U4" s="1118"/>
      <c r="V4" s="1119"/>
      <c r="W4" s="1114" t="str">
        <f>T4</f>
        <v>BUSTO ARSIZIO</v>
      </c>
      <c r="X4" s="1115"/>
      <c r="Y4" s="1116"/>
      <c r="Z4" s="1114" t="str">
        <f>T4</f>
        <v>BUSTO ARSIZIO</v>
      </c>
      <c r="AA4" s="1115"/>
      <c r="AB4" s="1116"/>
      <c r="AC4" s="1114" t="str">
        <f>T4</f>
        <v>BUSTO ARSIZIO</v>
      </c>
      <c r="AD4" s="1115"/>
      <c r="AE4" s="1116"/>
      <c r="AF4" s="1114" t="str">
        <f>W4</f>
        <v>BUSTO ARSIZIO</v>
      </c>
      <c r="AG4" s="1115"/>
      <c r="AH4" s="1116"/>
    </row>
    <row r="5" spans="1:79" ht="30.6" x14ac:dyDescent="0.2">
      <c r="A5" s="317" t="s">
        <v>247</v>
      </c>
      <c r="B5" s="310" t="s">
        <v>6398</v>
      </c>
      <c r="C5" s="311" t="s">
        <v>6399</v>
      </c>
      <c r="D5" s="312" t="s">
        <v>6400</v>
      </c>
      <c r="E5" s="310" t="s">
        <v>6401</v>
      </c>
      <c r="F5" s="311" t="s">
        <v>6402</v>
      </c>
      <c r="G5" s="312" t="s">
        <v>6403</v>
      </c>
      <c r="H5" s="310" t="s">
        <v>6404</v>
      </c>
      <c r="I5" s="311" t="s">
        <v>6405</v>
      </c>
      <c r="J5" s="312" t="s">
        <v>6406</v>
      </c>
      <c r="K5" s="310" t="s">
        <v>6407</v>
      </c>
      <c r="L5" s="311" t="s">
        <v>6408</v>
      </c>
      <c r="M5" s="312" t="s">
        <v>6409</v>
      </c>
      <c r="N5" s="310" t="s">
        <v>6969</v>
      </c>
      <c r="O5" s="311" t="s">
        <v>6970</v>
      </c>
      <c r="P5" s="312" t="s">
        <v>6971</v>
      </c>
      <c r="R5" s="232"/>
      <c r="S5" s="233"/>
      <c r="T5" s="269" t="s">
        <v>106</v>
      </c>
      <c r="U5" s="234" t="s">
        <v>107</v>
      </c>
      <c r="V5" s="270" t="s">
        <v>108</v>
      </c>
      <c r="W5" s="269" t="s">
        <v>106</v>
      </c>
      <c r="X5" s="234" t="s">
        <v>107</v>
      </c>
      <c r="Y5" s="270" t="s">
        <v>108</v>
      </c>
      <c r="Z5" s="269" t="s">
        <v>106</v>
      </c>
      <c r="AA5" s="234" t="s">
        <v>107</v>
      </c>
      <c r="AB5" s="270" t="s">
        <v>108</v>
      </c>
      <c r="AC5" s="269" t="s">
        <v>106</v>
      </c>
      <c r="AD5" s="234" t="s">
        <v>107</v>
      </c>
      <c r="AE5" s="270" t="s">
        <v>108</v>
      </c>
      <c r="AF5" s="269" t="s">
        <v>106</v>
      </c>
      <c r="AG5" s="234" t="s">
        <v>107</v>
      </c>
      <c r="AH5" s="270" t="s">
        <v>108</v>
      </c>
      <c r="AJ5" s="1075" t="s">
        <v>8746</v>
      </c>
      <c r="AL5" s="1097" t="s">
        <v>8809</v>
      </c>
      <c r="AM5" s="1075" t="s">
        <v>8805</v>
      </c>
      <c r="CA5" s="51"/>
    </row>
    <row r="6" spans="1:79" x14ac:dyDescent="0.2">
      <c r="A6" s="313" t="s">
        <v>248</v>
      </c>
      <c r="B6" s="320" t="s">
        <v>3113</v>
      </c>
      <c r="C6" s="327" t="s">
        <v>3116</v>
      </c>
      <c r="D6" s="306" t="s">
        <v>105</v>
      </c>
      <c r="E6" s="320" t="s">
        <v>3270</v>
      </c>
      <c r="F6" s="327" t="s">
        <v>3273</v>
      </c>
      <c r="G6" s="306" t="s">
        <v>105</v>
      </c>
      <c r="H6" s="320" t="s">
        <v>4054</v>
      </c>
      <c r="I6" s="327" t="s">
        <v>4057</v>
      </c>
      <c r="J6" s="306" t="s">
        <v>105</v>
      </c>
      <c r="K6" s="320" t="s">
        <v>4259</v>
      </c>
      <c r="L6" s="327" t="s">
        <v>4262</v>
      </c>
      <c r="M6" s="306" t="s">
        <v>105</v>
      </c>
      <c r="N6" s="320" t="s">
        <v>105</v>
      </c>
      <c r="O6" s="327" t="s">
        <v>105</v>
      </c>
      <c r="P6" s="306" t="s">
        <v>105</v>
      </c>
      <c r="R6" s="732" t="s">
        <v>1</v>
      </c>
      <c r="S6" s="231"/>
      <c r="T6" s="781">
        <f>INDEX(PEF_GEST_26!$A$3:$AAA$102,MATCH(B6,PEF_GEST_26!$A$3:$A$102,0),MATCH($T$4,PEF_GEST_26!$A$3:$AAA$3,0))</f>
        <v>1177705.7897880001</v>
      </c>
      <c r="U6" s="782">
        <f>INDEX(PEF_COM_26!$A$3:$AAA$102,MATCH(C6,PEF_COM_26!$A$3:$A$102,0),MATCH($T$4,PEF_COM_26!$A$3:$AAA$3,0))</f>
        <v>0</v>
      </c>
      <c r="V6" s="783">
        <f>T6+U6</f>
        <v>1177705.7897880001</v>
      </c>
      <c r="W6" s="781">
        <f>INDEX(PEF_GEST_27!$A$3:$AAA$102,MATCH(E6,PEF_GEST_27!$A$3:$A$102,0),MATCH($T$4,PEF_GEST_27!$A$3:$AAA$3,0))</f>
        <v>1157506.4023600002</v>
      </c>
      <c r="X6" s="782">
        <f>INDEX(PEF_COM_27!$A$3:$AAA$102,MATCH(F6,PEF_COM_27!$A$3:$A$102,0),MATCH($T$4,PEF_COM_27!$A$3:$AAA$3,0))</f>
        <v>0</v>
      </c>
      <c r="Y6" s="783">
        <f>W6+X6</f>
        <v>1157506.4023600002</v>
      </c>
      <c r="Z6" s="781">
        <f>INDEX(PEF_GEST_28!$A$3:$AAA$102,MATCH(H6,PEF_GEST_28!$A$3:$A$102,0),MATCH($T$4,PEF_GEST_28!$A$3:$AAA$3,0))</f>
        <v>1157506.4023600002</v>
      </c>
      <c r="AA6" s="782">
        <f>INDEX(PEF_COM_28!$A$3:$AAA$102,MATCH(I6,PEF_COM_28!$A$3:$A$102,0),MATCH($T$4,PEF_COM_28!$A$3:$AAA$3,0))</f>
        <v>0</v>
      </c>
      <c r="AB6" s="783">
        <f>Z6+AA6</f>
        <v>1157506.4023600002</v>
      </c>
      <c r="AC6" s="781">
        <f>INDEX(PEF_GEST_29!$A$3:$AAA$102,MATCH(K6,PEF_GEST_29!$A$3:$A$102,0),MATCH($T$4,PEF_GEST_29!$A$3:$AAA$3,0))</f>
        <v>1157506.4023600002</v>
      </c>
      <c r="AD6" s="782">
        <f>INDEX(PEF_COM_29!$A$3:$AAA$102,MATCH(L6,PEF_COM_29!$A$3:$A$102,0),MATCH($T$4,PEF_COM_29!$A$3:$AAA$3,0))</f>
        <v>0</v>
      </c>
      <c r="AE6" s="783">
        <f>AC6+AD6</f>
        <v>1157506.4023600002</v>
      </c>
      <c r="AF6" s="957"/>
      <c r="AG6" s="958"/>
      <c r="AH6" s="959"/>
      <c r="AJ6" s="1076">
        <f>W6-T6</f>
        <v>-20199.387427999871</v>
      </c>
      <c r="AL6" s="1076">
        <v>2089090.6774496003</v>
      </c>
      <c r="AM6" s="1076">
        <f>T6-AL6</f>
        <v>-911384.88766160025</v>
      </c>
      <c r="CA6" s="51"/>
    </row>
    <row r="7" spans="1:79" x14ac:dyDescent="0.2">
      <c r="A7" s="313" t="s">
        <v>248</v>
      </c>
      <c r="B7" s="320" t="s">
        <v>3119</v>
      </c>
      <c r="C7" s="327" t="s">
        <v>3122</v>
      </c>
      <c r="D7" s="306" t="s">
        <v>105</v>
      </c>
      <c r="E7" s="320" t="s">
        <v>3276</v>
      </c>
      <c r="F7" s="327" t="s">
        <v>3279</v>
      </c>
      <c r="G7" s="306" t="s">
        <v>105</v>
      </c>
      <c r="H7" s="320" t="s">
        <v>4060</v>
      </c>
      <c r="I7" s="327" t="s">
        <v>4063</v>
      </c>
      <c r="J7" s="306" t="s">
        <v>105</v>
      </c>
      <c r="K7" s="320" t="s">
        <v>4265</v>
      </c>
      <c r="L7" s="327" t="s">
        <v>4268</v>
      </c>
      <c r="M7" s="306" t="s">
        <v>105</v>
      </c>
      <c r="N7" s="320" t="s">
        <v>105</v>
      </c>
      <c r="O7" s="327" t="s">
        <v>105</v>
      </c>
      <c r="P7" s="306" t="s">
        <v>105</v>
      </c>
      <c r="R7" s="732" t="s">
        <v>3</v>
      </c>
      <c r="S7" s="231"/>
      <c r="T7" s="781">
        <f>INDEX(PEF_GEST_26!$A$3:$AAA$102,MATCH(B7,PEF_GEST_26!$A$3:$A$102,0),MATCH($T$4,PEF_GEST_26!$A$3:$AAA$3,0))</f>
        <v>0</v>
      </c>
      <c r="U7" s="782">
        <f>INDEX(PEF_COM_26!$A$3:$AAA$102,MATCH(C7,PEF_COM_26!$A$3:$A$102,0),MATCH($T$4,PEF_COM_26!$A$3:$AAA$3,0))</f>
        <v>0</v>
      </c>
      <c r="V7" s="783">
        <f t="shared" ref="V7:V22" si="0">T7+U7</f>
        <v>0</v>
      </c>
      <c r="W7" s="781">
        <f>INDEX(PEF_GEST_27!$A$3:$AAA$102,MATCH(E7,PEF_GEST_27!$A$3:$A$102,0),MATCH($T$4,PEF_GEST_27!$A$3:$AAA$3,0))</f>
        <v>0</v>
      </c>
      <c r="X7" s="782">
        <f>INDEX(PEF_COM_27!$A$3:$AAA$102,MATCH(F7,PEF_COM_27!$A$3:$A$102,0),MATCH($T$4,PEF_COM_27!$A$3:$AAA$3,0))</f>
        <v>0</v>
      </c>
      <c r="Y7" s="783">
        <f t="shared" ref="Y7:Y22" si="1">W7+X7</f>
        <v>0</v>
      </c>
      <c r="Z7" s="781">
        <f>INDEX(PEF_GEST_28!$A$3:$AAA$102,MATCH(H7,PEF_GEST_28!$A$3:$A$102,0),MATCH($T$4,PEF_GEST_28!$A$3:$AAA$3,0))</f>
        <v>0</v>
      </c>
      <c r="AA7" s="782">
        <f>INDEX(PEF_COM_28!$A$3:$AAA$102,MATCH(I7,PEF_COM_28!$A$3:$A$102,0),MATCH($T$4,PEF_COM_28!$A$3:$AAA$3,0))</f>
        <v>0</v>
      </c>
      <c r="AB7" s="783">
        <f t="shared" ref="AB7:AB22" si="2">Z7+AA7</f>
        <v>0</v>
      </c>
      <c r="AC7" s="781">
        <f>INDEX(PEF_GEST_29!$A$3:$AAA$102,MATCH(K7,PEF_GEST_29!$A$3:$A$102,0),MATCH($T$4,PEF_GEST_29!$A$3:$AAA$3,0))</f>
        <v>0</v>
      </c>
      <c r="AD7" s="782">
        <f>INDEX(PEF_COM_29!$A$3:$AAA$102,MATCH(L7,PEF_COM_29!$A$3:$A$102,0),MATCH($T$4,PEF_COM_29!$A$3:$AAA$3,0))</f>
        <v>0</v>
      </c>
      <c r="AE7" s="783">
        <f t="shared" ref="AE7:AE22" si="3">AC7+AD7</f>
        <v>0</v>
      </c>
      <c r="AF7" s="960"/>
      <c r="AG7" s="961"/>
      <c r="AH7" s="962"/>
      <c r="AJ7" s="1076">
        <f t="shared" ref="AJ7:AJ21" si="4">W7-T7</f>
        <v>0</v>
      </c>
      <c r="AL7" s="1076">
        <v>3417553.1024800004</v>
      </c>
      <c r="AM7" s="1076">
        <f t="shared" ref="AM7:AM23" si="5">T7-AL7</f>
        <v>-3417553.1024800004</v>
      </c>
      <c r="CA7" s="51"/>
    </row>
    <row r="8" spans="1:79" x14ac:dyDescent="0.2">
      <c r="A8" s="313" t="s">
        <v>248</v>
      </c>
      <c r="B8" s="320" t="s">
        <v>3125</v>
      </c>
      <c r="C8" s="327" t="s">
        <v>3128</v>
      </c>
      <c r="D8" s="306" t="s">
        <v>105</v>
      </c>
      <c r="E8" s="320" t="s">
        <v>3282</v>
      </c>
      <c r="F8" s="327" t="s">
        <v>3285</v>
      </c>
      <c r="G8" s="306" t="s">
        <v>105</v>
      </c>
      <c r="H8" s="320" t="s">
        <v>4066</v>
      </c>
      <c r="I8" s="327" t="s">
        <v>4069</v>
      </c>
      <c r="J8" s="306" t="s">
        <v>105</v>
      </c>
      <c r="K8" s="320" t="s">
        <v>4271</v>
      </c>
      <c r="L8" s="327" t="s">
        <v>4274</v>
      </c>
      <c r="M8" s="306" t="s">
        <v>105</v>
      </c>
      <c r="N8" s="320" t="s">
        <v>105</v>
      </c>
      <c r="O8" s="327" t="s">
        <v>105</v>
      </c>
      <c r="P8" s="306" t="s">
        <v>105</v>
      </c>
      <c r="R8" s="732" t="s">
        <v>4</v>
      </c>
      <c r="S8" s="231"/>
      <c r="T8" s="781">
        <f>INDEX(PEF_GEST_26!$A$3:$AAA$102,MATCH(B8,PEF_GEST_26!$A$3:$A$102,0),MATCH($T$4,PEF_GEST_26!$A$3:$AAA$3,0))</f>
        <v>3216365.3281056001</v>
      </c>
      <c r="U8" s="782">
        <f>INDEX(PEF_COM_26!$A$3:$AAA$102,MATCH(C8,PEF_COM_26!$A$3:$A$102,0),MATCH($T$4,PEF_COM_26!$A$3:$AAA$3,0))</f>
        <v>0</v>
      </c>
      <c r="V8" s="783">
        <f t="shared" si="0"/>
        <v>3216365.3281056001</v>
      </c>
      <c r="W8" s="781">
        <f>INDEX(PEF_GEST_27!$A$3:$AAA$102,MATCH(E8,PEF_GEST_27!$A$3:$A$102,0),MATCH($T$4,PEF_GEST_27!$A$3:$AAA$3,0))</f>
        <v>2683893.7774</v>
      </c>
      <c r="X8" s="782">
        <f>INDEX(PEF_COM_27!$A$3:$AAA$102,MATCH(F8,PEF_COM_27!$A$3:$A$102,0),MATCH($T$4,PEF_COM_27!$A$3:$AAA$3,0))</f>
        <v>0</v>
      </c>
      <c r="Y8" s="783">
        <f t="shared" si="1"/>
        <v>2683893.7774</v>
      </c>
      <c r="Z8" s="781">
        <f>INDEX(PEF_GEST_28!$A$3:$AAA$102,MATCH(H8,PEF_GEST_28!$A$3:$A$102,0),MATCH($T$4,PEF_GEST_28!$A$3:$AAA$3,0))</f>
        <v>2683893.7774</v>
      </c>
      <c r="AA8" s="782">
        <f>INDEX(PEF_COM_28!$A$3:$AAA$102,MATCH(I8,PEF_COM_28!$A$3:$A$102,0),MATCH($T$4,PEF_COM_28!$A$3:$AAA$3,0))</f>
        <v>0</v>
      </c>
      <c r="AB8" s="783">
        <f t="shared" si="2"/>
        <v>2683893.7774</v>
      </c>
      <c r="AC8" s="781">
        <f>INDEX(PEF_GEST_29!$A$3:$AAA$102,MATCH(K8,PEF_GEST_29!$A$3:$A$102,0),MATCH($T$4,PEF_GEST_29!$A$3:$AAA$3,0))</f>
        <v>2683893.7774</v>
      </c>
      <c r="AD8" s="782">
        <f>INDEX(PEF_COM_29!$A$3:$AAA$102,MATCH(L8,PEF_COM_29!$A$3:$A$102,0),MATCH($T$4,PEF_COM_29!$A$3:$AAA$3,0))</f>
        <v>0</v>
      </c>
      <c r="AE8" s="783">
        <f t="shared" si="3"/>
        <v>2683893.7774</v>
      </c>
      <c r="AF8" s="960"/>
      <c r="AG8" s="961"/>
      <c r="AH8" s="962"/>
      <c r="AJ8" s="1076">
        <f t="shared" si="4"/>
        <v>-532471.55070560006</v>
      </c>
      <c r="AL8" s="1076">
        <v>0</v>
      </c>
      <c r="AM8" s="1076">
        <f t="shared" si="5"/>
        <v>3216365.3281056001</v>
      </c>
      <c r="CA8" s="51"/>
    </row>
    <row r="9" spans="1:79" x14ac:dyDescent="0.2">
      <c r="A9" s="313" t="s">
        <v>248</v>
      </c>
      <c r="B9" s="320" t="s">
        <v>3131</v>
      </c>
      <c r="C9" s="327" t="s">
        <v>3134</v>
      </c>
      <c r="D9" s="306" t="s">
        <v>105</v>
      </c>
      <c r="E9" s="320" t="s">
        <v>3288</v>
      </c>
      <c r="F9" s="327" t="s">
        <v>3291</v>
      </c>
      <c r="G9" s="306" t="s">
        <v>105</v>
      </c>
      <c r="H9" s="320" t="s">
        <v>4072</v>
      </c>
      <c r="I9" s="327" t="s">
        <v>4075</v>
      </c>
      <c r="J9" s="306" t="s">
        <v>105</v>
      </c>
      <c r="K9" s="320" t="s">
        <v>4277</v>
      </c>
      <c r="L9" s="327" t="s">
        <v>4280</v>
      </c>
      <c r="M9" s="306" t="s">
        <v>105</v>
      </c>
      <c r="N9" s="320" t="s">
        <v>105</v>
      </c>
      <c r="O9" s="327" t="s">
        <v>105</v>
      </c>
      <c r="P9" s="306" t="s">
        <v>105</v>
      </c>
      <c r="R9" s="732" t="s">
        <v>5</v>
      </c>
      <c r="S9" s="231"/>
      <c r="T9" s="781">
        <f>INDEX(PEF_GEST_26!$A$3:$AAA$102,MATCH(B9,PEF_GEST_26!$A$3:$A$102,0),MATCH($T$4,PEF_GEST_26!$A$3:$AAA$3,0))</f>
        <v>4395004.8099407991</v>
      </c>
      <c r="U9" s="782">
        <f>INDEX(PEF_COM_26!$A$3:$AAA$102,MATCH(C9,PEF_COM_26!$A$3:$A$102,0),MATCH($T$4,PEF_COM_26!$A$3:$AAA$3,0))</f>
        <v>0</v>
      </c>
      <c r="V9" s="783">
        <f t="shared" si="0"/>
        <v>4395004.8099407991</v>
      </c>
      <c r="W9" s="781">
        <f>INDEX(PEF_GEST_27!$A$3:$AAA$102,MATCH(E9,PEF_GEST_27!$A$3:$A$102,0),MATCH($T$4,PEF_GEST_27!$A$3:$AAA$3,0))</f>
        <v>5088469.7256800001</v>
      </c>
      <c r="X9" s="782">
        <f>INDEX(PEF_COM_27!$A$3:$AAA$102,MATCH(F9,PEF_COM_27!$A$3:$A$102,0),MATCH($T$4,PEF_COM_27!$A$3:$AAA$3,0))</f>
        <v>0</v>
      </c>
      <c r="Y9" s="783">
        <f t="shared" si="1"/>
        <v>5088469.7256800001</v>
      </c>
      <c r="Z9" s="781">
        <f>INDEX(PEF_GEST_28!$A$3:$AAA$102,MATCH(H9,PEF_GEST_28!$A$3:$A$102,0),MATCH($T$4,PEF_GEST_28!$A$3:$AAA$3,0))</f>
        <v>5088469.7256800001</v>
      </c>
      <c r="AA9" s="782">
        <f>INDEX(PEF_COM_28!$A$3:$AAA$102,MATCH(I9,PEF_COM_28!$A$3:$A$102,0),MATCH($T$4,PEF_COM_28!$A$3:$AAA$3,0))</f>
        <v>0</v>
      </c>
      <c r="AB9" s="783">
        <f t="shared" si="2"/>
        <v>5088469.7256800001</v>
      </c>
      <c r="AC9" s="781">
        <f>INDEX(PEF_GEST_29!$A$3:$AAA$102,MATCH(K9,PEF_GEST_29!$A$3:$A$102,0),MATCH($T$4,PEF_GEST_29!$A$3:$AAA$3,0))</f>
        <v>5088469.7256800001</v>
      </c>
      <c r="AD9" s="782">
        <f>INDEX(PEF_COM_29!$A$3:$AAA$102,MATCH(L9,PEF_COM_29!$A$3:$A$102,0),MATCH($T$4,PEF_COM_29!$A$3:$AAA$3,0))</f>
        <v>0</v>
      </c>
      <c r="AE9" s="783">
        <f t="shared" si="3"/>
        <v>5088469.7256800001</v>
      </c>
      <c r="AF9" s="960"/>
      <c r="AG9" s="961"/>
      <c r="AH9" s="962"/>
      <c r="AJ9" s="1076">
        <f t="shared" si="4"/>
        <v>693464.91573920101</v>
      </c>
      <c r="AL9" s="1076">
        <v>4231428.1819039993</v>
      </c>
      <c r="AM9" s="1076">
        <f t="shared" si="5"/>
        <v>163576.62803679984</v>
      </c>
      <c r="CA9" s="51"/>
    </row>
    <row r="10" spans="1:79" ht="11.4" x14ac:dyDescent="0.2">
      <c r="A10" s="313" t="s">
        <v>248</v>
      </c>
      <c r="B10" s="320" t="s">
        <v>2491</v>
      </c>
      <c r="C10" s="327" t="s">
        <v>2492</v>
      </c>
      <c r="D10" s="306" t="s">
        <v>105</v>
      </c>
      <c r="E10" s="320" t="s">
        <v>2494</v>
      </c>
      <c r="F10" s="327" t="s">
        <v>2495</v>
      </c>
      <c r="G10" s="306" t="s">
        <v>105</v>
      </c>
      <c r="H10" s="320" t="s">
        <v>2497</v>
      </c>
      <c r="I10" s="327" t="s">
        <v>2498</v>
      </c>
      <c r="J10" s="306" t="s">
        <v>105</v>
      </c>
      <c r="K10" s="320" t="s">
        <v>2500</v>
      </c>
      <c r="L10" s="327" t="s">
        <v>2501</v>
      </c>
      <c r="M10" s="306" t="s">
        <v>105</v>
      </c>
      <c r="N10" s="320" t="s">
        <v>105</v>
      </c>
      <c r="O10" s="327" t="s">
        <v>105</v>
      </c>
      <c r="P10" s="306" t="s">
        <v>105</v>
      </c>
      <c r="R10" s="732" t="s">
        <v>5438</v>
      </c>
      <c r="S10" s="231"/>
      <c r="T10" s="781">
        <f>INDEX(PEF_GEST_26!$A$3:$AAA$102,MATCH(B10,PEF_GEST_26!$A$3:$A$102,0),MATCH($T$4,PEF_GEST_26!$A$3:$AAA$3,0))</f>
        <v>0</v>
      </c>
      <c r="U10" s="782">
        <f>INDEX(PEF_COM_26!$A$3:$AAA$102,MATCH(C10,PEF_COM_26!$A$3:$A$102,0),MATCH($T$4,PEF_COM_26!$A$3:$AAA$3,0))</f>
        <v>0</v>
      </c>
      <c r="V10" s="783">
        <f t="shared" si="0"/>
        <v>0</v>
      </c>
      <c r="W10" s="781">
        <f>INDEX(PEF_GEST_27!$A$3:$AAA$102,MATCH(E10,PEF_GEST_27!$A$3:$A$102,0),MATCH($T$4,PEF_GEST_27!$A$3:$AAA$3,0))</f>
        <v>0</v>
      </c>
      <c r="X10" s="782">
        <f>INDEX(PEF_COM_27!$A$3:$AAA$102,MATCH(F10,PEF_COM_27!$A$3:$A$102,0),MATCH($T$4,PEF_COM_27!$A$3:$AAA$3,0))</f>
        <v>0</v>
      </c>
      <c r="Y10" s="783">
        <f t="shared" si="1"/>
        <v>0</v>
      </c>
      <c r="Z10" s="781">
        <f>INDEX(PEF_GEST_28!$A$3:$AAA$102,MATCH(H10,PEF_GEST_28!$A$3:$A$102,0),MATCH($T$4,PEF_GEST_28!$A$3:$AAA$3,0))</f>
        <v>0</v>
      </c>
      <c r="AA10" s="782">
        <f>INDEX(PEF_COM_28!$A$3:$AAA$102,MATCH(I10,PEF_COM_28!$A$3:$A$102,0),MATCH($T$4,PEF_COM_28!$A$3:$AAA$3,0))</f>
        <v>0</v>
      </c>
      <c r="AB10" s="783">
        <f t="shared" si="2"/>
        <v>0</v>
      </c>
      <c r="AC10" s="781">
        <f>INDEX(PEF_GEST_29!$A$3:$AAA$102,MATCH(K10,PEF_GEST_29!$A$3:$A$102,0),MATCH($T$4,PEF_GEST_29!$A$3:$AAA$3,0))</f>
        <v>0</v>
      </c>
      <c r="AD10" s="782">
        <f>INDEX(PEF_COM_29!$A$3:$AAA$102,MATCH(L10,PEF_COM_29!$A$3:$A$102,0),MATCH($T$4,PEF_COM_29!$A$3:$AAA$3,0))</f>
        <v>0</v>
      </c>
      <c r="AE10" s="783">
        <f t="shared" si="3"/>
        <v>0</v>
      </c>
      <c r="AF10" s="960"/>
      <c r="AG10" s="961"/>
      <c r="AH10" s="962"/>
      <c r="AJ10" s="1076">
        <f t="shared" si="4"/>
        <v>0</v>
      </c>
      <c r="AL10" s="1076">
        <v>0</v>
      </c>
      <c r="AM10" s="1076">
        <f t="shared" si="5"/>
        <v>0</v>
      </c>
      <c r="CA10" s="51"/>
    </row>
    <row r="11" spans="1:79" ht="11.4" x14ac:dyDescent="0.2">
      <c r="A11" s="313" t="s">
        <v>248</v>
      </c>
      <c r="B11" s="320" t="s">
        <v>1044</v>
      </c>
      <c r="C11" s="327" t="s">
        <v>1045</v>
      </c>
      <c r="D11" s="306" t="s">
        <v>105</v>
      </c>
      <c r="E11" s="320" t="s">
        <v>1017</v>
      </c>
      <c r="F11" s="327" t="s">
        <v>1018</v>
      </c>
      <c r="G11" s="306" t="s">
        <v>105</v>
      </c>
      <c r="H11" s="320" t="s">
        <v>2134</v>
      </c>
      <c r="I11" s="327" t="s">
        <v>2135</v>
      </c>
      <c r="J11" s="306" t="s">
        <v>105</v>
      </c>
      <c r="K11" s="320" t="s">
        <v>2143</v>
      </c>
      <c r="L11" s="327" t="s">
        <v>2144</v>
      </c>
      <c r="M11" s="306" t="s">
        <v>105</v>
      </c>
      <c r="N11" s="320" t="s">
        <v>105</v>
      </c>
      <c r="O11" s="327" t="s">
        <v>105</v>
      </c>
      <c r="P11" s="306" t="s">
        <v>105</v>
      </c>
      <c r="R11" s="732" t="s">
        <v>5439</v>
      </c>
      <c r="S11" s="231"/>
      <c r="T11" s="781">
        <f>INDEX(PEF_GEST_26!$A$3:$AAA$102,MATCH(B11,PEF_GEST_26!$A$3:$A$102,0),MATCH($T$4,PEF_GEST_26!$A$3:$AAA$3,0))</f>
        <v>0</v>
      </c>
      <c r="U11" s="782">
        <f>INDEX(PEF_COM_26!$A$3:$AAA$102,MATCH(C11,PEF_COM_26!$A$3:$A$102,0),MATCH($T$4,PEF_COM_26!$A$3:$AAA$3,0))</f>
        <v>0</v>
      </c>
      <c r="V11" s="783">
        <f t="shared" si="0"/>
        <v>0</v>
      </c>
      <c r="W11" s="781">
        <f>INDEX(PEF_GEST_27!$A$3:$AAA$102,MATCH(E11,PEF_GEST_27!$A$3:$A$102,0),MATCH($T$4,PEF_GEST_27!$A$3:$AAA$3,0))</f>
        <v>0</v>
      </c>
      <c r="X11" s="782">
        <f>INDEX(PEF_COM_27!$A$3:$AAA$102,MATCH(F11,PEF_COM_27!$A$3:$A$102,0),MATCH($T$4,PEF_COM_27!$A$3:$AAA$3,0))</f>
        <v>0</v>
      </c>
      <c r="Y11" s="783">
        <f t="shared" si="1"/>
        <v>0</v>
      </c>
      <c r="Z11" s="781">
        <f>INDEX(PEF_GEST_28!$A$3:$AAA$102,MATCH(H11,PEF_GEST_28!$A$3:$A$102,0),MATCH($T$4,PEF_GEST_28!$A$3:$AAA$3,0))</f>
        <v>0</v>
      </c>
      <c r="AA11" s="782">
        <f>INDEX(PEF_COM_28!$A$3:$AAA$102,MATCH(I11,PEF_COM_28!$A$3:$A$102,0),MATCH($T$4,PEF_COM_28!$A$3:$AAA$3,0))</f>
        <v>0</v>
      </c>
      <c r="AB11" s="783">
        <f t="shared" si="2"/>
        <v>0</v>
      </c>
      <c r="AC11" s="781">
        <f>INDEX(PEF_GEST_29!$A$3:$AAA$102,MATCH(K11,PEF_GEST_29!$A$3:$A$102,0),MATCH($T$4,PEF_GEST_29!$A$3:$AAA$3,0))</f>
        <v>0</v>
      </c>
      <c r="AD11" s="782">
        <f>INDEX(PEF_COM_29!$A$3:$AAA$102,MATCH(L11,PEF_COM_29!$A$3:$A$102,0),MATCH($T$4,PEF_COM_29!$A$3:$AAA$3,0))</f>
        <v>0</v>
      </c>
      <c r="AE11" s="783">
        <f t="shared" si="3"/>
        <v>0</v>
      </c>
      <c r="AF11" s="960"/>
      <c r="AG11" s="961"/>
      <c r="AH11" s="962"/>
      <c r="AJ11" s="1076">
        <f t="shared" si="4"/>
        <v>0</v>
      </c>
      <c r="AL11" s="1076">
        <v>0</v>
      </c>
      <c r="AM11" s="1076">
        <f t="shared" si="5"/>
        <v>0</v>
      </c>
    </row>
    <row r="12" spans="1:79" ht="11.4" x14ac:dyDescent="0.2">
      <c r="A12" s="313" t="s">
        <v>248</v>
      </c>
      <c r="B12" s="320" t="s">
        <v>1053</v>
      </c>
      <c r="C12" s="327" t="s">
        <v>1054</v>
      </c>
      <c r="D12" s="306" t="s">
        <v>105</v>
      </c>
      <c r="E12" s="320" t="s">
        <v>1026</v>
      </c>
      <c r="F12" s="327" t="s">
        <v>1027</v>
      </c>
      <c r="G12" s="306" t="s">
        <v>105</v>
      </c>
      <c r="H12" s="320" t="s">
        <v>2178</v>
      </c>
      <c r="I12" s="327" t="s">
        <v>2179</v>
      </c>
      <c r="J12" s="306" t="s">
        <v>105</v>
      </c>
      <c r="K12" s="320" t="s">
        <v>2169</v>
      </c>
      <c r="L12" s="327" t="s">
        <v>2170</v>
      </c>
      <c r="M12" s="306" t="s">
        <v>105</v>
      </c>
      <c r="N12" s="320" t="s">
        <v>105</v>
      </c>
      <c r="O12" s="327" t="s">
        <v>105</v>
      </c>
      <c r="P12" s="306" t="s">
        <v>105</v>
      </c>
      <c r="R12" s="732" t="s">
        <v>5440</v>
      </c>
      <c r="S12" s="231"/>
      <c r="T12" s="781">
        <f>INDEX(PEF_GEST_26!$A$3:$AAA$102,MATCH(B12,PEF_GEST_26!$A$3:$A$102,0),MATCH($T$4,PEF_GEST_26!$A$3:$AAA$3,0))</f>
        <v>0</v>
      </c>
      <c r="U12" s="782">
        <f>INDEX(PEF_COM_26!$A$3:$AAA$102,MATCH(C12,PEF_COM_26!$A$3:$A$102,0),MATCH($T$4,PEF_COM_26!$A$3:$AAA$3,0))</f>
        <v>0</v>
      </c>
      <c r="V12" s="783">
        <f t="shared" si="0"/>
        <v>0</v>
      </c>
      <c r="W12" s="781">
        <f>INDEX(PEF_GEST_27!$A$3:$AAA$102,MATCH(E12,PEF_GEST_27!$A$3:$A$102,0),MATCH($T$4,PEF_GEST_27!$A$3:$AAA$3,0))</f>
        <v>0</v>
      </c>
      <c r="X12" s="782">
        <f>INDEX(PEF_COM_27!$A$3:$AAA$102,MATCH(F12,PEF_COM_27!$A$3:$A$102,0),MATCH($T$4,PEF_COM_27!$A$3:$AAA$3,0))</f>
        <v>0</v>
      </c>
      <c r="Y12" s="783">
        <f t="shared" si="1"/>
        <v>0</v>
      </c>
      <c r="Z12" s="781">
        <f>INDEX(PEF_GEST_28!$A$3:$AAA$102,MATCH(H12,PEF_GEST_28!$A$3:$A$102,0),MATCH($T$4,PEF_GEST_28!$A$3:$AAA$3,0))</f>
        <v>0</v>
      </c>
      <c r="AA12" s="782">
        <f>INDEX(PEF_COM_28!$A$3:$AAA$102,MATCH(I12,PEF_COM_28!$A$3:$A$102,0),MATCH($T$4,PEF_COM_28!$A$3:$AAA$3,0))</f>
        <v>0</v>
      </c>
      <c r="AB12" s="783">
        <f t="shared" si="2"/>
        <v>0</v>
      </c>
      <c r="AC12" s="781">
        <f>INDEX(PEF_GEST_29!$A$3:$AAA$102,MATCH(K12,PEF_GEST_29!$A$3:$A$102,0),MATCH($T$4,PEF_GEST_29!$A$3:$AAA$3,0))</f>
        <v>0</v>
      </c>
      <c r="AD12" s="782">
        <f>INDEX(PEF_COM_29!$A$3:$AAA$102,MATCH(L12,PEF_COM_29!$A$3:$A$102,0),MATCH($T$4,PEF_COM_29!$A$3:$AAA$3,0))</f>
        <v>0</v>
      </c>
      <c r="AE12" s="783">
        <f t="shared" si="3"/>
        <v>0</v>
      </c>
      <c r="AF12" s="960"/>
      <c r="AG12" s="961"/>
      <c r="AH12" s="962"/>
      <c r="AJ12" s="1076">
        <f t="shared" si="4"/>
        <v>0</v>
      </c>
      <c r="AL12" s="1076">
        <v>0</v>
      </c>
      <c r="AM12" s="1076">
        <f t="shared" si="5"/>
        <v>0</v>
      </c>
    </row>
    <row r="13" spans="1:79" ht="11.4" x14ac:dyDescent="0.2">
      <c r="A13" s="313" t="s">
        <v>248</v>
      </c>
      <c r="B13" s="320" t="s">
        <v>2210</v>
      </c>
      <c r="C13" s="327" t="s">
        <v>2211</v>
      </c>
      <c r="D13" s="306" t="s">
        <v>105</v>
      </c>
      <c r="E13" s="320" t="s">
        <v>2219</v>
      </c>
      <c r="F13" s="327" t="s">
        <v>2220</v>
      </c>
      <c r="G13" s="306" t="s">
        <v>105</v>
      </c>
      <c r="H13" s="320" t="s">
        <v>2228</v>
      </c>
      <c r="I13" s="327" t="s">
        <v>2229</v>
      </c>
      <c r="J13" s="306" t="s">
        <v>105</v>
      </c>
      <c r="K13" s="320" t="s">
        <v>2237</v>
      </c>
      <c r="L13" s="327" t="s">
        <v>2238</v>
      </c>
      <c r="M13" s="306" t="s">
        <v>105</v>
      </c>
      <c r="N13" s="320" t="s">
        <v>105</v>
      </c>
      <c r="O13" s="327" t="s">
        <v>105</v>
      </c>
      <c r="P13" s="306" t="s">
        <v>105</v>
      </c>
      <c r="R13" s="732" t="s">
        <v>5441</v>
      </c>
      <c r="S13" s="231"/>
      <c r="T13" s="781">
        <f>INDEX(PEF_GEST_26!$A$3:$AAA$102,MATCH(B13,PEF_GEST_26!$A$3:$A$102,0),MATCH($T$4,PEF_GEST_26!$A$3:$AAA$3,0))</f>
        <v>0</v>
      </c>
      <c r="U13" s="782">
        <f>INDEX(PEF_COM_26!$A$3:$AAA$102,MATCH(C13,PEF_COM_26!$A$3:$A$102,0),MATCH($T$4,PEF_COM_26!$A$3:$AAA$3,0))</f>
        <v>0</v>
      </c>
      <c r="V13" s="783">
        <f t="shared" si="0"/>
        <v>0</v>
      </c>
      <c r="W13" s="781">
        <f>INDEX(PEF_GEST_27!$A$3:$AAA$102,MATCH(E13,PEF_GEST_27!$A$3:$A$102,0),MATCH($T$4,PEF_GEST_27!$A$3:$AAA$3,0))</f>
        <v>0</v>
      </c>
      <c r="X13" s="782">
        <f>INDEX(PEF_COM_27!$A$3:$AAA$102,MATCH(F13,PEF_COM_27!$A$3:$A$102,0),MATCH($T$4,PEF_COM_27!$A$3:$AAA$3,0))</f>
        <v>0</v>
      </c>
      <c r="Y13" s="783">
        <f t="shared" si="1"/>
        <v>0</v>
      </c>
      <c r="Z13" s="781">
        <f>INDEX(PEF_GEST_28!$A$3:$AAA$102,MATCH(H13,PEF_GEST_28!$A$3:$A$102,0),MATCH($T$4,PEF_GEST_28!$A$3:$AAA$3,0))</f>
        <v>0</v>
      </c>
      <c r="AA13" s="782">
        <f>INDEX(PEF_COM_28!$A$3:$AAA$102,MATCH(I13,PEF_COM_28!$A$3:$A$102,0),MATCH($T$4,PEF_COM_28!$A$3:$AAA$3,0))</f>
        <v>0</v>
      </c>
      <c r="AB13" s="783">
        <f t="shared" si="2"/>
        <v>0</v>
      </c>
      <c r="AC13" s="781">
        <f>INDEX(PEF_GEST_29!$A$3:$AAA$102,MATCH(K13,PEF_GEST_29!$A$3:$A$102,0),MATCH($T$4,PEF_GEST_29!$A$3:$AAA$3,0))</f>
        <v>0</v>
      </c>
      <c r="AD13" s="782">
        <f>INDEX(PEF_COM_29!$A$3:$AAA$102,MATCH(L13,PEF_COM_29!$A$3:$A$102,0),MATCH($T$4,PEF_COM_29!$A$3:$AAA$3,0))</f>
        <v>0</v>
      </c>
      <c r="AE13" s="783">
        <f t="shared" si="3"/>
        <v>0</v>
      </c>
      <c r="AF13" s="960"/>
      <c r="AG13" s="961"/>
      <c r="AH13" s="962"/>
      <c r="AJ13" s="1076">
        <f t="shared" si="4"/>
        <v>0</v>
      </c>
      <c r="AL13" s="1076">
        <v>0</v>
      </c>
      <c r="AM13" s="1076">
        <f t="shared" si="5"/>
        <v>0</v>
      </c>
    </row>
    <row r="14" spans="1:79" ht="11.4" x14ac:dyDescent="0.2">
      <c r="A14" s="313" t="s">
        <v>248</v>
      </c>
      <c r="B14" s="320" t="s">
        <v>2282</v>
      </c>
      <c r="C14" s="327" t="s">
        <v>2283</v>
      </c>
      <c r="D14" s="306" t="s">
        <v>105</v>
      </c>
      <c r="E14" s="320" t="s">
        <v>2291</v>
      </c>
      <c r="F14" s="327" t="s">
        <v>2292</v>
      </c>
      <c r="G14" s="306" t="s">
        <v>105</v>
      </c>
      <c r="H14" s="320" t="s">
        <v>2300</v>
      </c>
      <c r="I14" s="327" t="s">
        <v>2301</v>
      </c>
      <c r="J14" s="306" t="s">
        <v>105</v>
      </c>
      <c r="K14" s="320" t="s">
        <v>2309</v>
      </c>
      <c r="L14" s="327" t="s">
        <v>2310</v>
      </c>
      <c r="M14" s="306" t="s">
        <v>105</v>
      </c>
      <c r="N14" s="320" t="s">
        <v>105</v>
      </c>
      <c r="O14" s="327" t="s">
        <v>105</v>
      </c>
      <c r="P14" s="306" t="s">
        <v>105</v>
      </c>
      <c r="R14" s="732" t="s">
        <v>5442</v>
      </c>
      <c r="S14" s="231"/>
      <c r="T14" s="781">
        <f>INDEX(PEF_GEST_26!$A$3:$AAA$102,MATCH(B14,PEF_GEST_26!$A$3:$A$102,0),MATCH($T$4,PEF_GEST_26!$A$3:$AAA$3,0))</f>
        <v>0</v>
      </c>
      <c r="U14" s="782">
        <f>INDEX(PEF_COM_26!$A$3:$AAA$102,MATCH(C14,PEF_COM_26!$A$3:$A$102,0),MATCH($T$4,PEF_COM_26!$A$3:$AAA$3,0))</f>
        <v>0</v>
      </c>
      <c r="V14" s="783">
        <f t="shared" si="0"/>
        <v>0</v>
      </c>
      <c r="W14" s="781">
        <f>INDEX(PEF_GEST_27!$A$3:$AAA$102,MATCH(E14,PEF_GEST_27!$A$3:$A$102,0),MATCH($T$4,PEF_GEST_27!$A$3:$AAA$3,0))</f>
        <v>0</v>
      </c>
      <c r="X14" s="782">
        <f>INDEX(PEF_COM_27!$A$3:$AAA$102,MATCH(F14,PEF_COM_27!$A$3:$A$102,0),MATCH($T$4,PEF_COM_27!$A$3:$AAA$3,0))</f>
        <v>0</v>
      </c>
      <c r="Y14" s="783">
        <f t="shared" si="1"/>
        <v>0</v>
      </c>
      <c r="Z14" s="781">
        <f>INDEX(PEF_GEST_28!$A$3:$AAA$102,MATCH(H14,PEF_GEST_28!$A$3:$A$102,0),MATCH($T$4,PEF_GEST_28!$A$3:$AAA$3,0))</f>
        <v>0</v>
      </c>
      <c r="AA14" s="782">
        <f>INDEX(PEF_COM_28!$A$3:$AAA$102,MATCH(I14,PEF_COM_28!$A$3:$A$102,0),MATCH($T$4,PEF_COM_28!$A$3:$AAA$3,0))</f>
        <v>0</v>
      </c>
      <c r="AB14" s="783">
        <f t="shared" si="2"/>
        <v>0</v>
      </c>
      <c r="AC14" s="781">
        <f>INDEX(PEF_GEST_29!$A$3:$AAA$102,MATCH(K14,PEF_GEST_29!$A$3:$A$102,0),MATCH($T$4,PEF_GEST_29!$A$3:$AAA$3,0))</f>
        <v>0</v>
      </c>
      <c r="AD14" s="782">
        <f>INDEX(PEF_COM_29!$A$3:$AAA$102,MATCH(L14,PEF_COM_29!$A$3:$A$102,0),MATCH($T$4,PEF_COM_29!$A$3:$AAA$3,0))</f>
        <v>0</v>
      </c>
      <c r="AE14" s="783">
        <f t="shared" si="3"/>
        <v>0</v>
      </c>
      <c r="AF14" s="960"/>
      <c r="AG14" s="961"/>
      <c r="AH14" s="962"/>
      <c r="AJ14" s="1076">
        <f t="shared" si="4"/>
        <v>0</v>
      </c>
      <c r="AL14" s="1076">
        <v>0</v>
      </c>
      <c r="AM14" s="1076">
        <f t="shared" si="5"/>
        <v>0</v>
      </c>
    </row>
    <row r="15" spans="1:79" ht="11.4" x14ac:dyDescent="0.2">
      <c r="A15" s="313" t="s">
        <v>248</v>
      </c>
      <c r="B15" s="320" t="s">
        <v>1062</v>
      </c>
      <c r="C15" s="327" t="s">
        <v>1063</v>
      </c>
      <c r="D15" s="306" t="s">
        <v>105</v>
      </c>
      <c r="E15" s="320" t="s">
        <v>1035</v>
      </c>
      <c r="F15" s="327" t="s">
        <v>1036</v>
      </c>
      <c r="G15" s="306" t="s">
        <v>105</v>
      </c>
      <c r="H15" s="320" t="s">
        <v>2355</v>
      </c>
      <c r="I15" s="327" t="s">
        <v>2356</v>
      </c>
      <c r="J15" s="306" t="s">
        <v>105</v>
      </c>
      <c r="K15" s="320" t="s">
        <v>2364</v>
      </c>
      <c r="L15" s="327" t="s">
        <v>2365</v>
      </c>
      <c r="M15" s="306" t="s">
        <v>105</v>
      </c>
      <c r="N15" s="320" t="s">
        <v>105</v>
      </c>
      <c r="O15" s="327" t="s">
        <v>105</v>
      </c>
      <c r="P15" s="306" t="s">
        <v>105</v>
      </c>
      <c r="R15" s="732" t="s">
        <v>5443</v>
      </c>
      <c r="S15" s="231"/>
      <c r="T15" s="781">
        <f>INDEX(PEF_GEST_26!$A$3:$AAA$102,MATCH(B15,PEF_GEST_26!$A$3:$A$102,0),MATCH($T$4,PEF_GEST_26!$A$3:$AAA$3,0))</f>
        <v>0</v>
      </c>
      <c r="U15" s="782">
        <f>INDEX(PEF_COM_26!$A$3:$AAA$102,MATCH(C15,PEF_COM_26!$A$3:$A$102,0),MATCH($T$4,PEF_COM_26!$A$3:$AAA$3,0))</f>
        <v>0</v>
      </c>
      <c r="V15" s="783">
        <f t="shared" si="0"/>
        <v>0</v>
      </c>
      <c r="W15" s="781">
        <f>INDEX(PEF_GEST_27!$A$3:$AAA$102,MATCH(E15,PEF_GEST_27!$A$3:$A$102,0),MATCH($T$4,PEF_GEST_27!$A$3:$AAA$3,0))</f>
        <v>0</v>
      </c>
      <c r="X15" s="782">
        <f>INDEX(PEF_COM_27!$A$3:$AAA$102,MATCH(F15,PEF_COM_27!$A$3:$A$102,0),MATCH($T$4,PEF_COM_27!$A$3:$AAA$3,0))</f>
        <v>0</v>
      </c>
      <c r="Y15" s="783">
        <f t="shared" si="1"/>
        <v>0</v>
      </c>
      <c r="Z15" s="781">
        <f>INDEX(PEF_GEST_28!$A$3:$AAA$102,MATCH(H15,PEF_GEST_28!$A$3:$A$102,0),MATCH($T$4,PEF_GEST_28!$A$3:$AAA$3,0))</f>
        <v>0</v>
      </c>
      <c r="AA15" s="782">
        <f>INDEX(PEF_COM_28!$A$3:$AAA$102,MATCH(I15,PEF_COM_28!$A$3:$A$102,0),MATCH($T$4,PEF_COM_28!$A$3:$AAA$3,0))</f>
        <v>0</v>
      </c>
      <c r="AB15" s="783">
        <f t="shared" si="2"/>
        <v>0</v>
      </c>
      <c r="AC15" s="781">
        <f>INDEX(PEF_GEST_29!$A$3:$AAA$102,MATCH(K15,PEF_GEST_29!$A$3:$A$102,0),MATCH($T$4,PEF_GEST_29!$A$3:$AAA$3,0))</f>
        <v>0</v>
      </c>
      <c r="AD15" s="782">
        <f>INDEX(PEF_COM_29!$A$3:$AAA$102,MATCH(L15,PEF_COM_29!$A$3:$A$102,0),MATCH($T$4,PEF_COM_29!$A$3:$AAA$3,0))</f>
        <v>0</v>
      </c>
      <c r="AE15" s="783">
        <f t="shared" si="3"/>
        <v>0</v>
      </c>
      <c r="AF15" s="960"/>
      <c r="AG15" s="961"/>
      <c r="AH15" s="962"/>
      <c r="AJ15" s="1076">
        <f t="shared" si="4"/>
        <v>0</v>
      </c>
      <c r="AL15" s="1076">
        <v>0</v>
      </c>
      <c r="AM15" s="1076">
        <f t="shared" si="5"/>
        <v>0</v>
      </c>
    </row>
    <row r="16" spans="1:79" x14ac:dyDescent="0.2">
      <c r="A16" s="313" t="s">
        <v>248</v>
      </c>
      <c r="B16" s="320" t="s">
        <v>968</v>
      </c>
      <c r="C16" s="327" t="s">
        <v>968</v>
      </c>
      <c r="D16" s="306" t="s">
        <v>105</v>
      </c>
      <c r="E16" s="320" t="s">
        <v>983</v>
      </c>
      <c r="F16" s="327" t="s">
        <v>983</v>
      </c>
      <c r="G16" s="306" t="s">
        <v>105</v>
      </c>
      <c r="H16" s="320" t="s">
        <v>1288</v>
      </c>
      <c r="I16" s="327" t="s">
        <v>1288</v>
      </c>
      <c r="J16" s="306" t="s">
        <v>105</v>
      </c>
      <c r="K16" s="320" t="s">
        <v>1289</v>
      </c>
      <c r="L16" s="327" t="s">
        <v>1289</v>
      </c>
      <c r="M16" s="306" t="s">
        <v>105</v>
      </c>
      <c r="N16" s="320" t="s">
        <v>105</v>
      </c>
      <c r="O16" s="327" t="s">
        <v>105</v>
      </c>
      <c r="P16" s="306" t="s">
        <v>105</v>
      </c>
      <c r="R16" s="742" t="s">
        <v>7</v>
      </c>
      <c r="S16" s="231"/>
      <c r="T16" s="841">
        <f>INDEX(PEF_GEST_26!$A$3:$AAA$102,MATCH(B16,PEF_GEST_26!$A$3:$A$102,0),MATCH($T$4,PEF_GEST_26!$A$3:$AAA$3,0))</f>
        <v>0.7</v>
      </c>
      <c r="U16" s="842">
        <f>INDEX(PEF_COM_26!$A$3:$AAA$102,MATCH(C16,PEF_COM_26!$A$3:$A$102,0),MATCH($T$4,PEF_COM_26!$A$3:$AAA$3,0))</f>
        <v>0.7</v>
      </c>
      <c r="V16" s="843">
        <f>T16</f>
        <v>0.7</v>
      </c>
      <c r="W16" s="841">
        <f>INDEX(PEF_GEST_27!$A$3:$AAA$102,MATCH(E16,PEF_GEST_27!$A$3:$A$102,0),MATCH($T$4,PEF_GEST_27!$A$3:$AAA$3,0))</f>
        <v>0.7</v>
      </c>
      <c r="X16" s="842">
        <f>INDEX(PEF_COM_27!$A$3:$AAA$102,MATCH(F16,PEF_COM_27!$A$3:$A$102,0),MATCH($T$4,PEF_COM_27!$A$3:$AAA$3,0))</f>
        <v>0.7</v>
      </c>
      <c r="Y16" s="843">
        <f>W16</f>
        <v>0.7</v>
      </c>
      <c r="Z16" s="841">
        <f>INDEX(PEF_GEST_28!$A$3:$AAA$102,MATCH(H16,PEF_GEST_28!$A$3:$A$102,0),MATCH($T$4,PEF_GEST_28!$A$3:$AAA$3,0))</f>
        <v>0.7</v>
      </c>
      <c r="AA16" s="842">
        <f>INDEX(PEF_COM_28!$A$3:$AAA$102,MATCH(I16,PEF_COM_28!$A$3:$A$102,0),MATCH($T$4,PEF_COM_28!$A$3:$AAA$3,0))</f>
        <v>0.7</v>
      </c>
      <c r="AB16" s="843">
        <f>Z16</f>
        <v>0.7</v>
      </c>
      <c r="AC16" s="841">
        <f>INDEX(PEF_GEST_29!$A$3:$AAA$102,MATCH(K16,PEF_GEST_29!$A$3:$A$102,0),MATCH($T$4,PEF_GEST_29!$A$3:$AAA$3,0))</f>
        <v>0.7</v>
      </c>
      <c r="AD16" s="842">
        <f>INDEX(PEF_COM_29!$A$3:$AAA$102,MATCH(L16,PEF_COM_29!$A$3:$A$102,0),MATCH($T$4,PEF_COM_29!$A$3:$AAA$3,0))</f>
        <v>0.7</v>
      </c>
      <c r="AE16" s="843">
        <f>AC16</f>
        <v>0.7</v>
      </c>
      <c r="AF16" s="963"/>
      <c r="AG16" s="964"/>
      <c r="AH16" s="965"/>
      <c r="AJ16" s="1077"/>
      <c r="AL16" s="1077">
        <v>0.6</v>
      </c>
      <c r="AM16" s="1077">
        <f t="shared" si="5"/>
        <v>9.9999999999999978E-2</v>
      </c>
    </row>
    <row r="17" spans="1:79" x14ac:dyDescent="0.2">
      <c r="A17" s="313" t="s">
        <v>248</v>
      </c>
      <c r="B17" s="320" t="s">
        <v>3254</v>
      </c>
      <c r="C17" s="327" t="s">
        <v>5208</v>
      </c>
      <c r="D17" s="306" t="s">
        <v>105</v>
      </c>
      <c r="E17" s="320" t="s">
        <v>5137</v>
      </c>
      <c r="F17" s="327" t="s">
        <v>5660</v>
      </c>
      <c r="G17" s="306" t="s">
        <v>105</v>
      </c>
      <c r="H17" s="320" t="s">
        <v>5528</v>
      </c>
      <c r="I17" s="327" t="s">
        <v>5634</v>
      </c>
      <c r="J17" s="306" t="s">
        <v>105</v>
      </c>
      <c r="K17" s="320" t="s">
        <v>5571</v>
      </c>
      <c r="L17" s="327" t="s">
        <v>5608</v>
      </c>
      <c r="M17" s="306" t="s">
        <v>105</v>
      </c>
      <c r="N17" s="320" t="s">
        <v>105</v>
      </c>
      <c r="O17" s="327" t="s">
        <v>105</v>
      </c>
      <c r="P17" s="306" t="s">
        <v>105</v>
      </c>
      <c r="R17" s="743" t="s">
        <v>6</v>
      </c>
      <c r="S17" s="231"/>
      <c r="T17" s="784">
        <f>INDEX(PEF_GEST_26!$A$3:$AAA$102,MATCH(B17,PEF_GEST_26!$A$3:$A$102,0),MATCH($T$4,PEF_GEST_26!$A$3:$AAA$3,0))</f>
        <v>939290.85502559994</v>
      </c>
      <c r="U17" s="785">
        <f>INDEX(PEF_COM_26!$A$3:$AAA$102,MATCH(C17,PEF_COM_26!$A$3:$A$102,0),MATCH($T$4,PEF_COM_26!$A$3:$AAA$3,0))</f>
        <v>0</v>
      </c>
      <c r="V17" s="786">
        <f t="shared" si="0"/>
        <v>939290.85502559994</v>
      </c>
      <c r="W17" s="784">
        <f>INDEX(PEF_GEST_27!$A$3:$AAA$102,MATCH(E17,PEF_GEST_27!$A$3:$A$102,0),MATCH($T$4,PEF_GEST_27!$A$3:$AAA$3,0))</f>
        <v>770996.38968000002</v>
      </c>
      <c r="X17" s="785">
        <f>INDEX(PEF_COM_27!$A$3:$AAA$102,MATCH(F17,PEF_COM_27!$A$3:$A$102,0),MATCH($T$4,PEF_COM_27!$A$3:$AAA$3,0))</f>
        <v>0</v>
      </c>
      <c r="Y17" s="786">
        <f t="shared" si="1"/>
        <v>770996.38968000002</v>
      </c>
      <c r="Z17" s="784">
        <f>INDEX(PEF_GEST_28!$A$3:$AAA$102,MATCH(H17,PEF_GEST_28!$A$3:$A$102,0),MATCH($T$4,PEF_GEST_28!$A$3:$AAA$3,0))</f>
        <v>770996.38968000002</v>
      </c>
      <c r="AA17" s="785">
        <f>INDEX(PEF_COM_28!$A$3:$AAA$102,MATCH(I17,PEF_COM_28!$A$3:$A$102,0),MATCH($T$4,PEF_COM_28!$A$3:$AAA$3,0))</f>
        <v>0</v>
      </c>
      <c r="AB17" s="786">
        <f t="shared" si="2"/>
        <v>770996.38968000002</v>
      </c>
      <c r="AC17" s="784">
        <f>INDEX(PEF_GEST_29!$A$3:$AAA$102,MATCH(K17,PEF_GEST_29!$A$3:$A$102,0),MATCH($T$4,PEF_GEST_29!$A$3:$AAA$3,0))</f>
        <v>770996.38968000002</v>
      </c>
      <c r="AD17" s="785">
        <f>INDEX(PEF_COM_29!$A$3:$AAA$102,MATCH(L17,PEF_COM_29!$A$3:$A$102,0),MATCH($T$4,PEF_COM_29!$A$3:$AAA$3,0))</f>
        <v>0</v>
      </c>
      <c r="AE17" s="786">
        <f t="shared" si="3"/>
        <v>770996.38968000002</v>
      </c>
      <c r="AF17" s="960"/>
      <c r="AG17" s="961"/>
      <c r="AH17" s="962"/>
      <c r="AJ17" s="1078">
        <f t="shared" si="4"/>
        <v>-168294.46534559992</v>
      </c>
      <c r="AL17" s="1078">
        <v>903249.19699520012</v>
      </c>
      <c r="AM17" s="1078">
        <f t="shared" si="5"/>
        <v>36041.65803039982</v>
      </c>
    </row>
    <row r="18" spans="1:79" ht="11.4" x14ac:dyDescent="0.2">
      <c r="A18" s="313" t="s">
        <v>248</v>
      </c>
      <c r="B18" s="320" t="s">
        <v>3255</v>
      </c>
      <c r="C18" s="327" t="s">
        <v>5213</v>
      </c>
      <c r="D18" s="306" t="s">
        <v>105</v>
      </c>
      <c r="E18" s="320" t="s">
        <v>5140</v>
      </c>
      <c r="F18" s="327" t="s">
        <v>5661</v>
      </c>
      <c r="G18" s="306" t="s">
        <v>105</v>
      </c>
      <c r="H18" s="320" t="s">
        <v>5529</v>
      </c>
      <c r="I18" s="327" t="s">
        <v>5635</v>
      </c>
      <c r="J18" s="306" t="s">
        <v>105</v>
      </c>
      <c r="K18" s="320" t="s">
        <v>5572</v>
      </c>
      <c r="L18" s="327" t="s">
        <v>5609</v>
      </c>
      <c r="M18" s="306" t="s">
        <v>105</v>
      </c>
      <c r="N18" s="320" t="s">
        <v>105</v>
      </c>
      <c r="O18" s="327" t="s">
        <v>105</v>
      </c>
      <c r="P18" s="306" t="s">
        <v>105</v>
      </c>
      <c r="R18" s="743" t="s">
        <v>101</v>
      </c>
      <c r="S18" s="231"/>
      <c r="T18" s="784">
        <f>INDEX(PEF_GEST_26!$A$3:$AAA$102,MATCH(B18,PEF_GEST_26!$A$3:$A$102,0),MATCH($T$4,PEF_GEST_26!$A$3:$AAA$3,0))</f>
        <v>761151.15962159995</v>
      </c>
      <c r="U18" s="785">
        <f>INDEX(PEF_COM_26!$A$3:$AAA$102,MATCH(C18,PEF_COM_26!$A$3:$A$102,0),MATCH($T$4,PEF_COM_26!$A$3:$AAA$3,0))</f>
        <v>0</v>
      </c>
      <c r="V18" s="786">
        <f t="shared" si="0"/>
        <v>761151.15962159995</v>
      </c>
      <c r="W18" s="784">
        <f>INDEX(PEF_GEST_27!$A$3:$AAA$102,MATCH(E18,PEF_GEST_27!$A$3:$A$102,0),MATCH($T$4,PEF_GEST_27!$A$3:$AAA$3,0))</f>
        <v>679391.85995999991</v>
      </c>
      <c r="X18" s="785">
        <f>INDEX(PEF_COM_27!$A$3:$AAA$102,MATCH(F18,PEF_COM_27!$A$3:$A$102,0),MATCH($T$4,PEF_COM_27!$A$3:$AAA$3,0))</f>
        <v>0</v>
      </c>
      <c r="Y18" s="786">
        <f t="shared" si="1"/>
        <v>679391.85995999991</v>
      </c>
      <c r="Z18" s="784">
        <f>INDEX(PEF_GEST_28!$A$3:$AAA$102,MATCH(H18,PEF_GEST_28!$A$3:$A$102,0),MATCH($T$4,PEF_GEST_28!$A$3:$AAA$3,0))</f>
        <v>679391.85995999991</v>
      </c>
      <c r="AA18" s="785">
        <f>INDEX(PEF_COM_28!$A$3:$AAA$102,MATCH(I18,PEF_COM_28!$A$3:$A$102,0),MATCH($T$4,PEF_COM_28!$A$3:$AAA$3,0))</f>
        <v>0</v>
      </c>
      <c r="AB18" s="786">
        <f t="shared" si="2"/>
        <v>679391.85995999991</v>
      </c>
      <c r="AC18" s="784">
        <f>INDEX(PEF_GEST_29!$A$3:$AAA$102,MATCH(K18,PEF_GEST_29!$A$3:$A$102,0),MATCH($T$4,PEF_GEST_29!$A$3:$AAA$3,0))</f>
        <v>679391.85995999991</v>
      </c>
      <c r="AD18" s="785">
        <f>INDEX(PEF_COM_29!$A$3:$AAA$102,MATCH(L18,PEF_COM_29!$A$3:$A$102,0),MATCH($T$4,PEF_COM_29!$A$3:$AAA$3,0))</f>
        <v>0</v>
      </c>
      <c r="AE18" s="786">
        <f t="shared" si="3"/>
        <v>679391.85995999991</v>
      </c>
      <c r="AF18" s="960"/>
      <c r="AG18" s="961"/>
      <c r="AH18" s="962"/>
      <c r="AJ18" s="1078">
        <f t="shared" si="4"/>
        <v>-81759.299661600031</v>
      </c>
      <c r="AL18" s="1078">
        <v>564771.90728640009</v>
      </c>
      <c r="AM18" s="1078">
        <f t="shared" si="5"/>
        <v>196379.25233519985</v>
      </c>
    </row>
    <row r="19" spans="1:79" ht="11.4" x14ac:dyDescent="0.2">
      <c r="A19" s="314" t="s">
        <v>105</v>
      </c>
      <c r="B19" s="321" t="s">
        <v>105</v>
      </c>
      <c r="C19" s="328" t="s">
        <v>105</v>
      </c>
      <c r="D19" s="309" t="s">
        <v>105</v>
      </c>
      <c r="E19" s="321" t="s">
        <v>105</v>
      </c>
      <c r="F19" s="328" t="s">
        <v>105</v>
      </c>
      <c r="G19" s="309" t="s">
        <v>105</v>
      </c>
      <c r="H19" s="321" t="s">
        <v>105</v>
      </c>
      <c r="I19" s="328" t="s">
        <v>105</v>
      </c>
      <c r="J19" s="309" t="s">
        <v>105</v>
      </c>
      <c r="K19" s="321" t="s">
        <v>105</v>
      </c>
      <c r="L19" s="328" t="s">
        <v>105</v>
      </c>
      <c r="M19" s="309" t="s">
        <v>105</v>
      </c>
      <c r="N19" s="321" t="s">
        <v>105</v>
      </c>
      <c r="O19" s="328" t="s">
        <v>105</v>
      </c>
      <c r="P19" s="309" t="s">
        <v>105</v>
      </c>
      <c r="R19" s="744" t="s">
        <v>5437</v>
      </c>
      <c r="S19" s="231"/>
      <c r="T19" s="787">
        <f>T16*(T17+T18)</f>
        <v>1190309.4102530398</v>
      </c>
      <c r="U19" s="788">
        <f>U16*(U17+U18)</f>
        <v>0</v>
      </c>
      <c r="V19" s="789">
        <f t="shared" si="0"/>
        <v>1190309.4102530398</v>
      </c>
      <c r="W19" s="787">
        <f>W16*(W17+W18)</f>
        <v>1015271.774748</v>
      </c>
      <c r="X19" s="788">
        <f>X16*(X17+X18)</f>
        <v>0</v>
      </c>
      <c r="Y19" s="789">
        <f t="shared" si="1"/>
        <v>1015271.774748</v>
      </c>
      <c r="Z19" s="787">
        <f>Z16*(Z17+Z18)</f>
        <v>1015271.774748</v>
      </c>
      <c r="AA19" s="788">
        <f>AA16*(AA17+AA18)</f>
        <v>0</v>
      </c>
      <c r="AB19" s="789">
        <f t="shared" si="2"/>
        <v>1015271.774748</v>
      </c>
      <c r="AC19" s="787">
        <f>AC16*(AC17+AC18)</f>
        <v>1015271.774748</v>
      </c>
      <c r="AD19" s="788">
        <f>AD16*(AD17+AD18)</f>
        <v>0</v>
      </c>
      <c r="AE19" s="789">
        <f t="shared" si="3"/>
        <v>1015271.774748</v>
      </c>
      <c r="AF19" s="966"/>
      <c r="AG19" s="967"/>
      <c r="AH19" s="968"/>
      <c r="AJ19" s="1079">
        <f t="shared" si="4"/>
        <v>-175037.63550503983</v>
      </c>
      <c r="AL19" s="1079">
        <f>541949.51819712+406635.773246208</f>
        <v>948585.29144332802</v>
      </c>
      <c r="AM19" s="1079">
        <f t="shared" si="5"/>
        <v>241724.11880971177</v>
      </c>
    </row>
    <row r="20" spans="1:79" ht="11.4" x14ac:dyDescent="0.2">
      <c r="A20" s="313" t="s">
        <v>248</v>
      </c>
      <c r="B20" s="320" t="s">
        <v>3142</v>
      </c>
      <c r="C20" s="327" t="s">
        <v>3150</v>
      </c>
      <c r="D20" s="306" t="s">
        <v>105</v>
      </c>
      <c r="E20" s="320" t="s">
        <v>3299</v>
      </c>
      <c r="F20" s="327" t="s">
        <v>3307</v>
      </c>
      <c r="G20" s="306" t="s">
        <v>105</v>
      </c>
      <c r="H20" s="320" t="s">
        <v>4099</v>
      </c>
      <c r="I20" s="327" t="s">
        <v>4123</v>
      </c>
      <c r="J20" s="306" t="s">
        <v>105</v>
      </c>
      <c r="K20" s="320" t="s">
        <v>4302</v>
      </c>
      <c r="L20" s="327" t="s">
        <v>4324</v>
      </c>
      <c r="M20" s="306" t="s">
        <v>105</v>
      </c>
      <c r="N20" s="320" t="s">
        <v>105</v>
      </c>
      <c r="O20" s="327" t="s">
        <v>105</v>
      </c>
      <c r="P20" s="306" t="s">
        <v>105</v>
      </c>
      <c r="R20" s="734" t="s">
        <v>102</v>
      </c>
      <c r="S20" s="231"/>
      <c r="T20" s="790">
        <f>INDEX(PEF_GEST_26!$A$3:$AAA$102,MATCH(B20,PEF_GEST_26!$A$3:$A$102,0),MATCH($T$4,PEF_GEST_26!$A$3:$AAA$3,0))</f>
        <v>315566.36782700795</v>
      </c>
      <c r="U20" s="791">
        <f>INDEX(PEF_COM_26!$A$3:$AAA$102,MATCH(C20,PEF_COM_26!$A$3:$A$102,0),MATCH($T$4,PEF_COM_26!$A$3:$AAA$3,0))</f>
        <v>0</v>
      </c>
      <c r="V20" s="792">
        <f t="shared" si="0"/>
        <v>315566.36782700795</v>
      </c>
      <c r="W20" s="790">
        <f>INDEX(PEF_GEST_27!$A$3:$AAA$102,MATCH(E20,PEF_GEST_27!$A$3:$A$102,0),MATCH($T$4,PEF_GEST_27!$A$3:$AAA$3,0))</f>
        <v>831700.8566887714</v>
      </c>
      <c r="X20" s="791">
        <f>INDEX(PEF_COM_27!$A$3:$AAA$102,MATCH(F20,PEF_COM_27!$A$3:$A$102,0),MATCH($T$4,PEF_COM_27!$A$3:$AAA$3,0))</f>
        <v>0</v>
      </c>
      <c r="Y20" s="792">
        <f t="shared" si="1"/>
        <v>831700.8566887714</v>
      </c>
      <c r="Z20" s="790">
        <f>INDEX(PEF_GEST_28!$A$3:$AAA$102,MATCH(H20,PEF_GEST_28!$A$3:$A$102,0),MATCH($T$4,PEF_GEST_28!$A$3:$AAA$3,0))</f>
        <v>338035.39975581953</v>
      </c>
      <c r="AA20" s="791">
        <f>INDEX(PEF_COM_28!$A$3:$AAA$102,MATCH(I20,PEF_COM_28!$A$3:$A$102,0),MATCH($T$4,PEF_COM_28!$A$3:$AAA$3,0))</f>
        <v>0</v>
      </c>
      <c r="AB20" s="792">
        <f t="shared" si="2"/>
        <v>338035.39975581953</v>
      </c>
      <c r="AC20" s="790">
        <f>INDEX(PEF_GEST_29!$A$3:$AAA$102,MATCH(K20,PEF_GEST_29!$A$3:$A$102,0),MATCH($T$4,PEF_GEST_29!$A$3:$AAA$3,0))</f>
        <v>0</v>
      </c>
      <c r="AD20" s="791">
        <f>INDEX(PEF_COM_29!$A$3:$AAA$102,MATCH(L20,PEF_COM_29!$A$3:$A$102,0),MATCH($T$4,PEF_COM_29!$A$3:$AAA$3,0))</f>
        <v>0</v>
      </c>
      <c r="AE20" s="792">
        <f t="shared" si="3"/>
        <v>0</v>
      </c>
      <c r="AF20" s="790"/>
      <c r="AG20" s="791"/>
      <c r="AH20" s="792"/>
      <c r="AJ20" s="1080">
        <f t="shared" si="4"/>
        <v>516134.48886176344</v>
      </c>
      <c r="AL20" s="1080">
        <f>173741.101077905+AL21</f>
        <v>1427046.5702427879</v>
      </c>
      <c r="AM20" s="1080">
        <f t="shared" si="5"/>
        <v>-1111480.2024157799</v>
      </c>
    </row>
    <row r="21" spans="1:79" ht="11.4" x14ac:dyDescent="0.2">
      <c r="A21" s="313" t="s">
        <v>248</v>
      </c>
      <c r="B21" s="320" t="s">
        <v>6937</v>
      </c>
      <c r="C21" s="327" t="s">
        <v>6945</v>
      </c>
      <c r="D21" s="306" t="s">
        <v>105</v>
      </c>
      <c r="E21" s="320" t="s">
        <v>6939</v>
      </c>
      <c r="F21" s="327" t="s">
        <v>6947</v>
      </c>
      <c r="G21" s="306" t="s">
        <v>105</v>
      </c>
      <c r="H21" s="320" t="s">
        <v>6941</v>
      </c>
      <c r="I21" s="327" t="s">
        <v>6949</v>
      </c>
      <c r="J21" s="306" t="s">
        <v>105</v>
      </c>
      <c r="K21" s="320" t="s">
        <v>6943</v>
      </c>
      <c r="L21" s="327" t="s">
        <v>6951</v>
      </c>
      <c r="M21" s="306" t="s">
        <v>105</v>
      </c>
      <c r="N21" s="320" t="s">
        <v>6809</v>
      </c>
      <c r="O21" s="327" t="s">
        <v>6810</v>
      </c>
      <c r="P21" s="306" t="s">
        <v>105</v>
      </c>
      <c r="R21" s="735" t="s">
        <v>5444</v>
      </c>
      <c r="S21" s="231"/>
      <c r="T21" s="793">
        <f>INDEX(PEF_GEST_26!$A$3:$AAA$102,MATCH(B21,PEF_GEST_26!$A$3:$A$102,0),MATCH($T$4,PEF_GEST_26!$A$3:$AAA$3,0))</f>
        <v>315566.36782700795</v>
      </c>
      <c r="U21" s="794">
        <f>INDEX(PEF_COM_26!$A$3:$AAA$102,MATCH(C21,PEF_COM_26!$A$3:$A$102,0),MATCH($T$4,PEF_COM_26!$A$3:$AAA$3,0))</f>
        <v>0</v>
      </c>
      <c r="V21" s="789">
        <f t="shared" si="0"/>
        <v>315566.36782700795</v>
      </c>
      <c r="W21" s="793">
        <f>INDEX(PEF_GEST_27!$A$3:$AAA$102,MATCH(E21,PEF_GEST_27!$A$3:$A$102,0),MATCH($T$4,PEF_GEST_27!$A$3:$AAA$3,0))</f>
        <v>315566.36782700795</v>
      </c>
      <c r="X21" s="794">
        <f>INDEX(PEF_COM_27!$A$3:$AAA$102,MATCH(F21,PEF_COM_27!$A$3:$A$102,0),MATCH($T$4,PEF_COM_27!$A$3:$AAA$3,0))</f>
        <v>0</v>
      </c>
      <c r="Y21" s="789">
        <f t="shared" si="1"/>
        <v>315566.36782700795</v>
      </c>
      <c r="Z21" s="793">
        <f>INDEX(PEF_GEST_28!$A$3:$AAA$102,MATCH(H21,PEF_GEST_28!$A$3:$A$102,0),MATCH($T$4,PEF_GEST_28!$A$3:$AAA$3,0))</f>
        <v>338035.39975581953</v>
      </c>
      <c r="AA21" s="794">
        <f>INDEX(PEF_COM_28!$A$3:$AAA$102,MATCH(I21,PEF_COM_28!$A$3:$A$102,0),MATCH($T$4,PEF_COM_28!$A$3:$AAA$3,0))</f>
        <v>0</v>
      </c>
      <c r="AB21" s="789">
        <f t="shared" si="2"/>
        <v>338035.39975581953</v>
      </c>
      <c r="AC21" s="793">
        <f>INDEX(PEF_GEST_29!$A$3:$AAA$102,MATCH(K21,PEF_GEST_29!$A$3:$A$102,0),MATCH($T$4,PEF_GEST_29!$A$3:$AAA$3,0))</f>
        <v>0</v>
      </c>
      <c r="AD21" s="794">
        <f>INDEX(PEF_COM_29!$A$3:$AAA$102,MATCH(L21,PEF_COM_29!$A$3:$A$102,0),MATCH($T$4,PEF_COM_29!$A$3:$AAA$3,0))</f>
        <v>0</v>
      </c>
      <c r="AE21" s="789">
        <f t="shared" si="3"/>
        <v>0</v>
      </c>
      <c r="AF21" s="793">
        <f>INDEX(IN_Rimd!$A$3:$AAA$427,MATCH(N21,IN_Rimd!$A$3:$A$427,0),MATCH($T$4,IN_Rimd!$A$3:$AAA$3,0))</f>
        <v>0</v>
      </c>
      <c r="AG21" s="794">
        <f>INDEX(IN_Rimd!$A$3:$AAA$427,MATCH(O21,IN_Rimd!$A$3:$A$427,0),MATCH($T$4,IN_Rimd!$A$3:$AAA$3,0))</f>
        <v>0</v>
      </c>
      <c r="AH21" s="789">
        <f t="shared" ref="AH21" si="6">AF21+AG21</f>
        <v>0</v>
      </c>
      <c r="AJ21" s="1079">
        <f t="shared" si="4"/>
        <v>0</v>
      </c>
      <c r="AL21" s="1079">
        <v>1253305.469164883</v>
      </c>
      <c r="AM21" s="1079">
        <f t="shared" si="5"/>
        <v>-937739.10133787501</v>
      </c>
    </row>
    <row r="22" spans="1:79" x14ac:dyDescent="0.2">
      <c r="A22" s="332" t="s">
        <v>249</v>
      </c>
      <c r="B22" s="320" t="s">
        <v>105</v>
      </c>
      <c r="C22" s="327" t="s">
        <v>3153</v>
      </c>
      <c r="D22" s="306" t="s">
        <v>105</v>
      </c>
      <c r="E22" s="320" t="s">
        <v>105</v>
      </c>
      <c r="F22" s="327" t="s">
        <v>3310</v>
      </c>
      <c r="G22" s="306" t="s">
        <v>105</v>
      </c>
      <c r="H22" s="320" t="s">
        <v>105</v>
      </c>
      <c r="I22" s="327" t="s">
        <v>4126</v>
      </c>
      <c r="J22" s="306" t="s">
        <v>105</v>
      </c>
      <c r="K22" s="320" t="s">
        <v>105</v>
      </c>
      <c r="L22" s="327" t="s">
        <v>4327</v>
      </c>
      <c r="M22" s="306" t="s">
        <v>105</v>
      </c>
      <c r="N22" s="320" t="s">
        <v>105</v>
      </c>
      <c r="O22" s="327" t="s">
        <v>105</v>
      </c>
      <c r="P22" s="306" t="s">
        <v>105</v>
      </c>
      <c r="Q22" s="51"/>
      <c r="R22" s="732" t="s">
        <v>109</v>
      </c>
      <c r="S22" s="231"/>
      <c r="T22" s="795"/>
      <c r="U22" s="782">
        <f>INDEX(PEF_COM_26!$A$3:$AAA$102,MATCH(C22,PEF_COM_26!$A$3:$A$102,0),MATCH($T$4,PEF_COM_26!$A$3:$AAA$3,0))</f>
        <v>0</v>
      </c>
      <c r="V22" s="783">
        <f t="shared" si="0"/>
        <v>0</v>
      </c>
      <c r="W22" s="795"/>
      <c r="X22" s="782">
        <f>INDEX(PEF_COM_27!$A$3:$AAA$102,MATCH(F22,PEF_COM_27!$A$3:$A$102,0),MATCH($T$4,PEF_COM_27!$A$3:$AAA$3,0))</f>
        <v>0</v>
      </c>
      <c r="Y22" s="783">
        <f t="shared" si="1"/>
        <v>0</v>
      </c>
      <c r="Z22" s="795"/>
      <c r="AA22" s="782">
        <f>INDEX(PEF_COM_28!$A$3:$AAA$102,MATCH(I22,PEF_COM_28!$A$3:$A$102,0),MATCH($T$4,PEF_COM_28!$A$3:$AAA$3,0))</f>
        <v>0</v>
      </c>
      <c r="AB22" s="783">
        <f t="shared" si="2"/>
        <v>0</v>
      </c>
      <c r="AC22" s="795"/>
      <c r="AD22" s="782">
        <f>INDEX(PEF_COM_29!$A$3:$AAA$102,MATCH(L22,PEF_COM_29!$A$3:$A$102,0),MATCH($T$4,PEF_COM_29!$A$3:$AAA$3,0))</f>
        <v>0</v>
      </c>
      <c r="AE22" s="783">
        <f t="shared" si="3"/>
        <v>0</v>
      </c>
      <c r="AF22" s="969"/>
      <c r="AG22" s="958"/>
      <c r="AH22" s="959"/>
      <c r="AJ22" s="1082"/>
      <c r="AL22" s="1082"/>
      <c r="AM22" s="1082">
        <f t="shared" si="5"/>
        <v>0</v>
      </c>
      <c r="BT22" s="51"/>
      <c r="BU22" s="51"/>
      <c r="BV22" s="51"/>
      <c r="BW22" s="51"/>
      <c r="BX22" s="51"/>
      <c r="BY22" s="51"/>
      <c r="BZ22" s="51"/>
      <c r="CA22" s="51"/>
    </row>
    <row r="23" spans="1:79" ht="21" thickBot="1" x14ac:dyDescent="0.25">
      <c r="A23" s="314" t="s">
        <v>105</v>
      </c>
      <c r="B23" s="321" t="s">
        <v>105</v>
      </c>
      <c r="C23" s="328" t="s">
        <v>105</v>
      </c>
      <c r="D23" s="309" t="s">
        <v>105</v>
      </c>
      <c r="E23" s="321" t="s">
        <v>105</v>
      </c>
      <c r="F23" s="328" t="s">
        <v>105</v>
      </c>
      <c r="G23" s="309" t="s">
        <v>105</v>
      </c>
      <c r="H23" s="321" t="s">
        <v>105</v>
      </c>
      <c r="I23" s="328" t="s">
        <v>105</v>
      </c>
      <c r="J23" s="309" t="s">
        <v>105</v>
      </c>
      <c r="K23" s="321" t="s">
        <v>105</v>
      </c>
      <c r="L23" s="328" t="s">
        <v>105</v>
      </c>
      <c r="M23" s="309" t="s">
        <v>105</v>
      </c>
      <c r="N23" s="321" t="s">
        <v>105</v>
      </c>
      <c r="O23" s="328" t="s">
        <v>105</v>
      </c>
      <c r="P23" s="309" t="s">
        <v>105</v>
      </c>
      <c r="Q23" s="51"/>
      <c r="R23" s="236" t="s">
        <v>6368</v>
      </c>
      <c r="S23" s="231"/>
      <c r="T23" s="796">
        <f>T6+T7+T8+T9+T10+T11+T12+T13+T15+T14-T19+T20+T22</f>
        <v>7914332.885408367</v>
      </c>
      <c r="U23" s="797">
        <f>U6+U7+U8+U9+U10+U11+U12+U13+U15+U14-U19+U20+U22</f>
        <v>0</v>
      </c>
      <c r="V23" s="798">
        <f>T23+U23</f>
        <v>7914332.885408367</v>
      </c>
      <c r="W23" s="796">
        <f t="shared" ref="W23:X23" si="7">W6+W7+W8+W9+W10+W11+W12+W13+W15+W14-W19+W20+W22</f>
        <v>8746298.9873807728</v>
      </c>
      <c r="X23" s="797">
        <f t="shared" si="7"/>
        <v>0</v>
      </c>
      <c r="Y23" s="798">
        <f>W23+X23</f>
        <v>8746298.9873807728</v>
      </c>
      <c r="Z23" s="796">
        <f t="shared" ref="Z23:AA23" si="8">Z6+Z7+Z8+Z9+Z10+Z11+Z12+Z13+Z15+Z14-Z19+Z20+Z22</f>
        <v>8252633.5304478202</v>
      </c>
      <c r="AA23" s="797">
        <f t="shared" si="8"/>
        <v>0</v>
      </c>
      <c r="AB23" s="798">
        <f>Z23+AA23</f>
        <v>8252633.5304478202</v>
      </c>
      <c r="AC23" s="796">
        <f t="shared" ref="AC23:AD23" si="9">AC6+AC7+AC8+AC9+AC10+AC11+AC12+AC13+AC15+AC14-AC19+AC20+AC22</f>
        <v>7914598.1306920005</v>
      </c>
      <c r="AD23" s="797">
        <f t="shared" si="9"/>
        <v>0</v>
      </c>
      <c r="AE23" s="798">
        <f>AC23+AD23</f>
        <v>7914598.1306920005</v>
      </c>
      <c r="AF23" s="975"/>
      <c r="AG23" s="976"/>
      <c r="AH23" s="977"/>
      <c r="AJ23" s="797">
        <f t="shared" ref="AJ23:AJ52" si="10">W23-T23</f>
        <v>831966.1019724058</v>
      </c>
      <c r="AL23" s="797">
        <f t="shared" ref="AL23" si="11">AL6+AL7+AL8+AL9+AL10+AL11+AL12+AL13+AL15+AL14-AL19+AL20+AL22</f>
        <v>10216533.240633061</v>
      </c>
      <c r="AM23" s="797">
        <f t="shared" si="5"/>
        <v>-2302200.3552246941</v>
      </c>
      <c r="BT23" s="51"/>
      <c r="BU23" s="51"/>
      <c r="BV23" s="51"/>
      <c r="BW23" s="51"/>
      <c r="BX23" s="51"/>
      <c r="BY23" s="51"/>
      <c r="BZ23" s="51"/>
      <c r="CA23" s="51"/>
    </row>
    <row r="24" spans="1:79" ht="20.100000000000001" customHeight="1" thickBot="1" x14ac:dyDescent="0.25">
      <c r="A24" s="314" t="s">
        <v>105</v>
      </c>
      <c r="B24" s="321" t="s">
        <v>105</v>
      </c>
      <c r="C24" s="328" t="s">
        <v>105</v>
      </c>
      <c r="D24" s="309" t="s">
        <v>105</v>
      </c>
      <c r="E24" s="321" t="s">
        <v>105</v>
      </c>
      <c r="F24" s="328" t="s">
        <v>105</v>
      </c>
      <c r="G24" s="309" t="s">
        <v>105</v>
      </c>
      <c r="H24" s="321" t="s">
        <v>105</v>
      </c>
      <c r="I24" s="328" t="s">
        <v>105</v>
      </c>
      <c r="J24" s="309" t="s">
        <v>105</v>
      </c>
      <c r="K24" s="321" t="s">
        <v>105</v>
      </c>
      <c r="L24" s="328" t="s">
        <v>105</v>
      </c>
      <c r="M24" s="309" t="s">
        <v>105</v>
      </c>
      <c r="N24" s="321" t="s">
        <v>105</v>
      </c>
      <c r="O24" s="328" t="s">
        <v>105</v>
      </c>
      <c r="P24" s="309" t="s">
        <v>105</v>
      </c>
      <c r="Q24" s="51"/>
      <c r="R24" s="237"/>
      <c r="S24" s="238"/>
      <c r="T24" s="799"/>
      <c r="U24" s="800"/>
      <c r="V24" s="801"/>
      <c r="W24" s="799"/>
      <c r="X24" s="800"/>
      <c r="Y24" s="801"/>
      <c r="Z24" s="799"/>
      <c r="AA24" s="800"/>
      <c r="AB24" s="801"/>
      <c r="AC24" s="799"/>
      <c r="AD24" s="800"/>
      <c r="AE24" s="801"/>
      <c r="AF24" s="970"/>
      <c r="AG24" s="971"/>
      <c r="AH24" s="972"/>
      <c r="BT24" s="51"/>
      <c r="BU24" s="51"/>
      <c r="BV24" s="51"/>
      <c r="BW24" s="51"/>
      <c r="BX24" s="51"/>
      <c r="BY24" s="51"/>
      <c r="BZ24" s="51"/>
      <c r="CA24" s="51"/>
    </row>
    <row r="25" spans="1:79" x14ac:dyDescent="0.2">
      <c r="A25" s="313" t="s">
        <v>248</v>
      </c>
      <c r="B25" s="320" t="s">
        <v>3156</v>
      </c>
      <c r="C25" s="327" t="s">
        <v>3159</v>
      </c>
      <c r="D25" s="306" t="s">
        <v>105</v>
      </c>
      <c r="E25" s="320" t="s">
        <v>3313</v>
      </c>
      <c r="F25" s="327" t="s">
        <v>3316</v>
      </c>
      <c r="G25" s="306" t="s">
        <v>105</v>
      </c>
      <c r="H25" s="320" t="s">
        <v>4129</v>
      </c>
      <c r="I25" s="327" t="s">
        <v>4132</v>
      </c>
      <c r="J25" s="306" t="s">
        <v>105</v>
      </c>
      <c r="K25" s="320" t="s">
        <v>4330</v>
      </c>
      <c r="L25" s="327" t="s">
        <v>4333</v>
      </c>
      <c r="M25" s="306" t="s">
        <v>105</v>
      </c>
      <c r="N25" s="320" t="s">
        <v>105</v>
      </c>
      <c r="O25" s="327" t="s">
        <v>105</v>
      </c>
      <c r="P25" s="306" t="s">
        <v>105</v>
      </c>
      <c r="Q25" s="51"/>
      <c r="R25" s="750" t="s">
        <v>11</v>
      </c>
      <c r="S25" s="231"/>
      <c r="T25" s="802">
        <f>INDEX(PEF_GEST_26!$A$3:$AAA$102,MATCH(B25,PEF_GEST_26!$A$3:$A$102,0),MATCH($T$4,PEF_GEST_26!$A$3:$AAA$3,0))</f>
        <v>2456567.5796376001</v>
      </c>
      <c r="U25" s="803">
        <f>INDEX(PEF_COM_26!$A$3:$AAA$102,MATCH(C25,PEF_COM_26!$A$3:$A$102,0),MATCH($T$4,PEF_COM_26!$A$3:$AAA$3,0))</f>
        <v>0</v>
      </c>
      <c r="V25" s="804">
        <f t="shared" ref="V25:V49" si="12">T25+U25</f>
        <v>2456567.5796376001</v>
      </c>
      <c r="W25" s="802">
        <f>INDEX(PEF_GEST_27!$A$3:$AAA$102,MATCH(E25,PEF_GEST_27!$A$3:$A$102,0),MATCH($T$4,PEF_GEST_27!$A$3:$AAA$3,0))</f>
        <v>2380990.7114399998</v>
      </c>
      <c r="X25" s="803">
        <f>INDEX(PEF_COM_27!$A$3:$AAA$102,MATCH(F25,PEF_COM_27!$A$3:$A$102,0),MATCH($T$4,PEF_COM_27!$A$3:$AAA$3,0))</f>
        <v>0</v>
      </c>
      <c r="Y25" s="804">
        <f t="shared" ref="Y25:Y49" si="13">W25+X25</f>
        <v>2380990.7114399998</v>
      </c>
      <c r="Z25" s="802">
        <f>INDEX(PEF_GEST_28!$A$3:$AAA$102,MATCH(H25,PEF_GEST_28!$A$3:$A$102,0),MATCH($T$4,PEF_GEST_28!$A$3:$AAA$3,0))</f>
        <v>2380990.7114399998</v>
      </c>
      <c r="AA25" s="803">
        <f>INDEX(PEF_COM_28!$A$3:$AAA$102,MATCH(I25,PEF_COM_28!$A$3:$A$102,0),MATCH($T$4,PEF_COM_28!$A$3:$AAA$3,0))</f>
        <v>0</v>
      </c>
      <c r="AB25" s="804">
        <f t="shared" ref="AB25:AB49" si="14">Z25+AA25</f>
        <v>2380990.7114399998</v>
      </c>
      <c r="AC25" s="802">
        <f>INDEX(PEF_GEST_29!$A$3:$AAA$102,MATCH(K25,PEF_GEST_29!$A$3:$A$102,0),MATCH($T$4,PEF_GEST_29!$A$3:$AAA$3,0))</f>
        <v>2380990.7114399998</v>
      </c>
      <c r="AD25" s="803">
        <f>INDEX(PEF_COM_29!$A$3:$AAA$102,MATCH(L25,PEF_COM_29!$A$3:$A$102,0),MATCH($T$4,PEF_COM_29!$A$3:$AAA$3,0))</f>
        <v>0</v>
      </c>
      <c r="AE25" s="804">
        <f t="shared" ref="AE25:AE49" si="15">AC25+AD25</f>
        <v>2380990.7114399998</v>
      </c>
      <c r="AF25" s="978"/>
      <c r="AG25" s="979"/>
      <c r="AH25" s="980"/>
      <c r="AJ25" s="1083">
        <f t="shared" si="10"/>
        <v>-75576.868197600357</v>
      </c>
      <c r="AL25" s="1083">
        <v>2429367.2177280001</v>
      </c>
      <c r="AM25" s="1083">
        <f t="shared" ref="AM25:AM49" si="16">T25-AL25</f>
        <v>27200.361909599975</v>
      </c>
      <c r="AO25" s="1105"/>
      <c r="BT25" s="51"/>
      <c r="BU25" s="51"/>
      <c r="BV25" s="51"/>
      <c r="BW25" s="51"/>
      <c r="BX25" s="51"/>
      <c r="BY25" s="51"/>
      <c r="BZ25" s="51"/>
      <c r="CA25" s="51"/>
    </row>
    <row r="26" spans="1:79" x14ac:dyDescent="0.2">
      <c r="A26" s="313" t="s">
        <v>248</v>
      </c>
      <c r="B26" s="320" t="s">
        <v>3162</v>
      </c>
      <c r="C26" s="327" t="s">
        <v>3165</v>
      </c>
      <c r="D26" s="306" t="s">
        <v>105</v>
      </c>
      <c r="E26" s="320" t="s">
        <v>3319</v>
      </c>
      <c r="F26" s="327" t="s">
        <v>3322</v>
      </c>
      <c r="G26" s="306" t="s">
        <v>105</v>
      </c>
      <c r="H26" s="320" t="s">
        <v>4135</v>
      </c>
      <c r="I26" s="327" t="s">
        <v>4138</v>
      </c>
      <c r="J26" s="306" t="s">
        <v>105</v>
      </c>
      <c r="K26" s="320" t="s">
        <v>4336</v>
      </c>
      <c r="L26" s="327" t="s">
        <v>4339</v>
      </c>
      <c r="M26" s="306" t="s">
        <v>105</v>
      </c>
      <c r="N26" s="320" t="s">
        <v>105</v>
      </c>
      <c r="O26" s="327" t="s">
        <v>105</v>
      </c>
      <c r="P26" s="306" t="s">
        <v>105</v>
      </c>
      <c r="Q26" s="51"/>
      <c r="R26" s="743" t="s">
        <v>13</v>
      </c>
      <c r="S26" s="231"/>
      <c r="T26" s="781">
        <f>INDEX(PEF_GEST_26!$A$3:$AAA$102,MATCH(B26,PEF_GEST_26!$A$3:$A$102,0),MATCH($T$4,PEF_GEST_26!$A$3:$AAA$3,0))</f>
        <v>614409.89280000003</v>
      </c>
      <c r="U26" s="782">
        <f>INDEX(PEF_COM_26!$A$3:$AAA$102,MATCH(C26,PEF_COM_26!$A$3:$A$102,0),MATCH($T$4,PEF_COM_26!$A$3:$AAA$3,0))</f>
        <v>0</v>
      </c>
      <c r="V26" s="805">
        <f t="shared" si="12"/>
        <v>614409.89280000003</v>
      </c>
      <c r="W26" s="781">
        <f>INDEX(PEF_GEST_27!$A$3:$AAA$102,MATCH(E26,PEF_GEST_27!$A$3:$A$102,0),MATCH($T$4,PEF_GEST_27!$A$3:$AAA$3,0))</f>
        <v>654540.42896000005</v>
      </c>
      <c r="X26" s="782">
        <f>INDEX(PEF_COM_27!$A$3:$AAA$102,MATCH(F26,PEF_COM_27!$A$3:$A$102,0),MATCH($T$4,PEF_COM_27!$A$3:$AAA$3,0))</f>
        <v>0</v>
      </c>
      <c r="Y26" s="805">
        <f t="shared" si="13"/>
        <v>654540.42896000005</v>
      </c>
      <c r="Z26" s="781">
        <f>INDEX(PEF_GEST_28!$A$3:$AAA$102,MATCH(H26,PEF_GEST_28!$A$3:$A$102,0),MATCH($T$4,PEF_GEST_28!$A$3:$AAA$3,0))</f>
        <v>654540.42896000005</v>
      </c>
      <c r="AA26" s="782">
        <f>INDEX(PEF_COM_28!$A$3:$AAA$102,MATCH(I26,PEF_COM_28!$A$3:$A$102,0),MATCH($T$4,PEF_COM_28!$A$3:$AAA$3,0))</f>
        <v>0</v>
      </c>
      <c r="AB26" s="805">
        <f t="shared" si="14"/>
        <v>654540.42896000005</v>
      </c>
      <c r="AC26" s="781">
        <f>INDEX(PEF_GEST_29!$A$3:$AAA$102,MATCH(K26,PEF_GEST_29!$A$3:$A$102,0),MATCH($T$4,PEF_GEST_29!$A$3:$AAA$3,0))</f>
        <v>654540.42896000005</v>
      </c>
      <c r="AD26" s="782">
        <f>INDEX(PEF_COM_29!$A$3:$AAA$102,MATCH(L26,PEF_COM_29!$A$3:$A$102,0),MATCH($T$4,PEF_COM_29!$A$3:$AAA$3,0))</f>
        <v>0</v>
      </c>
      <c r="AE26" s="805">
        <f t="shared" si="15"/>
        <v>654540.42896000005</v>
      </c>
      <c r="AF26" s="960"/>
      <c r="AG26" s="961"/>
      <c r="AH26" s="973"/>
      <c r="AJ26" s="1080">
        <f t="shared" si="10"/>
        <v>40130.536160000018</v>
      </c>
      <c r="AL26" s="1080">
        <v>675076.23424000002</v>
      </c>
      <c r="AM26" s="1080">
        <f t="shared" si="16"/>
        <v>-60666.341439999989</v>
      </c>
      <c r="AO26" s="1105"/>
      <c r="BT26" s="51"/>
      <c r="BU26" s="51"/>
      <c r="BV26" s="51"/>
      <c r="BW26" s="51"/>
      <c r="BX26" s="51"/>
      <c r="BY26" s="51"/>
      <c r="BZ26" s="51"/>
      <c r="CA26" s="51"/>
    </row>
    <row r="27" spans="1:79" x14ac:dyDescent="0.2">
      <c r="A27" s="313" t="s">
        <v>248</v>
      </c>
      <c r="B27" s="320" t="s">
        <v>3168</v>
      </c>
      <c r="C27" s="327" t="s">
        <v>3171</v>
      </c>
      <c r="D27" s="306" t="s">
        <v>105</v>
      </c>
      <c r="E27" s="320" t="s">
        <v>3325</v>
      </c>
      <c r="F27" s="327" t="s">
        <v>3328</v>
      </c>
      <c r="G27" s="306" t="s">
        <v>105</v>
      </c>
      <c r="H27" s="320" t="s">
        <v>4141</v>
      </c>
      <c r="I27" s="327" t="s">
        <v>4144</v>
      </c>
      <c r="J27" s="306" t="s">
        <v>105</v>
      </c>
      <c r="K27" s="320" t="s">
        <v>4342</v>
      </c>
      <c r="L27" s="327" t="s">
        <v>4345</v>
      </c>
      <c r="M27" s="306" t="s">
        <v>105</v>
      </c>
      <c r="N27" s="320" t="s">
        <v>105</v>
      </c>
      <c r="O27" s="327" t="s">
        <v>105</v>
      </c>
      <c r="P27" s="306" t="s">
        <v>105</v>
      </c>
      <c r="Q27" s="51"/>
      <c r="R27" s="743" t="s">
        <v>14</v>
      </c>
      <c r="S27" s="231"/>
      <c r="T27" s="784">
        <f>INDEX(PEF_GEST_26!$A$3:$AAA$102,MATCH(B27,PEF_GEST_26!$A$3:$A$102,0),MATCH($T$4,PEF_GEST_26!$A$3:$AAA$3,0))</f>
        <v>1427110.4677104</v>
      </c>
      <c r="U27" s="785">
        <f>INDEX(PEF_COM_26!$A$3:$AAA$102,MATCH(C27,PEF_COM_26!$A$3:$A$102,0),MATCH($T$4,PEF_COM_26!$A$3:$AAA$3,0))</f>
        <v>0</v>
      </c>
      <c r="V27" s="806">
        <f t="shared" si="12"/>
        <v>1427110.4677104</v>
      </c>
      <c r="W27" s="784">
        <f>INDEX(PEF_GEST_27!$A$3:$AAA$102,MATCH(E27,PEF_GEST_27!$A$3:$A$102,0),MATCH($T$4,PEF_GEST_27!$A$3:$AAA$3,0))</f>
        <v>1750717.3543199999</v>
      </c>
      <c r="X27" s="785">
        <f>INDEX(PEF_COM_27!$A$3:$AAA$102,MATCH(F27,PEF_COM_27!$A$3:$A$102,0),MATCH($T$4,PEF_COM_27!$A$3:$AAA$3,0))</f>
        <v>0</v>
      </c>
      <c r="Y27" s="806">
        <f t="shared" si="13"/>
        <v>1750717.3543199999</v>
      </c>
      <c r="Z27" s="784">
        <f>INDEX(PEF_GEST_28!$A$3:$AAA$102,MATCH(H27,PEF_GEST_28!$A$3:$A$102,0),MATCH($T$4,PEF_GEST_28!$A$3:$AAA$3,0))</f>
        <v>1750717.3543199999</v>
      </c>
      <c r="AA27" s="785">
        <f>INDEX(PEF_COM_28!$A$3:$AAA$102,MATCH(I27,PEF_COM_28!$A$3:$A$102,0),MATCH($T$4,PEF_COM_28!$A$3:$AAA$3,0))</f>
        <v>0</v>
      </c>
      <c r="AB27" s="806">
        <f t="shared" si="14"/>
        <v>1750717.3543199999</v>
      </c>
      <c r="AC27" s="784">
        <f>INDEX(PEF_GEST_29!$A$3:$AAA$102,MATCH(K27,PEF_GEST_29!$A$3:$A$102,0),MATCH($T$4,PEF_GEST_29!$A$3:$AAA$3,0))</f>
        <v>1750717.3543199999</v>
      </c>
      <c r="AD27" s="785">
        <f>INDEX(PEF_COM_29!$A$3:$AAA$102,MATCH(L27,PEF_COM_29!$A$3:$A$102,0),MATCH($T$4,PEF_COM_29!$A$3:$AAA$3,0))</f>
        <v>0</v>
      </c>
      <c r="AE27" s="806">
        <f t="shared" si="15"/>
        <v>1750717.3543199999</v>
      </c>
      <c r="AF27" s="960"/>
      <c r="AG27" s="961"/>
      <c r="AH27" s="973"/>
      <c r="AJ27" s="1078">
        <f t="shared" si="10"/>
        <v>323606.88660959993</v>
      </c>
      <c r="AL27" s="1078">
        <v>1561338.8926784</v>
      </c>
      <c r="AM27" s="1078">
        <f t="shared" si="16"/>
        <v>-134228.42496800004</v>
      </c>
      <c r="AO27" s="1105"/>
      <c r="BT27" s="51"/>
      <c r="BU27" s="51"/>
      <c r="BV27" s="51"/>
      <c r="BW27" s="51"/>
      <c r="BX27" s="51"/>
      <c r="BY27" s="51"/>
      <c r="BZ27" s="51"/>
      <c r="CA27" s="51"/>
    </row>
    <row r="28" spans="1:79" x14ac:dyDescent="0.2">
      <c r="A28" s="313" t="s">
        <v>248</v>
      </c>
      <c r="B28" s="320" t="s">
        <v>3174</v>
      </c>
      <c r="C28" s="327" t="s">
        <v>3177</v>
      </c>
      <c r="D28" s="306" t="s">
        <v>105</v>
      </c>
      <c r="E28" s="320" t="s">
        <v>3331</v>
      </c>
      <c r="F28" s="327" t="s">
        <v>3334</v>
      </c>
      <c r="G28" s="306" t="s">
        <v>105</v>
      </c>
      <c r="H28" s="320" t="s">
        <v>4147</v>
      </c>
      <c r="I28" s="327" t="s">
        <v>4150</v>
      </c>
      <c r="J28" s="306" t="s">
        <v>105</v>
      </c>
      <c r="K28" s="320" t="s">
        <v>4348</v>
      </c>
      <c r="L28" s="327" t="s">
        <v>4351</v>
      </c>
      <c r="M28" s="306" t="s">
        <v>105</v>
      </c>
      <c r="N28" s="320" t="s">
        <v>105</v>
      </c>
      <c r="O28" s="327" t="s">
        <v>105</v>
      </c>
      <c r="P28" s="306" t="s">
        <v>105</v>
      </c>
      <c r="Q28" s="51"/>
      <c r="R28" s="743" t="s">
        <v>15</v>
      </c>
      <c r="S28" s="231"/>
      <c r="T28" s="784">
        <f>INDEX(PEF_GEST_26!$A$3:$AAA$102,MATCH(B28,PEF_GEST_26!$A$3:$A$102,0),MATCH($T$4,PEF_GEST_26!$A$3:$AAA$3,0))</f>
        <v>0</v>
      </c>
      <c r="U28" s="785">
        <f>INDEX(PEF_COM_26!$A$3:$AAA$102,MATCH(C28,PEF_COM_26!$A$3:$A$102,0),MATCH($T$4,PEF_COM_26!$A$3:$AAA$3,0))</f>
        <v>0</v>
      </c>
      <c r="V28" s="806">
        <f t="shared" si="12"/>
        <v>0</v>
      </c>
      <c r="W28" s="784">
        <f>INDEX(PEF_GEST_27!$A$3:$AAA$102,MATCH(E28,PEF_GEST_27!$A$3:$A$102,0),MATCH($T$4,PEF_GEST_27!$A$3:$AAA$3,0))</f>
        <v>0</v>
      </c>
      <c r="X28" s="785">
        <f>INDEX(PEF_COM_27!$A$3:$AAA$102,MATCH(F28,PEF_COM_27!$A$3:$A$102,0),MATCH($T$4,PEF_COM_27!$A$3:$AAA$3,0))</f>
        <v>0</v>
      </c>
      <c r="Y28" s="806">
        <f t="shared" si="13"/>
        <v>0</v>
      </c>
      <c r="Z28" s="784">
        <f>INDEX(PEF_GEST_28!$A$3:$AAA$102,MATCH(H28,PEF_GEST_28!$A$3:$A$102,0),MATCH($T$4,PEF_GEST_28!$A$3:$AAA$3,0))</f>
        <v>0</v>
      </c>
      <c r="AA28" s="785">
        <f>INDEX(PEF_COM_28!$A$3:$AAA$102,MATCH(I28,PEF_COM_28!$A$3:$A$102,0),MATCH($T$4,PEF_COM_28!$A$3:$AAA$3,0))</f>
        <v>0</v>
      </c>
      <c r="AB28" s="806">
        <f t="shared" si="14"/>
        <v>0</v>
      </c>
      <c r="AC28" s="784">
        <f>INDEX(PEF_GEST_29!$A$3:$AAA$102,MATCH(K28,PEF_GEST_29!$A$3:$A$102,0),MATCH($T$4,PEF_GEST_29!$A$3:$AAA$3,0))</f>
        <v>0</v>
      </c>
      <c r="AD28" s="785">
        <f>INDEX(PEF_COM_29!$A$3:$AAA$102,MATCH(L28,PEF_COM_29!$A$3:$A$102,0),MATCH($T$4,PEF_COM_29!$A$3:$AAA$3,0))</f>
        <v>0</v>
      </c>
      <c r="AE28" s="806">
        <f t="shared" si="15"/>
        <v>0</v>
      </c>
      <c r="AF28" s="960"/>
      <c r="AG28" s="961"/>
      <c r="AH28" s="973"/>
      <c r="AJ28" s="1078">
        <f t="shared" si="10"/>
        <v>0</v>
      </c>
      <c r="AL28" s="1078">
        <v>0</v>
      </c>
      <c r="AM28" s="1078">
        <f t="shared" si="16"/>
        <v>0</v>
      </c>
      <c r="AO28" s="1105"/>
      <c r="BT28" s="51"/>
      <c r="BU28" s="51"/>
      <c r="BV28" s="51"/>
      <c r="BW28" s="51"/>
      <c r="BX28" s="51"/>
      <c r="BY28" s="51"/>
      <c r="BZ28" s="51"/>
      <c r="CA28" s="51"/>
    </row>
    <row r="29" spans="1:79" ht="11.4" x14ac:dyDescent="0.2">
      <c r="A29" s="313" t="s">
        <v>248</v>
      </c>
      <c r="B29" s="320" t="s">
        <v>3180</v>
      </c>
      <c r="C29" s="327" t="s">
        <v>3183</v>
      </c>
      <c r="D29" s="306" t="s">
        <v>105</v>
      </c>
      <c r="E29" s="320" t="s">
        <v>3337</v>
      </c>
      <c r="F29" s="327" t="s">
        <v>3340</v>
      </c>
      <c r="G29" s="306" t="s">
        <v>105</v>
      </c>
      <c r="H29" s="320" t="s">
        <v>4153</v>
      </c>
      <c r="I29" s="327" t="s">
        <v>4156</v>
      </c>
      <c r="J29" s="306" t="s">
        <v>105</v>
      </c>
      <c r="K29" s="320" t="s">
        <v>4354</v>
      </c>
      <c r="L29" s="327" t="s">
        <v>4357</v>
      </c>
      <c r="M29" s="306" t="s">
        <v>105</v>
      </c>
      <c r="N29" s="320" t="s">
        <v>105</v>
      </c>
      <c r="O29" s="327" t="s">
        <v>105</v>
      </c>
      <c r="P29" s="306" t="s">
        <v>105</v>
      </c>
      <c r="Q29" s="51"/>
      <c r="R29" s="745" t="s">
        <v>16</v>
      </c>
      <c r="S29" s="231"/>
      <c r="T29" s="807">
        <f>INDEX(PEF_GEST_26!$A$3:$AAA$102,MATCH(B29,PEF_GEST_26!$A$3:$A$102,0),MATCH($T$4,PEF_GEST_26!$A$3:$AAA$3,0))</f>
        <v>0</v>
      </c>
      <c r="U29" s="808">
        <f>INDEX(PEF_COM_26!$A$3:$AAA$102,MATCH(C29,PEF_COM_26!$A$3:$A$102,0),MATCH($T$4,PEF_COM_26!$A$3:$AAA$3,0))</f>
        <v>0</v>
      </c>
      <c r="V29" s="809">
        <f t="shared" si="12"/>
        <v>0</v>
      </c>
      <c r="W29" s="807">
        <f>INDEX(PEF_GEST_27!$A$3:$AAA$102,MATCH(E29,PEF_GEST_27!$A$3:$A$102,0),MATCH($T$4,PEF_GEST_27!$A$3:$AAA$3,0))</f>
        <v>0</v>
      </c>
      <c r="X29" s="808">
        <f>INDEX(PEF_COM_27!$A$3:$AAA$102,MATCH(F29,PEF_COM_27!$A$3:$A$102,0),MATCH($T$4,PEF_COM_27!$A$3:$AAA$3,0))</f>
        <v>0</v>
      </c>
      <c r="Y29" s="809">
        <f t="shared" si="13"/>
        <v>0</v>
      </c>
      <c r="Z29" s="807">
        <f>INDEX(PEF_GEST_28!$A$3:$AAA$102,MATCH(H29,PEF_GEST_28!$A$3:$A$102,0),MATCH($T$4,PEF_GEST_28!$A$3:$AAA$3,0))</f>
        <v>0</v>
      </c>
      <c r="AA29" s="808">
        <f>INDEX(PEF_COM_28!$A$3:$AAA$102,MATCH(I29,PEF_COM_28!$A$3:$A$102,0),MATCH($T$4,PEF_COM_28!$A$3:$AAA$3,0))</f>
        <v>0</v>
      </c>
      <c r="AB29" s="809">
        <f t="shared" si="14"/>
        <v>0</v>
      </c>
      <c r="AC29" s="807">
        <f>INDEX(PEF_GEST_29!$A$3:$AAA$102,MATCH(K29,PEF_GEST_29!$A$3:$A$102,0),MATCH($T$4,PEF_GEST_29!$A$3:$AAA$3,0))</f>
        <v>0</v>
      </c>
      <c r="AD29" s="808">
        <f>INDEX(PEF_COM_29!$A$3:$AAA$102,MATCH(L29,PEF_COM_29!$A$3:$A$102,0),MATCH($T$4,PEF_COM_29!$A$3:$AAA$3,0))</f>
        <v>0</v>
      </c>
      <c r="AE29" s="809">
        <f t="shared" si="15"/>
        <v>0</v>
      </c>
      <c r="AF29" s="960"/>
      <c r="AG29" s="961"/>
      <c r="AH29" s="973"/>
      <c r="AJ29" s="1079">
        <f t="shared" si="10"/>
        <v>0</v>
      </c>
      <c r="AL29" s="1079">
        <v>0</v>
      </c>
      <c r="AM29" s="1079">
        <f t="shared" si="16"/>
        <v>0</v>
      </c>
      <c r="AO29" s="1105"/>
      <c r="BT29" s="51"/>
      <c r="BU29" s="51"/>
      <c r="BV29" s="51"/>
      <c r="BW29" s="51"/>
      <c r="BX29" s="51"/>
      <c r="BY29" s="51"/>
      <c r="BZ29" s="51"/>
      <c r="CA29" s="51"/>
    </row>
    <row r="30" spans="1:79" x14ac:dyDescent="0.2">
      <c r="A30" s="314" t="s">
        <v>105</v>
      </c>
      <c r="B30" s="321" t="s">
        <v>105</v>
      </c>
      <c r="C30" s="328" t="s">
        <v>105</v>
      </c>
      <c r="D30" s="309" t="s">
        <v>105</v>
      </c>
      <c r="E30" s="321" t="s">
        <v>105</v>
      </c>
      <c r="F30" s="328" t="s">
        <v>105</v>
      </c>
      <c r="G30" s="309" t="s">
        <v>105</v>
      </c>
      <c r="H30" s="321" t="s">
        <v>105</v>
      </c>
      <c r="I30" s="328" t="s">
        <v>105</v>
      </c>
      <c r="J30" s="309" t="s">
        <v>105</v>
      </c>
      <c r="K30" s="321" t="s">
        <v>105</v>
      </c>
      <c r="L30" s="328" t="s">
        <v>105</v>
      </c>
      <c r="M30" s="309" t="s">
        <v>105</v>
      </c>
      <c r="N30" s="321" t="s">
        <v>105</v>
      </c>
      <c r="O30" s="328" t="s">
        <v>105</v>
      </c>
      <c r="P30" s="309" t="s">
        <v>105</v>
      </c>
      <c r="Q30" s="51"/>
      <c r="R30" s="733" t="s">
        <v>12</v>
      </c>
      <c r="S30" s="231"/>
      <c r="T30" s="810">
        <f>SUM(T26:T29)</f>
        <v>2041520.3605104</v>
      </c>
      <c r="U30" s="811">
        <f>SUM(U26:U29)</f>
        <v>0</v>
      </c>
      <c r="V30" s="812">
        <f t="shared" si="12"/>
        <v>2041520.3605104</v>
      </c>
      <c r="W30" s="810">
        <f t="shared" ref="W30:X30" si="17">SUM(W26:W29)</f>
        <v>2405257.7832800001</v>
      </c>
      <c r="X30" s="811">
        <f t="shared" si="17"/>
        <v>0</v>
      </c>
      <c r="Y30" s="812">
        <f t="shared" si="13"/>
        <v>2405257.7832800001</v>
      </c>
      <c r="Z30" s="810">
        <f t="shared" ref="Z30:AA30" si="18">SUM(Z26:Z29)</f>
        <v>2405257.7832800001</v>
      </c>
      <c r="AA30" s="811">
        <f t="shared" si="18"/>
        <v>0</v>
      </c>
      <c r="AB30" s="812">
        <f t="shared" si="14"/>
        <v>2405257.7832800001</v>
      </c>
      <c r="AC30" s="810">
        <f>SUM(AC26:AC29)</f>
        <v>2405257.7832800001</v>
      </c>
      <c r="AD30" s="811">
        <f>SUM(AD26:AD29)</f>
        <v>0</v>
      </c>
      <c r="AE30" s="812">
        <f t="shared" si="15"/>
        <v>2405257.7832800001</v>
      </c>
      <c r="AF30" s="960"/>
      <c r="AG30" s="961"/>
      <c r="AH30" s="973"/>
      <c r="AJ30" s="1076">
        <f t="shared" si="10"/>
        <v>363737.42276960006</v>
      </c>
      <c r="AL30" s="1076">
        <v>2236415.1269184002</v>
      </c>
      <c r="AM30" s="1076">
        <f t="shared" si="16"/>
        <v>-194894.76640800014</v>
      </c>
      <c r="AO30" s="1105"/>
      <c r="BT30" s="51"/>
      <c r="BU30" s="51"/>
      <c r="BV30" s="51"/>
      <c r="BW30" s="51"/>
      <c r="BX30" s="51"/>
      <c r="BY30" s="51"/>
      <c r="BZ30" s="51"/>
      <c r="CA30" s="51"/>
    </row>
    <row r="31" spans="1:79" x14ac:dyDescent="0.2">
      <c r="A31" s="313" t="s">
        <v>248</v>
      </c>
      <c r="B31" s="320" t="s">
        <v>3186</v>
      </c>
      <c r="C31" s="327" t="s">
        <v>3189</v>
      </c>
      <c r="D31" s="306" t="s">
        <v>105</v>
      </c>
      <c r="E31" s="320" t="s">
        <v>3343</v>
      </c>
      <c r="F31" s="327" t="s">
        <v>3346</v>
      </c>
      <c r="G31" s="306" t="s">
        <v>105</v>
      </c>
      <c r="H31" s="320" t="s">
        <v>4159</v>
      </c>
      <c r="I31" s="327" t="s">
        <v>4162</v>
      </c>
      <c r="J31" s="306" t="s">
        <v>105</v>
      </c>
      <c r="K31" s="320" t="s">
        <v>4360</v>
      </c>
      <c r="L31" s="327" t="s">
        <v>4363</v>
      </c>
      <c r="M31" s="306" t="s">
        <v>105</v>
      </c>
      <c r="N31" s="320" t="s">
        <v>105</v>
      </c>
      <c r="O31" s="327" t="s">
        <v>105</v>
      </c>
      <c r="P31" s="306" t="s">
        <v>105</v>
      </c>
      <c r="Q31" s="51"/>
      <c r="R31" s="743" t="s">
        <v>18</v>
      </c>
      <c r="S31" s="231"/>
      <c r="T31" s="790">
        <f>INDEX(PEF_GEST_26!$A$3:$AAA$102,MATCH(B31,PEF_GEST_26!$A$3:$A$102,0),MATCH($T$4,PEF_GEST_26!$A$3:$AAA$3,0))</f>
        <v>776842.25678022834</v>
      </c>
      <c r="U31" s="791">
        <f>INDEX(PEF_COM_26!$A$3:$AAA$102,MATCH(C31,PEF_COM_26!$A$3:$A$102,0),MATCH($T$4,PEF_COM_26!$A$3:$AAA$3,0))</f>
        <v>0</v>
      </c>
      <c r="V31" s="806">
        <f t="shared" si="12"/>
        <v>776842.25678022834</v>
      </c>
      <c r="W31" s="790">
        <f>INDEX(PEF_GEST_27!$A$3:$AAA$102,MATCH(E31,PEF_GEST_27!$A$3:$A$102,0),MATCH($T$4,PEF_GEST_27!$A$3:$AAA$3,0))</f>
        <v>769215.86820567632</v>
      </c>
      <c r="X31" s="791">
        <f>INDEX(PEF_COM_27!$A$3:$AAA$102,MATCH(F31,PEF_COM_27!$A$3:$A$102,0),MATCH($T$4,PEF_COM_27!$A$3:$AAA$3,0))</f>
        <v>0</v>
      </c>
      <c r="Y31" s="806">
        <f t="shared" si="13"/>
        <v>769215.86820567632</v>
      </c>
      <c r="Z31" s="790">
        <f>INDEX(PEF_GEST_28!$A$3:$AAA$102,MATCH(H31,PEF_GEST_28!$A$3:$A$102,0),MATCH($T$4,PEF_GEST_28!$A$3:$AAA$3,0))</f>
        <v>639718.63503260689</v>
      </c>
      <c r="AA31" s="791">
        <f>INDEX(PEF_COM_28!$A$3:$AAA$102,MATCH(I31,PEF_COM_28!$A$3:$A$102,0),MATCH($T$4,PEF_COM_28!$A$3:$AAA$3,0))</f>
        <v>0</v>
      </c>
      <c r="AB31" s="806">
        <f t="shared" si="14"/>
        <v>639718.63503260689</v>
      </c>
      <c r="AC31" s="790">
        <f>INDEX(PEF_GEST_29!$A$3:$AAA$102,MATCH(K31,PEF_GEST_29!$A$3:$A$102,0),MATCH($T$4,PEF_GEST_29!$A$3:$AAA$3,0))</f>
        <v>510556.06046451128</v>
      </c>
      <c r="AD31" s="791">
        <f>INDEX(PEF_COM_29!$A$3:$AAA$102,MATCH(L31,PEF_COM_29!$A$3:$A$102,0),MATCH($T$4,PEF_COM_29!$A$3:$AAA$3,0))</f>
        <v>0</v>
      </c>
      <c r="AE31" s="806">
        <f t="shared" si="15"/>
        <v>510556.06046451128</v>
      </c>
      <c r="AF31" s="960"/>
      <c r="AG31" s="961"/>
      <c r="AH31" s="973"/>
      <c r="AJ31" s="1080">
        <f t="shared" si="10"/>
        <v>-7626.3885745520238</v>
      </c>
      <c r="AL31" s="1080">
        <v>646390.20896400628</v>
      </c>
      <c r="AM31" s="1080">
        <f t="shared" si="16"/>
        <v>130452.04781622207</v>
      </c>
      <c r="AO31" s="1105"/>
      <c r="BT31" s="51"/>
      <c r="BU31" s="51"/>
      <c r="BV31" s="51"/>
      <c r="BW31" s="51"/>
      <c r="BX31" s="51"/>
      <c r="BY31" s="51"/>
      <c r="BZ31" s="51"/>
      <c r="CA31" s="51"/>
    </row>
    <row r="32" spans="1:79" x14ac:dyDescent="0.2">
      <c r="A32" s="314" t="s">
        <v>105</v>
      </c>
      <c r="B32" s="321" t="s">
        <v>105</v>
      </c>
      <c r="C32" s="328" t="s">
        <v>105</v>
      </c>
      <c r="D32" s="309" t="s">
        <v>105</v>
      </c>
      <c r="E32" s="321" t="s">
        <v>105</v>
      </c>
      <c r="F32" s="328" t="s">
        <v>105</v>
      </c>
      <c r="G32" s="309" t="s">
        <v>105</v>
      </c>
      <c r="H32" s="321" t="s">
        <v>105</v>
      </c>
      <c r="I32" s="328" t="s">
        <v>105</v>
      </c>
      <c r="J32" s="309" t="s">
        <v>105</v>
      </c>
      <c r="K32" s="321" t="s">
        <v>105</v>
      </c>
      <c r="L32" s="328" t="s">
        <v>105</v>
      </c>
      <c r="M32" s="309" t="s">
        <v>105</v>
      </c>
      <c r="N32" s="321" t="s">
        <v>105</v>
      </c>
      <c r="O32" s="328" t="s">
        <v>105</v>
      </c>
      <c r="P32" s="309" t="s">
        <v>105</v>
      </c>
      <c r="Q32" s="51"/>
      <c r="R32" s="746" t="s">
        <v>19</v>
      </c>
      <c r="S32" s="231"/>
      <c r="T32" s="813">
        <f>SUM(T33:T36)</f>
        <v>928313.04456000007</v>
      </c>
      <c r="U32" s="814">
        <f>SUM(U33:U36)</f>
        <v>0</v>
      </c>
      <c r="V32" s="806">
        <f t="shared" si="12"/>
        <v>928313.04456000007</v>
      </c>
      <c r="W32" s="813">
        <f t="shared" ref="W32:X32" si="19">SUM(W33:W36)</f>
        <v>910110.82799999998</v>
      </c>
      <c r="X32" s="814">
        <f t="shared" si="19"/>
        <v>0</v>
      </c>
      <c r="Y32" s="806">
        <f t="shared" si="13"/>
        <v>910110.82799999998</v>
      </c>
      <c r="Z32" s="813">
        <f t="shared" ref="Z32:AA32" si="20">SUM(Z33:Z36)</f>
        <v>682583</v>
      </c>
      <c r="AA32" s="814">
        <f t="shared" si="20"/>
        <v>0</v>
      </c>
      <c r="AB32" s="806">
        <f t="shared" si="14"/>
        <v>682583</v>
      </c>
      <c r="AC32" s="813">
        <f t="shared" ref="AC32:AD32" si="21">SUM(AC33:AC36)</f>
        <v>455055</v>
      </c>
      <c r="AD32" s="814">
        <f t="shared" si="21"/>
        <v>0</v>
      </c>
      <c r="AE32" s="806">
        <f t="shared" si="15"/>
        <v>455055</v>
      </c>
      <c r="AF32" s="960"/>
      <c r="AG32" s="961"/>
      <c r="AH32" s="973"/>
      <c r="AJ32" s="1084">
        <f t="shared" si="10"/>
        <v>-18202.216560000088</v>
      </c>
      <c r="AL32" s="1084">
        <v>544000</v>
      </c>
      <c r="AM32" s="1084">
        <f t="shared" si="16"/>
        <v>384313.04456000007</v>
      </c>
      <c r="AO32" s="1105"/>
      <c r="BT32" s="51"/>
      <c r="BU32" s="51"/>
      <c r="BV32" s="51"/>
      <c r="BW32" s="51"/>
      <c r="BX32" s="51"/>
      <c r="BY32" s="51"/>
      <c r="BZ32" s="51"/>
      <c r="CA32" s="51"/>
    </row>
    <row r="33" spans="1:79" x14ac:dyDescent="0.2">
      <c r="A33" s="313" t="s">
        <v>248</v>
      </c>
      <c r="B33" s="320" t="s">
        <v>3192</v>
      </c>
      <c r="C33" s="327" t="s">
        <v>3207</v>
      </c>
      <c r="D33" s="306" t="s">
        <v>105</v>
      </c>
      <c r="E33" s="320" t="s">
        <v>3349</v>
      </c>
      <c r="F33" s="327" t="s">
        <v>3364</v>
      </c>
      <c r="G33" s="306" t="s">
        <v>105</v>
      </c>
      <c r="H33" s="320" t="s">
        <v>4165</v>
      </c>
      <c r="I33" s="327" t="s">
        <v>4180</v>
      </c>
      <c r="J33" s="306" t="s">
        <v>105</v>
      </c>
      <c r="K33" s="320" t="s">
        <v>4366</v>
      </c>
      <c r="L33" s="327" t="s">
        <v>4381</v>
      </c>
      <c r="M33" s="306" t="s">
        <v>105</v>
      </c>
      <c r="N33" s="320" t="s">
        <v>105</v>
      </c>
      <c r="O33" s="327" t="s">
        <v>105</v>
      </c>
      <c r="P33" s="306" t="s">
        <v>105</v>
      </c>
      <c r="Q33" s="51"/>
      <c r="R33" s="747" t="s">
        <v>20</v>
      </c>
      <c r="S33" s="231"/>
      <c r="T33" s="807">
        <f>INDEX(PEF_GEST_26!$A$3:$AAA$102,MATCH(B33,PEF_GEST_26!$A$3:$A$102,0),MATCH($T$4,PEF_GEST_26!$A$3:$AAA$3,0))</f>
        <v>0</v>
      </c>
      <c r="U33" s="808">
        <f>INDEX(PEF_COM_26!$A$3:$AAA$102,MATCH(C33,PEF_COM_26!$A$3:$A$102,0),MATCH($T$4,PEF_COM_26!$A$3:$AAA$3,0))</f>
        <v>0</v>
      </c>
      <c r="V33" s="809">
        <f t="shared" si="12"/>
        <v>0</v>
      </c>
      <c r="W33" s="807">
        <f>INDEX(PEF_GEST_27!$A$3:$AAA$102,MATCH(E33,PEF_GEST_27!$A$3:$A$102,0),MATCH($T$4,PEF_GEST_27!$A$3:$AAA$3,0))</f>
        <v>0</v>
      </c>
      <c r="X33" s="808">
        <f>INDEX(PEF_COM_27!$A$3:$AAA$102,MATCH(F33,PEF_COM_27!$A$3:$A$102,0),MATCH($T$4,PEF_COM_27!$A$3:$AAA$3,0))</f>
        <v>0</v>
      </c>
      <c r="Y33" s="809">
        <f t="shared" si="13"/>
        <v>0</v>
      </c>
      <c r="Z33" s="807">
        <f>INDEX(PEF_GEST_28!$A$3:$AAA$102,MATCH(H33,PEF_GEST_28!$A$3:$A$102,0),MATCH($T$4,PEF_GEST_28!$A$3:$AAA$3,0))</f>
        <v>0</v>
      </c>
      <c r="AA33" s="808">
        <f>INDEX(PEF_COM_28!$A$3:$AAA$102,MATCH(I33,PEF_COM_28!$A$3:$A$102,0),MATCH($T$4,PEF_COM_28!$A$3:$AAA$3,0))</f>
        <v>0</v>
      </c>
      <c r="AB33" s="809">
        <f t="shared" si="14"/>
        <v>0</v>
      </c>
      <c r="AC33" s="807">
        <f>INDEX(PEF_GEST_29!$A$3:$AAA$102,MATCH(K33,PEF_GEST_29!$A$3:$A$102,0),MATCH($T$4,PEF_GEST_29!$A$3:$AAA$3,0))</f>
        <v>0</v>
      </c>
      <c r="AD33" s="808">
        <f>INDEX(PEF_COM_29!$A$3:$AAA$102,MATCH(L33,PEF_COM_29!$A$3:$A$102,0),MATCH($T$4,PEF_COM_29!$A$3:$AAA$3,0))</f>
        <v>0</v>
      </c>
      <c r="AE33" s="809">
        <f t="shared" si="15"/>
        <v>0</v>
      </c>
      <c r="AF33" s="960"/>
      <c r="AG33" s="961"/>
      <c r="AH33" s="973"/>
      <c r="AJ33" s="1084">
        <f t="shared" si="10"/>
        <v>0</v>
      </c>
      <c r="AL33" s="1084">
        <v>0</v>
      </c>
      <c r="AM33" s="1084">
        <f t="shared" si="16"/>
        <v>0</v>
      </c>
      <c r="AO33" s="1105"/>
      <c r="BT33" s="51"/>
      <c r="BU33" s="51"/>
      <c r="BV33" s="51"/>
      <c r="BW33" s="51"/>
      <c r="BX33" s="51"/>
      <c r="BY33" s="51"/>
      <c r="BZ33" s="51"/>
      <c r="CA33" s="51"/>
    </row>
    <row r="34" spans="1:79" x14ac:dyDescent="0.2">
      <c r="A34" s="313" t="s">
        <v>248</v>
      </c>
      <c r="B34" s="320" t="s">
        <v>3195</v>
      </c>
      <c r="C34" s="327" t="s">
        <v>3210</v>
      </c>
      <c r="D34" s="306" t="s">
        <v>105</v>
      </c>
      <c r="E34" s="320" t="s">
        <v>3352</v>
      </c>
      <c r="F34" s="327" t="s">
        <v>3367</v>
      </c>
      <c r="G34" s="306" t="s">
        <v>105</v>
      </c>
      <c r="H34" s="320" t="s">
        <v>4168</v>
      </c>
      <c r="I34" s="327" t="s">
        <v>4183</v>
      </c>
      <c r="J34" s="306" t="s">
        <v>105</v>
      </c>
      <c r="K34" s="320" t="s">
        <v>4369</v>
      </c>
      <c r="L34" s="327" t="s">
        <v>4384</v>
      </c>
      <c r="M34" s="306" t="s">
        <v>105</v>
      </c>
      <c r="N34" s="320" t="s">
        <v>105</v>
      </c>
      <c r="O34" s="327" t="s">
        <v>105</v>
      </c>
      <c r="P34" s="306" t="s">
        <v>105</v>
      </c>
      <c r="Q34" s="51"/>
      <c r="R34" s="748" t="s">
        <v>21</v>
      </c>
      <c r="S34" s="231"/>
      <c r="T34" s="815">
        <f>INDEX(PEF_GEST_26!$A$3:$AAA$102,MATCH(B34,PEF_GEST_26!$A$3:$A$102,0),MATCH($T$4,PEF_GEST_26!$A$3:$AAA$3,0))</f>
        <v>928313.04456000007</v>
      </c>
      <c r="U34" s="816">
        <f>INDEX(PEF_COM_26!$A$3:$AAA$102,MATCH(C34,PEF_COM_26!$A$3:$A$102,0),MATCH($T$4,PEF_COM_26!$A$3:$AAA$3,0))</f>
        <v>0</v>
      </c>
      <c r="V34" s="817">
        <f t="shared" si="12"/>
        <v>928313.04456000007</v>
      </c>
      <c r="W34" s="815">
        <f>INDEX(PEF_GEST_27!$A$3:$AAA$102,MATCH(E34,PEF_GEST_27!$A$3:$A$102,0),MATCH($T$4,PEF_GEST_27!$A$3:$AAA$3,0))</f>
        <v>910110.82799999998</v>
      </c>
      <c r="X34" s="816">
        <f>INDEX(PEF_COM_27!$A$3:$AAA$102,MATCH(F34,PEF_COM_27!$A$3:$A$102,0),MATCH($T$4,PEF_COM_27!$A$3:$AAA$3,0))</f>
        <v>0</v>
      </c>
      <c r="Y34" s="817">
        <f t="shared" si="13"/>
        <v>910110.82799999998</v>
      </c>
      <c r="Z34" s="815">
        <f>INDEX(PEF_GEST_28!$A$3:$AAA$102,MATCH(H34,PEF_GEST_28!$A$3:$A$102,0),MATCH($T$4,PEF_GEST_28!$A$3:$AAA$3,0))</f>
        <v>682583</v>
      </c>
      <c r="AA34" s="816">
        <f>INDEX(PEF_COM_28!$A$3:$AAA$102,MATCH(I34,PEF_COM_28!$A$3:$A$102,0),MATCH($T$4,PEF_COM_28!$A$3:$AAA$3,0))</f>
        <v>0</v>
      </c>
      <c r="AB34" s="817">
        <f t="shared" si="14"/>
        <v>682583</v>
      </c>
      <c r="AC34" s="815">
        <f>INDEX(PEF_GEST_29!$A$3:$AAA$102,MATCH(K34,PEF_GEST_29!$A$3:$A$102,0),MATCH($T$4,PEF_GEST_29!$A$3:$AAA$3,0))</f>
        <v>455055</v>
      </c>
      <c r="AD34" s="816">
        <f>INDEX(PEF_COM_29!$A$3:$AAA$102,MATCH(L34,PEF_COM_29!$A$3:$A$102,0),MATCH($T$4,PEF_COM_29!$A$3:$AAA$3,0))</f>
        <v>0</v>
      </c>
      <c r="AE34" s="817">
        <f t="shared" si="15"/>
        <v>455055</v>
      </c>
      <c r="AF34" s="960"/>
      <c r="AG34" s="961"/>
      <c r="AH34" s="973"/>
      <c r="AJ34" s="1085">
        <f t="shared" si="10"/>
        <v>-18202.216560000088</v>
      </c>
      <c r="AL34" s="1085">
        <v>544000</v>
      </c>
      <c r="AM34" s="1085">
        <f t="shared" si="16"/>
        <v>384313.04456000007</v>
      </c>
      <c r="AO34" s="1105"/>
      <c r="BT34" s="51"/>
      <c r="BU34" s="51"/>
      <c r="BV34" s="51"/>
      <c r="BW34" s="51"/>
      <c r="BX34" s="51"/>
      <c r="BY34" s="51"/>
      <c r="BZ34" s="51"/>
      <c r="CA34" s="51"/>
    </row>
    <row r="35" spans="1:79" x14ac:dyDescent="0.2">
      <c r="A35" s="313" t="s">
        <v>248</v>
      </c>
      <c r="B35" s="320" t="s">
        <v>3198</v>
      </c>
      <c r="C35" s="327" t="s">
        <v>3213</v>
      </c>
      <c r="D35" s="306" t="s">
        <v>105</v>
      </c>
      <c r="E35" s="320" t="s">
        <v>3355</v>
      </c>
      <c r="F35" s="327" t="s">
        <v>3370</v>
      </c>
      <c r="G35" s="306" t="s">
        <v>105</v>
      </c>
      <c r="H35" s="320" t="s">
        <v>4171</v>
      </c>
      <c r="I35" s="327" t="s">
        <v>4186</v>
      </c>
      <c r="J35" s="306" t="s">
        <v>105</v>
      </c>
      <c r="K35" s="320" t="s">
        <v>4372</v>
      </c>
      <c r="L35" s="327" t="s">
        <v>4387</v>
      </c>
      <c r="M35" s="306" t="s">
        <v>105</v>
      </c>
      <c r="N35" s="320" t="s">
        <v>105</v>
      </c>
      <c r="O35" s="327" t="s">
        <v>105</v>
      </c>
      <c r="P35" s="306" t="s">
        <v>105</v>
      </c>
      <c r="Q35" s="51"/>
      <c r="R35" s="748" t="s">
        <v>22</v>
      </c>
      <c r="S35" s="231"/>
      <c r="T35" s="815">
        <f>INDEX(PEF_GEST_26!$A$3:$AAA$102,MATCH(B35,PEF_GEST_26!$A$3:$A$102,0),MATCH($T$4,PEF_GEST_26!$A$3:$AAA$3,0))</f>
        <v>0</v>
      </c>
      <c r="U35" s="816">
        <f>INDEX(PEF_COM_26!$A$3:$AAA$102,MATCH(C35,PEF_COM_26!$A$3:$A$102,0),MATCH($T$4,PEF_COM_26!$A$3:$AAA$3,0))</f>
        <v>0</v>
      </c>
      <c r="V35" s="817">
        <f t="shared" si="12"/>
        <v>0</v>
      </c>
      <c r="W35" s="815">
        <f>INDEX(PEF_GEST_27!$A$3:$AAA$102,MATCH(E35,PEF_GEST_27!$A$3:$A$102,0),MATCH($T$4,PEF_GEST_27!$A$3:$AAA$3,0))</f>
        <v>0</v>
      </c>
      <c r="X35" s="816">
        <f>INDEX(PEF_COM_27!$A$3:$AAA$102,MATCH(F35,PEF_COM_27!$A$3:$A$102,0),MATCH($T$4,PEF_COM_27!$A$3:$AAA$3,0))</f>
        <v>0</v>
      </c>
      <c r="Y35" s="817">
        <f t="shared" si="13"/>
        <v>0</v>
      </c>
      <c r="Z35" s="815">
        <f>INDEX(PEF_GEST_28!$A$3:$AAA$102,MATCH(H35,PEF_GEST_28!$A$3:$A$102,0),MATCH($T$4,PEF_GEST_28!$A$3:$AAA$3,0))</f>
        <v>0</v>
      </c>
      <c r="AA35" s="816">
        <f>INDEX(PEF_COM_28!$A$3:$AAA$102,MATCH(I35,PEF_COM_28!$A$3:$A$102,0),MATCH($T$4,PEF_COM_28!$A$3:$AAA$3,0))</f>
        <v>0</v>
      </c>
      <c r="AB35" s="817">
        <f t="shared" si="14"/>
        <v>0</v>
      </c>
      <c r="AC35" s="815">
        <f>INDEX(PEF_GEST_29!$A$3:$AAA$102,MATCH(K35,PEF_GEST_29!$A$3:$A$102,0),MATCH($T$4,PEF_GEST_29!$A$3:$AAA$3,0))</f>
        <v>0</v>
      </c>
      <c r="AD35" s="816">
        <f>INDEX(PEF_COM_29!$A$3:$AAA$102,MATCH(L35,PEF_COM_29!$A$3:$A$102,0),MATCH($T$4,PEF_COM_29!$A$3:$AAA$3,0))</f>
        <v>0</v>
      </c>
      <c r="AE35" s="817">
        <f t="shared" si="15"/>
        <v>0</v>
      </c>
      <c r="AF35" s="960"/>
      <c r="AG35" s="961"/>
      <c r="AH35" s="973"/>
      <c r="AJ35" s="1085">
        <f t="shared" si="10"/>
        <v>0</v>
      </c>
      <c r="AL35" s="1085">
        <v>0</v>
      </c>
      <c r="AM35" s="1085">
        <f t="shared" si="16"/>
        <v>0</v>
      </c>
      <c r="AO35" s="1105"/>
      <c r="BT35" s="51"/>
      <c r="BU35" s="51"/>
      <c r="BV35" s="51"/>
      <c r="BW35" s="51"/>
      <c r="BX35" s="51"/>
      <c r="BY35" s="51"/>
      <c r="BZ35" s="51"/>
      <c r="CA35" s="51"/>
    </row>
    <row r="36" spans="1:79" x14ac:dyDescent="0.2">
      <c r="A36" s="313" t="s">
        <v>248</v>
      </c>
      <c r="B36" s="320" t="s">
        <v>3201</v>
      </c>
      <c r="C36" s="327" t="s">
        <v>3216</v>
      </c>
      <c r="D36" s="306" t="s">
        <v>105</v>
      </c>
      <c r="E36" s="320" t="s">
        <v>3358</v>
      </c>
      <c r="F36" s="327" t="s">
        <v>3373</v>
      </c>
      <c r="G36" s="306" t="s">
        <v>105</v>
      </c>
      <c r="H36" s="320" t="s">
        <v>4174</v>
      </c>
      <c r="I36" s="327" t="s">
        <v>4189</v>
      </c>
      <c r="J36" s="306" t="s">
        <v>105</v>
      </c>
      <c r="K36" s="320" t="s">
        <v>4375</v>
      </c>
      <c r="L36" s="327" t="s">
        <v>4390</v>
      </c>
      <c r="M36" s="306" t="s">
        <v>105</v>
      </c>
      <c r="N36" s="320" t="s">
        <v>105</v>
      </c>
      <c r="O36" s="327" t="s">
        <v>105</v>
      </c>
      <c r="P36" s="306" t="s">
        <v>105</v>
      </c>
      <c r="Q36" s="51"/>
      <c r="R36" s="749" t="s">
        <v>23</v>
      </c>
      <c r="S36" s="231"/>
      <c r="T36" s="818">
        <f>INDEX(PEF_GEST_26!$A$3:$AAA$102,MATCH(B36,PEF_GEST_26!$A$3:$A$102,0),MATCH($T$4,PEF_GEST_26!$A$3:$AAA$3,0))</f>
        <v>0</v>
      </c>
      <c r="U36" s="819">
        <f>INDEX(PEF_COM_26!$A$3:$AAA$102,MATCH(C36,PEF_COM_26!$A$3:$A$102,0),MATCH($T$4,PEF_COM_26!$A$3:$AAA$3,0))</f>
        <v>0</v>
      </c>
      <c r="V36" s="820">
        <f t="shared" si="12"/>
        <v>0</v>
      </c>
      <c r="W36" s="818">
        <f>INDEX(PEF_GEST_27!$A$3:$AAA$102,MATCH(E36,PEF_GEST_27!$A$3:$A$102,0),MATCH($T$4,PEF_GEST_27!$A$3:$AAA$3,0))</f>
        <v>0</v>
      </c>
      <c r="X36" s="819">
        <f>INDEX(PEF_COM_27!$A$3:$AAA$102,MATCH(F36,PEF_COM_27!$A$3:$A$102,0),MATCH($T$4,PEF_COM_27!$A$3:$AAA$3,0))</f>
        <v>0</v>
      </c>
      <c r="Y36" s="820">
        <f t="shared" si="13"/>
        <v>0</v>
      </c>
      <c r="Z36" s="818">
        <f>INDEX(PEF_GEST_28!$A$3:$AAA$102,MATCH(H36,PEF_GEST_28!$A$3:$A$102,0),MATCH($T$4,PEF_GEST_28!$A$3:$AAA$3,0))</f>
        <v>0</v>
      </c>
      <c r="AA36" s="819">
        <f>INDEX(PEF_COM_28!$A$3:$AAA$102,MATCH(I36,PEF_COM_28!$A$3:$A$102,0),MATCH($T$4,PEF_COM_28!$A$3:$AAA$3,0))</f>
        <v>0</v>
      </c>
      <c r="AB36" s="820">
        <f t="shared" si="14"/>
        <v>0</v>
      </c>
      <c r="AC36" s="818">
        <f>INDEX(PEF_GEST_29!$A$3:$AAA$102,MATCH(K36,PEF_GEST_29!$A$3:$A$102,0),MATCH($T$4,PEF_GEST_29!$A$3:$AAA$3,0))</f>
        <v>0</v>
      </c>
      <c r="AD36" s="819">
        <f>INDEX(PEF_COM_29!$A$3:$AAA$102,MATCH(L36,PEF_COM_29!$A$3:$A$102,0),MATCH($T$4,PEF_COM_29!$A$3:$AAA$3,0))</f>
        <v>0</v>
      </c>
      <c r="AE36" s="820">
        <f t="shared" si="15"/>
        <v>0</v>
      </c>
      <c r="AF36" s="960"/>
      <c r="AG36" s="961"/>
      <c r="AH36" s="973"/>
      <c r="AJ36" s="1086">
        <f t="shared" si="10"/>
        <v>0</v>
      </c>
      <c r="AL36" s="1086">
        <v>0</v>
      </c>
      <c r="AM36" s="1086">
        <f t="shared" si="16"/>
        <v>0</v>
      </c>
      <c r="AO36" s="1105"/>
      <c r="BT36" s="51"/>
      <c r="BU36" s="51"/>
      <c r="BV36" s="51"/>
      <c r="BW36" s="51"/>
      <c r="BX36" s="51"/>
      <c r="BY36" s="51"/>
      <c r="BZ36" s="51"/>
      <c r="CA36" s="51"/>
    </row>
    <row r="37" spans="1:79" x14ac:dyDescent="0.2">
      <c r="A37" s="313" t="s">
        <v>248</v>
      </c>
      <c r="B37" s="320" t="s">
        <v>3222</v>
      </c>
      <c r="C37" s="327" t="s">
        <v>3225</v>
      </c>
      <c r="D37" s="306" t="s">
        <v>105</v>
      </c>
      <c r="E37" s="320" t="s">
        <v>3379</v>
      </c>
      <c r="F37" s="327" t="s">
        <v>3382</v>
      </c>
      <c r="G37" s="306" t="s">
        <v>105</v>
      </c>
      <c r="H37" s="320" t="s">
        <v>4195</v>
      </c>
      <c r="I37" s="327" t="s">
        <v>4198</v>
      </c>
      <c r="J37" s="306" t="s">
        <v>105</v>
      </c>
      <c r="K37" s="320" t="s">
        <v>4396</v>
      </c>
      <c r="L37" s="327" t="s">
        <v>4399</v>
      </c>
      <c r="M37" s="306" t="s">
        <v>105</v>
      </c>
      <c r="N37" s="320" t="s">
        <v>105</v>
      </c>
      <c r="O37" s="327" t="s">
        <v>105</v>
      </c>
      <c r="P37" s="306" t="s">
        <v>105</v>
      </c>
      <c r="Q37" s="51"/>
      <c r="R37" s="743" t="s">
        <v>24</v>
      </c>
      <c r="S37" s="231"/>
      <c r="T37" s="784">
        <f>INDEX(PEF_GEST_26!$A$3:$AAA$102,MATCH(B37,PEF_GEST_26!$A$3:$A$102,0),MATCH($T$4,PEF_GEST_26!$A$3:$AAA$3,0))</f>
        <v>564685.85927193251</v>
      </c>
      <c r="U37" s="785">
        <f>INDEX(PEF_COM_26!$A$3:$AAA$102,MATCH(C37,PEF_COM_26!$A$3:$A$102,0),MATCH($T$4,PEF_COM_26!$A$3:$AAA$3,0))</f>
        <v>0</v>
      </c>
      <c r="V37" s="806">
        <f t="shared" si="12"/>
        <v>564685.85927193251</v>
      </c>
      <c r="W37" s="784">
        <f>INDEX(PEF_GEST_27!$A$3:$AAA$102,MATCH(E37,PEF_GEST_27!$A$3:$A$102,0),MATCH($T$4,PEF_GEST_27!$A$3:$AAA$3,0))</f>
        <v>585677.75297643547</v>
      </c>
      <c r="X37" s="785">
        <f>INDEX(PEF_COM_27!$A$3:$AAA$102,MATCH(F37,PEF_COM_27!$A$3:$A$102,0),MATCH($T$4,PEF_COM_27!$A$3:$AAA$3,0))</f>
        <v>0</v>
      </c>
      <c r="Y37" s="806">
        <f t="shared" si="13"/>
        <v>585677.75297643547</v>
      </c>
      <c r="Z37" s="784">
        <f>INDEX(PEF_GEST_28!$A$3:$AAA$102,MATCH(H37,PEF_GEST_28!$A$3:$A$102,0),MATCH($T$4,PEF_GEST_28!$A$3:$AAA$3,0))</f>
        <v>534409.91485605214</v>
      </c>
      <c r="AA37" s="785">
        <f>INDEX(PEF_COM_28!$A$3:$AAA$102,MATCH(I37,PEF_COM_28!$A$3:$A$102,0),MATCH($T$4,PEF_COM_28!$A$3:$AAA$3,0))</f>
        <v>0</v>
      </c>
      <c r="AB37" s="806">
        <f t="shared" si="14"/>
        <v>534409.91485605214</v>
      </c>
      <c r="AC37" s="784">
        <f>INDEX(PEF_GEST_29!$A$3:$AAA$102,MATCH(K37,PEF_GEST_29!$A$3:$A$102,0),MATCH($T$4,PEF_GEST_29!$A$3:$AAA$3,0))</f>
        <v>492038.4513588674</v>
      </c>
      <c r="AD37" s="785">
        <f>INDEX(PEF_COM_29!$A$3:$AAA$102,MATCH(L37,PEF_COM_29!$A$3:$A$102,0),MATCH($T$4,PEF_COM_29!$A$3:$AAA$3,0))</f>
        <v>0</v>
      </c>
      <c r="AE37" s="806">
        <f t="shared" si="15"/>
        <v>492038.4513588674</v>
      </c>
      <c r="AF37" s="960"/>
      <c r="AG37" s="961"/>
      <c r="AH37" s="973"/>
      <c r="AJ37" s="1086">
        <f t="shared" si="10"/>
        <v>20991.89370450296</v>
      </c>
      <c r="AL37" s="1086">
        <v>597188.566781612</v>
      </c>
      <c r="AM37" s="1086">
        <f t="shared" si="16"/>
        <v>-32502.707509679487</v>
      </c>
      <c r="AO37" s="1105"/>
      <c r="BT37" s="51"/>
      <c r="BU37" s="51"/>
      <c r="BV37" s="51"/>
      <c r="BW37" s="51"/>
      <c r="BX37" s="51"/>
      <c r="BY37" s="51"/>
      <c r="BZ37" s="51"/>
      <c r="CA37" s="51"/>
    </row>
    <row r="38" spans="1:79" ht="11.4" x14ac:dyDescent="0.2">
      <c r="A38" s="313" t="s">
        <v>248</v>
      </c>
      <c r="B38" s="320" t="s">
        <v>3228</v>
      </c>
      <c r="C38" s="327" t="s">
        <v>3231</v>
      </c>
      <c r="D38" s="306" t="s">
        <v>105</v>
      </c>
      <c r="E38" s="320" t="s">
        <v>3385</v>
      </c>
      <c r="F38" s="327" t="s">
        <v>3388</v>
      </c>
      <c r="G38" s="306" t="s">
        <v>105</v>
      </c>
      <c r="H38" s="320" t="s">
        <v>4201</v>
      </c>
      <c r="I38" s="327" t="s">
        <v>4204</v>
      </c>
      <c r="J38" s="306" t="s">
        <v>105</v>
      </c>
      <c r="K38" s="320" t="s">
        <v>4402</v>
      </c>
      <c r="L38" s="327" t="s">
        <v>4405</v>
      </c>
      <c r="M38" s="306" t="s">
        <v>105</v>
      </c>
      <c r="N38" s="320" t="s">
        <v>105</v>
      </c>
      <c r="O38" s="327" t="s">
        <v>105</v>
      </c>
      <c r="P38" s="306" t="s">
        <v>105</v>
      </c>
      <c r="Q38" s="51"/>
      <c r="R38" s="745" t="s">
        <v>25</v>
      </c>
      <c r="S38" s="231"/>
      <c r="T38" s="784">
        <f>INDEX(PEF_GEST_26!$A$3:$AAA$102,MATCH(B38,PEF_GEST_26!$A$3:$A$102,0),MATCH($T$4,PEF_GEST_26!$A$3:$AAA$3,0))</f>
        <v>4787.5776740000001</v>
      </c>
      <c r="U38" s="785">
        <f>INDEX(PEF_COM_26!$A$3:$AAA$102,MATCH(C38,PEF_COM_26!$A$3:$A$102,0),MATCH($T$4,PEF_COM_26!$A$3:$AAA$3,0))</f>
        <v>0</v>
      </c>
      <c r="V38" s="806">
        <f t="shared" si="12"/>
        <v>4787.5776740000001</v>
      </c>
      <c r="W38" s="784">
        <f>INDEX(PEF_GEST_27!$A$3:$AAA$102,MATCH(E38,PEF_GEST_27!$A$3:$A$102,0),MATCH($T$4,PEF_GEST_27!$A$3:$AAA$3,0))</f>
        <v>0</v>
      </c>
      <c r="X38" s="785">
        <f>INDEX(PEF_COM_27!$A$3:$AAA$102,MATCH(F38,PEF_COM_27!$A$3:$A$102,0),MATCH($T$4,PEF_COM_27!$A$3:$AAA$3,0))</f>
        <v>0</v>
      </c>
      <c r="Y38" s="806">
        <f t="shared" si="13"/>
        <v>0</v>
      </c>
      <c r="Z38" s="784">
        <f>INDEX(PEF_GEST_28!$A$3:$AAA$102,MATCH(H38,PEF_GEST_28!$A$3:$A$102,0),MATCH($T$4,PEF_GEST_28!$A$3:$AAA$3,0))</f>
        <v>0</v>
      </c>
      <c r="AA38" s="785">
        <f>INDEX(PEF_COM_28!$A$3:$AAA$102,MATCH(I38,PEF_COM_28!$A$3:$A$102,0),MATCH($T$4,PEF_COM_28!$A$3:$AAA$3,0))</f>
        <v>0</v>
      </c>
      <c r="AB38" s="806">
        <f t="shared" si="14"/>
        <v>0</v>
      </c>
      <c r="AC38" s="784">
        <f>INDEX(PEF_GEST_29!$A$3:$AAA$102,MATCH(K38,PEF_GEST_29!$A$3:$A$102,0),MATCH($T$4,PEF_GEST_29!$A$3:$AAA$3,0))</f>
        <v>0</v>
      </c>
      <c r="AD38" s="785">
        <f>INDEX(PEF_COM_29!$A$3:$AAA$102,MATCH(L38,PEF_COM_29!$A$3:$A$102,0),MATCH($T$4,PEF_COM_29!$A$3:$AAA$3,0))</f>
        <v>0</v>
      </c>
      <c r="AE38" s="806">
        <f t="shared" si="15"/>
        <v>0</v>
      </c>
      <c r="AF38" s="960"/>
      <c r="AG38" s="961"/>
      <c r="AH38" s="973"/>
      <c r="AJ38" s="1078">
        <f t="shared" si="10"/>
        <v>-4787.5776740000001</v>
      </c>
      <c r="AL38" s="1078">
        <v>12790.341557470856</v>
      </c>
      <c r="AM38" s="1078">
        <f t="shared" si="16"/>
        <v>-8002.7638834708559</v>
      </c>
      <c r="AO38" s="1105"/>
      <c r="BT38" s="51"/>
      <c r="BU38" s="51"/>
      <c r="BV38" s="51"/>
      <c r="BW38" s="51"/>
      <c r="BX38" s="51"/>
      <c r="BY38" s="51"/>
      <c r="BZ38" s="51"/>
      <c r="CA38" s="51"/>
    </row>
    <row r="39" spans="1:79" ht="11.4" x14ac:dyDescent="0.2">
      <c r="A39" s="313" t="s">
        <v>248</v>
      </c>
      <c r="B39" s="320" t="s">
        <v>3234</v>
      </c>
      <c r="C39" s="327" t="s">
        <v>3237</v>
      </c>
      <c r="D39" s="306" t="s">
        <v>105</v>
      </c>
      <c r="E39" s="320" t="s">
        <v>3391</v>
      </c>
      <c r="F39" s="327" t="s">
        <v>3394</v>
      </c>
      <c r="G39" s="306" t="s">
        <v>105</v>
      </c>
      <c r="H39" s="320" t="s">
        <v>4207</v>
      </c>
      <c r="I39" s="327" t="s">
        <v>4210</v>
      </c>
      <c r="J39" s="306" t="s">
        <v>105</v>
      </c>
      <c r="K39" s="320" t="s">
        <v>4408</v>
      </c>
      <c r="L39" s="327" t="s">
        <v>4411</v>
      </c>
      <c r="M39" s="306" t="s">
        <v>105</v>
      </c>
      <c r="N39" s="320" t="s">
        <v>105</v>
      </c>
      <c r="O39" s="327" t="s">
        <v>105</v>
      </c>
      <c r="P39" s="306" t="s">
        <v>105</v>
      </c>
      <c r="Q39" s="51"/>
      <c r="R39" s="745" t="s">
        <v>5474</v>
      </c>
      <c r="S39" s="231"/>
      <c r="T39" s="807">
        <f>INDEX(PEF_GEST_26!$A$3:$AAA$102,MATCH(B39,PEF_GEST_26!$A$3:$A$102,0),MATCH($T$4,PEF_GEST_26!$A$3:$AAA$3,0))</f>
        <v>0</v>
      </c>
      <c r="U39" s="808">
        <f>INDEX(PEF_COM_26!$A$3:$AAA$102,MATCH(C39,PEF_COM_26!$A$3:$A$102,0),MATCH($T$4,PEF_COM_26!$A$3:$AAA$3,0))</f>
        <v>0</v>
      </c>
      <c r="V39" s="817">
        <f t="shared" si="12"/>
        <v>0</v>
      </c>
      <c r="W39" s="807">
        <f>INDEX(PEF_GEST_27!$A$3:$AAA$102,MATCH(E39,PEF_GEST_27!$A$3:$A$102,0),MATCH($T$4,PEF_GEST_27!$A$3:$AAA$3,0))</f>
        <v>0</v>
      </c>
      <c r="X39" s="808">
        <f>INDEX(PEF_COM_27!$A$3:$AAA$102,MATCH(F39,PEF_COM_27!$A$3:$A$102,0),MATCH($T$4,PEF_COM_27!$A$3:$AAA$3,0))</f>
        <v>0</v>
      </c>
      <c r="Y39" s="817">
        <f t="shared" si="13"/>
        <v>0</v>
      </c>
      <c r="Z39" s="807">
        <f>INDEX(PEF_GEST_28!$A$3:$AAA$102,MATCH(H39,PEF_GEST_28!$A$3:$A$102,0),MATCH($T$4,PEF_GEST_28!$A$3:$AAA$3,0))</f>
        <v>0</v>
      </c>
      <c r="AA39" s="808">
        <f>INDEX(PEF_COM_28!$A$3:$AAA$102,MATCH(I39,PEF_COM_28!$A$3:$A$102,0),MATCH($T$4,PEF_COM_28!$A$3:$AAA$3,0))</f>
        <v>0</v>
      </c>
      <c r="AB39" s="817">
        <f t="shared" si="14"/>
        <v>0</v>
      </c>
      <c r="AC39" s="807">
        <f>INDEX(PEF_GEST_29!$A$3:$AAA$102,MATCH(K39,PEF_GEST_29!$A$3:$A$102,0),MATCH($T$4,PEF_GEST_29!$A$3:$AAA$3,0))</f>
        <v>0</v>
      </c>
      <c r="AD39" s="808">
        <f>INDEX(PEF_COM_29!$A$3:$AAA$102,MATCH(L39,PEF_COM_29!$A$3:$A$102,0),MATCH($T$4,PEF_COM_29!$A$3:$AAA$3,0))</f>
        <v>0</v>
      </c>
      <c r="AE39" s="817">
        <f t="shared" si="15"/>
        <v>0</v>
      </c>
      <c r="AF39" s="960"/>
      <c r="AG39" s="961"/>
      <c r="AH39" s="973"/>
      <c r="AJ39" s="1079">
        <f t="shared" si="10"/>
        <v>0</v>
      </c>
      <c r="AL39" s="1079">
        <v>0</v>
      </c>
      <c r="AM39" s="1079">
        <f t="shared" si="16"/>
        <v>0</v>
      </c>
      <c r="AO39" s="1105"/>
      <c r="BT39" s="51"/>
      <c r="BU39" s="51"/>
      <c r="BV39" s="51"/>
      <c r="BW39" s="51"/>
      <c r="BX39" s="51"/>
      <c r="BY39" s="51"/>
      <c r="BZ39" s="51"/>
      <c r="CA39" s="51"/>
    </row>
    <row r="40" spans="1:79" x14ac:dyDescent="0.2">
      <c r="A40" s="314" t="s">
        <v>105</v>
      </c>
      <c r="B40" s="321" t="s">
        <v>105</v>
      </c>
      <c r="C40" s="328" t="s">
        <v>105</v>
      </c>
      <c r="D40" s="309" t="s">
        <v>105</v>
      </c>
      <c r="E40" s="321" t="s">
        <v>105</v>
      </c>
      <c r="F40" s="328" t="s">
        <v>105</v>
      </c>
      <c r="G40" s="309" t="s">
        <v>105</v>
      </c>
      <c r="H40" s="321" t="s">
        <v>105</v>
      </c>
      <c r="I40" s="328" t="s">
        <v>105</v>
      </c>
      <c r="J40" s="309" t="s">
        <v>105</v>
      </c>
      <c r="K40" s="321" t="s">
        <v>105</v>
      </c>
      <c r="L40" s="328" t="s">
        <v>105</v>
      </c>
      <c r="M40" s="309" t="s">
        <v>105</v>
      </c>
      <c r="N40" s="321" t="s">
        <v>105</v>
      </c>
      <c r="O40" s="328" t="s">
        <v>105</v>
      </c>
      <c r="P40" s="309" t="s">
        <v>105</v>
      </c>
      <c r="Q40" s="51"/>
      <c r="R40" s="733" t="s">
        <v>17</v>
      </c>
      <c r="S40" s="231"/>
      <c r="T40" s="821">
        <f>T38+T37+T32+T31+T39</f>
        <v>2274628.7382861609</v>
      </c>
      <c r="U40" s="822">
        <f>U38+U37+U32+U31+U39</f>
        <v>0</v>
      </c>
      <c r="V40" s="823">
        <f t="shared" si="12"/>
        <v>2274628.7382861609</v>
      </c>
      <c r="W40" s="821">
        <f t="shared" ref="W40:X40" si="22">W38+W37+W32+W31+W39</f>
        <v>2265004.4491821118</v>
      </c>
      <c r="X40" s="822">
        <f t="shared" si="22"/>
        <v>0</v>
      </c>
      <c r="Y40" s="823">
        <f t="shared" si="13"/>
        <v>2265004.4491821118</v>
      </c>
      <c r="Z40" s="821">
        <f t="shared" ref="Z40:AA40" si="23">Z38+Z37+Z32+Z31+Z39</f>
        <v>1856711.5498886588</v>
      </c>
      <c r="AA40" s="822">
        <f t="shared" si="23"/>
        <v>0</v>
      </c>
      <c r="AB40" s="823">
        <f t="shared" si="14"/>
        <v>1856711.5498886588</v>
      </c>
      <c r="AC40" s="821">
        <f t="shared" ref="AC40:AD40" si="24">AC38+AC37+AC32+AC31+AC39</f>
        <v>1457649.5118233785</v>
      </c>
      <c r="AD40" s="822">
        <f t="shared" si="24"/>
        <v>0</v>
      </c>
      <c r="AE40" s="823">
        <f t="shared" si="15"/>
        <v>1457649.5118233785</v>
      </c>
      <c r="AF40" s="960"/>
      <c r="AG40" s="961"/>
      <c r="AH40" s="962"/>
      <c r="AJ40" s="1076">
        <f t="shared" si="10"/>
        <v>-9624.289104049094</v>
      </c>
      <c r="AL40" s="1076">
        <v>1800369.117303089</v>
      </c>
      <c r="AM40" s="1076">
        <f t="shared" si="16"/>
        <v>474259.62098307186</v>
      </c>
      <c r="AO40" s="1105"/>
      <c r="BT40" s="51"/>
      <c r="BU40" s="51"/>
      <c r="BV40" s="51"/>
      <c r="BW40" s="51"/>
      <c r="BX40" s="51"/>
      <c r="BY40" s="51"/>
      <c r="BZ40" s="51"/>
      <c r="CA40" s="51"/>
    </row>
    <row r="41" spans="1:79" ht="11.4" x14ac:dyDescent="0.2">
      <c r="A41" s="313" t="s">
        <v>248</v>
      </c>
      <c r="B41" s="320" t="s">
        <v>1047</v>
      </c>
      <c r="C41" s="327" t="s">
        <v>1048</v>
      </c>
      <c r="D41" s="306" t="s">
        <v>105</v>
      </c>
      <c r="E41" s="320" t="s">
        <v>1020</v>
      </c>
      <c r="F41" s="327" t="s">
        <v>1021</v>
      </c>
      <c r="G41" s="306" t="s">
        <v>105</v>
      </c>
      <c r="H41" s="320" t="s">
        <v>2137</v>
      </c>
      <c r="I41" s="327" t="s">
        <v>2138</v>
      </c>
      <c r="J41" s="306" t="s">
        <v>105</v>
      </c>
      <c r="K41" s="320" t="s">
        <v>2146</v>
      </c>
      <c r="L41" s="327" t="s">
        <v>2147</v>
      </c>
      <c r="M41" s="306" t="s">
        <v>105</v>
      </c>
      <c r="N41" s="320" t="s">
        <v>105</v>
      </c>
      <c r="O41" s="327" t="s">
        <v>105</v>
      </c>
      <c r="P41" s="306" t="s">
        <v>105</v>
      </c>
      <c r="R41" s="732" t="s">
        <v>5447</v>
      </c>
      <c r="S41" s="231"/>
      <c r="T41" s="781">
        <f>INDEX(PEF_GEST_26!$A$3:$AAA$102,MATCH(B41,PEF_GEST_26!$A$3:$A$102,0),MATCH($T$4,PEF_GEST_26!$A$3:$AAA$3,0))</f>
        <v>0</v>
      </c>
      <c r="U41" s="782">
        <f>INDEX(PEF_COM_26!$A$3:$AAA$102,MATCH(C41,PEF_COM_26!$A$3:$A$102,0),MATCH($T$4,PEF_COM_26!$A$3:$AAA$3,0))</f>
        <v>0</v>
      </c>
      <c r="V41" s="805">
        <f t="shared" si="12"/>
        <v>0</v>
      </c>
      <c r="W41" s="781">
        <f>INDEX(PEF_GEST_27!$A$3:$AAA$102,MATCH(E41,PEF_GEST_27!$A$3:$A$102,0),MATCH($T$4,PEF_GEST_27!$A$3:$AAA$3,0))</f>
        <v>0</v>
      </c>
      <c r="X41" s="782">
        <f>INDEX(PEF_COM_27!$A$3:$AAA$102,MATCH(F41,PEF_COM_27!$A$3:$A$102,0),MATCH($T$4,PEF_COM_27!$A$3:$AAA$3,0))</f>
        <v>0</v>
      </c>
      <c r="Y41" s="805">
        <f t="shared" si="13"/>
        <v>0</v>
      </c>
      <c r="Z41" s="781">
        <f>INDEX(PEF_GEST_28!$A$3:$AAA$102,MATCH(H41,PEF_GEST_28!$A$3:$A$102,0),MATCH($T$4,PEF_GEST_28!$A$3:$AAA$3,0))</f>
        <v>0</v>
      </c>
      <c r="AA41" s="782">
        <f>INDEX(PEF_COM_28!$A$3:$AAA$102,MATCH(I41,PEF_COM_28!$A$3:$A$102,0),MATCH($T$4,PEF_COM_28!$A$3:$AAA$3,0))</f>
        <v>0</v>
      </c>
      <c r="AB41" s="805">
        <f t="shared" si="14"/>
        <v>0</v>
      </c>
      <c r="AC41" s="781">
        <f>INDEX(PEF_GEST_29!$A$3:$AAA$102,MATCH(K41,PEF_GEST_29!$A$3:$A$102,0),MATCH($T$4,PEF_GEST_29!$A$3:$AAA$3,0))</f>
        <v>0</v>
      </c>
      <c r="AD41" s="782">
        <f>INDEX(PEF_COM_29!$A$3:$AAA$102,MATCH(L41,PEF_COM_29!$A$3:$A$102,0),MATCH($T$4,PEF_COM_29!$A$3:$AAA$3,0))</f>
        <v>0</v>
      </c>
      <c r="AE41" s="805">
        <f t="shared" si="15"/>
        <v>0</v>
      </c>
      <c r="AF41" s="960"/>
      <c r="AG41" s="961"/>
      <c r="AH41" s="973"/>
      <c r="AJ41" s="1076">
        <f t="shared" si="10"/>
        <v>0</v>
      </c>
      <c r="AL41" s="1076">
        <v>0</v>
      </c>
      <c r="AM41" s="1076">
        <f t="shared" si="16"/>
        <v>0</v>
      </c>
      <c r="AO41" s="1105"/>
    </row>
    <row r="42" spans="1:79" ht="11.4" x14ac:dyDescent="0.2">
      <c r="A42" s="313" t="s">
        <v>248</v>
      </c>
      <c r="B42" s="320" t="s">
        <v>1056</v>
      </c>
      <c r="C42" s="327" t="s">
        <v>1057</v>
      </c>
      <c r="D42" s="306" t="s">
        <v>105</v>
      </c>
      <c r="E42" s="320" t="s">
        <v>1029</v>
      </c>
      <c r="F42" s="327" t="s">
        <v>1030</v>
      </c>
      <c r="G42" s="306" t="s">
        <v>105</v>
      </c>
      <c r="H42" s="320" t="s">
        <v>2181</v>
      </c>
      <c r="I42" s="327" t="s">
        <v>2182</v>
      </c>
      <c r="J42" s="306" t="s">
        <v>105</v>
      </c>
      <c r="K42" s="320" t="s">
        <v>2172</v>
      </c>
      <c r="L42" s="327" t="s">
        <v>2173</v>
      </c>
      <c r="M42" s="306" t="s">
        <v>105</v>
      </c>
      <c r="N42" s="320" t="s">
        <v>105</v>
      </c>
      <c r="O42" s="327" t="s">
        <v>105</v>
      </c>
      <c r="P42" s="306" t="s">
        <v>105</v>
      </c>
      <c r="R42" s="732" t="s">
        <v>5448</v>
      </c>
      <c r="S42" s="231"/>
      <c r="T42" s="781">
        <f>INDEX(PEF_GEST_26!$A$3:$AAA$102,MATCH(B42,PEF_GEST_26!$A$3:$A$102,0),MATCH($T$4,PEF_GEST_26!$A$3:$AAA$3,0))</f>
        <v>0</v>
      </c>
      <c r="U42" s="782">
        <f>INDEX(PEF_COM_26!$A$3:$AAA$102,MATCH(C42,PEF_COM_26!$A$3:$A$102,0),MATCH($T$4,PEF_COM_26!$A$3:$AAA$3,0))</f>
        <v>0</v>
      </c>
      <c r="V42" s="805">
        <f t="shared" si="12"/>
        <v>0</v>
      </c>
      <c r="W42" s="781">
        <f>INDEX(PEF_GEST_27!$A$3:$AAA$102,MATCH(E42,PEF_GEST_27!$A$3:$A$102,0),MATCH($T$4,PEF_GEST_27!$A$3:$AAA$3,0))</f>
        <v>0</v>
      </c>
      <c r="X42" s="782">
        <f>INDEX(PEF_COM_27!$A$3:$AAA$102,MATCH(F42,PEF_COM_27!$A$3:$A$102,0),MATCH($T$4,PEF_COM_27!$A$3:$AAA$3,0))</f>
        <v>0</v>
      </c>
      <c r="Y42" s="805">
        <f t="shared" si="13"/>
        <v>0</v>
      </c>
      <c r="Z42" s="781">
        <f>INDEX(PEF_GEST_28!$A$3:$AAA$102,MATCH(H42,PEF_GEST_28!$A$3:$A$102,0),MATCH($T$4,PEF_GEST_28!$A$3:$AAA$3,0))</f>
        <v>0</v>
      </c>
      <c r="AA42" s="782">
        <f>INDEX(PEF_COM_28!$A$3:$AAA$102,MATCH(I42,PEF_COM_28!$A$3:$A$102,0),MATCH($T$4,PEF_COM_28!$A$3:$AAA$3,0))</f>
        <v>0</v>
      </c>
      <c r="AB42" s="805">
        <f t="shared" si="14"/>
        <v>0</v>
      </c>
      <c r="AC42" s="781">
        <f>INDEX(PEF_GEST_29!$A$3:$AAA$102,MATCH(K42,PEF_GEST_29!$A$3:$A$102,0),MATCH($T$4,PEF_GEST_29!$A$3:$AAA$3,0))</f>
        <v>0</v>
      </c>
      <c r="AD42" s="782">
        <f>INDEX(PEF_COM_29!$A$3:$AAA$102,MATCH(L42,PEF_COM_29!$A$3:$A$102,0),MATCH($T$4,PEF_COM_29!$A$3:$AAA$3,0))</f>
        <v>0</v>
      </c>
      <c r="AE42" s="805">
        <f t="shared" si="15"/>
        <v>0</v>
      </c>
      <c r="AF42" s="960"/>
      <c r="AG42" s="961"/>
      <c r="AH42" s="973"/>
      <c r="AJ42" s="1076">
        <f t="shared" si="10"/>
        <v>0</v>
      </c>
      <c r="AL42" s="1076">
        <v>50000</v>
      </c>
      <c r="AM42" s="1076">
        <f t="shared" si="16"/>
        <v>-50000</v>
      </c>
      <c r="AO42" s="1105"/>
    </row>
    <row r="43" spans="1:79" ht="11.4" x14ac:dyDescent="0.2">
      <c r="A43" s="313" t="s">
        <v>248</v>
      </c>
      <c r="B43" s="320" t="s">
        <v>2213</v>
      </c>
      <c r="C43" s="327" t="s">
        <v>2214</v>
      </c>
      <c r="D43" s="306" t="s">
        <v>105</v>
      </c>
      <c r="E43" s="320" t="s">
        <v>2222</v>
      </c>
      <c r="F43" s="327" t="s">
        <v>2223</v>
      </c>
      <c r="G43" s="306" t="s">
        <v>105</v>
      </c>
      <c r="H43" s="320" t="s">
        <v>2231</v>
      </c>
      <c r="I43" s="327" t="s">
        <v>2232</v>
      </c>
      <c r="J43" s="306" t="s">
        <v>105</v>
      </c>
      <c r="K43" s="320" t="s">
        <v>2240</v>
      </c>
      <c r="L43" s="327" t="s">
        <v>2241</v>
      </c>
      <c r="M43" s="306" t="s">
        <v>105</v>
      </c>
      <c r="N43" s="320" t="s">
        <v>105</v>
      </c>
      <c r="O43" s="327" t="s">
        <v>105</v>
      </c>
      <c r="P43" s="306" t="s">
        <v>105</v>
      </c>
      <c r="R43" s="732" t="s">
        <v>6410</v>
      </c>
      <c r="S43" s="231"/>
      <c r="T43" s="781">
        <f>INDEX(PEF_GEST_26!$A$3:$AAA$102,MATCH(B43,PEF_GEST_26!$A$3:$A$102,0),MATCH($T$4,PEF_GEST_26!$A$3:$AAA$3,0))</f>
        <v>534862</v>
      </c>
      <c r="U43" s="782">
        <f>INDEX(PEF_COM_26!$A$3:$AAA$102,MATCH(C43,PEF_COM_26!$A$3:$A$102,0),MATCH($T$4,PEF_COM_26!$A$3:$AAA$3,0))</f>
        <v>0</v>
      </c>
      <c r="V43" s="805">
        <f t="shared" si="12"/>
        <v>534862</v>
      </c>
      <c r="W43" s="781">
        <f>INDEX(PEF_GEST_27!$A$3:$AAA$102,MATCH(E43,PEF_GEST_27!$A$3:$A$102,0),MATCH($T$4,PEF_GEST_27!$A$3:$AAA$3,0))</f>
        <v>0</v>
      </c>
      <c r="X43" s="782">
        <f>INDEX(PEF_COM_27!$A$3:$AAA$102,MATCH(F43,PEF_COM_27!$A$3:$A$102,0),MATCH($T$4,PEF_COM_27!$A$3:$AAA$3,0))</f>
        <v>0</v>
      </c>
      <c r="Y43" s="805">
        <f t="shared" si="13"/>
        <v>0</v>
      </c>
      <c r="Z43" s="781">
        <f>INDEX(PEF_GEST_28!$A$3:$AAA$102,MATCH(H43,PEF_GEST_28!$A$3:$A$102,0),MATCH($T$4,PEF_GEST_28!$A$3:$AAA$3,0))</f>
        <v>0</v>
      </c>
      <c r="AA43" s="782">
        <f>INDEX(PEF_COM_28!$A$3:$AAA$102,MATCH(I43,PEF_COM_28!$A$3:$A$102,0),MATCH($T$4,PEF_COM_28!$A$3:$AAA$3,0))</f>
        <v>0</v>
      </c>
      <c r="AB43" s="805">
        <f t="shared" si="14"/>
        <v>0</v>
      </c>
      <c r="AC43" s="781">
        <f>INDEX(PEF_GEST_29!$A$3:$AAA$102,MATCH(K43,PEF_GEST_29!$A$3:$A$102,0),MATCH($T$4,PEF_GEST_29!$A$3:$AAA$3,0))</f>
        <v>0</v>
      </c>
      <c r="AD43" s="782">
        <f>INDEX(PEF_COM_29!$A$3:$AAA$102,MATCH(L43,PEF_COM_29!$A$3:$A$102,0),MATCH($T$4,PEF_COM_29!$A$3:$AAA$3,0))</f>
        <v>0</v>
      </c>
      <c r="AE43" s="805">
        <f t="shared" si="15"/>
        <v>0</v>
      </c>
      <c r="AF43" s="960"/>
      <c r="AG43" s="961"/>
      <c r="AH43" s="973"/>
      <c r="AJ43" s="1076">
        <f t="shared" si="10"/>
        <v>-534862</v>
      </c>
      <c r="AL43" s="1076">
        <v>0</v>
      </c>
      <c r="AM43" s="1076">
        <f t="shared" si="16"/>
        <v>534862</v>
      </c>
      <c r="AO43" s="1105"/>
    </row>
    <row r="44" spans="1:79" ht="11.4" x14ac:dyDescent="0.2">
      <c r="A44" s="313" t="s">
        <v>248</v>
      </c>
      <c r="B44" s="320" t="s">
        <v>2285</v>
      </c>
      <c r="C44" s="327" t="s">
        <v>2286</v>
      </c>
      <c r="D44" s="306" t="s">
        <v>105</v>
      </c>
      <c r="E44" s="320" t="s">
        <v>2294</v>
      </c>
      <c r="F44" s="327" t="s">
        <v>2295</v>
      </c>
      <c r="G44" s="306" t="s">
        <v>105</v>
      </c>
      <c r="H44" s="320" t="s">
        <v>2303</v>
      </c>
      <c r="I44" s="327" t="s">
        <v>2304</v>
      </c>
      <c r="J44" s="306" t="s">
        <v>105</v>
      </c>
      <c r="K44" s="320" t="s">
        <v>2312</v>
      </c>
      <c r="L44" s="327" t="s">
        <v>2313</v>
      </c>
      <c r="M44" s="306" t="s">
        <v>105</v>
      </c>
      <c r="N44" s="320" t="s">
        <v>105</v>
      </c>
      <c r="O44" s="327" t="s">
        <v>105</v>
      </c>
      <c r="P44" s="306" t="s">
        <v>105</v>
      </c>
      <c r="R44" s="732" t="s">
        <v>6411</v>
      </c>
      <c r="S44" s="231"/>
      <c r="T44" s="781">
        <f>INDEX(PEF_GEST_26!$A$3:$AAA$102,MATCH(B44,PEF_GEST_26!$A$3:$A$102,0),MATCH($T$4,PEF_GEST_26!$A$3:$AAA$3,0))</f>
        <v>0</v>
      </c>
      <c r="U44" s="782">
        <f>INDEX(PEF_COM_26!$A$3:$AAA$102,MATCH(C44,PEF_COM_26!$A$3:$A$102,0),MATCH($T$4,PEF_COM_26!$A$3:$AAA$3,0))</f>
        <v>0</v>
      </c>
      <c r="V44" s="805">
        <f t="shared" si="12"/>
        <v>0</v>
      </c>
      <c r="W44" s="781">
        <f>INDEX(PEF_GEST_27!$A$3:$AAA$102,MATCH(E44,PEF_GEST_27!$A$3:$A$102,0),MATCH($T$4,PEF_GEST_27!$A$3:$AAA$3,0))</f>
        <v>0</v>
      </c>
      <c r="X44" s="782">
        <f>INDEX(PEF_COM_27!$A$3:$AAA$102,MATCH(F44,PEF_COM_27!$A$3:$A$102,0),MATCH($T$4,PEF_COM_27!$A$3:$AAA$3,0))</f>
        <v>0</v>
      </c>
      <c r="Y44" s="805">
        <f t="shared" si="13"/>
        <v>0</v>
      </c>
      <c r="Z44" s="781">
        <f>INDEX(PEF_GEST_28!$A$3:$AAA$102,MATCH(H44,PEF_GEST_28!$A$3:$A$102,0),MATCH($T$4,PEF_GEST_28!$A$3:$AAA$3,0))</f>
        <v>0</v>
      </c>
      <c r="AA44" s="782">
        <f>INDEX(PEF_COM_28!$A$3:$AAA$102,MATCH(I44,PEF_COM_28!$A$3:$A$102,0),MATCH($T$4,PEF_COM_28!$A$3:$AAA$3,0))</f>
        <v>0</v>
      </c>
      <c r="AB44" s="805">
        <f t="shared" si="14"/>
        <v>0</v>
      </c>
      <c r="AC44" s="781">
        <f>INDEX(PEF_GEST_29!$A$3:$AAA$102,MATCH(K44,PEF_GEST_29!$A$3:$A$102,0),MATCH($T$4,PEF_GEST_29!$A$3:$AAA$3,0))</f>
        <v>0</v>
      </c>
      <c r="AD44" s="782">
        <f>INDEX(PEF_COM_29!$A$3:$AAA$102,MATCH(L44,PEF_COM_29!$A$3:$A$102,0),MATCH($T$4,PEF_COM_29!$A$3:$AAA$3,0))</f>
        <v>0</v>
      </c>
      <c r="AE44" s="805">
        <f t="shared" si="15"/>
        <v>0</v>
      </c>
      <c r="AF44" s="960"/>
      <c r="AG44" s="961"/>
      <c r="AH44" s="973"/>
      <c r="AJ44" s="1076">
        <f t="shared" si="10"/>
        <v>0</v>
      </c>
      <c r="AL44" s="1076">
        <v>0</v>
      </c>
      <c r="AM44" s="1076">
        <f t="shared" si="16"/>
        <v>0</v>
      </c>
      <c r="AO44" s="1105"/>
    </row>
    <row r="45" spans="1:79" ht="11.4" x14ac:dyDescent="0.2">
      <c r="A45" s="313" t="s">
        <v>248</v>
      </c>
      <c r="B45" s="320" t="s">
        <v>1065</v>
      </c>
      <c r="C45" s="327" t="s">
        <v>1066</v>
      </c>
      <c r="D45" s="306" t="s">
        <v>105</v>
      </c>
      <c r="E45" s="320" t="s">
        <v>1038</v>
      </c>
      <c r="F45" s="327" t="s">
        <v>1039</v>
      </c>
      <c r="G45" s="306" t="s">
        <v>105</v>
      </c>
      <c r="H45" s="320" t="s">
        <v>2358</v>
      </c>
      <c r="I45" s="327" t="s">
        <v>2359</v>
      </c>
      <c r="J45" s="306" t="s">
        <v>105</v>
      </c>
      <c r="K45" s="320" t="s">
        <v>2367</v>
      </c>
      <c r="L45" s="327" t="s">
        <v>2368</v>
      </c>
      <c r="M45" s="306" t="s">
        <v>105</v>
      </c>
      <c r="N45" s="320" t="s">
        <v>105</v>
      </c>
      <c r="O45" s="327" t="s">
        <v>105</v>
      </c>
      <c r="P45" s="306" t="s">
        <v>105</v>
      </c>
      <c r="Q45" s="51"/>
      <c r="R45" s="732" t="s">
        <v>5449</v>
      </c>
      <c r="S45" s="231"/>
      <c r="T45" s="824">
        <f>INDEX(PEF_GEST_26!$A$3:$AAA$102,MATCH(B45,PEF_GEST_26!$A$3:$A$102,0),MATCH($T$4,PEF_GEST_26!$A$3:$AAA$3,0))</f>
        <v>0</v>
      </c>
      <c r="U45" s="825">
        <f>INDEX(PEF_COM_26!$A$3:$AAA$102,MATCH(C45,PEF_COM_26!$A$3:$A$102,0),MATCH($T$4,PEF_COM_26!$A$3:$AAA$3,0))</f>
        <v>0</v>
      </c>
      <c r="V45" s="805">
        <f t="shared" si="12"/>
        <v>0</v>
      </c>
      <c r="W45" s="824">
        <f>INDEX(PEF_GEST_27!$A$3:$AAA$102,MATCH(E45,PEF_GEST_27!$A$3:$A$102,0),MATCH($T$4,PEF_GEST_27!$A$3:$AAA$3,0))</f>
        <v>0</v>
      </c>
      <c r="X45" s="825">
        <f>INDEX(PEF_COM_27!$A$3:$AAA$102,MATCH(F45,PEF_COM_27!$A$3:$A$102,0),MATCH($T$4,PEF_COM_27!$A$3:$AAA$3,0))</f>
        <v>0</v>
      </c>
      <c r="Y45" s="805">
        <f t="shared" si="13"/>
        <v>0</v>
      </c>
      <c r="Z45" s="824">
        <f>INDEX(PEF_GEST_28!$A$3:$AAA$102,MATCH(H45,PEF_GEST_28!$A$3:$A$102,0),MATCH($T$4,PEF_GEST_28!$A$3:$AAA$3,0))</f>
        <v>0</v>
      </c>
      <c r="AA45" s="825">
        <f>INDEX(PEF_COM_28!$A$3:$AAA$102,MATCH(I45,PEF_COM_28!$A$3:$A$102,0),MATCH($T$4,PEF_COM_28!$A$3:$AAA$3,0))</f>
        <v>0</v>
      </c>
      <c r="AB45" s="805">
        <f t="shared" si="14"/>
        <v>0</v>
      </c>
      <c r="AC45" s="824">
        <f>INDEX(PEF_GEST_29!$A$3:$AAA$102,MATCH(K45,PEF_GEST_29!$A$3:$A$102,0),MATCH($T$4,PEF_GEST_29!$A$3:$AAA$3,0))</f>
        <v>0</v>
      </c>
      <c r="AD45" s="825">
        <f>INDEX(PEF_COM_29!$A$3:$AAA$102,MATCH(L45,PEF_COM_29!$A$3:$A$102,0),MATCH($T$4,PEF_COM_29!$A$3:$AAA$3,0))</f>
        <v>0</v>
      </c>
      <c r="AE45" s="805">
        <f t="shared" si="15"/>
        <v>0</v>
      </c>
      <c r="AF45" s="966"/>
      <c r="AG45" s="967"/>
      <c r="AH45" s="974"/>
      <c r="AJ45" s="1076">
        <f t="shared" si="10"/>
        <v>0</v>
      </c>
      <c r="AL45" s="1076">
        <v>0</v>
      </c>
      <c r="AM45" s="1076">
        <f t="shared" si="16"/>
        <v>0</v>
      </c>
      <c r="AO45" s="1105"/>
      <c r="BT45" s="51"/>
      <c r="BU45" s="51"/>
      <c r="BV45" s="51"/>
      <c r="BW45" s="51"/>
      <c r="BX45" s="51"/>
      <c r="BY45" s="51"/>
      <c r="BZ45" s="51"/>
      <c r="CA45" s="51"/>
    </row>
    <row r="46" spans="1:79" ht="11.4" x14ac:dyDescent="0.2">
      <c r="A46" s="313" t="s">
        <v>248</v>
      </c>
      <c r="B46" s="320" t="s">
        <v>3243</v>
      </c>
      <c r="C46" s="327" t="s">
        <v>3249</v>
      </c>
      <c r="D46" s="306" t="s">
        <v>105</v>
      </c>
      <c r="E46" s="320" t="s">
        <v>3400</v>
      </c>
      <c r="F46" s="327" t="s">
        <v>3406</v>
      </c>
      <c r="G46" s="306" t="s">
        <v>105</v>
      </c>
      <c r="H46" s="320" t="s">
        <v>4230</v>
      </c>
      <c r="I46" s="327" t="s">
        <v>4250</v>
      </c>
      <c r="J46" s="306" t="s">
        <v>105</v>
      </c>
      <c r="K46" s="320" t="s">
        <v>4429</v>
      </c>
      <c r="L46" s="327" t="s">
        <v>4447</v>
      </c>
      <c r="M46" s="306" t="s">
        <v>105</v>
      </c>
      <c r="N46" s="320" t="s">
        <v>105</v>
      </c>
      <c r="O46" s="327" t="s">
        <v>105</v>
      </c>
      <c r="P46" s="306" t="s">
        <v>105</v>
      </c>
      <c r="Q46" s="51"/>
      <c r="R46" s="734" t="s">
        <v>26</v>
      </c>
      <c r="S46" s="231"/>
      <c r="T46" s="790">
        <f>INDEX(PEF_GEST_26!$A$3:$AAA$102,MATCH(B46,PEF_GEST_26!$A$3:$A$102,0),MATCH($T$4,PEF_GEST_26!$A$3:$AAA$3,0))</f>
        <v>223989.91151016203</v>
      </c>
      <c r="U46" s="791">
        <f>INDEX(PEF_COM_26!$A$3:$AAA$102,MATCH(C46,PEF_COM_26!$A$3:$A$102,0),MATCH($T$4,PEF_COM_26!$A$3:$AAA$3,0))</f>
        <v>0</v>
      </c>
      <c r="V46" s="826">
        <f t="shared" si="12"/>
        <v>223989.91151016203</v>
      </c>
      <c r="W46" s="790">
        <f>INDEX(PEF_GEST_27!$A$3:$AAA$102,MATCH(E46,PEF_GEST_27!$A$3:$A$102,0),MATCH($T$4,PEF_GEST_27!$A$3:$AAA$3,0))</f>
        <v>601543.91975124355</v>
      </c>
      <c r="X46" s="791">
        <f>INDEX(PEF_COM_27!$A$3:$AAA$102,MATCH(F46,PEF_COM_27!$A$3:$A$102,0),MATCH($T$4,PEF_COM_27!$A$3:$AAA$3,0))</f>
        <v>0</v>
      </c>
      <c r="Y46" s="826">
        <f t="shared" si="13"/>
        <v>601543.91975124355</v>
      </c>
      <c r="Z46" s="790">
        <f>INDEX(PEF_GEST_28!$A$3:$AAA$102,MATCH(H46,PEF_GEST_28!$A$3:$A$102,0),MATCH($T$4,PEF_GEST_28!$A$3:$AAA$3,0))</f>
        <v>321686.84789391904</v>
      </c>
      <c r="AA46" s="791">
        <f>INDEX(PEF_COM_28!$A$3:$AAA$102,MATCH(I46,PEF_COM_28!$A$3:$A$102,0),MATCH($T$4,PEF_COM_28!$A$3:$AAA$3,0))</f>
        <v>0</v>
      </c>
      <c r="AB46" s="826">
        <f t="shared" si="14"/>
        <v>321686.84789391904</v>
      </c>
      <c r="AC46" s="790">
        <f>INDEX(PEF_GEST_29!$A$3:$AAA$102,MATCH(K46,PEF_GEST_29!$A$3:$A$102,0),MATCH($T$4,PEF_GEST_29!$A$3:$AAA$3,0))</f>
        <v>0</v>
      </c>
      <c r="AD46" s="791">
        <f>INDEX(PEF_COM_29!$A$3:$AAA$102,MATCH(L46,PEF_COM_29!$A$3:$A$102,0),MATCH($T$4,PEF_COM_29!$A$3:$AAA$3,0))</f>
        <v>0</v>
      </c>
      <c r="AE46" s="826">
        <f t="shared" si="15"/>
        <v>0</v>
      </c>
      <c r="AF46" s="790"/>
      <c r="AG46" s="791"/>
      <c r="AH46" s="826"/>
      <c r="AJ46" s="1080">
        <f t="shared" si="10"/>
        <v>377554.00824108149</v>
      </c>
      <c r="AL46" s="1080">
        <f>5260.38793548018+AL47</f>
        <v>745112.5883299401</v>
      </c>
      <c r="AM46" s="1080">
        <f t="shared" si="16"/>
        <v>-521122.67681977805</v>
      </c>
      <c r="AO46" s="1105"/>
      <c r="BT46" s="51"/>
      <c r="BU46" s="51"/>
      <c r="BV46" s="51"/>
      <c r="BW46" s="51"/>
      <c r="BX46" s="51"/>
      <c r="BY46" s="51"/>
      <c r="BZ46" s="51"/>
      <c r="CA46" s="51"/>
    </row>
    <row r="47" spans="1:79" ht="11.4" x14ac:dyDescent="0.2">
      <c r="A47" s="313" t="s">
        <v>248</v>
      </c>
      <c r="B47" s="320" t="s">
        <v>6938</v>
      </c>
      <c r="C47" s="327" t="s">
        <v>6946</v>
      </c>
      <c r="D47" s="306" t="s">
        <v>105</v>
      </c>
      <c r="E47" s="320" t="s">
        <v>6940</v>
      </c>
      <c r="F47" s="327" t="s">
        <v>6948</v>
      </c>
      <c r="G47" s="306" t="s">
        <v>105</v>
      </c>
      <c r="H47" s="320" t="s">
        <v>6942</v>
      </c>
      <c r="I47" s="327" t="s">
        <v>6950</v>
      </c>
      <c r="J47" s="306" t="s">
        <v>105</v>
      </c>
      <c r="K47" s="320" t="s">
        <v>6944</v>
      </c>
      <c r="L47" s="327" t="s">
        <v>6952</v>
      </c>
      <c r="M47" s="306" t="s">
        <v>105</v>
      </c>
      <c r="N47" s="320" t="s">
        <v>6811</v>
      </c>
      <c r="O47" s="327" t="s">
        <v>6812</v>
      </c>
      <c r="P47" s="306" t="s">
        <v>105</v>
      </c>
      <c r="Q47" s="51"/>
      <c r="R47" s="735" t="s">
        <v>5450</v>
      </c>
      <c r="S47" s="231"/>
      <c r="T47" s="827">
        <f>INDEX(PEF_GEST_26!$A$3:$AAA$102,MATCH(B47,PEF_GEST_26!$A$3:$A$102,0),MATCH($T$4,PEF_GEST_26!$A$3:$AAA$3,0))</f>
        <v>224284.56583160121</v>
      </c>
      <c r="U47" s="794">
        <f>INDEX(PEF_COM_26!$A$3:$AAA$102,MATCH(C47,PEF_COM_26!$A$3:$A$102,0),MATCH($T$4,PEF_COM_26!$A$3:$AAA$3,0))</f>
        <v>0</v>
      </c>
      <c r="V47" s="828">
        <f t="shared" si="12"/>
        <v>224284.56583160121</v>
      </c>
      <c r="W47" s="827">
        <f>INDEX(PEF_GEST_27!$A$3:$AAA$102,MATCH(E47,PEF_GEST_27!$A$3:$A$102,0),MATCH($T$4,PEF_GEST_27!$A$3:$AAA$3,0))</f>
        <v>224284.56583160121</v>
      </c>
      <c r="X47" s="794">
        <f>INDEX(PEF_COM_27!$A$3:$AAA$102,MATCH(F47,PEF_COM_27!$A$3:$A$102,0),MATCH($T$4,PEF_COM_27!$A$3:$AAA$3,0))</f>
        <v>0</v>
      </c>
      <c r="Y47" s="828">
        <f t="shared" si="13"/>
        <v>224284.56583160121</v>
      </c>
      <c r="Z47" s="827">
        <f>INDEX(PEF_GEST_28!$A$3:$AAA$102,MATCH(H47,PEF_GEST_28!$A$3:$A$102,0),MATCH($T$4,PEF_GEST_28!$A$3:$AAA$3,0))</f>
        <v>321686.84789391904</v>
      </c>
      <c r="AA47" s="794">
        <f>INDEX(PEF_COM_28!$A$3:$AAA$102,MATCH(I47,PEF_COM_28!$A$3:$A$102,0),MATCH($T$4,PEF_COM_28!$A$3:$AAA$3,0))</f>
        <v>0</v>
      </c>
      <c r="AB47" s="828">
        <f t="shared" si="14"/>
        <v>321686.84789391904</v>
      </c>
      <c r="AC47" s="827">
        <f>INDEX(PEF_GEST_29!$A$3:$AAA$102,MATCH(K47,PEF_GEST_29!$A$3:$A$102,0),MATCH($T$4,PEF_GEST_29!$A$3:$AAA$3,0))</f>
        <v>0</v>
      </c>
      <c r="AD47" s="794">
        <f>INDEX(PEF_COM_29!$A$3:$AAA$102,MATCH(L47,PEF_COM_29!$A$3:$A$102,0),MATCH($T$4,PEF_COM_29!$A$3:$AAA$3,0))</f>
        <v>0</v>
      </c>
      <c r="AE47" s="828">
        <f t="shared" si="15"/>
        <v>0</v>
      </c>
      <c r="AF47" s="793">
        <f>INDEX(IN_Rimd!$A$3:$AAA$427,MATCH(N47,IN_Rimd!$A$3:$A$427,0),MATCH($T$4,IN_Rimd!$A$3:$AAA$3,0))</f>
        <v>0</v>
      </c>
      <c r="AG47" s="794">
        <f>INDEX(IN_Rimd!$A$3:$AAA$427,MATCH(O47,IN_Rimd!$A$3:$A$427,0),MATCH($T$4,IN_Rimd!$A$3:$AAA$3,0))</f>
        <v>0</v>
      </c>
      <c r="AH47" s="828">
        <f t="shared" ref="AH47" si="25">AF47+AG47</f>
        <v>0</v>
      </c>
      <c r="AJ47" s="1079">
        <f t="shared" si="10"/>
        <v>0</v>
      </c>
      <c r="AL47" s="1079">
        <v>739852.20039445988</v>
      </c>
      <c r="AM47" s="1079">
        <f t="shared" si="16"/>
        <v>-515567.63456285867</v>
      </c>
      <c r="AO47" s="1105"/>
      <c r="BT47" s="51"/>
      <c r="BU47" s="51"/>
      <c r="BV47" s="51"/>
      <c r="BW47" s="51"/>
      <c r="BX47" s="51"/>
      <c r="BY47" s="51"/>
      <c r="BZ47" s="51"/>
      <c r="CA47" s="51"/>
    </row>
    <row r="48" spans="1:79" x14ac:dyDescent="0.2">
      <c r="A48" s="332" t="s">
        <v>249</v>
      </c>
      <c r="B48" s="320" t="s">
        <v>105</v>
      </c>
      <c r="C48" s="327" t="s">
        <v>3252</v>
      </c>
      <c r="D48" s="306" t="s">
        <v>105</v>
      </c>
      <c r="E48" s="320" t="s">
        <v>105</v>
      </c>
      <c r="F48" s="327" t="s">
        <v>3409</v>
      </c>
      <c r="G48" s="306" t="s">
        <v>105</v>
      </c>
      <c r="H48" s="320" t="s">
        <v>105</v>
      </c>
      <c r="I48" s="327" t="s">
        <v>4253</v>
      </c>
      <c r="J48" s="306" t="s">
        <v>105</v>
      </c>
      <c r="K48" s="320" t="s">
        <v>105</v>
      </c>
      <c r="L48" s="327" t="s">
        <v>4450</v>
      </c>
      <c r="M48" s="306" t="s">
        <v>105</v>
      </c>
      <c r="N48" s="320" t="s">
        <v>105</v>
      </c>
      <c r="O48" s="327" t="s">
        <v>105</v>
      </c>
      <c r="P48" s="306" t="s">
        <v>105</v>
      </c>
      <c r="Q48" s="51"/>
      <c r="R48" s="732" t="s">
        <v>10</v>
      </c>
      <c r="S48" s="231"/>
      <c r="T48" s="829"/>
      <c r="U48" s="830">
        <f>INDEX(PEF_COM_26!$A$3:$AAA$102,MATCH(C48,PEF_COM_26!$A$3:$A$102,0),MATCH($T$4,PEF_COM_26!$A$3:$AAA$3,0))</f>
        <v>0</v>
      </c>
      <c r="V48" s="805">
        <f t="shared" si="12"/>
        <v>0</v>
      </c>
      <c r="W48" s="829"/>
      <c r="X48" s="830">
        <f>INDEX(PEF_COM_27!$A$3:$AAA$102,MATCH(F48,PEF_COM_27!$A$3:$A$102,0),MATCH($T$4,PEF_COM_27!$A$3:$AAA$3,0))</f>
        <v>0</v>
      </c>
      <c r="Y48" s="823">
        <f t="shared" si="13"/>
        <v>0</v>
      </c>
      <c r="Z48" s="829"/>
      <c r="AA48" s="830">
        <f>INDEX(PEF_COM_28!$A$3:$AAA$102,MATCH(I48,PEF_COM_28!$A$3:$A$102,0),MATCH($T$4,PEF_COM_28!$A$3:$AAA$3,0))</f>
        <v>0</v>
      </c>
      <c r="AB48" s="823">
        <f t="shared" si="14"/>
        <v>0</v>
      </c>
      <c r="AC48" s="829"/>
      <c r="AD48" s="830">
        <f>INDEX(PEF_COM_29!$A$3:$AAA$102,MATCH(L48,PEF_COM_29!$A$3:$A$102,0),MATCH($T$4,PEF_COM_29!$A$3:$AAA$3,0))</f>
        <v>0</v>
      </c>
      <c r="AE48" s="823">
        <f t="shared" si="15"/>
        <v>0</v>
      </c>
      <c r="AF48" s="981"/>
      <c r="AG48" s="982"/>
      <c r="AH48" s="959"/>
      <c r="AJ48" s="1076">
        <f t="shared" si="10"/>
        <v>0</v>
      </c>
      <c r="AL48" s="1076">
        <v>0</v>
      </c>
      <c r="AM48" s="1076">
        <f t="shared" si="16"/>
        <v>0</v>
      </c>
      <c r="AO48" s="1105"/>
      <c r="BT48" s="51"/>
      <c r="BU48" s="51"/>
      <c r="BV48" s="51"/>
      <c r="BW48" s="51"/>
      <c r="BX48" s="51"/>
      <c r="BY48" s="51"/>
      <c r="BZ48" s="51"/>
      <c r="CA48" s="51"/>
    </row>
    <row r="49" spans="1:79" ht="21" thickBot="1" x14ac:dyDescent="0.25">
      <c r="A49" s="314" t="s">
        <v>105</v>
      </c>
      <c r="B49" s="321" t="s">
        <v>105</v>
      </c>
      <c r="C49" s="328" t="s">
        <v>105</v>
      </c>
      <c r="D49" s="309" t="s">
        <v>105</v>
      </c>
      <c r="E49" s="321" t="s">
        <v>105</v>
      </c>
      <c r="F49" s="328" t="s">
        <v>105</v>
      </c>
      <c r="G49" s="309" t="s">
        <v>105</v>
      </c>
      <c r="H49" s="321" t="s">
        <v>105</v>
      </c>
      <c r="I49" s="328" t="s">
        <v>105</v>
      </c>
      <c r="J49" s="309" t="s">
        <v>105</v>
      </c>
      <c r="K49" s="321" t="s">
        <v>105</v>
      </c>
      <c r="L49" s="328" t="s">
        <v>105</v>
      </c>
      <c r="M49" s="309" t="s">
        <v>105</v>
      </c>
      <c r="N49" s="321" t="s">
        <v>105</v>
      </c>
      <c r="O49" s="328" t="s">
        <v>105</v>
      </c>
      <c r="P49" s="309" t="s">
        <v>105</v>
      </c>
      <c r="Q49" s="51"/>
      <c r="R49" s="236" t="s">
        <v>6369</v>
      </c>
      <c r="S49" s="231"/>
      <c r="T49" s="796">
        <f>T25+T30+T40+T41+T42+T43+T45+T44+T46+T48</f>
        <v>7531568.5899443226</v>
      </c>
      <c r="U49" s="797">
        <f>U25+U30+U40+U41+U42+U43+U45+U44+U46+U48</f>
        <v>0</v>
      </c>
      <c r="V49" s="831">
        <f t="shared" si="12"/>
        <v>7531568.5899443226</v>
      </c>
      <c r="W49" s="832">
        <f t="shared" ref="W49:X49" si="26">W25+W30+W40+W41+W42+W43+W45+W44+W46+W48</f>
        <v>7652796.8636533553</v>
      </c>
      <c r="X49" s="833">
        <f t="shared" si="26"/>
        <v>0</v>
      </c>
      <c r="Y49" s="834">
        <f t="shared" si="13"/>
        <v>7652796.8636533553</v>
      </c>
      <c r="Z49" s="832">
        <f t="shared" ref="Z49:AA49" si="27">Z25+Z30+Z40+Z41+Z42+Z43+Z45+Z44+Z46+Z48</f>
        <v>6964646.892502577</v>
      </c>
      <c r="AA49" s="833">
        <f t="shared" si="27"/>
        <v>0</v>
      </c>
      <c r="AB49" s="834">
        <f t="shared" si="14"/>
        <v>6964646.892502577</v>
      </c>
      <c r="AC49" s="832">
        <f t="shared" ref="AC49:AD49" si="28">AC25+AC30+AC40+AC41+AC42+AC43+AC45+AC44+AC46+AC48</f>
        <v>6243898.0065433783</v>
      </c>
      <c r="AD49" s="833">
        <f t="shared" si="28"/>
        <v>0</v>
      </c>
      <c r="AE49" s="834">
        <f t="shared" si="15"/>
        <v>6243898.0065433783</v>
      </c>
      <c r="AF49" s="975"/>
      <c r="AG49" s="976"/>
      <c r="AH49" s="983"/>
      <c r="AJ49" s="797">
        <f t="shared" si="10"/>
        <v>121228.27370903268</v>
      </c>
      <c r="AL49" s="797">
        <f t="shared" ref="AL49" si="29">AL25+AL30+AL40+AL41+AL42+AL43+AL45+AL44+AL46+AL48</f>
        <v>7261264.0502794292</v>
      </c>
      <c r="AM49" s="797">
        <f t="shared" si="16"/>
        <v>270304.53966489341</v>
      </c>
      <c r="AO49" s="1105"/>
      <c r="BT49" s="51"/>
      <c r="BU49" s="51"/>
      <c r="BV49" s="51"/>
      <c r="BW49" s="51"/>
      <c r="BX49" s="51"/>
      <c r="BY49" s="51"/>
      <c r="BZ49" s="51"/>
      <c r="CA49" s="51"/>
    </row>
    <row r="50" spans="1:79" s="226" customFormat="1" ht="8.25" customHeight="1" thickBot="1" x14ac:dyDescent="0.25">
      <c r="A50" s="314" t="s">
        <v>105</v>
      </c>
      <c r="B50" s="321" t="s">
        <v>105</v>
      </c>
      <c r="C50" s="328" t="s">
        <v>105</v>
      </c>
      <c r="D50" s="309" t="s">
        <v>105</v>
      </c>
      <c r="E50" s="321" t="s">
        <v>105</v>
      </c>
      <c r="F50" s="328" t="s">
        <v>105</v>
      </c>
      <c r="G50" s="309" t="s">
        <v>105</v>
      </c>
      <c r="H50" s="321" t="s">
        <v>105</v>
      </c>
      <c r="I50" s="328" t="s">
        <v>105</v>
      </c>
      <c r="J50" s="309" t="s">
        <v>105</v>
      </c>
      <c r="K50" s="321" t="s">
        <v>105</v>
      </c>
      <c r="L50" s="328" t="s">
        <v>105</v>
      </c>
      <c r="M50" s="309" t="s">
        <v>105</v>
      </c>
      <c r="N50" s="321" t="s">
        <v>105</v>
      </c>
      <c r="O50" s="328" t="s">
        <v>105</v>
      </c>
      <c r="P50" s="309" t="s">
        <v>105</v>
      </c>
      <c r="R50" s="240"/>
      <c r="S50" s="231"/>
      <c r="T50" s="835"/>
      <c r="U50" s="836"/>
      <c r="V50" s="837"/>
      <c r="W50" s="835"/>
      <c r="X50" s="836"/>
      <c r="Y50" s="837"/>
      <c r="Z50" s="835"/>
      <c r="AA50" s="836"/>
      <c r="AB50" s="837"/>
      <c r="AC50" s="835"/>
      <c r="AD50" s="836"/>
      <c r="AE50" s="837"/>
      <c r="AF50" s="835"/>
      <c r="AG50" s="836"/>
      <c r="AH50" s="837"/>
      <c r="AO50" s="1105"/>
    </row>
    <row r="51" spans="1:79" ht="20.100000000000001" customHeight="1" thickBot="1" x14ac:dyDescent="0.25">
      <c r="A51" s="313" t="s">
        <v>248</v>
      </c>
      <c r="B51" s="320" t="s">
        <v>3261</v>
      </c>
      <c r="C51" s="327" t="s">
        <v>5263</v>
      </c>
      <c r="D51" s="306" t="s">
        <v>105</v>
      </c>
      <c r="E51" s="320" t="s">
        <v>5504</v>
      </c>
      <c r="F51" s="327" t="s">
        <v>5665</v>
      </c>
      <c r="G51" s="306" t="s">
        <v>105</v>
      </c>
      <c r="H51" s="320" t="s">
        <v>5535</v>
      </c>
      <c r="I51" s="327" t="s">
        <v>5639</v>
      </c>
      <c r="J51" s="306" t="s">
        <v>105</v>
      </c>
      <c r="K51" s="320" t="s">
        <v>5578</v>
      </c>
      <c r="L51" s="327" t="s">
        <v>5613</v>
      </c>
      <c r="M51" s="306" t="s">
        <v>105</v>
      </c>
      <c r="N51" s="320" t="s">
        <v>105</v>
      </c>
      <c r="O51" s="327" t="s">
        <v>105</v>
      </c>
      <c r="P51" s="306" t="s">
        <v>105</v>
      </c>
      <c r="Q51" s="51"/>
      <c r="R51" s="242" t="s">
        <v>110</v>
      </c>
      <c r="S51" s="231"/>
      <c r="T51" s="838">
        <f>INDEX(PEF_GEST_26!$A$3:$AAA$102,MATCH(B51,PEF_GEST_26!$A$3:$A$102,0),MATCH($T$4,PEF_GEST_26!$A$3:$AAA$3,0))</f>
        <v>15445901.47535269</v>
      </c>
      <c r="U51" s="839">
        <f>INDEX(PEF_COM_26!$A$3:$AAA$102,MATCH(C51,PEF_COM_26!$A$3:$A$102,0),MATCH($T$4,PEF_COM_26!$A$3:$AAA$3,0))</f>
        <v>0</v>
      </c>
      <c r="V51" s="840">
        <f t="shared" ref="V51" si="30">T51+U51</f>
        <v>15445901.47535269</v>
      </c>
      <c r="W51" s="838">
        <f>INDEX(PEF_GEST_27!$A$3:$AAA$102,MATCH(E51,PEF_GEST_27!$A$3:$A$102,0),MATCH($T$4,PEF_GEST_27!$A$3:$AAA$3,0))</f>
        <v>16399095.851034127</v>
      </c>
      <c r="X51" s="839">
        <f>INDEX(PEF_COM_27!$A$3:$AAA$102,MATCH(F51,PEF_COM_27!$A$3:$A$102,0),MATCH($T$4,PEF_COM_27!$A$3:$AAA$3,0))</f>
        <v>0</v>
      </c>
      <c r="Y51" s="840">
        <f t="shared" ref="Y51" si="31">W51+X51</f>
        <v>16399095.851034127</v>
      </c>
      <c r="Z51" s="838">
        <f>INDEX(PEF_GEST_28!$A$3:$AAA$102,MATCH(H51,PEF_GEST_28!$A$3:$A$102,0),MATCH($T$4,PEF_GEST_28!$A$3:$AAA$3,0))</f>
        <v>15217280.422950398</v>
      </c>
      <c r="AA51" s="839">
        <f>INDEX(PEF_COM_28!$A$3:$AAA$102,MATCH(I51,PEF_COM_28!$A$3:$A$102,0),MATCH($T$4,PEF_COM_28!$A$3:$AAA$3,0))</f>
        <v>0</v>
      </c>
      <c r="AB51" s="840">
        <f t="shared" ref="AB51" si="32">Z51+AA51</f>
        <v>15217280.422950398</v>
      </c>
      <c r="AC51" s="838">
        <f>INDEX(PEF_GEST_29!$A$3:$AAA$102,MATCH(K51,PEF_GEST_29!$A$3:$A$102,0),MATCH($T$4,PEF_GEST_29!$A$3:$AAA$3,0))</f>
        <v>14158496.137235379</v>
      </c>
      <c r="AD51" s="839">
        <f>INDEX(PEF_COM_29!$A$3:$AAA$102,MATCH(L51,PEF_COM_29!$A$3:$A$102,0),MATCH($T$4,PEF_COM_29!$A$3:$AAA$3,0))</f>
        <v>0</v>
      </c>
      <c r="AE51" s="840">
        <f t="shared" ref="AE51" si="33">AC51+AD51</f>
        <v>14158496.137235379</v>
      </c>
      <c r="AF51" s="916"/>
      <c r="AG51" s="917"/>
      <c r="AH51" s="918"/>
      <c r="AJ51" s="1087">
        <f t="shared" si="10"/>
        <v>953194.37568143755</v>
      </c>
      <c r="AO51" s="1105"/>
      <c r="BT51" s="51"/>
      <c r="BU51" s="51"/>
      <c r="BV51" s="51"/>
      <c r="BW51" s="51"/>
      <c r="BX51" s="51"/>
      <c r="BY51" s="51"/>
      <c r="BZ51" s="51"/>
      <c r="CA51" s="51"/>
    </row>
    <row r="52" spans="1:79" ht="20.100000000000001" customHeight="1" thickBot="1" x14ac:dyDescent="0.25">
      <c r="A52" s="314" t="s">
        <v>105</v>
      </c>
      <c r="B52" s="321" t="s">
        <v>105</v>
      </c>
      <c r="C52" s="328" t="s">
        <v>105</v>
      </c>
      <c r="D52" s="309" t="s">
        <v>105</v>
      </c>
      <c r="E52" s="321" t="s">
        <v>105</v>
      </c>
      <c r="F52" s="328" t="s">
        <v>105</v>
      </c>
      <c r="G52" s="309" t="s">
        <v>105</v>
      </c>
      <c r="H52" s="321" t="s">
        <v>105</v>
      </c>
      <c r="I52" s="328" t="s">
        <v>105</v>
      </c>
      <c r="J52" s="309" t="s">
        <v>105</v>
      </c>
      <c r="K52" s="321" t="s">
        <v>105</v>
      </c>
      <c r="L52" s="328" t="s">
        <v>105</v>
      </c>
      <c r="M52" s="309" t="s">
        <v>105</v>
      </c>
      <c r="N52" s="321" t="s">
        <v>105</v>
      </c>
      <c r="O52" s="328" t="s">
        <v>105</v>
      </c>
      <c r="P52" s="309" t="s">
        <v>105</v>
      </c>
      <c r="Q52" s="51"/>
      <c r="R52" s="243" t="s">
        <v>111</v>
      </c>
      <c r="S52" s="231"/>
      <c r="T52" s="796">
        <f t="shared" ref="T52:AE52" si="34">+T23+T49</f>
        <v>15445901.47535269</v>
      </c>
      <c r="U52" s="797">
        <f t="shared" si="34"/>
        <v>0</v>
      </c>
      <c r="V52" s="798">
        <f t="shared" si="34"/>
        <v>15445901.47535269</v>
      </c>
      <c r="W52" s="796">
        <f t="shared" si="34"/>
        <v>16399095.851034127</v>
      </c>
      <c r="X52" s="797">
        <f t="shared" si="34"/>
        <v>0</v>
      </c>
      <c r="Y52" s="798">
        <f t="shared" si="34"/>
        <v>16399095.851034127</v>
      </c>
      <c r="Z52" s="796">
        <f t="shared" si="34"/>
        <v>15217280.422950398</v>
      </c>
      <c r="AA52" s="797">
        <f t="shared" si="34"/>
        <v>0</v>
      </c>
      <c r="AB52" s="798">
        <f t="shared" si="34"/>
        <v>15217280.422950398</v>
      </c>
      <c r="AC52" s="796">
        <f t="shared" si="34"/>
        <v>14158496.137235379</v>
      </c>
      <c r="AD52" s="797">
        <f t="shared" si="34"/>
        <v>0</v>
      </c>
      <c r="AE52" s="798">
        <f t="shared" si="34"/>
        <v>14158496.137235379</v>
      </c>
      <c r="AF52" s="919"/>
      <c r="AG52" s="920"/>
      <c r="AH52" s="921"/>
      <c r="AJ52" s="797">
        <f t="shared" si="10"/>
        <v>953194.37568143755</v>
      </c>
      <c r="AL52" s="1099">
        <f>AL23+AL49</f>
        <v>17477797.29091249</v>
      </c>
      <c r="AM52" s="1098">
        <f t="shared" ref="AM52" si="35">T52-AL52</f>
        <v>-2031895.8155598007</v>
      </c>
      <c r="AO52" s="1105"/>
      <c r="BT52" s="51"/>
      <c r="BU52" s="51"/>
      <c r="BV52" s="51"/>
      <c r="BW52" s="51"/>
      <c r="BX52" s="51"/>
      <c r="BY52" s="51"/>
      <c r="BZ52" s="51"/>
      <c r="CA52" s="51"/>
    </row>
    <row r="53" spans="1:79" s="226" customFormat="1" ht="20.100000000000001" customHeight="1" x14ac:dyDescent="0.2">
      <c r="A53" s="314" t="s">
        <v>105</v>
      </c>
      <c r="B53" s="321" t="s">
        <v>105</v>
      </c>
      <c r="C53" s="328" t="s">
        <v>105</v>
      </c>
      <c r="D53" s="309" t="s">
        <v>105</v>
      </c>
      <c r="E53" s="321" t="s">
        <v>105</v>
      </c>
      <c r="F53" s="328" t="s">
        <v>105</v>
      </c>
      <c r="G53" s="309" t="s">
        <v>105</v>
      </c>
      <c r="H53" s="321" t="s">
        <v>105</v>
      </c>
      <c r="I53" s="328" t="s">
        <v>105</v>
      </c>
      <c r="J53" s="309" t="s">
        <v>105</v>
      </c>
      <c r="K53" s="321" t="s">
        <v>105</v>
      </c>
      <c r="L53" s="328" t="s">
        <v>105</v>
      </c>
      <c r="M53" s="309" t="s">
        <v>105</v>
      </c>
      <c r="N53" s="321" t="s">
        <v>105</v>
      </c>
      <c r="O53" s="328" t="s">
        <v>105</v>
      </c>
      <c r="P53" s="309" t="s">
        <v>105</v>
      </c>
      <c r="R53" s="240"/>
      <c r="S53" s="231"/>
      <c r="T53" s="275"/>
      <c r="V53" s="273"/>
      <c r="W53" s="302"/>
      <c r="Y53" s="273"/>
      <c r="Z53" s="302"/>
      <c r="AB53" s="273"/>
      <c r="AC53" s="302"/>
      <c r="AE53" s="273"/>
      <c r="AF53" s="922"/>
      <c r="AG53" s="51"/>
      <c r="AH53" s="923"/>
    </row>
    <row r="54" spans="1:79" s="226" customFormat="1" ht="10.8" thickBot="1" x14ac:dyDescent="0.25">
      <c r="A54" s="314" t="s">
        <v>105</v>
      </c>
      <c r="B54" s="321" t="s">
        <v>105</v>
      </c>
      <c r="C54" s="328" t="s">
        <v>105</v>
      </c>
      <c r="D54" s="309" t="s">
        <v>105</v>
      </c>
      <c r="E54" s="321" t="s">
        <v>105</v>
      </c>
      <c r="F54" s="328" t="s">
        <v>105</v>
      </c>
      <c r="G54" s="309" t="s">
        <v>105</v>
      </c>
      <c r="H54" s="321" t="s">
        <v>105</v>
      </c>
      <c r="I54" s="328" t="s">
        <v>105</v>
      </c>
      <c r="J54" s="309" t="s">
        <v>105</v>
      </c>
      <c r="K54" s="321" t="s">
        <v>105</v>
      </c>
      <c r="L54" s="328" t="s">
        <v>105</v>
      </c>
      <c r="M54" s="309" t="s">
        <v>105</v>
      </c>
      <c r="N54" s="321" t="s">
        <v>105</v>
      </c>
      <c r="O54" s="328" t="s">
        <v>105</v>
      </c>
      <c r="P54" s="309" t="s">
        <v>105</v>
      </c>
      <c r="R54" s="245" t="s">
        <v>112</v>
      </c>
      <c r="S54" s="231"/>
      <c r="T54" s="274"/>
      <c r="U54" s="244"/>
      <c r="V54" s="276"/>
      <c r="W54" s="274"/>
      <c r="X54" s="244"/>
      <c r="Y54" s="276"/>
      <c r="Z54" s="274"/>
      <c r="AA54" s="244"/>
      <c r="AB54" s="276"/>
      <c r="AC54" s="274"/>
      <c r="AD54" s="244"/>
      <c r="AE54" s="276"/>
      <c r="AF54" s="924"/>
      <c r="AG54" s="925"/>
      <c r="AH54" s="926"/>
    </row>
    <row r="55" spans="1:79" s="226" customFormat="1" x14ac:dyDescent="0.2">
      <c r="A55" s="315" t="s">
        <v>1369</v>
      </c>
      <c r="B55" s="322" t="s">
        <v>105</v>
      </c>
      <c r="C55" s="329" t="s">
        <v>105</v>
      </c>
      <c r="D55" s="307" t="s">
        <v>245</v>
      </c>
      <c r="E55" s="322" t="s">
        <v>105</v>
      </c>
      <c r="F55" s="329" t="s">
        <v>105</v>
      </c>
      <c r="G55" s="307" t="s">
        <v>246</v>
      </c>
      <c r="H55" s="322" t="s">
        <v>105</v>
      </c>
      <c r="I55" s="329" t="s">
        <v>105</v>
      </c>
      <c r="J55" s="307" t="s">
        <v>1237</v>
      </c>
      <c r="K55" s="322" t="s">
        <v>105</v>
      </c>
      <c r="L55" s="329" t="s">
        <v>105</v>
      </c>
      <c r="M55" s="307" t="s">
        <v>1249</v>
      </c>
      <c r="N55" s="322" t="s">
        <v>105</v>
      </c>
      <c r="O55" s="329" t="s">
        <v>105</v>
      </c>
      <c r="P55" s="307" t="s">
        <v>105</v>
      </c>
      <c r="R55" s="239" t="s">
        <v>231</v>
      </c>
      <c r="S55" s="231"/>
      <c r="T55" s="774"/>
      <c r="U55" s="775"/>
      <c r="V55" s="751">
        <f>INDEX(IN_PAR!$A$3:$AAA$413,MATCH(D55,IN_PAR!$A$3:$A$413,0),MATCH($T$4,IN_PAR!$A$3:$AAA$3,0))</f>
        <v>0.79210000000000003</v>
      </c>
      <c r="W55" s="774"/>
      <c r="X55" s="775"/>
      <c r="Y55" s="751">
        <f>INDEX(IN_PAR!$A$3:$AAA$413,MATCH(G55,IN_PAR!$A$3:$A$413,0),MATCH($T$4,IN_PAR!$A$3:$AAA$3,0))</f>
        <v>0.81310000000000004</v>
      </c>
      <c r="Z55" s="774"/>
      <c r="AA55" s="775"/>
      <c r="AB55" s="277">
        <f>INDEX(IN_PAR!$A$3:$AAA$413,MATCH(J55,IN_PAR!$A$3:$A$413,0),MATCH($T$4,IN_PAR!$A$3:$AAA$3,0))</f>
        <v>0.81310000000000004</v>
      </c>
      <c r="AC55" s="774"/>
      <c r="AD55" s="775"/>
      <c r="AE55" s="277">
        <f>INDEX(IN_PAR!$A$3:$AAA$413,MATCH(M55,IN_PAR!$A$3:$A$413,0),MATCH($T$4,IN_PAR!$A$3:$AAA$3,0))</f>
        <v>0.81310000000000004</v>
      </c>
      <c r="AF55" s="927"/>
      <c r="AG55" s="390"/>
      <c r="AH55" s="928"/>
    </row>
    <row r="56" spans="1:79" s="226" customFormat="1" ht="11.4" x14ac:dyDescent="0.2">
      <c r="A56" s="315" t="s">
        <v>1369</v>
      </c>
      <c r="B56" s="322" t="s">
        <v>105</v>
      </c>
      <c r="C56" s="329" t="s">
        <v>105</v>
      </c>
      <c r="D56" s="307" t="s">
        <v>987</v>
      </c>
      <c r="E56" s="322" t="s">
        <v>105</v>
      </c>
      <c r="F56" s="329" t="s">
        <v>105</v>
      </c>
      <c r="G56" s="307" t="s">
        <v>997</v>
      </c>
      <c r="H56" s="322" t="s">
        <v>105</v>
      </c>
      <c r="I56" s="329" t="s">
        <v>105</v>
      </c>
      <c r="J56" s="307" t="s">
        <v>1312</v>
      </c>
      <c r="K56" s="322" t="s">
        <v>105</v>
      </c>
      <c r="L56" s="329" t="s">
        <v>105</v>
      </c>
      <c r="M56" s="307" t="s">
        <v>1325</v>
      </c>
      <c r="N56" s="322" t="s">
        <v>105</v>
      </c>
      <c r="O56" s="329" t="s">
        <v>105</v>
      </c>
      <c r="P56" s="307" t="s">
        <v>105</v>
      </c>
      <c r="R56" s="246" t="s">
        <v>258</v>
      </c>
      <c r="S56" s="231"/>
      <c r="T56" s="776"/>
      <c r="U56" s="777"/>
      <c r="V56" s="752">
        <f>INDEX(IN_PAR!$A$3:$AAA$413,MATCH(D56,IN_PAR!$A$3:$A$413,0),MATCH($T$4,IN_PAR!$A$3:$AAA$3,0))</f>
        <v>33673.17</v>
      </c>
      <c r="W56" s="776"/>
      <c r="X56" s="777"/>
      <c r="Y56" s="752">
        <f>INDEX(IN_PAR!$A$3:$AAA$413,MATCH(G56,IN_PAR!$A$3:$A$413,0),MATCH($T$4,IN_PAR!$A$3:$AAA$3,0))</f>
        <v>32680.720000000001</v>
      </c>
      <c r="Z56" s="776"/>
      <c r="AA56" s="777"/>
      <c r="AB56" s="278">
        <f>INDEX(IN_PAR!$A$3:$AAA$413,MATCH(J56,IN_PAR!$A$3:$A$413,0),MATCH($T$4,IN_PAR!$A$3:$AAA$3,0))</f>
        <v>32680.720000000001</v>
      </c>
      <c r="AC56" s="776"/>
      <c r="AD56" s="777"/>
      <c r="AE56" s="278">
        <f>INDEX(IN_PAR!$A$3:$AAA$413,MATCH(M56,IN_PAR!$A$3:$A$413,0),MATCH($T$4,IN_PAR!$A$3:$AAA$3,0))</f>
        <v>32680.720000000001</v>
      </c>
      <c r="AF56" s="927"/>
      <c r="AG56" s="390"/>
      <c r="AH56" s="929"/>
    </row>
    <row r="57" spans="1:79" s="226" customFormat="1" x14ac:dyDescent="0.2">
      <c r="A57" s="315" t="s">
        <v>1369</v>
      </c>
      <c r="B57" s="322" t="s">
        <v>105</v>
      </c>
      <c r="C57" s="329" t="s">
        <v>105</v>
      </c>
      <c r="D57" s="307" t="s">
        <v>989</v>
      </c>
      <c r="E57" s="322" t="s">
        <v>105</v>
      </c>
      <c r="F57" s="329" t="s">
        <v>105</v>
      </c>
      <c r="G57" s="307" t="s">
        <v>998</v>
      </c>
      <c r="H57" s="322" t="s">
        <v>105</v>
      </c>
      <c r="I57" s="329" t="s">
        <v>105</v>
      </c>
      <c r="J57" s="307" t="s">
        <v>1313</v>
      </c>
      <c r="K57" s="322" t="s">
        <v>105</v>
      </c>
      <c r="L57" s="329" t="s">
        <v>105</v>
      </c>
      <c r="M57" s="307" t="s">
        <v>1326</v>
      </c>
      <c r="N57" s="322" t="s">
        <v>105</v>
      </c>
      <c r="O57" s="329" t="s">
        <v>105</v>
      </c>
      <c r="P57" s="307" t="s">
        <v>105</v>
      </c>
      <c r="R57" s="235" t="s">
        <v>232</v>
      </c>
      <c r="S57" s="231"/>
      <c r="T57" s="776"/>
      <c r="U57" s="777"/>
      <c r="V57" s="753">
        <f>INDEX(IN_PAR!$A$3:$AAA$413,MATCH(D57,IN_PAR!$A$3:$A$413,0),MATCH($T$4,IN_PAR!$A$3:$AAA$3,0))</f>
        <v>47.944492662852944</v>
      </c>
      <c r="W57" s="776"/>
      <c r="X57" s="777"/>
      <c r="Y57" s="753">
        <f>INDEX(IN_PAR!$A$3:$AAA$413,MATCH(G57,IN_PAR!$A$3:$A$413,0),MATCH($T$4,IN_PAR!$A$3:$AAA$3,0))</f>
        <v>50.033358169587451</v>
      </c>
      <c r="Z57" s="776"/>
      <c r="AA57" s="777"/>
      <c r="AB57" s="279">
        <f>INDEX(IN_PAR!$A$3:$AAA$413,MATCH(J57,IN_PAR!$A$3:$A$413,0),MATCH($T$4,IN_PAR!$A$3:$AAA$3,0))</f>
        <v>47.26303911098865</v>
      </c>
      <c r="AC57" s="776"/>
      <c r="AD57" s="777"/>
      <c r="AE57" s="279">
        <f>INDEX(IN_PAR!$A$3:$AAA$413,MATCH(M57,IN_PAR!$A$3:$A$413,0),MATCH($T$4,IN_PAR!$A$3:$AAA$3,0))</f>
        <v>48.161036854097432</v>
      </c>
      <c r="AF57" s="927"/>
      <c r="AG57" s="390"/>
      <c r="AH57" s="930"/>
    </row>
    <row r="58" spans="1:79" s="226" customFormat="1" ht="10.8" thickBot="1" x14ac:dyDescent="0.25">
      <c r="A58" s="315" t="s">
        <v>1369</v>
      </c>
      <c r="B58" s="322" t="s">
        <v>105</v>
      </c>
      <c r="C58" s="329" t="s">
        <v>105</v>
      </c>
      <c r="D58" s="307" t="s">
        <v>992</v>
      </c>
      <c r="E58" s="322" t="s">
        <v>105</v>
      </c>
      <c r="F58" s="329" t="s">
        <v>105</v>
      </c>
      <c r="G58" s="307" t="s">
        <v>999</v>
      </c>
      <c r="H58" s="322" t="s">
        <v>105</v>
      </c>
      <c r="I58" s="329" t="s">
        <v>105</v>
      </c>
      <c r="J58" s="307" t="s">
        <v>1314</v>
      </c>
      <c r="K58" s="322" t="s">
        <v>105</v>
      </c>
      <c r="L58" s="329" t="s">
        <v>105</v>
      </c>
      <c r="M58" s="307" t="s">
        <v>1327</v>
      </c>
      <c r="N58" s="322" t="s">
        <v>105</v>
      </c>
      <c r="O58" s="329" t="s">
        <v>105</v>
      </c>
      <c r="P58" s="307" t="s">
        <v>105</v>
      </c>
      <c r="R58" s="247" t="s">
        <v>113</v>
      </c>
      <c r="S58" s="231"/>
      <c r="T58" s="778"/>
      <c r="U58" s="779"/>
      <c r="V58" s="754">
        <f>INDEX(IN_PAR!$A$3:$AAA$413,MATCH(D58,IN_PAR!$A$3:$A$413,0),MATCH($T$4,IN_PAR!$A$3:$AAA$3,0))</f>
        <v>33.15</v>
      </c>
      <c r="W58" s="778"/>
      <c r="X58" s="779"/>
      <c r="Y58" s="753">
        <f>INDEX(IN_PAR!$A$3:$AAA$413,MATCH(G58,IN_PAR!$A$3:$A$413,0),MATCH($T$4,IN_PAR!$A$3:$AAA$3,0))</f>
        <v>33.15</v>
      </c>
      <c r="Z58" s="778"/>
      <c r="AA58" s="779"/>
      <c r="AB58" s="279">
        <f>INDEX(IN_PAR!$A$3:$AAA$413,MATCH(J58,IN_PAR!$A$3:$A$413,0),MATCH($T$4,IN_PAR!$A$3:$AAA$3,0))</f>
        <v>33.15</v>
      </c>
      <c r="AC58" s="778"/>
      <c r="AD58" s="779"/>
      <c r="AE58" s="279">
        <f>INDEX(IN_PAR!$A$3:$AAA$413,MATCH(M58,IN_PAR!$A$3:$A$413,0),MATCH($T$4,IN_PAR!$A$3:$AAA$3,0))</f>
        <v>33.15</v>
      </c>
      <c r="AF58" s="927"/>
      <c r="AG58" s="390"/>
      <c r="AH58" s="930"/>
    </row>
    <row r="59" spans="1:79" s="226" customFormat="1" x14ac:dyDescent="0.2">
      <c r="A59" s="314" t="s">
        <v>105</v>
      </c>
      <c r="B59" s="321" t="s">
        <v>105</v>
      </c>
      <c r="C59" s="328" t="s">
        <v>105</v>
      </c>
      <c r="D59" s="309" t="s">
        <v>105</v>
      </c>
      <c r="E59" s="321" t="s">
        <v>105</v>
      </c>
      <c r="F59" s="328" t="s">
        <v>105</v>
      </c>
      <c r="G59" s="309" t="s">
        <v>105</v>
      </c>
      <c r="H59" s="321" t="s">
        <v>105</v>
      </c>
      <c r="I59" s="328" t="s">
        <v>105</v>
      </c>
      <c r="J59" s="309" t="s">
        <v>105</v>
      </c>
      <c r="K59" s="321" t="s">
        <v>105</v>
      </c>
      <c r="L59" s="328" t="s">
        <v>105</v>
      </c>
      <c r="M59" s="309" t="s">
        <v>105</v>
      </c>
      <c r="N59" s="321" t="s">
        <v>105</v>
      </c>
      <c r="O59" s="328" t="s">
        <v>105</v>
      </c>
      <c r="P59" s="309" t="s">
        <v>105</v>
      </c>
      <c r="R59" s="240"/>
      <c r="S59" s="231"/>
      <c r="T59" s="272"/>
      <c r="U59" s="241"/>
      <c r="V59" s="273"/>
      <c r="W59" s="272"/>
      <c r="X59" s="241"/>
      <c r="Y59" s="273"/>
      <c r="Z59" s="272"/>
      <c r="AA59" s="241"/>
      <c r="AB59" s="273"/>
      <c r="AC59" s="272"/>
      <c r="AD59" s="241"/>
      <c r="AE59" s="273"/>
      <c r="AF59" s="927"/>
      <c r="AG59" s="390"/>
      <c r="AH59" s="923"/>
    </row>
    <row r="60" spans="1:79" s="226" customFormat="1" ht="10.8" thickBot="1" x14ac:dyDescent="0.25">
      <c r="A60" s="314" t="s">
        <v>105</v>
      </c>
      <c r="B60" s="321" t="s">
        <v>105</v>
      </c>
      <c r="C60" s="328" t="s">
        <v>105</v>
      </c>
      <c r="D60" s="309" t="s">
        <v>105</v>
      </c>
      <c r="E60" s="321" t="s">
        <v>105</v>
      </c>
      <c r="F60" s="328" t="s">
        <v>105</v>
      </c>
      <c r="G60" s="309" t="s">
        <v>105</v>
      </c>
      <c r="H60" s="321" t="s">
        <v>105</v>
      </c>
      <c r="I60" s="328" t="s">
        <v>105</v>
      </c>
      <c r="J60" s="309" t="s">
        <v>105</v>
      </c>
      <c r="K60" s="321" t="s">
        <v>105</v>
      </c>
      <c r="L60" s="328" t="s">
        <v>105</v>
      </c>
      <c r="M60" s="309" t="s">
        <v>105</v>
      </c>
      <c r="N60" s="321" t="s">
        <v>105</v>
      </c>
      <c r="O60" s="328" t="s">
        <v>105</v>
      </c>
      <c r="P60" s="309" t="s">
        <v>105</v>
      </c>
      <c r="R60" s="245" t="s">
        <v>114</v>
      </c>
      <c r="S60" s="231"/>
      <c r="T60" s="274"/>
      <c r="U60" s="244"/>
      <c r="V60" s="280"/>
      <c r="W60" s="274"/>
      <c r="X60" s="244"/>
      <c r="Y60" s="280"/>
      <c r="Z60" s="274"/>
      <c r="AA60" s="244"/>
      <c r="AB60" s="280"/>
      <c r="AC60" s="274"/>
      <c r="AD60" s="244"/>
      <c r="AE60" s="280"/>
      <c r="AF60" s="924"/>
      <c r="AG60" s="925"/>
      <c r="AH60" s="923"/>
    </row>
    <row r="61" spans="1:79" s="226" customFormat="1" ht="11.4" x14ac:dyDescent="0.2">
      <c r="A61" s="315" t="s">
        <v>1369</v>
      </c>
      <c r="B61" s="322" t="s">
        <v>105</v>
      </c>
      <c r="C61" s="329" t="s">
        <v>105</v>
      </c>
      <c r="D61" s="85" t="s">
        <v>966</v>
      </c>
      <c r="E61" s="322" t="s">
        <v>105</v>
      </c>
      <c r="F61" s="329" t="s">
        <v>105</v>
      </c>
      <c r="G61" s="307" t="s">
        <v>981</v>
      </c>
      <c r="H61" s="322" t="s">
        <v>105</v>
      </c>
      <c r="I61" s="329" t="s">
        <v>105</v>
      </c>
      <c r="J61" s="307" t="s">
        <v>1290</v>
      </c>
      <c r="K61" s="322" t="s">
        <v>105</v>
      </c>
      <c r="L61" s="329" t="s">
        <v>105</v>
      </c>
      <c r="M61" s="307" t="s">
        <v>1304</v>
      </c>
      <c r="N61" s="322" t="s">
        <v>105</v>
      </c>
      <c r="O61" s="329" t="s">
        <v>105</v>
      </c>
      <c r="P61" s="307" t="s">
        <v>105</v>
      </c>
      <c r="R61" s="239" t="s">
        <v>233</v>
      </c>
      <c r="S61" s="231"/>
      <c r="T61" s="774"/>
      <c r="U61" s="775"/>
      <c r="V61" s="521">
        <f>INDEX(IN_PAR!$A$3:$AAA$413,MATCH(D61,IN_PAR!$A$3:$A$413,0),MATCH($T$4,IN_PAR!$A$3:$AAA$3,0))</f>
        <v>0</v>
      </c>
      <c r="W61" s="774"/>
      <c r="X61" s="775"/>
      <c r="Y61" s="521">
        <f>INDEX(IN_PAR!$A$3:$AAA$413,MATCH(G61,IN_PAR!$A$3:$A$413,0),MATCH($T$4,IN_PAR!$A$3:$AAA$3,0))</f>
        <v>0</v>
      </c>
      <c r="Z61" s="774"/>
      <c r="AA61" s="775"/>
      <c r="AB61" s="521">
        <f>INDEX(IN_PAR!$A$3:$AAA$413,MATCH(J61,IN_PAR!$A$3:$A$413,0),MATCH($T$4,IN_PAR!$A$3:$AAA$3,0))</f>
        <v>0</v>
      </c>
      <c r="AC61" s="774"/>
      <c r="AD61" s="775"/>
      <c r="AE61" s="521">
        <f>INDEX(IN_PAR!$A$3:$AAA$413,MATCH(M61,IN_PAR!$A$3:$A$413,0),MATCH($T$4,IN_PAR!$A$3:$AAA$3,0))</f>
        <v>0</v>
      </c>
      <c r="AF61" s="927"/>
      <c r="AG61" s="390"/>
      <c r="AH61" s="931"/>
    </row>
    <row r="62" spans="1:79" s="226" customFormat="1" ht="11.4" x14ac:dyDescent="0.2">
      <c r="A62" s="315" t="s">
        <v>1369</v>
      </c>
      <c r="B62" s="322" t="s">
        <v>105</v>
      </c>
      <c r="C62" s="329" t="s">
        <v>105</v>
      </c>
      <c r="D62" s="307" t="s">
        <v>967</v>
      </c>
      <c r="E62" s="322" t="s">
        <v>105</v>
      </c>
      <c r="F62" s="329" t="s">
        <v>105</v>
      </c>
      <c r="G62" s="307" t="s">
        <v>982</v>
      </c>
      <c r="H62" s="322" t="s">
        <v>105</v>
      </c>
      <c r="I62" s="329" t="s">
        <v>105</v>
      </c>
      <c r="J62" s="307" t="s">
        <v>1291</v>
      </c>
      <c r="K62" s="322" t="s">
        <v>105</v>
      </c>
      <c r="L62" s="329" t="s">
        <v>105</v>
      </c>
      <c r="M62" s="307" t="s">
        <v>1305</v>
      </c>
      <c r="N62" s="322" t="s">
        <v>105</v>
      </c>
      <c r="O62" s="329" t="s">
        <v>105</v>
      </c>
      <c r="P62" s="307" t="s">
        <v>105</v>
      </c>
      <c r="R62" s="235" t="s">
        <v>234</v>
      </c>
      <c r="S62" s="231"/>
      <c r="T62" s="776"/>
      <c r="U62" s="777"/>
      <c r="V62" s="522">
        <f>INDEX(IN_PAR!$A$3:$AAA$413,MATCH(D62,IN_PAR!$A$3:$A$413,0),MATCH($T$4,IN_PAR!$A$3:$AAA$3,0))</f>
        <v>0</v>
      </c>
      <c r="W62" s="776"/>
      <c r="X62" s="777"/>
      <c r="Y62" s="522">
        <f>INDEX(IN_PAR!$A$3:$AAA$413,MATCH(G62,IN_PAR!$A$3:$A$413,0),MATCH($T$4,IN_PAR!$A$3:$AAA$3,0))</f>
        <v>0</v>
      </c>
      <c r="Z62" s="776"/>
      <c r="AA62" s="777"/>
      <c r="AB62" s="522">
        <f>INDEX(IN_PAR!$A$3:$AAA$413,MATCH(J62,IN_PAR!$A$3:$A$413,0),MATCH($T$4,IN_PAR!$A$3:$AAA$3,0))</f>
        <v>0</v>
      </c>
      <c r="AC62" s="776"/>
      <c r="AD62" s="777"/>
      <c r="AE62" s="522">
        <f>INDEX(IN_PAR!$A$3:$AAA$413,MATCH(M62,IN_PAR!$A$3:$A$413,0),MATCH($T$4,IN_PAR!$A$3:$AAA$3,0))</f>
        <v>0</v>
      </c>
      <c r="AF62" s="927"/>
      <c r="AG62" s="390"/>
      <c r="AH62" s="931"/>
    </row>
    <row r="63" spans="1:79" s="226" customFormat="1" x14ac:dyDescent="0.2">
      <c r="A63" s="314" t="s">
        <v>105</v>
      </c>
      <c r="B63" s="321" t="s">
        <v>105</v>
      </c>
      <c r="C63" s="328" t="s">
        <v>105</v>
      </c>
      <c r="D63" s="309" t="s">
        <v>105</v>
      </c>
      <c r="E63" s="321" t="s">
        <v>105</v>
      </c>
      <c r="F63" s="328" t="s">
        <v>105</v>
      </c>
      <c r="G63" s="309" t="s">
        <v>105</v>
      </c>
      <c r="H63" s="321" t="s">
        <v>105</v>
      </c>
      <c r="I63" s="328" t="s">
        <v>105</v>
      </c>
      <c r="J63" s="309" t="s">
        <v>105</v>
      </c>
      <c r="K63" s="321" t="s">
        <v>105</v>
      </c>
      <c r="L63" s="328" t="s">
        <v>105</v>
      </c>
      <c r="M63" s="309" t="s">
        <v>105</v>
      </c>
      <c r="N63" s="321" t="s">
        <v>105</v>
      </c>
      <c r="O63" s="328" t="s">
        <v>105</v>
      </c>
      <c r="P63" s="309" t="s">
        <v>105</v>
      </c>
      <c r="R63" s="248" t="s">
        <v>115</v>
      </c>
      <c r="S63" s="231"/>
      <c r="T63" s="776"/>
      <c r="U63" s="777"/>
      <c r="V63" s="523">
        <f>SUM(V61:V62)</f>
        <v>0</v>
      </c>
      <c r="W63" s="776"/>
      <c r="X63" s="777"/>
      <c r="Y63" s="523">
        <f>SUM(Y61:Y62)</f>
        <v>0</v>
      </c>
      <c r="Z63" s="776"/>
      <c r="AA63" s="777"/>
      <c r="AB63" s="523">
        <f>SUM(AB61:AB62)</f>
        <v>0</v>
      </c>
      <c r="AC63" s="776"/>
      <c r="AD63" s="777"/>
      <c r="AE63" s="523">
        <f>SUM(AE61:AE62)</f>
        <v>0</v>
      </c>
      <c r="AF63" s="927"/>
      <c r="AG63" s="390"/>
      <c r="AH63" s="932"/>
    </row>
    <row r="64" spans="1:79" s="226" customFormat="1" ht="10.8" thickBot="1" x14ac:dyDescent="0.25">
      <c r="A64" s="314" t="s">
        <v>105</v>
      </c>
      <c r="B64" s="321" t="s">
        <v>105</v>
      </c>
      <c r="C64" s="328" t="s">
        <v>105</v>
      </c>
      <c r="D64" s="309" t="s">
        <v>105</v>
      </c>
      <c r="E64" s="321" t="s">
        <v>105</v>
      </c>
      <c r="F64" s="328" t="s">
        <v>105</v>
      </c>
      <c r="G64" s="309" t="s">
        <v>105</v>
      </c>
      <c r="H64" s="321" t="s">
        <v>105</v>
      </c>
      <c r="I64" s="328" t="s">
        <v>105</v>
      </c>
      <c r="J64" s="309" t="s">
        <v>105</v>
      </c>
      <c r="K64" s="321" t="s">
        <v>105</v>
      </c>
      <c r="L64" s="328" t="s">
        <v>105</v>
      </c>
      <c r="M64" s="309" t="s">
        <v>105</v>
      </c>
      <c r="N64" s="321" t="s">
        <v>105</v>
      </c>
      <c r="O64" s="328" t="s">
        <v>105</v>
      </c>
      <c r="P64" s="309" t="s">
        <v>105</v>
      </c>
      <c r="R64" s="249" t="s">
        <v>235</v>
      </c>
      <c r="S64" s="231"/>
      <c r="T64" s="778"/>
      <c r="U64" s="779"/>
      <c r="V64" s="524">
        <f>1+V63</f>
        <v>1</v>
      </c>
      <c r="W64" s="778"/>
      <c r="X64" s="779"/>
      <c r="Y64" s="524">
        <f>1+Y63</f>
        <v>1</v>
      </c>
      <c r="Z64" s="778"/>
      <c r="AA64" s="779"/>
      <c r="AB64" s="524">
        <f>1+AB63</f>
        <v>1</v>
      </c>
      <c r="AC64" s="778"/>
      <c r="AD64" s="779"/>
      <c r="AE64" s="524">
        <f>1+AE63</f>
        <v>1</v>
      </c>
      <c r="AF64" s="927"/>
      <c r="AG64" s="390"/>
      <c r="AH64" s="932"/>
    </row>
    <row r="65" spans="1:79" ht="20.100000000000001" customHeight="1" x14ac:dyDescent="0.2">
      <c r="A65" s="314" t="s">
        <v>105</v>
      </c>
      <c r="B65" s="321" t="s">
        <v>105</v>
      </c>
      <c r="C65" s="328" t="s">
        <v>105</v>
      </c>
      <c r="D65" s="309" t="s">
        <v>105</v>
      </c>
      <c r="E65" s="321" t="s">
        <v>105</v>
      </c>
      <c r="F65" s="328" t="s">
        <v>105</v>
      </c>
      <c r="G65" s="309" t="s">
        <v>105</v>
      </c>
      <c r="H65" s="321" t="s">
        <v>105</v>
      </c>
      <c r="I65" s="328" t="s">
        <v>105</v>
      </c>
      <c r="J65" s="309" t="s">
        <v>105</v>
      </c>
      <c r="K65" s="321" t="s">
        <v>105</v>
      </c>
      <c r="L65" s="328" t="s">
        <v>105</v>
      </c>
      <c r="M65" s="309" t="s">
        <v>105</v>
      </c>
      <c r="N65" s="321" t="s">
        <v>105</v>
      </c>
      <c r="O65" s="328" t="s">
        <v>105</v>
      </c>
      <c r="P65" s="309" t="s">
        <v>105</v>
      </c>
      <c r="Q65" s="51"/>
      <c r="R65" s="250"/>
      <c r="S65" s="238"/>
      <c r="T65" s="281"/>
      <c r="U65" s="251"/>
      <c r="V65" s="282"/>
      <c r="W65" s="281"/>
      <c r="X65" s="251"/>
      <c r="Y65" s="282"/>
      <c r="Z65" s="281"/>
      <c r="AA65" s="251"/>
      <c r="AB65" s="282"/>
      <c r="AC65" s="281"/>
      <c r="AD65" s="251"/>
      <c r="AE65" s="282"/>
      <c r="AF65" s="933"/>
      <c r="AG65" s="61"/>
      <c r="AH65" s="934"/>
      <c r="BT65" s="51"/>
      <c r="BU65" s="51"/>
      <c r="BV65" s="51"/>
      <c r="BW65" s="51"/>
      <c r="BX65" s="51"/>
      <c r="BY65" s="51"/>
      <c r="BZ65" s="51"/>
      <c r="CA65" s="51"/>
    </row>
    <row r="66" spans="1:79" ht="10.8" thickBot="1" x14ac:dyDescent="0.25">
      <c r="A66" s="314" t="s">
        <v>105</v>
      </c>
      <c r="B66" s="321" t="s">
        <v>105</v>
      </c>
      <c r="C66" s="328" t="s">
        <v>105</v>
      </c>
      <c r="D66" s="309" t="s">
        <v>105</v>
      </c>
      <c r="E66" s="321" t="s">
        <v>105</v>
      </c>
      <c r="F66" s="328" t="s">
        <v>105</v>
      </c>
      <c r="G66" s="309" t="s">
        <v>105</v>
      </c>
      <c r="H66" s="321" t="s">
        <v>105</v>
      </c>
      <c r="I66" s="328" t="s">
        <v>105</v>
      </c>
      <c r="J66" s="309" t="s">
        <v>105</v>
      </c>
      <c r="K66" s="321" t="s">
        <v>105</v>
      </c>
      <c r="L66" s="328" t="s">
        <v>105</v>
      </c>
      <c r="M66" s="309" t="s">
        <v>105</v>
      </c>
      <c r="N66" s="321" t="s">
        <v>105</v>
      </c>
      <c r="O66" s="328" t="s">
        <v>105</v>
      </c>
      <c r="P66" s="309" t="s">
        <v>105</v>
      </c>
      <c r="Q66" s="51"/>
      <c r="R66" s="245" t="s">
        <v>116</v>
      </c>
      <c r="S66" s="244"/>
      <c r="T66" s="274"/>
      <c r="U66" s="244"/>
      <c r="V66" s="280"/>
      <c r="W66" s="274"/>
      <c r="X66" s="244"/>
      <c r="Y66" s="280"/>
      <c r="Z66" s="274"/>
      <c r="AA66" s="244"/>
      <c r="AB66" s="280"/>
      <c r="AC66" s="274"/>
      <c r="AD66" s="244"/>
      <c r="AE66" s="280"/>
      <c r="AF66" s="924"/>
      <c r="AG66" s="925"/>
      <c r="AH66" s="923"/>
      <c r="BT66" s="51"/>
      <c r="BU66" s="51"/>
      <c r="BV66" s="51"/>
      <c r="BW66" s="51"/>
      <c r="BX66" s="51"/>
      <c r="BY66" s="51"/>
      <c r="BZ66" s="51"/>
      <c r="CA66" s="51"/>
    </row>
    <row r="67" spans="1:79" ht="11.4" x14ac:dyDescent="0.25">
      <c r="A67" s="313" t="s">
        <v>6414</v>
      </c>
      <c r="B67" s="320" t="s">
        <v>105</v>
      </c>
      <c r="C67" s="327" t="s">
        <v>105</v>
      </c>
      <c r="D67" s="306" t="s">
        <v>1355</v>
      </c>
      <c r="E67" s="320" t="s">
        <v>105</v>
      </c>
      <c r="F67" s="327" t="s">
        <v>105</v>
      </c>
      <c r="G67" s="306" t="s">
        <v>1378</v>
      </c>
      <c r="H67" s="320" t="s">
        <v>105</v>
      </c>
      <c r="I67" s="327" t="s">
        <v>105</v>
      </c>
      <c r="J67" s="306" t="s">
        <v>1398</v>
      </c>
      <c r="K67" s="320" t="s">
        <v>105</v>
      </c>
      <c r="L67" s="327" t="s">
        <v>105</v>
      </c>
      <c r="M67" s="306" t="s">
        <v>1420</v>
      </c>
      <c r="N67" s="320" t="s">
        <v>105</v>
      </c>
      <c r="O67" s="327" t="s">
        <v>105</v>
      </c>
      <c r="P67" s="306" t="s">
        <v>105</v>
      </c>
      <c r="Q67" s="51"/>
      <c r="R67" s="334" t="s">
        <v>236</v>
      </c>
      <c r="T67" s="774"/>
      <c r="U67" s="775"/>
      <c r="V67" s="333">
        <f>INDEX(IN_Rimd!$A$3:$AAA$427,MATCH(D67,IN_Rimd!$A$3:$A$427,0),MATCH($T$4,IN_Rimd!$A$3:$AAA$3,0))</f>
        <v>1.9E-2</v>
      </c>
      <c r="W67" s="774"/>
      <c r="X67" s="775"/>
      <c r="Y67" s="333">
        <f>INDEX(IN_Rimd!$A$3:$AAA$427,MATCH(G67,IN_Rimd!$A$3:$A$427,0),MATCH($T$4,IN_Rimd!$A$3:$AAA$3,0))</f>
        <v>1.9E-2</v>
      </c>
      <c r="Z67" s="774"/>
      <c r="AA67" s="775"/>
      <c r="AB67" s="333">
        <f>INDEX(IN_Rimd!$A$3:$AAA$427,MATCH(J67,IN_Rimd!$A$3:$A$427,0),MATCH($T$4,IN_Rimd!$A$3:$AAA$3,0))</f>
        <v>1.9E-2</v>
      </c>
      <c r="AC67" s="774"/>
      <c r="AD67" s="775"/>
      <c r="AE67" s="333">
        <f>INDEX(IN_Rimd!$A$3:$AAA$427,MATCH(M67,IN_Rimd!$A$3:$A$427,0),MATCH($T$4,IN_Rimd!$A$3:$AAA$3,0))</f>
        <v>1.9E-2</v>
      </c>
      <c r="AF67" s="927"/>
      <c r="AG67" s="390"/>
      <c r="AH67" s="913"/>
      <c r="BT67" s="51"/>
      <c r="BU67" s="51"/>
      <c r="BV67" s="51"/>
      <c r="BW67" s="51"/>
      <c r="BX67" s="51"/>
      <c r="BY67" s="51"/>
      <c r="BZ67" s="51"/>
      <c r="CA67" s="51"/>
    </row>
    <row r="68" spans="1:79" ht="11.4" x14ac:dyDescent="0.2">
      <c r="A68" s="313" t="s">
        <v>6414</v>
      </c>
      <c r="B68" s="320" t="s">
        <v>105</v>
      </c>
      <c r="C68" s="327" t="s">
        <v>105</v>
      </c>
      <c r="D68" s="306" t="s">
        <v>993</v>
      </c>
      <c r="E68" s="320" t="s">
        <v>105</v>
      </c>
      <c r="F68" s="327" t="s">
        <v>105</v>
      </c>
      <c r="G68" s="306" t="s">
        <v>1003</v>
      </c>
      <c r="H68" s="320" t="s">
        <v>105</v>
      </c>
      <c r="I68" s="327" t="s">
        <v>105</v>
      </c>
      <c r="J68" s="306" t="s">
        <v>1401</v>
      </c>
      <c r="K68" s="320" t="s">
        <v>105</v>
      </c>
      <c r="L68" s="327" t="s">
        <v>105</v>
      </c>
      <c r="M68" s="306" t="s">
        <v>1423</v>
      </c>
      <c r="N68" s="320" t="s">
        <v>105</v>
      </c>
      <c r="O68" s="327" t="s">
        <v>105</v>
      </c>
      <c r="P68" s="306" t="s">
        <v>105</v>
      </c>
      <c r="Q68" s="51"/>
      <c r="R68" s="235" t="s">
        <v>237</v>
      </c>
      <c r="S68" s="231"/>
      <c r="T68" s="776"/>
      <c r="U68" s="777"/>
      <c r="V68" s="283">
        <f>INDEX(IN_Rimd!$A$3:$AAA$427,MATCH(D68,IN_Rimd!$A$3:$A$427,0),MATCH($T$4,IN_Rimd!$A$3:$AAA$3,0))</f>
        <v>0</v>
      </c>
      <c r="W68" s="776"/>
      <c r="X68" s="777"/>
      <c r="Y68" s="283">
        <f>INDEX(IN_Rimd!$A$3:$AAA$427,MATCH(G68,IN_Rimd!$A$3:$A$427,0),MATCH($T$4,IN_Rimd!$A$3:$AAA$3,0))</f>
        <v>0</v>
      </c>
      <c r="Z68" s="776"/>
      <c r="AA68" s="777"/>
      <c r="AB68" s="283">
        <f>INDEX(IN_Rimd!$A$3:$AAA$427,MATCH(J68,IN_Rimd!$A$3:$A$427,0),MATCH($T$4,IN_Rimd!$A$3:$AAA$3,0))</f>
        <v>0</v>
      </c>
      <c r="AC68" s="776"/>
      <c r="AD68" s="777"/>
      <c r="AE68" s="283">
        <f>INDEX(IN_Rimd!$A$3:$AAA$427,MATCH(M68,IN_Rimd!$A$3:$A$427,0),MATCH($T$4,IN_Rimd!$A$3:$AAA$3,0))</f>
        <v>0</v>
      </c>
      <c r="AF68" s="927"/>
      <c r="AG68" s="390"/>
      <c r="AH68" s="935"/>
      <c r="BT68" s="51"/>
      <c r="BU68" s="51"/>
      <c r="BV68" s="51"/>
      <c r="BW68" s="51"/>
      <c r="BX68" s="51"/>
      <c r="BY68" s="51"/>
      <c r="BZ68" s="51"/>
      <c r="CA68" s="51"/>
    </row>
    <row r="69" spans="1:79" ht="11.4" x14ac:dyDescent="0.2">
      <c r="A69" s="313" t="s">
        <v>6414</v>
      </c>
      <c r="B69" s="320" t="s">
        <v>105</v>
      </c>
      <c r="C69" s="327" t="s">
        <v>105</v>
      </c>
      <c r="D69" s="306" t="s">
        <v>1372</v>
      </c>
      <c r="E69" s="320" t="s">
        <v>105</v>
      </c>
      <c r="F69" s="327" t="s">
        <v>105</v>
      </c>
      <c r="G69" s="306" t="s">
        <v>1383</v>
      </c>
      <c r="H69" s="320" t="s">
        <v>105</v>
      </c>
      <c r="I69" s="327" t="s">
        <v>105</v>
      </c>
      <c r="J69" s="306" t="s">
        <v>1404</v>
      </c>
      <c r="K69" s="320" t="s">
        <v>105</v>
      </c>
      <c r="L69" s="327" t="s">
        <v>105</v>
      </c>
      <c r="M69" s="306" t="s">
        <v>1426</v>
      </c>
      <c r="N69" s="320" t="s">
        <v>105</v>
      </c>
      <c r="O69" s="327" t="s">
        <v>105</v>
      </c>
      <c r="P69" s="306" t="s">
        <v>105</v>
      </c>
      <c r="Q69" s="51"/>
      <c r="R69" s="235" t="s">
        <v>6370</v>
      </c>
      <c r="S69" s="231"/>
      <c r="T69" s="776"/>
      <c r="U69" s="777"/>
      <c r="V69" s="283">
        <f>INDEX(IN_Rimd!$A$3:$AAA$427,MATCH(D69,IN_Rimd!$A$3:$A$427,0),MATCH($T$4,IN_Rimd!$A$3:$AAA$3,0))</f>
        <v>0</v>
      </c>
      <c r="W69" s="776"/>
      <c r="X69" s="777"/>
      <c r="Y69" s="283">
        <f>INDEX(IN_Rimd!$A$3:$AAA$427,MATCH(G69,IN_Rimd!$A$3:$A$427,0),MATCH($T$4,IN_Rimd!$A$3:$AAA$3,0))</f>
        <v>0</v>
      </c>
      <c r="Z69" s="776"/>
      <c r="AA69" s="777"/>
      <c r="AB69" s="283">
        <f>INDEX(IN_Rimd!$A$3:$AAA$427,MATCH(J69,IN_Rimd!$A$3:$A$427,0),MATCH($T$4,IN_Rimd!$A$3:$AAA$3,0))</f>
        <v>0</v>
      </c>
      <c r="AC69" s="776"/>
      <c r="AD69" s="777"/>
      <c r="AE69" s="283">
        <f>INDEX(IN_Rimd!$A$3:$AAA$427,MATCH(M69,IN_Rimd!$A$3:$A$427,0),MATCH($T$4,IN_Rimd!$A$3:$AAA$3,0))</f>
        <v>0</v>
      </c>
      <c r="AF69" s="927"/>
      <c r="AG69" s="390"/>
      <c r="AH69" s="935"/>
      <c r="BT69" s="51"/>
      <c r="BU69" s="51"/>
      <c r="BV69" s="51"/>
      <c r="BW69" s="51"/>
      <c r="BX69" s="51"/>
      <c r="BY69" s="51"/>
      <c r="BZ69" s="51"/>
      <c r="CA69" s="51"/>
    </row>
    <row r="70" spans="1:79" ht="11.4" x14ac:dyDescent="0.2">
      <c r="A70" s="313" t="s">
        <v>6414</v>
      </c>
      <c r="B70" s="320" t="s">
        <v>105</v>
      </c>
      <c r="C70" s="327" t="s">
        <v>105</v>
      </c>
      <c r="D70" s="306" t="s">
        <v>953</v>
      </c>
      <c r="E70" s="320" t="s">
        <v>105</v>
      </c>
      <c r="F70" s="327" t="s">
        <v>105</v>
      </c>
      <c r="G70" s="306" t="s">
        <v>954</v>
      </c>
      <c r="H70" s="320" t="s">
        <v>105</v>
      </c>
      <c r="I70" s="327" t="s">
        <v>105</v>
      </c>
      <c r="J70" s="306" t="s">
        <v>1405</v>
      </c>
      <c r="K70" s="320" t="s">
        <v>105</v>
      </c>
      <c r="L70" s="327" t="s">
        <v>105</v>
      </c>
      <c r="M70" s="306" t="s">
        <v>1427</v>
      </c>
      <c r="N70" s="320" t="s">
        <v>105</v>
      </c>
      <c r="O70" s="327" t="s">
        <v>105</v>
      </c>
      <c r="P70" s="306" t="s">
        <v>105</v>
      </c>
      <c r="Q70" s="51"/>
      <c r="R70" s="235" t="s">
        <v>611</v>
      </c>
      <c r="S70" s="231"/>
      <c r="T70" s="776"/>
      <c r="U70" s="777"/>
      <c r="V70" s="283">
        <f>INDEX(IN_Rimd!$A$3:$AAA$427,MATCH(D70,IN_Rimd!$A$3:$A$427,0),MATCH($T$4,IN_Rimd!$A$3:$AAA$3,0))</f>
        <v>0</v>
      </c>
      <c r="W70" s="776"/>
      <c r="X70" s="777"/>
      <c r="Y70" s="283">
        <f>INDEX(IN_Rimd!$A$3:$AAA$427,MATCH(G70,IN_Rimd!$A$3:$A$427,0),MATCH($T$4,IN_Rimd!$A$3:$AAA$3,0))</f>
        <v>0</v>
      </c>
      <c r="Z70" s="776"/>
      <c r="AA70" s="777"/>
      <c r="AB70" s="283">
        <f>INDEX(IN_Rimd!$A$3:$AAA$427,MATCH(J70,IN_Rimd!$A$3:$A$427,0),MATCH($T$4,IN_Rimd!$A$3:$AAA$3,0))</f>
        <v>0</v>
      </c>
      <c r="AC70" s="776"/>
      <c r="AD70" s="777"/>
      <c r="AE70" s="283">
        <f>INDEX(IN_Rimd!$A$3:$AAA$427,MATCH(M70,IN_Rimd!$A$3:$A$427,0),MATCH($T$4,IN_Rimd!$A$3:$AAA$3,0))</f>
        <v>0</v>
      </c>
      <c r="AF70" s="927"/>
      <c r="AG70" s="390"/>
      <c r="AH70" s="935"/>
      <c r="BT70" s="51"/>
      <c r="BU70" s="51"/>
      <c r="BV70" s="51"/>
      <c r="BW70" s="51"/>
      <c r="BX70" s="51"/>
      <c r="BY70" s="51"/>
      <c r="BZ70" s="51"/>
      <c r="CA70" s="51"/>
    </row>
    <row r="71" spans="1:79" x14ac:dyDescent="0.2">
      <c r="A71" s="314" t="s">
        <v>105</v>
      </c>
      <c r="B71" s="321" t="s">
        <v>105</v>
      </c>
      <c r="C71" s="328" t="s">
        <v>105</v>
      </c>
      <c r="D71" s="309" t="s">
        <v>105</v>
      </c>
      <c r="E71" s="321" t="s">
        <v>105</v>
      </c>
      <c r="F71" s="328" t="s">
        <v>105</v>
      </c>
      <c r="G71" s="309" t="s">
        <v>105</v>
      </c>
      <c r="H71" s="321" t="s">
        <v>105</v>
      </c>
      <c r="I71" s="328" t="s">
        <v>105</v>
      </c>
      <c r="J71" s="309" t="s">
        <v>105</v>
      </c>
      <c r="K71" s="321" t="s">
        <v>105</v>
      </c>
      <c r="L71" s="328" t="s">
        <v>105</v>
      </c>
      <c r="M71" s="309" t="s">
        <v>105</v>
      </c>
      <c r="N71" s="321" t="s">
        <v>105</v>
      </c>
      <c r="O71" s="328" t="s">
        <v>105</v>
      </c>
      <c r="P71" s="309" t="s">
        <v>105</v>
      </c>
      <c r="Q71" s="51"/>
      <c r="R71" s="248" t="s">
        <v>6371</v>
      </c>
      <c r="S71" s="231"/>
      <c r="T71" s="776"/>
      <c r="U71" s="777"/>
      <c r="V71" s="525">
        <f>+V67-V68+V69+V70</f>
        <v>1.9E-2</v>
      </c>
      <c r="W71" s="776"/>
      <c r="X71" s="777"/>
      <c r="Y71" s="525">
        <f>+Y67-Y68+Y69+Y70</f>
        <v>1.9E-2</v>
      </c>
      <c r="Z71" s="776"/>
      <c r="AA71" s="777"/>
      <c r="AB71" s="525">
        <f>+AB67-AB68+AB69+AB70</f>
        <v>1.9E-2</v>
      </c>
      <c r="AC71" s="776"/>
      <c r="AD71" s="777"/>
      <c r="AE71" s="525">
        <f>+AE67-AE68+AE69+AE70</f>
        <v>1.9E-2</v>
      </c>
      <c r="AF71" s="927"/>
      <c r="AG71" s="390"/>
      <c r="AH71" s="936"/>
      <c r="BT71" s="51"/>
      <c r="BU71" s="51"/>
      <c r="BV71" s="51"/>
      <c r="BW71" s="51"/>
      <c r="BX71" s="51"/>
      <c r="BY71" s="51"/>
      <c r="BZ71" s="51"/>
      <c r="CA71" s="51"/>
    </row>
    <row r="72" spans="1:79" x14ac:dyDescent="0.2">
      <c r="A72" s="314" t="s">
        <v>105</v>
      </c>
      <c r="B72" s="321" t="s">
        <v>105</v>
      </c>
      <c r="C72" s="328" t="s">
        <v>105</v>
      </c>
      <c r="D72" s="309" t="s">
        <v>105</v>
      </c>
      <c r="E72" s="321" t="s">
        <v>105</v>
      </c>
      <c r="F72" s="328" t="s">
        <v>105</v>
      </c>
      <c r="G72" s="309" t="s">
        <v>105</v>
      </c>
      <c r="H72" s="321" t="s">
        <v>105</v>
      </c>
      <c r="I72" s="328" t="s">
        <v>105</v>
      </c>
      <c r="J72" s="309" t="s">
        <v>105</v>
      </c>
      <c r="K72" s="321" t="s">
        <v>105</v>
      </c>
      <c r="L72" s="328" t="s">
        <v>105</v>
      </c>
      <c r="M72" s="309" t="s">
        <v>105</v>
      </c>
      <c r="N72" s="321" t="s">
        <v>105</v>
      </c>
      <c r="O72" s="328" t="s">
        <v>105</v>
      </c>
      <c r="P72" s="309" t="s">
        <v>105</v>
      </c>
      <c r="Q72" s="51"/>
      <c r="R72" s="252" t="s">
        <v>117</v>
      </c>
      <c r="S72" s="231"/>
      <c r="T72" s="776"/>
      <c r="U72" s="777"/>
      <c r="V72" s="284">
        <f>(1+V71)</f>
        <v>1.0189999999999999</v>
      </c>
      <c r="W72" s="776"/>
      <c r="X72" s="777"/>
      <c r="Y72" s="284">
        <f>(1+Y71)</f>
        <v>1.0189999999999999</v>
      </c>
      <c r="Z72" s="776"/>
      <c r="AA72" s="777"/>
      <c r="AB72" s="284">
        <f>(1+AB71)</f>
        <v>1.0189999999999999</v>
      </c>
      <c r="AC72" s="776"/>
      <c r="AD72" s="777"/>
      <c r="AE72" s="284">
        <f>(1+AE71)</f>
        <v>1.0189999999999999</v>
      </c>
      <c r="AF72" s="927"/>
      <c r="AG72" s="390"/>
      <c r="AH72" s="937"/>
      <c r="BT72" s="51"/>
      <c r="BU72" s="51"/>
      <c r="BV72" s="51"/>
      <c r="BW72" s="51"/>
      <c r="BX72" s="51"/>
      <c r="BY72" s="51"/>
      <c r="BZ72" s="51"/>
      <c r="CA72" s="51"/>
    </row>
    <row r="73" spans="1:79" ht="11.4" x14ac:dyDescent="0.2">
      <c r="A73" s="314" t="s">
        <v>105</v>
      </c>
      <c r="B73" s="321" t="s">
        <v>105</v>
      </c>
      <c r="C73" s="328" t="s">
        <v>105</v>
      </c>
      <c r="D73" s="309" t="s">
        <v>105</v>
      </c>
      <c r="E73" s="321" t="s">
        <v>105</v>
      </c>
      <c r="F73" s="328" t="s">
        <v>105</v>
      </c>
      <c r="G73" s="309" t="s">
        <v>105</v>
      </c>
      <c r="H73" s="321" t="s">
        <v>105</v>
      </c>
      <c r="I73" s="328" t="s">
        <v>105</v>
      </c>
      <c r="J73" s="309" t="s">
        <v>105</v>
      </c>
      <c r="K73" s="321" t="s">
        <v>105</v>
      </c>
      <c r="L73" s="328" t="s">
        <v>105</v>
      </c>
      <c r="M73" s="309" t="s">
        <v>105</v>
      </c>
      <c r="N73" s="321" t="s">
        <v>105</v>
      </c>
      <c r="O73" s="328" t="s">
        <v>105</v>
      </c>
      <c r="P73" s="309" t="s">
        <v>105</v>
      </c>
      <c r="Q73" s="51"/>
      <c r="R73" s="253" t="s">
        <v>238</v>
      </c>
      <c r="S73" s="238"/>
      <c r="T73" s="776"/>
      <c r="U73" s="777"/>
      <c r="V73" s="285">
        <f>V52</f>
        <v>15445901.47535269</v>
      </c>
      <c r="W73" s="776"/>
      <c r="X73" s="777"/>
      <c r="Y73" s="285">
        <f>Y52</f>
        <v>16399095.851034127</v>
      </c>
      <c r="Z73" s="776"/>
      <c r="AA73" s="777"/>
      <c r="AB73" s="285">
        <f>AB52</f>
        <v>15217280.422950398</v>
      </c>
      <c r="AC73" s="776"/>
      <c r="AD73" s="777"/>
      <c r="AE73" s="285">
        <f>AE52</f>
        <v>14158496.137235379</v>
      </c>
      <c r="AF73" s="927"/>
      <c r="AG73" s="390"/>
      <c r="AH73" s="938"/>
      <c r="BT73" s="51"/>
      <c r="BU73" s="51"/>
      <c r="BV73" s="51"/>
      <c r="BW73" s="51"/>
      <c r="BX73" s="51"/>
      <c r="BY73" s="51"/>
      <c r="BZ73" s="51"/>
      <c r="CA73" s="51"/>
    </row>
    <row r="74" spans="1:79" ht="11.4" x14ac:dyDescent="0.2">
      <c r="A74" s="313" t="s">
        <v>6414</v>
      </c>
      <c r="B74" s="320" t="s">
        <v>105</v>
      </c>
      <c r="C74" s="327" t="s">
        <v>105</v>
      </c>
      <c r="D74" s="306" t="s">
        <v>228</v>
      </c>
      <c r="E74" s="320" t="s">
        <v>105</v>
      </c>
      <c r="F74" s="327" t="s">
        <v>105</v>
      </c>
      <c r="G74" s="306" t="s">
        <v>6557</v>
      </c>
      <c r="H74" s="320" t="s">
        <v>105</v>
      </c>
      <c r="I74" s="327" t="s">
        <v>105</v>
      </c>
      <c r="J74" s="306" t="s">
        <v>6585</v>
      </c>
      <c r="K74" s="320" t="s">
        <v>105</v>
      </c>
      <c r="L74" s="327" t="s">
        <v>105</v>
      </c>
      <c r="M74" s="306" t="s">
        <v>6618</v>
      </c>
      <c r="N74" s="320" t="s">
        <v>105</v>
      </c>
      <c r="O74" s="327" t="s">
        <v>105</v>
      </c>
      <c r="P74" s="306" t="s">
        <v>105</v>
      </c>
      <c r="Q74" s="51"/>
      <c r="R74" s="254" t="s">
        <v>239</v>
      </c>
      <c r="S74" s="238"/>
      <c r="T74" s="776"/>
      <c r="U74" s="777"/>
      <c r="V74" s="286">
        <f>INDEX(IN_Rimd!$A$3:$AAA$427,MATCH(D74,IN_Rimd!$A$3:$A$427,0),MATCH($T$4,IN_Rimd!$A$3:$AAA$3,0))</f>
        <v>9585446.6099999994</v>
      </c>
      <c r="W74" s="776"/>
      <c r="X74" s="777"/>
      <c r="Y74" s="286">
        <f>INDEX(IN_Rimd!$A$3:$AAA$427,MATCH(G74,IN_Rimd!$A$3:$A$427,0),MATCH($T$4,IN_Rimd!$A$3:$AAA$3,0))</f>
        <v>7914332.885408367</v>
      </c>
      <c r="Z74" s="776"/>
      <c r="AA74" s="777"/>
      <c r="AB74" s="286">
        <f>INDEX(IN_Rimd!$A$3:$AAA$427,MATCH(J74,IN_Rimd!$A$3:$A$427,0),MATCH($T$4,IN_Rimd!$A$3:$AAA$3,0))</f>
        <v>8408263.5876249541</v>
      </c>
      <c r="AC74" s="776"/>
      <c r="AD74" s="777"/>
      <c r="AE74" s="286">
        <f>INDEX(IN_Rimd!$A$3:$AAA$427,MATCH(M74,IN_Rimd!$A$3:$A$427,0),MATCH($T$4,IN_Rimd!$A$3:$AAA$3,0))</f>
        <v>8252633.5304478202</v>
      </c>
      <c r="AF74" s="927"/>
      <c r="AG74" s="390"/>
      <c r="AH74" s="939"/>
      <c r="BT74" s="51"/>
      <c r="BU74" s="51"/>
      <c r="BV74" s="51"/>
      <c r="BW74" s="51"/>
      <c r="BX74" s="51"/>
      <c r="BY74" s="51"/>
      <c r="BZ74" s="51"/>
      <c r="CA74" s="51"/>
    </row>
    <row r="75" spans="1:79" ht="11.4" x14ac:dyDescent="0.2">
      <c r="A75" s="313" t="s">
        <v>6414</v>
      </c>
      <c r="B75" s="320" t="s">
        <v>105</v>
      </c>
      <c r="C75" s="327" t="s">
        <v>105</v>
      </c>
      <c r="D75" s="306" t="s">
        <v>229</v>
      </c>
      <c r="E75" s="320" t="s">
        <v>105</v>
      </c>
      <c r="F75" s="327" t="s">
        <v>105</v>
      </c>
      <c r="G75" s="306" t="s">
        <v>6560</v>
      </c>
      <c r="H75" s="320" t="s">
        <v>105</v>
      </c>
      <c r="I75" s="327" t="s">
        <v>105</v>
      </c>
      <c r="J75" s="306" t="s">
        <v>6588</v>
      </c>
      <c r="K75" s="320" t="s">
        <v>105</v>
      </c>
      <c r="L75" s="327" t="s">
        <v>105</v>
      </c>
      <c r="M75" s="306" t="s">
        <v>6621</v>
      </c>
      <c r="N75" s="320" t="s">
        <v>105</v>
      </c>
      <c r="O75" s="327" t="s">
        <v>105</v>
      </c>
      <c r="P75" s="306" t="s">
        <v>105</v>
      </c>
      <c r="Q75" s="51"/>
      <c r="R75" s="254" t="s">
        <v>240</v>
      </c>
      <c r="S75" s="238"/>
      <c r="T75" s="776"/>
      <c r="U75" s="777"/>
      <c r="V75" s="286">
        <f>INDEX(IN_Rimd!$A$3:$AAA$427,MATCH(D75,IN_Rimd!$A$3:$A$427,0),MATCH($T$4,IN_Rimd!$A$3:$AAA$3,0))</f>
        <v>6765815.0800000001</v>
      </c>
      <c r="W75" s="776"/>
      <c r="X75" s="777"/>
      <c r="Y75" s="286">
        <f>INDEX(IN_Rimd!$A$3:$AAA$427,MATCH(G75,IN_Rimd!$A$3:$A$427,0),MATCH($T$4,IN_Rimd!$A$3:$AAA$3,0))</f>
        <v>7531568.5899443226</v>
      </c>
      <c r="Z75" s="776"/>
      <c r="AA75" s="777"/>
      <c r="AB75" s="286">
        <f>INDEX(IN_Rimd!$A$3:$AAA$427,MATCH(J75,IN_Rimd!$A$3:$A$427,0),MATCH($T$4,IN_Rimd!$A$3:$AAA$3,0))</f>
        <v>7331110.0157594364</v>
      </c>
      <c r="AC75" s="776"/>
      <c r="AD75" s="777"/>
      <c r="AE75" s="286">
        <f>INDEX(IN_Rimd!$A$3:$AAA$427,MATCH(M75,IN_Rimd!$A$3:$A$427,0),MATCH($T$4,IN_Rimd!$A$3:$AAA$3,0))</f>
        <v>6964646.892502577</v>
      </c>
      <c r="AF75" s="927"/>
      <c r="AG75" s="390"/>
      <c r="AH75" s="939"/>
      <c r="BT75" s="51"/>
      <c r="BU75" s="51"/>
      <c r="BV75" s="51"/>
      <c r="BW75" s="51"/>
      <c r="BX75" s="51"/>
      <c r="BY75" s="51"/>
      <c r="BZ75" s="51"/>
      <c r="CA75" s="51"/>
    </row>
    <row r="76" spans="1:79" ht="11.4" x14ac:dyDescent="0.2">
      <c r="A76" s="314" t="s">
        <v>105</v>
      </c>
      <c r="B76" s="321" t="s">
        <v>105</v>
      </c>
      <c r="C76" s="328" t="s">
        <v>105</v>
      </c>
      <c r="D76" s="309" t="s">
        <v>105</v>
      </c>
      <c r="E76" s="321" t="s">
        <v>105</v>
      </c>
      <c r="F76" s="328" t="s">
        <v>105</v>
      </c>
      <c r="G76" s="309" t="s">
        <v>105</v>
      </c>
      <c r="H76" s="321" t="s">
        <v>105</v>
      </c>
      <c r="I76" s="328" t="s">
        <v>105</v>
      </c>
      <c r="J76" s="309" t="s">
        <v>105</v>
      </c>
      <c r="K76" s="321" t="s">
        <v>105</v>
      </c>
      <c r="L76" s="328" t="s">
        <v>105</v>
      </c>
      <c r="M76" s="309" t="s">
        <v>105</v>
      </c>
      <c r="N76" s="321" t="s">
        <v>105</v>
      </c>
      <c r="O76" s="328" t="s">
        <v>105</v>
      </c>
      <c r="P76" s="309" t="s">
        <v>105</v>
      </c>
      <c r="Q76" s="51"/>
      <c r="R76" s="253" t="s">
        <v>241</v>
      </c>
      <c r="T76" s="776"/>
      <c r="U76" s="777"/>
      <c r="V76" s="287">
        <f>V74+V75</f>
        <v>16351261.689999999</v>
      </c>
      <c r="W76" s="776"/>
      <c r="X76" s="777"/>
      <c r="Y76" s="287">
        <f>Y74+Y75</f>
        <v>15445901.47535269</v>
      </c>
      <c r="Z76" s="776"/>
      <c r="AA76" s="777"/>
      <c r="AB76" s="287">
        <f>AB74+AB75</f>
        <v>15739373.60338439</v>
      </c>
      <c r="AC76" s="776"/>
      <c r="AD76" s="777"/>
      <c r="AE76" s="287">
        <f>AE74+AE75</f>
        <v>15217280.422950398</v>
      </c>
      <c r="AF76" s="927"/>
      <c r="AG76" s="390"/>
      <c r="AH76" s="940"/>
      <c r="BT76" s="51"/>
      <c r="BU76" s="51"/>
      <c r="BV76" s="51"/>
      <c r="BW76" s="51"/>
      <c r="BX76" s="51"/>
      <c r="BY76" s="51"/>
      <c r="BZ76" s="51"/>
      <c r="CA76" s="51"/>
    </row>
    <row r="77" spans="1:79" ht="12" thickBot="1" x14ac:dyDescent="0.25">
      <c r="A77" s="314" t="s">
        <v>105</v>
      </c>
      <c r="B77" s="321" t="s">
        <v>105</v>
      </c>
      <c r="C77" s="328" t="s">
        <v>105</v>
      </c>
      <c r="D77" s="309" t="s">
        <v>105</v>
      </c>
      <c r="E77" s="321" t="s">
        <v>105</v>
      </c>
      <c r="F77" s="328" t="s">
        <v>105</v>
      </c>
      <c r="G77" s="309" t="s">
        <v>105</v>
      </c>
      <c r="H77" s="321" t="s">
        <v>105</v>
      </c>
      <c r="I77" s="328" t="s">
        <v>105</v>
      </c>
      <c r="J77" s="309" t="s">
        <v>105</v>
      </c>
      <c r="K77" s="321" t="s">
        <v>105</v>
      </c>
      <c r="L77" s="328" t="s">
        <v>105</v>
      </c>
      <c r="M77" s="309" t="s">
        <v>105</v>
      </c>
      <c r="N77" s="321" t="s">
        <v>105</v>
      </c>
      <c r="O77" s="328" t="s">
        <v>105</v>
      </c>
      <c r="P77" s="309" t="s">
        <v>105</v>
      </c>
      <c r="Q77" s="51"/>
      <c r="R77" s="249" t="s">
        <v>242</v>
      </c>
      <c r="S77" s="231"/>
      <c r="T77" s="778"/>
      <c r="U77" s="779"/>
      <c r="V77" s="288">
        <f>+V73/V76</f>
        <v>0.94463055929188611</v>
      </c>
      <c r="W77" s="778"/>
      <c r="X77" s="779"/>
      <c r="Y77" s="288">
        <f>+Y73/Y76</f>
        <v>1.0617117995477614</v>
      </c>
      <c r="Z77" s="778"/>
      <c r="AA77" s="779"/>
      <c r="AB77" s="288">
        <f>+AB73/AB76</f>
        <v>0.96682884633212285</v>
      </c>
      <c r="AC77" s="778"/>
      <c r="AD77" s="779"/>
      <c r="AE77" s="288">
        <f>+AE73/AE76</f>
        <v>0.93042223996094719</v>
      </c>
      <c r="AF77" s="927"/>
      <c r="AG77" s="390"/>
      <c r="AH77" s="941"/>
      <c r="BT77" s="51"/>
      <c r="BU77" s="51"/>
      <c r="BV77" s="51"/>
      <c r="BW77" s="51"/>
      <c r="BX77" s="51"/>
      <c r="BY77" s="51"/>
      <c r="BZ77" s="51"/>
      <c r="CA77" s="51"/>
    </row>
    <row r="78" spans="1:79" s="226" customFormat="1" ht="20.100000000000001" customHeight="1" thickBot="1" x14ac:dyDescent="0.25">
      <c r="A78" s="314" t="s">
        <v>105</v>
      </c>
      <c r="B78" s="321" t="s">
        <v>105</v>
      </c>
      <c r="C78" s="328" t="s">
        <v>105</v>
      </c>
      <c r="D78" s="309" t="s">
        <v>105</v>
      </c>
      <c r="E78" s="321" t="s">
        <v>105</v>
      </c>
      <c r="F78" s="328" t="s">
        <v>105</v>
      </c>
      <c r="G78" s="309" t="s">
        <v>105</v>
      </c>
      <c r="H78" s="321" t="s">
        <v>105</v>
      </c>
      <c r="I78" s="328" t="s">
        <v>105</v>
      </c>
      <c r="J78" s="309" t="s">
        <v>105</v>
      </c>
      <c r="K78" s="321" t="s">
        <v>105</v>
      </c>
      <c r="L78" s="328" t="s">
        <v>105</v>
      </c>
      <c r="M78" s="309" t="s">
        <v>105</v>
      </c>
      <c r="N78" s="321" t="s">
        <v>105</v>
      </c>
      <c r="O78" s="328" t="s">
        <v>105</v>
      </c>
      <c r="P78" s="309" t="s">
        <v>105</v>
      </c>
      <c r="R78" s="237"/>
      <c r="S78" s="238"/>
      <c r="T78" s="271"/>
      <c r="U78" s="262"/>
      <c r="V78" s="289"/>
      <c r="W78" s="271"/>
      <c r="X78" s="262"/>
      <c r="Y78" s="289"/>
      <c r="Z78" s="271"/>
      <c r="AA78" s="262"/>
      <c r="AB78" s="289"/>
      <c r="AC78" s="271"/>
      <c r="AD78" s="262"/>
      <c r="AE78" s="289"/>
      <c r="AF78" s="933"/>
      <c r="AG78" s="61"/>
      <c r="AH78" s="942"/>
    </row>
    <row r="79" spans="1:79" s="226" customFormat="1" ht="11.4" x14ac:dyDescent="0.2">
      <c r="A79" s="314" t="s">
        <v>105</v>
      </c>
      <c r="B79" s="321" t="s">
        <v>105</v>
      </c>
      <c r="C79" s="328" t="s">
        <v>105</v>
      </c>
      <c r="D79" s="309" t="s">
        <v>105</v>
      </c>
      <c r="E79" s="321" t="s">
        <v>105</v>
      </c>
      <c r="F79" s="328" t="s">
        <v>105</v>
      </c>
      <c r="G79" s="309" t="s">
        <v>105</v>
      </c>
      <c r="H79" s="321" t="s">
        <v>105</v>
      </c>
      <c r="I79" s="328" t="s">
        <v>105</v>
      </c>
      <c r="J79" s="309" t="s">
        <v>105</v>
      </c>
      <c r="K79" s="321" t="s">
        <v>105</v>
      </c>
      <c r="L79" s="328" t="s">
        <v>105</v>
      </c>
      <c r="M79" s="309" t="s">
        <v>105</v>
      </c>
      <c r="N79" s="321" t="s">
        <v>105</v>
      </c>
      <c r="O79" s="328" t="s">
        <v>105</v>
      </c>
      <c r="P79" s="309" t="s">
        <v>105</v>
      </c>
      <c r="R79" s="255" t="s">
        <v>243</v>
      </c>
      <c r="T79" s="774"/>
      <c r="U79" s="775"/>
      <c r="V79" s="290">
        <f>IF(V73&lt;=V76*V72,V73,V76*V72)</f>
        <v>15445901.47535269</v>
      </c>
      <c r="W79" s="774"/>
      <c r="X79" s="775"/>
      <c r="Y79" s="290">
        <f>IF(Y73&lt;=Y76*Y72,Y73,Y76*Y72)</f>
        <v>15739373.603384389</v>
      </c>
      <c r="Z79" s="774"/>
      <c r="AA79" s="775"/>
      <c r="AB79" s="290">
        <f>IF(AB73&lt;=AB76*AB72,AB73,AB76*AB72)</f>
        <v>15217280.422950398</v>
      </c>
      <c r="AC79" s="774"/>
      <c r="AD79" s="775"/>
      <c r="AE79" s="290">
        <f>IF(AE73&lt;=AE76*AE72,AE73,AE76*AE72)</f>
        <v>14158496.137235379</v>
      </c>
      <c r="AF79" s="927"/>
      <c r="AG79" s="390"/>
      <c r="AH79" s="943"/>
    </row>
    <row r="80" spans="1:79" s="226" customFormat="1" ht="12" thickBot="1" x14ac:dyDescent="0.25">
      <c r="A80" s="314" t="s">
        <v>105</v>
      </c>
      <c r="B80" s="321" t="s">
        <v>105</v>
      </c>
      <c r="C80" s="328" t="s">
        <v>105</v>
      </c>
      <c r="D80" s="309" t="s">
        <v>105</v>
      </c>
      <c r="E80" s="321" t="s">
        <v>105</v>
      </c>
      <c r="F80" s="328" t="s">
        <v>105</v>
      </c>
      <c r="G80" s="309" t="s">
        <v>105</v>
      </c>
      <c r="H80" s="321" t="s">
        <v>105</v>
      </c>
      <c r="I80" s="328" t="s">
        <v>105</v>
      </c>
      <c r="J80" s="309" t="s">
        <v>105</v>
      </c>
      <c r="K80" s="321" t="s">
        <v>105</v>
      </c>
      <c r="L80" s="328" t="s">
        <v>105</v>
      </c>
      <c r="M80" s="309" t="s">
        <v>105</v>
      </c>
      <c r="N80" s="321" t="s">
        <v>105</v>
      </c>
      <c r="O80" s="328" t="s">
        <v>105</v>
      </c>
      <c r="P80" s="309" t="s">
        <v>105</v>
      </c>
      <c r="R80" s="256" t="s">
        <v>244</v>
      </c>
      <c r="T80" s="778"/>
      <c r="U80" s="779"/>
      <c r="V80" s="291">
        <f>IF(V77&lt;=V72,0,V73-V79)</f>
        <v>0</v>
      </c>
      <c r="W80" s="778"/>
      <c r="X80" s="779"/>
      <c r="Y80" s="291">
        <f>IF(Y77&lt;=Y72,0,Y73-Y79)</f>
        <v>659722.24764973857</v>
      </c>
      <c r="Z80" s="778"/>
      <c r="AA80" s="779"/>
      <c r="AB80" s="291">
        <f>IF(AB77&lt;=AB72,0,AB73-AB79)</f>
        <v>0</v>
      </c>
      <c r="AC80" s="778"/>
      <c r="AD80" s="779"/>
      <c r="AE80" s="291">
        <f>IF(AE77&lt;=AE72,0,AE73-AE79)</f>
        <v>0</v>
      </c>
      <c r="AF80" s="927"/>
      <c r="AG80" s="390"/>
      <c r="AH80" s="944"/>
    </row>
    <row r="81" spans="1:79" ht="20.100000000000001" customHeight="1" thickBot="1" x14ac:dyDescent="0.25">
      <c r="A81" s="314" t="s">
        <v>105</v>
      </c>
      <c r="B81" s="321" t="s">
        <v>105</v>
      </c>
      <c r="C81" s="328" t="s">
        <v>105</v>
      </c>
      <c r="D81" s="309" t="s">
        <v>105</v>
      </c>
      <c r="E81" s="321" t="s">
        <v>105</v>
      </c>
      <c r="F81" s="328" t="s">
        <v>105</v>
      </c>
      <c r="G81" s="309" t="s">
        <v>105</v>
      </c>
      <c r="H81" s="321" t="s">
        <v>105</v>
      </c>
      <c r="I81" s="328" t="s">
        <v>105</v>
      </c>
      <c r="J81" s="309" t="s">
        <v>105</v>
      </c>
      <c r="K81" s="321" t="s">
        <v>105</v>
      </c>
      <c r="L81" s="328" t="s">
        <v>105</v>
      </c>
      <c r="M81" s="309" t="s">
        <v>105</v>
      </c>
      <c r="N81" s="321" t="s">
        <v>105</v>
      </c>
      <c r="O81" s="328" t="s">
        <v>105</v>
      </c>
      <c r="P81" s="309" t="s">
        <v>105</v>
      </c>
      <c r="Q81" s="51"/>
      <c r="R81" s="250"/>
      <c r="S81" s="238"/>
      <c r="T81" s="281"/>
      <c r="U81" s="251"/>
      <c r="V81" s="282"/>
      <c r="W81" s="281"/>
      <c r="X81" s="251"/>
      <c r="Y81" s="282"/>
      <c r="Z81" s="281"/>
      <c r="AA81" s="251"/>
      <c r="AB81" s="282"/>
      <c r="AC81" s="281"/>
      <c r="AD81" s="251"/>
      <c r="AE81" s="282"/>
      <c r="AF81" s="933"/>
      <c r="AG81" s="61"/>
      <c r="AH81" s="934"/>
      <c r="BT81" s="51"/>
      <c r="BU81" s="51"/>
      <c r="BV81" s="51"/>
      <c r="BW81" s="51"/>
      <c r="BX81" s="51"/>
      <c r="BY81" s="51"/>
      <c r="BZ81" s="51"/>
      <c r="CA81" s="51"/>
    </row>
    <row r="82" spans="1:79" s="226" customFormat="1" ht="10.8" thickBot="1" x14ac:dyDescent="0.25">
      <c r="A82" s="313" t="s">
        <v>6414</v>
      </c>
      <c r="B82" s="322" t="s">
        <v>6041</v>
      </c>
      <c r="C82" s="329" t="s">
        <v>6042</v>
      </c>
      <c r="D82" s="307" t="s">
        <v>105</v>
      </c>
      <c r="E82" s="322" t="s">
        <v>6105</v>
      </c>
      <c r="F82" s="329" t="s">
        <v>6106</v>
      </c>
      <c r="G82" s="307" t="s">
        <v>105</v>
      </c>
      <c r="H82" s="322" t="s">
        <v>6160</v>
      </c>
      <c r="I82" s="329" t="s">
        <v>6161</v>
      </c>
      <c r="J82" s="307" t="s">
        <v>105</v>
      </c>
      <c r="K82" s="322" t="s">
        <v>6226</v>
      </c>
      <c r="L82" s="329" t="s">
        <v>6227</v>
      </c>
      <c r="M82" s="307" t="s">
        <v>105</v>
      </c>
      <c r="N82" s="322" t="s">
        <v>105</v>
      </c>
      <c r="O82" s="329" t="s">
        <v>105</v>
      </c>
      <c r="P82" s="307" t="s">
        <v>105</v>
      </c>
      <c r="R82" s="257" t="s">
        <v>118</v>
      </c>
      <c r="S82" s="258"/>
      <c r="T82" s="292">
        <f>INDEX(IN_Rimd!$A$3:$AAA$427,MATCH(B82,IN_Rimd!$A$3:$A$427,0),MATCH($T$4,IN_Rimd!$A$3:$AAA$3,0))</f>
        <v>7914332.885408367</v>
      </c>
      <c r="U82" s="259">
        <f>INDEX(IN_Rimd!$A$3:$AAA$427,MATCH(C82,IN_Rimd!$A$3:$A$427,0),MATCH($T$4,IN_Rimd!$A$3:$AAA$3,0))</f>
        <v>0</v>
      </c>
      <c r="V82" s="293">
        <f>T82+U82</f>
        <v>7914332.885408367</v>
      </c>
      <c r="W82" s="292">
        <f>INDEX(IN_Rimd!$A$3:$AAA$427,MATCH(E82,IN_Rimd!$A$3:$A$427,0),MATCH($T$4,IN_Rimd!$A$3:$AAA$3,0))</f>
        <v>8408263.5876249541</v>
      </c>
      <c r="X82" s="259">
        <f>INDEX(IN_Rimd!$A$3:$AAA$427,MATCH(F82,IN_Rimd!$A$3:$A$427,0),MATCH($T$4,IN_Rimd!$A$3:$AAA$3,0))</f>
        <v>0</v>
      </c>
      <c r="Y82" s="293">
        <f>W82+X82</f>
        <v>8408263.5876249541</v>
      </c>
      <c r="Z82" s="292">
        <f>INDEX(IN_Rimd!$A$3:$AAA$427,MATCH(H82,IN_Rimd!$A$3:$A$427,0),MATCH($T$4,IN_Rimd!$A$3:$AAA$3,0))</f>
        <v>8252633.5304478202</v>
      </c>
      <c r="AA82" s="259">
        <f>INDEX(IN_Rimd!$A$3:$AAA$427,MATCH(I82,IN_Rimd!$A$3:$A$427,0),MATCH($T$4,IN_Rimd!$A$3:$AAA$3,0))</f>
        <v>0</v>
      </c>
      <c r="AB82" s="293">
        <f>Z82+AA82</f>
        <v>8252633.5304478202</v>
      </c>
      <c r="AC82" s="292">
        <f>INDEX(IN_Rimd!$A$3:$AAA$427,MATCH(K82,IN_Rimd!$A$3:$A$427,0),MATCH($T$4,IN_Rimd!$A$3:$AAA$3,0))</f>
        <v>7914598.1306920005</v>
      </c>
      <c r="AD82" s="259">
        <f>INDEX(IN_Rimd!$A$3:$AAA$427,MATCH(L82,IN_Rimd!$A$3:$A$427,0),MATCH($T$4,IN_Rimd!$A$3:$AAA$3,0))</f>
        <v>0</v>
      </c>
      <c r="AE82" s="293">
        <f>AC82+AD82</f>
        <v>7914598.1306920005</v>
      </c>
      <c r="AF82" s="945"/>
      <c r="AG82" s="946"/>
      <c r="AH82" s="943"/>
    </row>
    <row r="83" spans="1:79" s="226" customFormat="1" ht="10.8" thickBot="1" x14ac:dyDescent="0.25">
      <c r="A83" s="313" t="s">
        <v>6414</v>
      </c>
      <c r="B83" s="322" t="s">
        <v>6043</v>
      </c>
      <c r="C83" s="329" t="s">
        <v>6044</v>
      </c>
      <c r="D83" s="307" t="s">
        <v>105</v>
      </c>
      <c r="E83" s="322" t="s">
        <v>6107</v>
      </c>
      <c r="F83" s="329" t="s">
        <v>6108</v>
      </c>
      <c r="G83" s="307" t="s">
        <v>105</v>
      </c>
      <c r="H83" s="322" t="s">
        <v>6163</v>
      </c>
      <c r="I83" s="329" t="s">
        <v>6164</v>
      </c>
      <c r="J83" s="307" t="s">
        <v>105</v>
      </c>
      <c r="K83" s="322" t="s">
        <v>6229</v>
      </c>
      <c r="L83" s="329" t="s">
        <v>6230</v>
      </c>
      <c r="M83" s="307" t="s">
        <v>105</v>
      </c>
      <c r="N83" s="322" t="s">
        <v>105</v>
      </c>
      <c r="O83" s="329" t="s">
        <v>105</v>
      </c>
      <c r="P83" s="307" t="s">
        <v>105</v>
      </c>
      <c r="R83" s="257" t="s">
        <v>119</v>
      </c>
      <c r="S83" s="231"/>
      <c r="T83" s="294">
        <f>INDEX(IN_Rimd!$A$3:$AAA$427,MATCH(B83,IN_Rimd!$A$3:$A$427,0),MATCH($T$4,IN_Rimd!$A$3:$AAA$3,0))</f>
        <v>7531568.5899443226</v>
      </c>
      <c r="U83" s="260">
        <f>INDEX(IN_Rimd!$A$3:$AAA$427,MATCH(C83,IN_Rimd!$A$3:$A$427,0),MATCH($T$4,IN_Rimd!$A$3:$AAA$3,0))</f>
        <v>0</v>
      </c>
      <c r="V83" s="295">
        <f>T83+U83</f>
        <v>7531568.5899443226</v>
      </c>
      <c r="W83" s="294">
        <f>INDEX(IN_Rimd!$A$3:$AAA$427,MATCH(E83,IN_Rimd!$A$3:$A$427,0),MATCH($T$4,IN_Rimd!$A$3:$AAA$3,0))</f>
        <v>7331110.0157594364</v>
      </c>
      <c r="X83" s="260">
        <f>INDEX(IN_Rimd!$A$3:$AAA$427,MATCH(F83,IN_Rimd!$A$3:$A$427,0),MATCH($T$4,IN_Rimd!$A$3:$AAA$3,0))</f>
        <v>0</v>
      </c>
      <c r="Y83" s="295">
        <f>W83+X83</f>
        <v>7331110.0157594364</v>
      </c>
      <c r="Z83" s="294">
        <f>INDEX(IN_Rimd!$A$3:$AAA$427,MATCH(H83,IN_Rimd!$A$3:$A$427,0),MATCH($T$4,IN_Rimd!$A$3:$AAA$3,0))</f>
        <v>6964646.892502577</v>
      </c>
      <c r="AA83" s="260">
        <f>INDEX(IN_Rimd!$A$3:$AAA$427,MATCH(I83,IN_Rimd!$A$3:$A$427,0),MATCH($T$4,IN_Rimd!$A$3:$AAA$3,0))</f>
        <v>0</v>
      </c>
      <c r="AB83" s="295">
        <f>Z83+AA83</f>
        <v>6964646.892502577</v>
      </c>
      <c r="AC83" s="294">
        <f>INDEX(IN_Rimd!$A$3:$AAA$427,MATCH(K83,IN_Rimd!$A$3:$A$427,0),MATCH($T$4,IN_Rimd!$A$3:$AAA$3,0))</f>
        <v>6243898.0065433783</v>
      </c>
      <c r="AD83" s="260">
        <f>INDEX(IN_Rimd!$A$3:$AAA$427,MATCH(L83,IN_Rimd!$A$3:$A$427,0),MATCH($T$4,IN_Rimd!$A$3:$AAA$3,0))</f>
        <v>0</v>
      </c>
      <c r="AE83" s="295">
        <f>AC83+AD83</f>
        <v>6243898.0065433783</v>
      </c>
      <c r="AF83" s="945"/>
      <c r="AG83" s="946"/>
      <c r="AH83" s="943"/>
    </row>
    <row r="84" spans="1:79" s="226" customFormat="1" ht="10.8" thickBot="1" x14ac:dyDescent="0.25">
      <c r="A84" s="314" t="s">
        <v>105</v>
      </c>
      <c r="B84" s="321" t="s">
        <v>105</v>
      </c>
      <c r="C84" s="328" t="s">
        <v>105</v>
      </c>
      <c r="D84" s="309" t="s">
        <v>105</v>
      </c>
      <c r="E84" s="321" t="s">
        <v>105</v>
      </c>
      <c r="F84" s="328" t="s">
        <v>105</v>
      </c>
      <c r="G84" s="309" t="s">
        <v>105</v>
      </c>
      <c r="H84" s="321" t="s">
        <v>105</v>
      </c>
      <c r="I84" s="328" t="s">
        <v>105</v>
      </c>
      <c r="J84" s="309" t="s">
        <v>105</v>
      </c>
      <c r="K84" s="321" t="s">
        <v>105</v>
      </c>
      <c r="L84" s="328" t="s">
        <v>105</v>
      </c>
      <c r="M84" s="309" t="s">
        <v>105</v>
      </c>
      <c r="N84" s="321" t="s">
        <v>105</v>
      </c>
      <c r="O84" s="328" t="s">
        <v>105</v>
      </c>
      <c r="P84" s="309" t="s">
        <v>105</v>
      </c>
      <c r="R84" s="249" t="s">
        <v>120</v>
      </c>
      <c r="T84" s="296">
        <f>SUM(T82:T83)</f>
        <v>15445901.47535269</v>
      </c>
      <c r="U84" s="261">
        <f>SUM(U82:U83)</f>
        <v>0</v>
      </c>
      <c r="V84" s="297">
        <f>T84+U84</f>
        <v>15445901.47535269</v>
      </c>
      <c r="W84" s="296">
        <f>SUM(W82:W83)</f>
        <v>15739373.60338439</v>
      </c>
      <c r="X84" s="261">
        <f>SUM(X82:X83)</f>
        <v>0</v>
      </c>
      <c r="Y84" s="297">
        <f>W84+X84</f>
        <v>15739373.60338439</v>
      </c>
      <c r="Z84" s="296">
        <f>SUM(Z82:Z83)</f>
        <v>15217280.422950398</v>
      </c>
      <c r="AA84" s="261">
        <f>SUM(AA82:AA83)</f>
        <v>0</v>
      </c>
      <c r="AB84" s="297">
        <f>Z84+AA84</f>
        <v>15217280.422950398</v>
      </c>
      <c r="AC84" s="296">
        <f>SUM(AC82:AC83)</f>
        <v>14158496.137235379</v>
      </c>
      <c r="AD84" s="261">
        <f>SUM(AD82:AD83)</f>
        <v>0</v>
      </c>
      <c r="AE84" s="297">
        <f>AC84+AD84</f>
        <v>14158496.137235379</v>
      </c>
      <c r="AF84" s="947"/>
      <c r="AG84" s="948"/>
      <c r="AH84" s="943"/>
      <c r="AL84" s="1103">
        <v>16351261.693804173</v>
      </c>
      <c r="AM84" s="1103">
        <f>+V84-AL84</f>
        <v>-905360.21845148318</v>
      </c>
      <c r="AN84" s="226" t="s">
        <v>8808</v>
      </c>
    </row>
    <row r="85" spans="1:79" ht="20.100000000000001" customHeight="1" thickBot="1" x14ac:dyDescent="0.25">
      <c r="A85" s="314" t="s">
        <v>105</v>
      </c>
      <c r="B85" s="321" t="s">
        <v>105</v>
      </c>
      <c r="C85" s="328" t="s">
        <v>105</v>
      </c>
      <c r="D85" s="309" t="s">
        <v>105</v>
      </c>
      <c r="E85" s="321" t="s">
        <v>105</v>
      </c>
      <c r="F85" s="328" t="s">
        <v>105</v>
      </c>
      <c r="G85" s="309" t="s">
        <v>105</v>
      </c>
      <c r="H85" s="321" t="s">
        <v>105</v>
      </c>
      <c r="I85" s="328" t="s">
        <v>105</v>
      </c>
      <c r="J85" s="309" t="s">
        <v>105</v>
      </c>
      <c r="K85" s="321" t="s">
        <v>105</v>
      </c>
      <c r="L85" s="328" t="s">
        <v>105</v>
      </c>
      <c r="M85" s="309" t="s">
        <v>105</v>
      </c>
      <c r="N85" s="321" t="s">
        <v>105</v>
      </c>
      <c r="O85" s="328" t="s">
        <v>105</v>
      </c>
      <c r="P85" s="309" t="s">
        <v>105</v>
      </c>
      <c r="Q85" s="51"/>
      <c r="R85" s="250"/>
      <c r="S85" s="238"/>
      <c r="T85" s="271"/>
      <c r="U85" s="262"/>
      <c r="V85" s="298" t="str">
        <f>IF(V84="ERRORE","controllare distribuzione delta  (∑Ta-∑Tmax) ","")</f>
        <v/>
      </c>
      <c r="W85" s="271"/>
      <c r="X85" s="262"/>
      <c r="Y85" s="298" t="str">
        <f>IF(Y84="ERRORE","controllare distribuzione delta  (∑Ta-∑Tmax) ","")</f>
        <v/>
      </c>
      <c r="Z85" s="271"/>
      <c r="AA85" s="262"/>
      <c r="AB85" s="298"/>
      <c r="AC85" s="271"/>
      <c r="AD85" s="262"/>
      <c r="AE85" s="298"/>
      <c r="AF85" s="933"/>
      <c r="AG85" s="61"/>
      <c r="AH85" s="949"/>
      <c r="BT85" s="51"/>
      <c r="BU85" s="51"/>
      <c r="BV85" s="51"/>
      <c r="BW85" s="51"/>
      <c r="BX85" s="51"/>
      <c r="BY85" s="51"/>
      <c r="BZ85" s="51"/>
      <c r="CA85" s="51"/>
    </row>
    <row r="86" spans="1:79" s="226" customFormat="1" ht="10.8" thickBot="1" x14ac:dyDescent="0.25">
      <c r="A86" s="315" t="s">
        <v>6428</v>
      </c>
      <c r="B86" s="322" t="s">
        <v>105</v>
      </c>
      <c r="C86" s="329" t="s">
        <v>105</v>
      </c>
      <c r="D86" s="307" t="s">
        <v>6416</v>
      </c>
      <c r="E86" s="322" t="s">
        <v>105</v>
      </c>
      <c r="F86" s="329" t="s">
        <v>105</v>
      </c>
      <c r="G86" s="307" t="s">
        <v>6418</v>
      </c>
      <c r="H86" s="322" t="s">
        <v>105</v>
      </c>
      <c r="I86" s="329" t="s">
        <v>105</v>
      </c>
      <c r="J86" s="307" t="s">
        <v>6420</v>
      </c>
      <c r="K86" s="322" t="s">
        <v>105</v>
      </c>
      <c r="L86" s="329" t="s">
        <v>105</v>
      </c>
      <c r="M86" s="307" t="s">
        <v>6422</v>
      </c>
      <c r="N86" s="322" t="s">
        <v>105</v>
      </c>
      <c r="O86" s="329" t="s">
        <v>105</v>
      </c>
      <c r="P86" s="307" t="s">
        <v>105</v>
      </c>
      <c r="R86" s="257" t="s">
        <v>6774</v>
      </c>
      <c r="S86" s="231"/>
      <c r="T86" s="774"/>
      <c r="U86" s="775"/>
      <c r="V86" s="845">
        <f>INDEX(IN_Altro!$A$3:$AAA$45,MATCH(D86,IN_Altro!$A$3:$A$45,0),MATCH($T$4,IN_Altro!$A$3:$AAA$3,0))</f>
        <v>103312</v>
      </c>
      <c r="W86" s="774"/>
      <c r="X86" s="775"/>
      <c r="Y86" s="845">
        <f>INDEX(IN_Altro!$A$3:$AAA$45,MATCH(G86,IN_Altro!$A$3:$A$45,0),MATCH($T$4,IN_Altro!$A$3:$AAA$3,0))</f>
        <v>103312</v>
      </c>
      <c r="Z86" s="774"/>
      <c r="AA86" s="775"/>
      <c r="AB86" s="845">
        <f>INDEX(IN_Altro!$A$3:$AAA$45,MATCH(J86,IN_Altro!$A$3:$A$45,0),MATCH($T$4,IN_Altro!$A$3:$AAA$3,0))</f>
        <v>103312</v>
      </c>
      <c r="AC86" s="774"/>
      <c r="AD86" s="775"/>
      <c r="AE86" s="845">
        <f>INDEX(IN_Altro!$A$3:$AAA$45,MATCH(M86,IN_Altro!$A$3:$A$45,0),MATCH($T$4,IN_Altro!$A$3:$AAA$3,0))</f>
        <v>103312</v>
      </c>
      <c r="AF86" s="927"/>
      <c r="AG86" s="390"/>
      <c r="AH86" s="914"/>
      <c r="AM86" s="1104"/>
    </row>
    <row r="87" spans="1:79" s="226" customFormat="1" ht="10.8" thickBot="1" x14ac:dyDescent="0.25">
      <c r="A87" s="315" t="s">
        <v>6428</v>
      </c>
      <c r="B87" s="322" t="s">
        <v>105</v>
      </c>
      <c r="C87" s="329" t="s">
        <v>105</v>
      </c>
      <c r="D87" s="307" t="s">
        <v>6417</v>
      </c>
      <c r="E87" s="322" t="s">
        <v>105</v>
      </c>
      <c r="F87" s="329" t="s">
        <v>105</v>
      </c>
      <c r="G87" s="307" t="s">
        <v>6419</v>
      </c>
      <c r="H87" s="322" t="s">
        <v>105</v>
      </c>
      <c r="I87" s="329" t="s">
        <v>105</v>
      </c>
      <c r="J87" s="307" t="s">
        <v>6421</v>
      </c>
      <c r="K87" s="322" t="s">
        <v>105</v>
      </c>
      <c r="L87" s="329" t="s">
        <v>105</v>
      </c>
      <c r="M87" s="307" t="s">
        <v>6423</v>
      </c>
      <c r="N87" s="322" t="s">
        <v>105</v>
      </c>
      <c r="O87" s="329" t="s">
        <v>105</v>
      </c>
      <c r="P87" s="307" t="s">
        <v>105</v>
      </c>
      <c r="R87" s="257" t="s">
        <v>6775</v>
      </c>
      <c r="S87" s="231"/>
      <c r="T87" s="778"/>
      <c r="U87" s="779"/>
      <c r="V87" s="846">
        <f>INDEX(IN_Altro!$A$3:$AAA$45,MATCH(D87,IN_Altro!$A$3:$A$45,0),MATCH($T$4,IN_Altro!$A$3:$AAA$3,0))</f>
        <v>0</v>
      </c>
      <c r="W87" s="778"/>
      <c r="X87" s="779"/>
      <c r="Y87" s="846">
        <f>INDEX(IN_Altro!$A$3:$AAA$45,MATCH(G87,IN_Altro!$A$3:$A$45,0),MATCH($T$4,IN_Altro!$A$3:$AAA$3,0))</f>
        <v>0</v>
      </c>
      <c r="Z87" s="778"/>
      <c r="AA87" s="779"/>
      <c r="AB87" s="846">
        <f>INDEX(IN_Altro!$A$3:$AAA$45,MATCH(J87,IN_Altro!$A$3:$A$45,0),MATCH($T$4,IN_Altro!$A$3:$AAA$3,0))</f>
        <v>0</v>
      </c>
      <c r="AC87" s="778"/>
      <c r="AD87" s="779"/>
      <c r="AE87" s="846">
        <f>INDEX(IN_Altro!$A$3:$AAA$45,MATCH(M87,IN_Altro!$A$3:$A$45,0),MATCH($T$4,IN_Altro!$A$3:$AAA$3,0))</f>
        <v>0</v>
      </c>
      <c r="AF87" s="927"/>
      <c r="AG87" s="390"/>
      <c r="AH87" s="914"/>
    </row>
    <row r="88" spans="1:79" s="226" customFormat="1" ht="17.25" customHeight="1" thickBot="1" x14ac:dyDescent="0.25">
      <c r="A88" s="314" t="s">
        <v>105</v>
      </c>
      <c r="B88" s="321" t="s">
        <v>105</v>
      </c>
      <c r="C88" s="328" t="s">
        <v>105</v>
      </c>
      <c r="D88" s="309" t="s">
        <v>105</v>
      </c>
      <c r="E88" s="321" t="s">
        <v>105</v>
      </c>
      <c r="F88" s="328" t="s">
        <v>105</v>
      </c>
      <c r="G88" s="309" t="s">
        <v>105</v>
      </c>
      <c r="H88" s="321" t="s">
        <v>105</v>
      </c>
      <c r="I88" s="328" t="s">
        <v>105</v>
      </c>
      <c r="J88" s="309" t="s">
        <v>105</v>
      </c>
      <c r="K88" s="321" t="s">
        <v>105</v>
      </c>
      <c r="L88" s="328" t="s">
        <v>105</v>
      </c>
      <c r="M88" s="309" t="s">
        <v>105</v>
      </c>
      <c r="N88" s="321" t="s">
        <v>105</v>
      </c>
      <c r="O88" s="328" t="s">
        <v>105</v>
      </c>
      <c r="P88" s="309" t="s">
        <v>105</v>
      </c>
      <c r="R88" s="263"/>
      <c r="T88" s="299"/>
      <c r="U88" s="264"/>
      <c r="V88" s="280"/>
      <c r="W88" s="275"/>
      <c r="Y88" s="280"/>
      <c r="Z88" s="275"/>
      <c r="AB88" s="280"/>
      <c r="AC88" s="275"/>
      <c r="AE88" s="280"/>
      <c r="AF88" s="950"/>
      <c r="AG88" s="51"/>
      <c r="AH88" s="923"/>
    </row>
    <row r="89" spans="1:79" s="226" customFormat="1" ht="22.2" thickBot="1" x14ac:dyDescent="0.25">
      <c r="A89" s="314" t="s">
        <v>105</v>
      </c>
      <c r="B89" s="321" t="s">
        <v>105</v>
      </c>
      <c r="C89" s="328" t="s">
        <v>105</v>
      </c>
      <c r="D89" s="309" t="s">
        <v>105</v>
      </c>
      <c r="E89" s="321" t="s">
        <v>105</v>
      </c>
      <c r="F89" s="328" t="s">
        <v>105</v>
      </c>
      <c r="G89" s="309" t="s">
        <v>105</v>
      </c>
      <c r="H89" s="321" t="s">
        <v>105</v>
      </c>
      <c r="I89" s="328" t="s">
        <v>105</v>
      </c>
      <c r="J89" s="309" t="s">
        <v>105</v>
      </c>
      <c r="K89" s="321" t="s">
        <v>105</v>
      </c>
      <c r="L89" s="328" t="s">
        <v>105</v>
      </c>
      <c r="M89" s="309" t="s">
        <v>105</v>
      </c>
      <c r="N89" s="321" t="s">
        <v>105</v>
      </c>
      <c r="O89" s="328" t="s">
        <v>105</v>
      </c>
      <c r="P89" s="309" t="s">
        <v>105</v>
      </c>
      <c r="R89" s="265" t="s">
        <v>6776</v>
      </c>
      <c r="T89" s="774"/>
      <c r="U89" s="775"/>
      <c r="V89" s="504">
        <f>V82-V86</f>
        <v>7811020.885408367</v>
      </c>
      <c r="W89" s="774"/>
      <c r="X89" s="775"/>
      <c r="Y89" s="504">
        <f>Y82-Y86</f>
        <v>8304951.5876249541</v>
      </c>
      <c r="Z89" s="774"/>
      <c r="AA89" s="775"/>
      <c r="AB89" s="504">
        <f>AB82-AB86</f>
        <v>8149321.5304478202</v>
      </c>
      <c r="AC89" s="774"/>
      <c r="AD89" s="775"/>
      <c r="AE89" s="504">
        <f>AE82-AE86</f>
        <v>7811286.1306920005</v>
      </c>
      <c r="AF89" s="927"/>
      <c r="AG89" s="390"/>
      <c r="AH89" s="951"/>
    </row>
    <row r="90" spans="1:79" s="226" customFormat="1" ht="22.2" thickBot="1" x14ac:dyDescent="0.25">
      <c r="A90" s="314" t="s">
        <v>105</v>
      </c>
      <c r="B90" s="321" t="s">
        <v>105</v>
      </c>
      <c r="C90" s="328" t="s">
        <v>105</v>
      </c>
      <c r="D90" s="309" t="s">
        <v>105</v>
      </c>
      <c r="E90" s="321" t="s">
        <v>105</v>
      </c>
      <c r="F90" s="328" t="s">
        <v>105</v>
      </c>
      <c r="G90" s="309" t="s">
        <v>105</v>
      </c>
      <c r="H90" s="321" t="s">
        <v>105</v>
      </c>
      <c r="I90" s="328" t="s">
        <v>105</v>
      </c>
      <c r="J90" s="309" t="s">
        <v>105</v>
      </c>
      <c r="K90" s="321" t="s">
        <v>105</v>
      </c>
      <c r="L90" s="328" t="s">
        <v>105</v>
      </c>
      <c r="M90" s="309" t="s">
        <v>105</v>
      </c>
      <c r="N90" s="321" t="s">
        <v>105</v>
      </c>
      <c r="O90" s="328" t="s">
        <v>105</v>
      </c>
      <c r="P90" s="309" t="s">
        <v>105</v>
      </c>
      <c r="R90" s="236" t="s">
        <v>6777</v>
      </c>
      <c r="T90" s="776"/>
      <c r="U90" s="777"/>
      <c r="V90" s="505">
        <f>V83-V87</f>
        <v>7531568.5899443226</v>
      </c>
      <c r="W90" s="776"/>
      <c r="X90" s="777"/>
      <c r="Y90" s="505">
        <f>Y83-Y87</f>
        <v>7331110.0157594364</v>
      </c>
      <c r="Z90" s="776"/>
      <c r="AA90" s="777"/>
      <c r="AB90" s="505">
        <f>AB83-AB87</f>
        <v>6964646.892502577</v>
      </c>
      <c r="AC90" s="776"/>
      <c r="AD90" s="777"/>
      <c r="AE90" s="505">
        <f>AE83-AE87</f>
        <v>6243898.0065433783</v>
      </c>
      <c r="AF90" s="927"/>
      <c r="AG90" s="390"/>
      <c r="AH90" s="951"/>
    </row>
    <row r="91" spans="1:79" s="226" customFormat="1" ht="10.8" thickBot="1" x14ac:dyDescent="0.25">
      <c r="A91" s="314" t="s">
        <v>105</v>
      </c>
      <c r="B91" s="321" t="s">
        <v>105</v>
      </c>
      <c r="C91" s="328" t="s">
        <v>105</v>
      </c>
      <c r="D91" s="309" t="s">
        <v>105</v>
      </c>
      <c r="E91" s="321" t="s">
        <v>105</v>
      </c>
      <c r="F91" s="328" t="s">
        <v>105</v>
      </c>
      <c r="G91" s="309" t="s">
        <v>105</v>
      </c>
      <c r="H91" s="321" t="s">
        <v>105</v>
      </c>
      <c r="I91" s="328" t="s">
        <v>105</v>
      </c>
      <c r="J91" s="309" t="s">
        <v>105</v>
      </c>
      <c r="K91" s="321" t="s">
        <v>105</v>
      </c>
      <c r="L91" s="328" t="s">
        <v>105</v>
      </c>
      <c r="M91" s="309" t="s">
        <v>105</v>
      </c>
      <c r="N91" s="321" t="s">
        <v>105</v>
      </c>
      <c r="O91" s="328" t="s">
        <v>105</v>
      </c>
      <c r="P91" s="309" t="s">
        <v>105</v>
      </c>
      <c r="R91" s="249" t="s">
        <v>6778</v>
      </c>
      <c r="T91" s="778"/>
      <c r="U91" s="779"/>
      <c r="V91" s="506">
        <f>+V89+V90</f>
        <v>15342589.47535269</v>
      </c>
      <c r="W91" s="778"/>
      <c r="X91" s="779"/>
      <c r="Y91" s="506">
        <f>+Y89+Y90</f>
        <v>15636061.60338439</v>
      </c>
      <c r="Z91" s="778"/>
      <c r="AA91" s="779"/>
      <c r="AB91" s="506">
        <f>+AB89+AB90</f>
        <v>15113968.422950398</v>
      </c>
      <c r="AC91" s="778"/>
      <c r="AD91" s="779"/>
      <c r="AE91" s="506">
        <f>+AE89+AE90</f>
        <v>14055184.137235379</v>
      </c>
      <c r="AF91" s="927"/>
      <c r="AG91" s="390"/>
      <c r="AH91" s="952"/>
      <c r="AL91" s="1103">
        <v>16247949.563804174</v>
      </c>
      <c r="AM91" s="1103">
        <f>+V91-AL91</f>
        <v>-905360.08845148422</v>
      </c>
      <c r="AN91" s="226" t="s">
        <v>8807</v>
      </c>
    </row>
    <row r="92" spans="1:79" s="226" customFormat="1" ht="17.25" customHeight="1" thickBot="1" x14ac:dyDescent="0.25">
      <c r="A92" s="314" t="s">
        <v>105</v>
      </c>
      <c r="B92" s="321" t="s">
        <v>105</v>
      </c>
      <c r="C92" s="328" t="s">
        <v>105</v>
      </c>
      <c r="D92" s="309" t="s">
        <v>105</v>
      </c>
      <c r="E92" s="321" t="s">
        <v>105</v>
      </c>
      <c r="F92" s="328" t="s">
        <v>105</v>
      </c>
      <c r="G92" s="309" t="s">
        <v>105</v>
      </c>
      <c r="H92" s="321" t="s">
        <v>105</v>
      </c>
      <c r="I92" s="328" t="s">
        <v>105</v>
      </c>
      <c r="J92" s="309" t="s">
        <v>105</v>
      </c>
      <c r="K92" s="321" t="s">
        <v>105</v>
      </c>
      <c r="L92" s="328" t="s">
        <v>105</v>
      </c>
      <c r="M92" s="309" t="s">
        <v>105</v>
      </c>
      <c r="N92" s="321" t="s">
        <v>105</v>
      </c>
      <c r="O92" s="328" t="s">
        <v>105</v>
      </c>
      <c r="P92" s="309" t="s">
        <v>105</v>
      </c>
      <c r="R92" s="263"/>
      <c r="T92" s="300"/>
      <c r="U92" s="266"/>
      <c r="V92" s="280"/>
      <c r="W92" s="275"/>
      <c r="Y92" s="280"/>
      <c r="Z92" s="275"/>
      <c r="AB92" s="280"/>
      <c r="AC92" s="275"/>
      <c r="AE92" s="280"/>
      <c r="AF92" s="950"/>
      <c r="AG92" s="51"/>
      <c r="AH92" s="923"/>
    </row>
    <row r="93" spans="1:79" s="226" customFormat="1" ht="10.8" thickBot="1" x14ac:dyDescent="0.25">
      <c r="A93" s="315" t="s">
        <v>6428</v>
      </c>
      <c r="B93" s="507" t="s">
        <v>6442</v>
      </c>
      <c r="C93" s="508" t="s">
        <v>6443</v>
      </c>
      <c r="D93" s="509" t="s">
        <v>105</v>
      </c>
      <c r="E93" s="507" t="s">
        <v>6445</v>
      </c>
      <c r="F93" s="508" t="s">
        <v>6446</v>
      </c>
      <c r="G93" s="509" t="s">
        <v>105</v>
      </c>
      <c r="H93" s="507" t="s">
        <v>6448</v>
      </c>
      <c r="I93" s="508" t="s">
        <v>6449</v>
      </c>
      <c r="J93" s="509" t="s">
        <v>105</v>
      </c>
      <c r="K93" s="507" t="s">
        <v>6451</v>
      </c>
      <c r="L93" s="508" t="s">
        <v>6452</v>
      </c>
      <c r="M93" s="509" t="s">
        <v>105</v>
      </c>
      <c r="N93" s="507" t="s">
        <v>105</v>
      </c>
      <c r="O93" s="508" t="s">
        <v>105</v>
      </c>
      <c r="P93" s="509" t="s">
        <v>105</v>
      </c>
      <c r="R93" s="267" t="s">
        <v>121</v>
      </c>
      <c r="S93" s="231"/>
      <c r="T93" s="847">
        <f>INDEX(IN_Altro!$A$3:$AAA$45,MATCH(B93,IN_Altro!$A$3:$A$45,0),MATCH($T$4,IN_Altro!$A$3:$AAA$3,0))</f>
        <v>0</v>
      </c>
      <c r="U93" s="848">
        <f>INDEX(IN_Altro!$A$3:$AAA$45,MATCH(C93,IN_Altro!$A$3:$A$45,0),MATCH($T$4,IN_Altro!$A$3:$AAA$3,0))</f>
        <v>0</v>
      </c>
      <c r="V93" s="301">
        <f>T93+U93</f>
        <v>0</v>
      </c>
      <c r="W93" s="847">
        <f>INDEX(IN_Altro!$A$3:$AAA$45,MATCH(E93,IN_Altro!$A$3:$A$45,0),MATCH($T$4,IN_Altro!$A$3:$AAA$3,0))</f>
        <v>0</v>
      </c>
      <c r="X93" s="848">
        <f>INDEX(IN_Altro!$A$3:$AAA$45,MATCH(F93,IN_Altro!$A$3:$A$45,0),MATCH($T$4,IN_Altro!$A$3:$AAA$3,0))</f>
        <v>0</v>
      </c>
      <c r="Y93" s="301">
        <f>W93+X93</f>
        <v>0</v>
      </c>
      <c r="Z93" s="847">
        <f>INDEX(IN_Altro!$A$3:$AAA$45,MATCH(H93,IN_Altro!$A$3:$A$45,0),MATCH($T$4,IN_Altro!$A$3:$AAA$3,0))</f>
        <v>0</v>
      </c>
      <c r="AA93" s="848">
        <f>INDEX(IN_Altro!$A$3:$AAA$45,MATCH(I93,IN_Altro!$A$3:$A$45,0),MATCH($T$4,IN_Altro!$A$3:$AAA$3,0))</f>
        <v>0</v>
      </c>
      <c r="AB93" s="301">
        <f>Z93+AA93</f>
        <v>0</v>
      </c>
      <c r="AC93" s="847">
        <f>INDEX(IN_Altro!$A$3:$AAA$45,MATCH(K93,IN_Altro!$A$3:$A$45,0),MATCH($T$4,IN_Altro!$A$3:$AAA$3,0))</f>
        <v>0</v>
      </c>
      <c r="AD93" s="848">
        <f>INDEX(IN_Altro!$A$3:$AAA$45,MATCH(L93,IN_Altro!$A$3:$A$45,0),MATCH($T$4,IN_Altro!$A$3:$AAA$3,0))</f>
        <v>0</v>
      </c>
      <c r="AE93" s="301">
        <f>AC93+AD93</f>
        <v>0</v>
      </c>
      <c r="AF93" s="915"/>
      <c r="AG93" s="912"/>
      <c r="AH93" s="914"/>
    </row>
    <row r="94" spans="1:79" s="226" customFormat="1" x14ac:dyDescent="0.2">
      <c r="A94" s="314" t="s">
        <v>105</v>
      </c>
      <c r="B94" s="321" t="s">
        <v>105</v>
      </c>
      <c r="C94" s="328" t="s">
        <v>105</v>
      </c>
      <c r="D94" s="309" t="s">
        <v>105</v>
      </c>
      <c r="E94" s="321" t="s">
        <v>105</v>
      </c>
      <c r="F94" s="328" t="s">
        <v>105</v>
      </c>
      <c r="G94" s="309" t="s">
        <v>105</v>
      </c>
      <c r="H94" s="321" t="s">
        <v>105</v>
      </c>
      <c r="I94" s="328" t="s">
        <v>105</v>
      </c>
      <c r="J94" s="309" t="s">
        <v>105</v>
      </c>
      <c r="K94" s="321" t="s">
        <v>105</v>
      </c>
      <c r="L94" s="328" t="s">
        <v>105</v>
      </c>
      <c r="M94" s="309" t="s">
        <v>105</v>
      </c>
      <c r="N94" s="321" t="s">
        <v>105</v>
      </c>
      <c r="O94" s="328" t="s">
        <v>105</v>
      </c>
      <c r="P94" s="309" t="s">
        <v>105</v>
      </c>
      <c r="T94" s="268"/>
      <c r="AF94" s="51"/>
      <c r="AG94" s="51"/>
      <c r="AH94" s="923"/>
    </row>
    <row r="95" spans="1:79" s="226" customFormat="1" ht="10.8" thickBot="1" x14ac:dyDescent="0.25">
      <c r="A95" s="314" t="s">
        <v>105</v>
      </c>
      <c r="B95" s="321" t="s">
        <v>105</v>
      </c>
      <c r="C95" s="328" t="s">
        <v>105</v>
      </c>
      <c r="D95" s="309" t="s">
        <v>105</v>
      </c>
      <c r="E95" s="321" t="s">
        <v>105</v>
      </c>
      <c r="F95" s="328" t="s">
        <v>105</v>
      </c>
      <c r="G95" s="309" t="s">
        <v>105</v>
      </c>
      <c r="H95" s="321" t="s">
        <v>105</v>
      </c>
      <c r="I95" s="328" t="s">
        <v>105</v>
      </c>
      <c r="J95" s="309" t="s">
        <v>105</v>
      </c>
      <c r="K95" s="321" t="s">
        <v>105</v>
      </c>
      <c r="L95" s="328" t="s">
        <v>105</v>
      </c>
      <c r="M95" s="309" t="s">
        <v>105</v>
      </c>
      <c r="N95" s="321" t="s">
        <v>105</v>
      </c>
      <c r="O95" s="328" t="s">
        <v>105</v>
      </c>
      <c r="P95" s="309" t="s">
        <v>105</v>
      </c>
      <c r="AF95" s="51"/>
      <c r="AG95" s="51"/>
      <c r="AH95" s="923"/>
    </row>
    <row r="96" spans="1:79" ht="10.8" thickBot="1" x14ac:dyDescent="0.25">
      <c r="A96" s="314" t="s">
        <v>105</v>
      </c>
      <c r="B96" s="321" t="s">
        <v>105</v>
      </c>
      <c r="C96" s="328" t="s">
        <v>105</v>
      </c>
      <c r="D96" s="309" t="s">
        <v>105</v>
      </c>
      <c r="E96" s="321" t="s">
        <v>105</v>
      </c>
      <c r="F96" s="328" t="s">
        <v>105</v>
      </c>
      <c r="G96" s="309" t="s">
        <v>105</v>
      </c>
      <c r="H96" s="321" t="s">
        <v>105</v>
      </c>
      <c r="I96" s="328" t="s">
        <v>105</v>
      </c>
      <c r="J96" s="309" t="s">
        <v>105</v>
      </c>
      <c r="K96" s="321" t="s">
        <v>105</v>
      </c>
      <c r="L96" s="328" t="s">
        <v>105</v>
      </c>
      <c r="M96" s="309" t="s">
        <v>105</v>
      </c>
      <c r="N96" s="321" t="s">
        <v>105</v>
      </c>
      <c r="O96" s="328" t="s">
        <v>105</v>
      </c>
      <c r="P96" s="309" t="s">
        <v>105</v>
      </c>
      <c r="Q96" s="51"/>
      <c r="R96" s="755" t="s">
        <v>6372</v>
      </c>
      <c r="S96" s="226"/>
      <c r="T96" s="756"/>
      <c r="U96" s="757"/>
      <c r="V96" s="758"/>
      <c r="W96" s="756"/>
      <c r="X96" s="757"/>
      <c r="Y96" s="758"/>
      <c r="Z96" s="757"/>
      <c r="AA96" s="757"/>
      <c r="AB96" s="758"/>
      <c r="AC96" s="756"/>
      <c r="AD96" s="757"/>
      <c r="AE96" s="758"/>
      <c r="AF96" s="950"/>
      <c r="AH96" s="923"/>
      <c r="BT96" s="51"/>
      <c r="BU96" s="51"/>
      <c r="BV96" s="51"/>
      <c r="BW96" s="51"/>
      <c r="BX96" s="51"/>
      <c r="BY96" s="51"/>
      <c r="BZ96" s="51"/>
      <c r="CA96" s="51"/>
    </row>
    <row r="97" spans="1:34" s="226" customFormat="1" ht="10.8" thickBot="1" x14ac:dyDescent="0.25">
      <c r="A97" s="314" t="s">
        <v>105</v>
      </c>
      <c r="B97" s="321" t="s">
        <v>105</v>
      </c>
      <c r="C97" s="328" t="s">
        <v>105</v>
      </c>
      <c r="D97" s="309" t="s">
        <v>105</v>
      </c>
      <c r="E97" s="321" t="s">
        <v>105</v>
      </c>
      <c r="F97" s="328" t="s">
        <v>105</v>
      </c>
      <c r="G97" s="309" t="s">
        <v>105</v>
      </c>
      <c r="H97" s="321" t="s">
        <v>105</v>
      </c>
      <c r="I97" s="328" t="s">
        <v>105</v>
      </c>
      <c r="J97" s="309" t="s">
        <v>105</v>
      </c>
      <c r="K97" s="321" t="s">
        <v>105</v>
      </c>
      <c r="L97" s="328" t="s">
        <v>105</v>
      </c>
      <c r="M97" s="309" t="s">
        <v>105</v>
      </c>
      <c r="N97" s="321" t="s">
        <v>105</v>
      </c>
      <c r="O97" s="328" t="s">
        <v>105</v>
      </c>
      <c r="P97" s="309" t="s">
        <v>105</v>
      </c>
      <c r="R97" s="768" t="s">
        <v>612</v>
      </c>
      <c r="T97" s="275"/>
      <c r="V97" s="280"/>
      <c r="W97" s="275"/>
      <c r="Y97" s="280"/>
      <c r="Z97" s="275"/>
      <c r="AB97" s="280"/>
      <c r="AC97" s="275"/>
      <c r="AE97" s="280"/>
      <c r="AF97" s="950"/>
      <c r="AG97" s="51"/>
      <c r="AH97" s="923"/>
    </row>
    <row r="98" spans="1:34" s="226" customFormat="1" ht="12" thickBot="1" x14ac:dyDescent="0.25">
      <c r="A98" s="315" t="s">
        <v>1369</v>
      </c>
      <c r="B98" s="322" t="s">
        <v>105</v>
      </c>
      <c r="C98" s="329" t="s">
        <v>105</v>
      </c>
      <c r="D98" s="307" t="s">
        <v>948</v>
      </c>
      <c r="E98" s="322" t="s">
        <v>105</v>
      </c>
      <c r="F98" s="329" t="s">
        <v>105</v>
      </c>
      <c r="G98" s="307" t="s">
        <v>970</v>
      </c>
      <c r="H98" s="322" t="s">
        <v>105</v>
      </c>
      <c r="I98" s="329" t="s">
        <v>105</v>
      </c>
      <c r="J98" s="307" t="s">
        <v>1242</v>
      </c>
      <c r="K98" s="322" t="s">
        <v>105</v>
      </c>
      <c r="L98" s="329" t="s">
        <v>105</v>
      </c>
      <c r="M98" s="307" t="s">
        <v>1255</v>
      </c>
      <c r="N98" s="322" t="s">
        <v>105</v>
      </c>
      <c r="O98" s="329" t="s">
        <v>105</v>
      </c>
      <c r="P98" s="307" t="s">
        <v>105</v>
      </c>
      <c r="R98" s="760" t="s">
        <v>6373</v>
      </c>
      <c r="T98" s="774"/>
      <c r="U98" s="775"/>
      <c r="V98" s="759">
        <f>INDEX(IN_PAR!$A$3:$AAA$413,MATCH(D98,IN_PAR!$A$3:$A$413,0),MATCH($T$4,IN_PAR!$A$3:$AAA$3,0))</f>
        <v>0.67830737475829184</v>
      </c>
      <c r="W98" s="774"/>
      <c r="X98" s="775"/>
      <c r="Y98" s="759">
        <f>INDEX(IN_PAR!$A$3:$AAA$413,MATCH(G98,IN_PAR!$A$3:$A$413,0),MATCH($T$4,IN_PAR!$A$3:$AAA$3,0))</f>
        <v>0.67830737475829184</v>
      </c>
      <c r="Z98" s="774"/>
      <c r="AA98" s="775"/>
      <c r="AB98" s="759">
        <f>INDEX(IN_PAR!$A$3:$AAA$413,MATCH(J98,IN_PAR!$A$3:$A$413,0),MATCH($T$4,IN_PAR!$A$3:$AAA$3,0))</f>
        <v>0.67830737475829184</v>
      </c>
      <c r="AC98" s="774"/>
      <c r="AD98" s="775"/>
      <c r="AE98" s="759">
        <f>INDEX(IN_PAR!$A$3:$AAA$413,MATCH(M98,IN_PAR!$A$3:$A$413,0),MATCH($T$4,IN_PAR!$A$3:$AAA$3,0))</f>
        <v>0.67830737475829184</v>
      </c>
      <c r="AF98" s="927"/>
      <c r="AG98" s="390"/>
      <c r="AH98" s="953"/>
    </row>
    <row r="99" spans="1:34" s="226" customFormat="1" ht="12" thickBot="1" x14ac:dyDescent="0.3">
      <c r="A99" s="315" t="s">
        <v>1369</v>
      </c>
      <c r="B99" s="322" t="s">
        <v>105</v>
      </c>
      <c r="C99" s="329" t="s">
        <v>105</v>
      </c>
      <c r="D99" s="307" t="s">
        <v>6457</v>
      </c>
      <c r="E99" s="322" t="s">
        <v>105</v>
      </c>
      <c r="F99" s="329" t="s">
        <v>105</v>
      </c>
      <c r="G99" s="307" t="s">
        <v>6467</v>
      </c>
      <c r="H99" s="322" t="s">
        <v>105</v>
      </c>
      <c r="I99" s="329" t="s">
        <v>105</v>
      </c>
      <c r="J99" s="307" t="s">
        <v>6459</v>
      </c>
      <c r="K99" s="322" t="s">
        <v>105</v>
      </c>
      <c r="L99" s="329" t="s">
        <v>105</v>
      </c>
      <c r="M99" s="307" t="s">
        <v>6479</v>
      </c>
      <c r="N99" s="322" t="s">
        <v>105</v>
      </c>
      <c r="O99" s="329" t="s">
        <v>105</v>
      </c>
      <c r="P99" s="307" t="s">
        <v>105</v>
      </c>
      <c r="R99" s="761" t="s">
        <v>6374</v>
      </c>
      <c r="T99" s="776"/>
      <c r="U99" s="777"/>
      <c r="V99" s="759" t="str">
        <f>INDEX(IN_PAR!$A$3:$AAA$413,MATCH(D99,IN_PAR!$A$3:$A$413,0),MATCH($T$4,IN_PAR!$A$3:$AAA$3,0))</f>
        <v>C</v>
      </c>
      <c r="W99" s="776"/>
      <c r="X99" s="777"/>
      <c r="Y99" s="759" t="str">
        <f>INDEX(IN_PAR!$A$3:$AAA$413,MATCH(G99,IN_PAR!$A$3:$A$413,0),MATCH($T$4,IN_PAR!$A$3:$AAA$3,0))</f>
        <v>C</v>
      </c>
      <c r="Z99" s="776"/>
      <c r="AA99" s="777"/>
      <c r="AB99" s="759" t="str">
        <f>INDEX(IN_PAR!$A$3:$AAA$413,MATCH(J99,IN_PAR!$A$3:$A$413,0),MATCH($T$4,IN_PAR!$A$3:$AAA$3,0))</f>
        <v>C</v>
      </c>
      <c r="AC99" s="776"/>
      <c r="AD99" s="777"/>
      <c r="AE99" s="759" t="str">
        <f>INDEX(IN_PAR!$A$3:$AAA$413,MATCH(M99,IN_PAR!$A$3:$A$413,0),MATCH($T$4,IN_PAR!$A$3:$AAA$3,0))</f>
        <v>C</v>
      </c>
      <c r="AF99" s="927"/>
      <c r="AG99" s="390"/>
      <c r="AH99" s="953"/>
    </row>
    <row r="100" spans="1:34" s="226" customFormat="1" ht="12" thickBot="1" x14ac:dyDescent="0.3">
      <c r="A100" s="315" t="s">
        <v>1369</v>
      </c>
      <c r="B100" s="322" t="s">
        <v>105</v>
      </c>
      <c r="C100" s="329" t="s">
        <v>105</v>
      </c>
      <c r="D100" s="307" t="s">
        <v>6458</v>
      </c>
      <c r="E100" s="322" t="s">
        <v>105</v>
      </c>
      <c r="F100" s="329" t="s">
        <v>105</v>
      </c>
      <c r="G100" s="307" t="s">
        <v>6468</v>
      </c>
      <c r="H100" s="322" t="s">
        <v>105</v>
      </c>
      <c r="I100" s="329" t="s">
        <v>105</v>
      </c>
      <c r="J100" s="307" t="s">
        <v>6474</v>
      </c>
      <c r="K100" s="322" t="s">
        <v>105</v>
      </c>
      <c r="L100" s="329" t="s">
        <v>105</v>
      </c>
      <c r="M100" s="307" t="s">
        <v>6480</v>
      </c>
      <c r="N100" s="322" t="s">
        <v>105</v>
      </c>
      <c r="O100" s="329" t="s">
        <v>105</v>
      </c>
      <c r="P100" s="307" t="s">
        <v>105</v>
      </c>
      <c r="R100" s="761" t="s">
        <v>6375</v>
      </c>
      <c r="T100" s="776"/>
      <c r="U100" s="777"/>
      <c r="V100" s="759">
        <f>INDEX(IN_PAR!$A$3:$AAA$413,MATCH(D100,IN_PAR!$A$3:$A$413,0),MATCH($T$4,IN_PAR!$A$3:$AAA$3,0))</f>
        <v>0.71830737475829187</v>
      </c>
      <c r="W100" s="776"/>
      <c r="X100" s="777"/>
      <c r="Y100" s="759">
        <f>INDEX(IN_PAR!$A$3:$AAA$413,MATCH(G100,IN_PAR!$A$3:$A$413,0),MATCH($T$4,IN_PAR!$A$3:$AAA$3,0))</f>
        <v>0.71830737475829187</v>
      </c>
      <c r="Z100" s="776"/>
      <c r="AA100" s="777"/>
      <c r="AB100" s="759">
        <f>INDEX(IN_PAR!$A$3:$AAA$413,MATCH(J100,IN_PAR!$A$3:$A$413,0),MATCH($T$4,IN_PAR!$A$3:$AAA$3,0))</f>
        <v>0.71830737475829187</v>
      </c>
      <c r="AC100" s="776"/>
      <c r="AD100" s="777"/>
      <c r="AE100" s="759">
        <f>INDEX(IN_PAR!$A$3:$AAA$413,MATCH(M100,IN_PAR!$A$3:$A$413,0),MATCH($T$4,IN_PAR!$A$3:$AAA$3,0))</f>
        <v>0.71830737475829187</v>
      </c>
      <c r="AF100" s="927"/>
      <c r="AG100" s="390"/>
      <c r="AH100" s="953"/>
    </row>
    <row r="101" spans="1:34" s="226" customFormat="1" ht="12" thickBot="1" x14ac:dyDescent="0.3">
      <c r="A101" s="315" t="s">
        <v>1369</v>
      </c>
      <c r="B101" s="322" t="s">
        <v>105</v>
      </c>
      <c r="C101" s="329" t="s">
        <v>105</v>
      </c>
      <c r="D101" s="307" t="s">
        <v>6461</v>
      </c>
      <c r="E101" s="322" t="s">
        <v>105</v>
      </c>
      <c r="F101" s="329" t="s">
        <v>105</v>
      </c>
      <c r="G101" s="307" t="s">
        <v>6470</v>
      </c>
      <c r="H101" s="322" t="s">
        <v>105</v>
      </c>
      <c r="I101" s="329" t="s">
        <v>105</v>
      </c>
      <c r="J101" s="307" t="s">
        <v>6475</v>
      </c>
      <c r="K101" s="322" t="s">
        <v>105</v>
      </c>
      <c r="L101" s="329" t="s">
        <v>105</v>
      </c>
      <c r="M101" s="307" t="s">
        <v>6481</v>
      </c>
      <c r="N101" s="322" t="s">
        <v>105</v>
      </c>
      <c r="O101" s="329" t="s">
        <v>105</v>
      </c>
      <c r="P101" s="307" t="s">
        <v>105</v>
      </c>
      <c r="R101" s="762" t="s">
        <v>6376</v>
      </c>
      <c r="T101" s="778"/>
      <c r="U101" s="779"/>
      <c r="V101" s="759" t="str">
        <f>INDEX(IN_PAR!$A$3:$AAA$413,MATCH(D101,IN_PAR!$A$3:$A$413,0),MATCH($T$4,IN_PAR!$A$3:$AAA$3,0))</f>
        <v>C</v>
      </c>
      <c r="W101" s="778"/>
      <c r="X101" s="779"/>
      <c r="Y101" s="759" t="str">
        <f>INDEX(IN_PAR!$A$3:$AAA$413,MATCH(G101,IN_PAR!$A$3:$A$413,0),MATCH($T$4,IN_PAR!$A$3:$AAA$3,0))</f>
        <v>C</v>
      </c>
      <c r="Z101" s="778"/>
      <c r="AA101" s="779"/>
      <c r="AB101" s="759" t="str">
        <f>INDEX(IN_PAR!$A$3:$AAA$413,MATCH(J101,IN_PAR!$A$3:$A$413,0),MATCH($T$4,IN_PAR!$A$3:$AAA$3,0))</f>
        <v>C</v>
      </c>
      <c r="AC101" s="778"/>
      <c r="AD101" s="779"/>
      <c r="AE101" s="759" t="str">
        <f>INDEX(IN_PAR!$A$3:$AAA$413,MATCH(M101,IN_PAR!$A$3:$A$413,0),MATCH($T$4,IN_PAR!$A$3:$AAA$3,0))</f>
        <v>C</v>
      </c>
      <c r="AF101" s="927"/>
      <c r="AG101" s="390"/>
      <c r="AH101" s="953"/>
    </row>
    <row r="102" spans="1:34" s="226" customFormat="1" ht="10.8" thickBot="1" x14ac:dyDescent="0.25">
      <c r="A102" s="314" t="s">
        <v>105</v>
      </c>
      <c r="B102" s="321" t="s">
        <v>105</v>
      </c>
      <c r="C102" s="328" t="s">
        <v>105</v>
      </c>
      <c r="D102" s="309" t="s">
        <v>105</v>
      </c>
      <c r="E102" s="321" t="s">
        <v>105</v>
      </c>
      <c r="F102" s="328" t="s">
        <v>105</v>
      </c>
      <c r="G102" s="309" t="s">
        <v>105</v>
      </c>
      <c r="H102" s="321" t="s">
        <v>105</v>
      </c>
      <c r="I102" s="328" t="s">
        <v>105</v>
      </c>
      <c r="J102" s="309" t="s">
        <v>105</v>
      </c>
      <c r="K102" s="321" t="s">
        <v>105</v>
      </c>
      <c r="L102" s="328" t="s">
        <v>105</v>
      </c>
      <c r="M102" s="309" t="s">
        <v>105</v>
      </c>
      <c r="N102" s="321" t="s">
        <v>105</v>
      </c>
      <c r="O102" s="328" t="s">
        <v>105</v>
      </c>
      <c r="P102" s="309" t="s">
        <v>105</v>
      </c>
      <c r="R102" s="763"/>
      <c r="T102" s="275"/>
      <c r="V102" s="280"/>
      <c r="W102" s="275"/>
      <c r="Y102" s="280"/>
      <c r="Z102" s="275"/>
      <c r="AB102" s="280"/>
      <c r="AC102" s="275"/>
      <c r="AE102" s="280"/>
      <c r="AF102" s="950"/>
      <c r="AG102" s="51"/>
      <c r="AH102" s="923"/>
    </row>
    <row r="103" spans="1:34" s="226" customFormat="1" ht="10.8" thickBot="1" x14ac:dyDescent="0.25">
      <c r="A103" s="314" t="s">
        <v>105</v>
      </c>
      <c r="B103" s="321" t="s">
        <v>105</v>
      </c>
      <c r="C103" s="328" t="s">
        <v>105</v>
      </c>
      <c r="D103" s="309" t="s">
        <v>105</v>
      </c>
      <c r="E103" s="321" t="s">
        <v>105</v>
      </c>
      <c r="F103" s="328" t="s">
        <v>105</v>
      </c>
      <c r="G103" s="309" t="s">
        <v>105</v>
      </c>
      <c r="H103" s="321" t="s">
        <v>105</v>
      </c>
      <c r="I103" s="328" t="s">
        <v>105</v>
      </c>
      <c r="J103" s="309" t="s">
        <v>105</v>
      </c>
      <c r="K103" s="321" t="s">
        <v>105</v>
      </c>
      <c r="L103" s="328" t="s">
        <v>105</v>
      </c>
      <c r="M103" s="309" t="s">
        <v>105</v>
      </c>
      <c r="N103" s="321" t="s">
        <v>105</v>
      </c>
      <c r="O103" s="328" t="s">
        <v>105</v>
      </c>
      <c r="P103" s="309" t="s">
        <v>105</v>
      </c>
      <c r="R103" s="768" t="s">
        <v>6377</v>
      </c>
      <c r="T103" s="275"/>
      <c r="V103" s="280"/>
      <c r="W103" s="275"/>
      <c r="Y103" s="280"/>
      <c r="Z103" s="275"/>
      <c r="AB103" s="280"/>
      <c r="AC103" s="275"/>
      <c r="AE103" s="280"/>
      <c r="AF103" s="950"/>
      <c r="AG103" s="51"/>
      <c r="AH103" s="923"/>
    </row>
    <row r="104" spans="1:34" s="226" customFormat="1" ht="12" thickBot="1" x14ac:dyDescent="0.25">
      <c r="A104" s="315" t="s">
        <v>1369</v>
      </c>
      <c r="B104" s="322" t="s">
        <v>105</v>
      </c>
      <c r="C104" s="329" t="s">
        <v>105</v>
      </c>
      <c r="D104" s="307" t="s">
        <v>1262</v>
      </c>
      <c r="E104" s="322" t="s">
        <v>105</v>
      </c>
      <c r="F104" s="329" t="s">
        <v>105</v>
      </c>
      <c r="G104" s="307" t="s">
        <v>1268</v>
      </c>
      <c r="H104" s="322" t="s">
        <v>105</v>
      </c>
      <c r="I104" s="329" t="s">
        <v>105</v>
      </c>
      <c r="J104" s="307" t="s">
        <v>1275</v>
      </c>
      <c r="K104" s="322" t="s">
        <v>105</v>
      </c>
      <c r="L104" s="329" t="s">
        <v>105</v>
      </c>
      <c r="M104" s="307" t="s">
        <v>1279</v>
      </c>
      <c r="N104" s="322" t="s">
        <v>105</v>
      </c>
      <c r="O104" s="329" t="s">
        <v>105</v>
      </c>
      <c r="P104" s="307" t="s">
        <v>105</v>
      </c>
      <c r="R104" s="760" t="s">
        <v>6378</v>
      </c>
      <c r="T104" s="774"/>
      <c r="U104" s="775"/>
      <c r="V104" s="759">
        <f>INDEX(IN_PAR!$A$3:$AAA$413,MATCH(D104,IN_PAR!$A$3:$A$413,0),MATCH($T$4,IN_PAR!$A$3:$AAA$3,0))</f>
        <v>0.56000000000000005</v>
      </c>
      <c r="W104" s="774"/>
      <c r="X104" s="775"/>
      <c r="Y104" s="759">
        <f>INDEX(IN_PAR!$A$3:$AAA$413,MATCH(G104,IN_PAR!$A$3:$A$413,0),MATCH($T$4,IN_PAR!$A$3:$AAA$3,0))</f>
        <v>0.56000000000000005</v>
      </c>
      <c r="Z104" s="774"/>
      <c r="AA104" s="775"/>
      <c r="AB104" s="759">
        <f>INDEX(IN_PAR!$A$3:$AAA$413,MATCH(J104,IN_PAR!$A$3:$A$413,0),MATCH($T$4,IN_PAR!$A$3:$AAA$3,0))</f>
        <v>0.56000000000000005</v>
      </c>
      <c r="AC104" s="774"/>
      <c r="AD104" s="775"/>
      <c r="AE104" s="759">
        <f>INDEX(IN_PAR!$A$3:$AAA$413,MATCH(M104,IN_PAR!$A$3:$A$413,0),MATCH($T$4,IN_PAR!$A$3:$AAA$3,0))</f>
        <v>0.56000000000000005</v>
      </c>
      <c r="AF104" s="927"/>
      <c r="AG104" s="390"/>
      <c r="AH104" s="953"/>
    </row>
    <row r="105" spans="1:34" s="226" customFormat="1" ht="12" thickBot="1" x14ac:dyDescent="0.3">
      <c r="A105" s="315" t="s">
        <v>1369</v>
      </c>
      <c r="B105" s="322" t="s">
        <v>105</v>
      </c>
      <c r="C105" s="329" t="s">
        <v>105</v>
      </c>
      <c r="D105" s="307" t="s">
        <v>6462</v>
      </c>
      <c r="E105" s="322" t="s">
        <v>105</v>
      </c>
      <c r="F105" s="329" t="s">
        <v>105</v>
      </c>
      <c r="G105" s="307" t="s">
        <v>6471</v>
      </c>
      <c r="H105" s="322" t="s">
        <v>105</v>
      </c>
      <c r="I105" s="329" t="s">
        <v>105</v>
      </c>
      <c r="J105" s="307" t="s">
        <v>6476</v>
      </c>
      <c r="K105" s="322" t="s">
        <v>105</v>
      </c>
      <c r="L105" s="329" t="s">
        <v>105</v>
      </c>
      <c r="M105" s="307" t="s">
        <v>6482</v>
      </c>
      <c r="N105" s="322" t="s">
        <v>105</v>
      </c>
      <c r="O105" s="329" t="s">
        <v>105</v>
      </c>
      <c r="P105" s="307" t="s">
        <v>105</v>
      </c>
      <c r="R105" s="761" t="s">
        <v>6379</v>
      </c>
      <c r="T105" s="776"/>
      <c r="U105" s="777"/>
      <c r="V105" s="759" t="str">
        <f>INDEX(IN_PAR!$A$3:$AAA$413,MATCH(D105,IN_PAR!$A$3:$A$413,0),MATCH($T$4,IN_PAR!$A$3:$AAA$3,0))</f>
        <v>G</v>
      </c>
      <c r="W105" s="776"/>
      <c r="X105" s="777"/>
      <c r="Y105" s="759" t="str">
        <f>INDEX(IN_PAR!$A$3:$AAA$413,MATCH(G105,IN_PAR!$A$3:$A$413,0),MATCH($T$4,IN_PAR!$A$3:$AAA$3,0))</f>
        <v>G</v>
      </c>
      <c r="Z105" s="776"/>
      <c r="AA105" s="777"/>
      <c r="AB105" s="759" t="str">
        <f>INDEX(IN_PAR!$A$3:$AAA$413,MATCH(J105,IN_PAR!$A$3:$A$413,0),MATCH($T$4,IN_PAR!$A$3:$AAA$3,0))</f>
        <v>G</v>
      </c>
      <c r="AC105" s="776"/>
      <c r="AD105" s="777"/>
      <c r="AE105" s="759" t="str">
        <f>INDEX(IN_PAR!$A$3:$AAA$413,MATCH(M105,IN_PAR!$A$3:$A$413,0),MATCH($T$4,IN_PAR!$A$3:$AAA$3,0))</f>
        <v>G</v>
      </c>
      <c r="AF105" s="927"/>
      <c r="AG105" s="390"/>
      <c r="AH105" s="953"/>
    </row>
    <row r="106" spans="1:34" s="226" customFormat="1" ht="12" thickBot="1" x14ac:dyDescent="0.3">
      <c r="A106" s="315" t="s">
        <v>1369</v>
      </c>
      <c r="B106" s="322" t="s">
        <v>105</v>
      </c>
      <c r="C106" s="329" t="s">
        <v>105</v>
      </c>
      <c r="D106" s="307" t="s">
        <v>6463</v>
      </c>
      <c r="E106" s="322" t="s">
        <v>105</v>
      </c>
      <c r="F106" s="329" t="s">
        <v>105</v>
      </c>
      <c r="G106" s="307" t="s">
        <v>6472</v>
      </c>
      <c r="H106" s="322" t="s">
        <v>105</v>
      </c>
      <c r="I106" s="329" t="s">
        <v>105</v>
      </c>
      <c r="J106" s="307" t="s">
        <v>6477</v>
      </c>
      <c r="K106" s="322" t="s">
        <v>105</v>
      </c>
      <c r="L106" s="329" t="s">
        <v>105</v>
      </c>
      <c r="M106" s="307" t="s">
        <v>6483</v>
      </c>
      <c r="N106" s="322" t="s">
        <v>105</v>
      </c>
      <c r="O106" s="329" t="s">
        <v>105</v>
      </c>
      <c r="P106" s="307" t="s">
        <v>105</v>
      </c>
      <c r="R106" s="761" t="s">
        <v>6380</v>
      </c>
      <c r="T106" s="776"/>
      <c r="U106" s="777"/>
      <c r="V106" s="759">
        <f>INDEX(IN_PAR!$A$3:$AAA$413,MATCH(D106,IN_PAR!$A$3:$A$413,0),MATCH($T$4,IN_PAR!$A$3:$AAA$3,0))</f>
        <v>0.66000000000000014</v>
      </c>
      <c r="W106" s="776"/>
      <c r="X106" s="777"/>
      <c r="Y106" s="759">
        <f>INDEX(IN_PAR!$A$3:$AAA$413,MATCH(G106,IN_PAR!$A$3:$A$413,0),MATCH($T$4,IN_PAR!$A$3:$AAA$3,0))</f>
        <v>0.66000000000000014</v>
      </c>
      <c r="Z106" s="776"/>
      <c r="AA106" s="777"/>
      <c r="AB106" s="759">
        <f>INDEX(IN_PAR!$A$3:$AAA$413,MATCH(J106,IN_PAR!$A$3:$A$413,0),MATCH($T$4,IN_PAR!$A$3:$AAA$3,0))</f>
        <v>0.66000000000000014</v>
      </c>
      <c r="AC106" s="776"/>
      <c r="AD106" s="777"/>
      <c r="AE106" s="759">
        <f>INDEX(IN_PAR!$A$3:$AAA$413,MATCH(M106,IN_PAR!$A$3:$A$413,0),MATCH($T$4,IN_PAR!$A$3:$AAA$3,0))</f>
        <v>0.66000000000000014</v>
      </c>
      <c r="AF106" s="927"/>
      <c r="AG106" s="390"/>
      <c r="AH106" s="953"/>
    </row>
    <row r="107" spans="1:34" s="226" customFormat="1" ht="12" thickBot="1" x14ac:dyDescent="0.3">
      <c r="A107" s="315" t="s">
        <v>1369</v>
      </c>
      <c r="B107" s="322" t="s">
        <v>105</v>
      </c>
      <c r="C107" s="329" t="s">
        <v>105</v>
      </c>
      <c r="D107" s="307" t="s">
        <v>6464</v>
      </c>
      <c r="E107" s="322" t="s">
        <v>105</v>
      </c>
      <c r="F107" s="329" t="s">
        <v>105</v>
      </c>
      <c r="G107" s="307" t="s">
        <v>6473</v>
      </c>
      <c r="H107" s="322" t="s">
        <v>105</v>
      </c>
      <c r="I107" s="329" t="s">
        <v>105</v>
      </c>
      <c r="J107" s="307" t="s">
        <v>6478</v>
      </c>
      <c r="K107" s="322" t="s">
        <v>105</v>
      </c>
      <c r="L107" s="329" t="s">
        <v>105</v>
      </c>
      <c r="M107" s="307" t="s">
        <v>6484</v>
      </c>
      <c r="N107" s="322" t="s">
        <v>105</v>
      </c>
      <c r="O107" s="329" t="s">
        <v>105</v>
      </c>
      <c r="P107" s="307" t="s">
        <v>105</v>
      </c>
      <c r="R107" s="762" t="s">
        <v>6381</v>
      </c>
      <c r="T107" s="778"/>
      <c r="U107" s="779"/>
      <c r="V107" s="759" t="str">
        <f>INDEX(IN_PAR!$A$3:$AAA$413,MATCH(D107,IN_PAR!$A$3:$A$413,0),MATCH($T$4,IN_PAR!$A$3:$AAA$3,0))</f>
        <v>C</v>
      </c>
      <c r="W107" s="778"/>
      <c r="X107" s="779"/>
      <c r="Y107" s="759" t="str">
        <f>INDEX(IN_PAR!$A$3:$AAA$413,MATCH(G107,IN_PAR!$A$3:$A$413,0),MATCH($T$4,IN_PAR!$A$3:$AAA$3,0))</f>
        <v>C</v>
      </c>
      <c r="Z107" s="778"/>
      <c r="AA107" s="779"/>
      <c r="AB107" s="759" t="str">
        <f>INDEX(IN_PAR!$A$3:$AAA$413,MATCH(J107,IN_PAR!$A$3:$A$413,0),MATCH($T$4,IN_PAR!$A$3:$AAA$3,0))</f>
        <v>C</v>
      </c>
      <c r="AC107" s="778"/>
      <c r="AD107" s="779"/>
      <c r="AE107" s="759" t="str">
        <f>INDEX(IN_PAR!$A$3:$AAA$413,MATCH(M107,IN_PAR!$A$3:$A$413,0),MATCH($T$4,IN_PAR!$A$3:$AAA$3,0))</f>
        <v>C</v>
      </c>
      <c r="AF107" s="927"/>
      <c r="AG107" s="390"/>
      <c r="AH107" s="953"/>
    </row>
    <row r="108" spans="1:34" s="226" customFormat="1" ht="10.8" thickBot="1" x14ac:dyDescent="0.25">
      <c r="A108" s="314" t="s">
        <v>105</v>
      </c>
      <c r="B108" s="321" t="s">
        <v>105</v>
      </c>
      <c r="C108" s="328" t="s">
        <v>105</v>
      </c>
      <c r="D108" s="309" t="s">
        <v>105</v>
      </c>
      <c r="E108" s="321" t="s">
        <v>105</v>
      </c>
      <c r="F108" s="328" t="s">
        <v>105</v>
      </c>
      <c r="G108" s="309" t="s">
        <v>105</v>
      </c>
      <c r="H108" s="321" t="s">
        <v>105</v>
      </c>
      <c r="I108" s="328" t="s">
        <v>105</v>
      </c>
      <c r="J108" s="309" t="s">
        <v>105</v>
      </c>
      <c r="K108" s="321" t="s">
        <v>105</v>
      </c>
      <c r="L108" s="328" t="s">
        <v>105</v>
      </c>
      <c r="M108" s="309" t="s">
        <v>105</v>
      </c>
      <c r="N108" s="321" t="s">
        <v>105</v>
      </c>
      <c r="O108" s="328" t="s">
        <v>105</v>
      </c>
      <c r="P108" s="309" t="s">
        <v>105</v>
      </c>
      <c r="R108" s="763"/>
      <c r="T108" s="299"/>
      <c r="U108" s="264"/>
      <c r="V108" s="273"/>
      <c r="W108" s="299"/>
      <c r="X108" s="264"/>
      <c r="Y108" s="273"/>
      <c r="Z108" s="299"/>
      <c r="AA108" s="264"/>
      <c r="AB108" s="273"/>
      <c r="AC108" s="299"/>
      <c r="AD108" s="264"/>
      <c r="AE108" s="273"/>
      <c r="AF108" s="950"/>
      <c r="AG108" s="51"/>
      <c r="AH108" s="923"/>
    </row>
    <row r="109" spans="1:34" s="226" customFormat="1" ht="10.8" thickBot="1" x14ac:dyDescent="0.25">
      <c r="A109" s="314" t="s">
        <v>105</v>
      </c>
      <c r="B109" s="321" t="s">
        <v>105</v>
      </c>
      <c r="C109" s="328" t="s">
        <v>105</v>
      </c>
      <c r="D109" s="309" t="s">
        <v>105</v>
      </c>
      <c r="E109" s="321" t="s">
        <v>105</v>
      </c>
      <c r="F109" s="328" t="s">
        <v>105</v>
      </c>
      <c r="G109" s="309" t="s">
        <v>105</v>
      </c>
      <c r="H109" s="321" t="s">
        <v>105</v>
      </c>
      <c r="I109" s="328" t="s">
        <v>105</v>
      </c>
      <c r="J109" s="309" t="s">
        <v>105</v>
      </c>
      <c r="K109" s="321" t="s">
        <v>105</v>
      </c>
      <c r="L109" s="328" t="s">
        <v>105</v>
      </c>
      <c r="M109" s="309" t="s">
        <v>105</v>
      </c>
      <c r="N109" s="321" t="s">
        <v>105</v>
      </c>
      <c r="O109" s="328" t="s">
        <v>105</v>
      </c>
      <c r="P109" s="309" t="s">
        <v>105</v>
      </c>
      <c r="R109" s="768" t="s">
        <v>6382</v>
      </c>
      <c r="T109" s="300"/>
      <c r="U109" s="266"/>
      <c r="V109" s="766"/>
      <c r="W109" s="275"/>
      <c r="Y109" s="280"/>
      <c r="Z109" s="275"/>
      <c r="AB109" s="280"/>
      <c r="AC109" s="275"/>
      <c r="AE109" s="280"/>
      <c r="AF109" s="950"/>
      <c r="AG109" s="51"/>
      <c r="AH109" s="923"/>
    </row>
    <row r="110" spans="1:34" s="226" customFormat="1" ht="11.4" x14ac:dyDescent="0.2">
      <c r="A110" s="315" t="s">
        <v>6454</v>
      </c>
      <c r="B110" s="322" t="s">
        <v>105</v>
      </c>
      <c r="C110" s="329" t="s">
        <v>105</v>
      </c>
      <c r="D110" s="307" t="s">
        <v>5341</v>
      </c>
      <c r="E110" s="322" t="s">
        <v>105</v>
      </c>
      <c r="F110" s="329" t="s">
        <v>105</v>
      </c>
      <c r="G110" s="307" t="s">
        <v>105</v>
      </c>
      <c r="H110" s="322" t="s">
        <v>105</v>
      </c>
      <c r="I110" s="329" t="s">
        <v>105</v>
      </c>
      <c r="J110" s="307" t="s">
        <v>105</v>
      </c>
      <c r="K110" s="322" t="s">
        <v>105</v>
      </c>
      <c r="L110" s="329" t="s">
        <v>105</v>
      </c>
      <c r="M110" s="307" t="s">
        <v>105</v>
      </c>
      <c r="N110" s="322" t="s">
        <v>105</v>
      </c>
      <c r="O110" s="329" t="s">
        <v>105</v>
      </c>
      <c r="P110" s="307" t="s">
        <v>105</v>
      </c>
      <c r="R110" s="760" t="s">
        <v>6386</v>
      </c>
      <c r="T110" s="774"/>
      <c r="U110" s="775"/>
      <c r="V110" s="1072">
        <f>INDEX('IN_Calcolo H'!$A$3:$AAA$158,MATCH(D110,'IN_Calcolo H'!$A$3:$A$158,0),MATCH($T$4,'IN_Calcolo H'!$A$3:$AAA$3,0))</f>
        <v>847964.97177920002</v>
      </c>
      <c r="W110" s="275"/>
      <c r="Y110" s="280"/>
      <c r="Z110" s="275"/>
      <c r="AB110" s="280"/>
      <c r="AC110" s="275"/>
      <c r="AE110" s="280"/>
      <c r="AF110" s="950"/>
      <c r="AG110" s="51"/>
      <c r="AH110" s="923"/>
    </row>
    <row r="111" spans="1:34" s="226" customFormat="1" ht="11.4" x14ac:dyDescent="0.2">
      <c r="A111" s="315" t="s">
        <v>6454</v>
      </c>
      <c r="B111" s="322" t="s">
        <v>105</v>
      </c>
      <c r="C111" s="329" t="s">
        <v>105</v>
      </c>
      <c r="D111" s="307" t="s">
        <v>5342</v>
      </c>
      <c r="E111" s="322" t="s">
        <v>105</v>
      </c>
      <c r="F111" s="329" t="s">
        <v>105</v>
      </c>
      <c r="G111" s="307" t="s">
        <v>105</v>
      </c>
      <c r="H111" s="322" t="s">
        <v>105</v>
      </c>
      <c r="I111" s="329" t="s">
        <v>105</v>
      </c>
      <c r="J111" s="307" t="s">
        <v>105</v>
      </c>
      <c r="K111" s="322" t="s">
        <v>105</v>
      </c>
      <c r="L111" s="329" t="s">
        <v>105</v>
      </c>
      <c r="M111" s="307" t="s">
        <v>105</v>
      </c>
      <c r="N111" s="322" t="s">
        <v>105</v>
      </c>
      <c r="O111" s="329" t="s">
        <v>105</v>
      </c>
      <c r="P111" s="307" t="s">
        <v>105</v>
      </c>
      <c r="R111" s="761" t="s">
        <v>6387</v>
      </c>
      <c r="T111" s="776"/>
      <c r="U111" s="777"/>
      <c r="V111" s="1073">
        <f>INDEX('IN_Calcolo H'!$A$3:$AAA$158,MATCH(D111,'IN_Calcolo H'!$A$3:$A$158,0),MATCH($T$4,'IN_Calcolo H'!$A$3:$AAA$3,0))</f>
        <v>2449669.01782641</v>
      </c>
      <c r="W111" s="275"/>
      <c r="Y111" s="280"/>
      <c r="Z111" s="275"/>
      <c r="AB111" s="280"/>
      <c r="AC111" s="275"/>
      <c r="AE111" s="280"/>
      <c r="AF111" s="950"/>
      <c r="AG111" s="51"/>
      <c r="AH111" s="923"/>
    </row>
    <row r="112" spans="1:34" s="226" customFormat="1" x14ac:dyDescent="0.2">
      <c r="A112" s="315" t="s">
        <v>6454</v>
      </c>
      <c r="B112" s="322" t="s">
        <v>105</v>
      </c>
      <c r="C112" s="329" t="s">
        <v>105</v>
      </c>
      <c r="D112" s="307" t="s">
        <v>5345</v>
      </c>
      <c r="E112" s="322" t="s">
        <v>105</v>
      </c>
      <c r="F112" s="329" t="s">
        <v>105</v>
      </c>
      <c r="G112" s="307" t="s">
        <v>105</v>
      </c>
      <c r="H112" s="322" t="s">
        <v>105</v>
      </c>
      <c r="I112" s="329" t="s">
        <v>105</v>
      </c>
      <c r="J112" s="307" t="s">
        <v>105</v>
      </c>
      <c r="K112" s="322" t="s">
        <v>105</v>
      </c>
      <c r="L112" s="329" t="s">
        <v>105</v>
      </c>
      <c r="M112" s="307" t="s">
        <v>105</v>
      </c>
      <c r="N112" s="322" t="s">
        <v>105</v>
      </c>
      <c r="O112" s="329" t="s">
        <v>105</v>
      </c>
      <c r="P112" s="307" t="s">
        <v>105</v>
      </c>
      <c r="R112" s="764" t="s">
        <v>600</v>
      </c>
      <c r="T112" s="776"/>
      <c r="U112" s="777"/>
      <c r="V112" s="1069">
        <f>INDEX('IN_Calcolo H'!$A$3:$AAA$158,MATCH(D112,'IN_Calcolo H'!$A$3:$A$158,0),MATCH($T$4,'IN_Calcolo H'!$A$3:$AAA$3,0))</f>
        <v>0.34615491546347715</v>
      </c>
      <c r="W112" s="275"/>
      <c r="Y112" s="280"/>
      <c r="Z112" s="275"/>
      <c r="AB112" s="280"/>
      <c r="AC112" s="275"/>
      <c r="AE112" s="280"/>
      <c r="AF112" s="950"/>
      <c r="AG112" s="51"/>
      <c r="AH112" s="923"/>
    </row>
    <row r="113" spans="1:34" s="226" customFormat="1" ht="10.8" thickBot="1" x14ac:dyDescent="0.25">
      <c r="A113" s="315" t="s">
        <v>6454</v>
      </c>
      <c r="B113" s="322" t="s">
        <v>105</v>
      </c>
      <c r="C113" s="329" t="s">
        <v>105</v>
      </c>
      <c r="D113" s="307" t="s">
        <v>5348</v>
      </c>
      <c r="E113" s="322" t="s">
        <v>105</v>
      </c>
      <c r="F113" s="329" t="s">
        <v>105</v>
      </c>
      <c r="G113" s="307" t="s">
        <v>105</v>
      </c>
      <c r="H113" s="322" t="s">
        <v>105</v>
      </c>
      <c r="I113" s="329" t="s">
        <v>105</v>
      </c>
      <c r="J113" s="307" t="s">
        <v>105</v>
      </c>
      <c r="K113" s="322" t="s">
        <v>105</v>
      </c>
      <c r="L113" s="329" t="s">
        <v>105</v>
      </c>
      <c r="M113" s="307" t="s">
        <v>105</v>
      </c>
      <c r="N113" s="322" t="s">
        <v>105</v>
      </c>
      <c r="O113" s="329" t="s">
        <v>105</v>
      </c>
      <c r="P113" s="307" t="s">
        <v>105</v>
      </c>
      <c r="R113" s="765" t="s">
        <v>6383</v>
      </c>
      <c r="T113" s="776"/>
      <c r="U113" s="777"/>
      <c r="V113" s="767" t="str">
        <f>INDEX('IN_Calcolo H'!$A$3:$AAA$158,MATCH(D113,'IN_Calcolo H'!$A$3:$A$158,0),MATCH($T$4,'IN_Calcolo H'!$A$3:$AAA$3,0))</f>
        <v>F</v>
      </c>
      <c r="W113" s="275"/>
      <c r="Y113" s="280"/>
      <c r="Z113" s="275"/>
      <c r="AB113" s="280"/>
      <c r="AC113" s="275"/>
      <c r="AE113" s="280"/>
      <c r="AF113" s="950"/>
      <c r="AG113" s="51"/>
      <c r="AH113" s="923"/>
    </row>
    <row r="114" spans="1:34" s="226" customFormat="1" x14ac:dyDescent="0.2">
      <c r="A114" s="315" t="s">
        <v>6454</v>
      </c>
      <c r="B114" s="322" t="s">
        <v>105</v>
      </c>
      <c r="C114" s="329" t="s">
        <v>105</v>
      </c>
      <c r="D114" s="307" t="s">
        <v>603</v>
      </c>
      <c r="E114" s="322" t="s">
        <v>105</v>
      </c>
      <c r="F114" s="329" t="s">
        <v>105</v>
      </c>
      <c r="G114" s="307" t="s">
        <v>105</v>
      </c>
      <c r="H114" s="322" t="s">
        <v>105</v>
      </c>
      <c r="I114" s="329" t="s">
        <v>105</v>
      </c>
      <c r="J114" s="307" t="s">
        <v>105</v>
      </c>
      <c r="K114" s="322" t="s">
        <v>105</v>
      </c>
      <c r="L114" s="329" t="s">
        <v>105</v>
      </c>
      <c r="M114" s="307" t="s">
        <v>105</v>
      </c>
      <c r="N114" s="322" t="s">
        <v>105</v>
      </c>
      <c r="O114" s="329" t="s">
        <v>105</v>
      </c>
      <c r="P114" s="307" t="s">
        <v>105</v>
      </c>
      <c r="R114" s="764" t="s">
        <v>6384</v>
      </c>
      <c r="T114" s="776"/>
      <c r="U114" s="777"/>
      <c r="V114" s="1070">
        <f>INDEX('IN_Calcolo H'!$A$3:$AAA$158,MATCH(D114,'IN_Calcolo H'!$A$3:$A$158,0),MATCH($T$4,'IN_Calcolo H'!$A$3:$AAA$3,0))</f>
        <v>0.37615491546347712</v>
      </c>
      <c r="W114" s="275"/>
      <c r="Y114" s="280"/>
      <c r="Z114" s="275"/>
      <c r="AB114" s="280"/>
      <c r="AC114" s="275"/>
      <c r="AE114" s="280"/>
      <c r="AF114" s="950"/>
      <c r="AG114" s="51"/>
      <c r="AH114" s="923"/>
    </row>
    <row r="115" spans="1:34" s="226" customFormat="1" ht="10.8" thickBot="1" x14ac:dyDescent="0.25">
      <c r="A115" s="315" t="s">
        <v>6454</v>
      </c>
      <c r="B115" s="322" t="s">
        <v>105</v>
      </c>
      <c r="C115" s="329" t="s">
        <v>105</v>
      </c>
      <c r="D115" s="307" t="s">
        <v>5295</v>
      </c>
      <c r="E115" s="322" t="s">
        <v>105</v>
      </c>
      <c r="F115" s="329" t="s">
        <v>105</v>
      </c>
      <c r="G115" s="307" t="s">
        <v>105</v>
      </c>
      <c r="H115" s="322" t="s">
        <v>105</v>
      </c>
      <c r="I115" s="329" t="s">
        <v>105</v>
      </c>
      <c r="J115" s="307" t="s">
        <v>105</v>
      </c>
      <c r="K115" s="322" t="s">
        <v>105</v>
      </c>
      <c r="L115" s="329" t="s">
        <v>105</v>
      </c>
      <c r="M115" s="307" t="s">
        <v>105</v>
      </c>
      <c r="N115" s="322" t="s">
        <v>105</v>
      </c>
      <c r="O115" s="329" t="s">
        <v>105</v>
      </c>
      <c r="P115" s="307" t="s">
        <v>105</v>
      </c>
      <c r="R115" s="765" t="s">
        <v>6385</v>
      </c>
      <c r="T115" s="778"/>
      <c r="U115" s="779"/>
      <c r="V115" s="767" t="str">
        <f>INDEX('IN_Calcolo H'!$A$3:$AAA$158,MATCH(D115,'IN_Calcolo H'!$A$3:$A$158,0),MATCH($T$4,'IN_Calcolo H'!$A$3:$AAA$3,0))</f>
        <v>F</v>
      </c>
      <c r="W115" s="275"/>
      <c r="Y115" s="280"/>
      <c r="Z115" s="275"/>
      <c r="AB115" s="280"/>
      <c r="AC115" s="275"/>
      <c r="AE115" s="280"/>
      <c r="AF115" s="950"/>
      <c r="AG115" s="51"/>
      <c r="AH115" s="923"/>
    </row>
    <row r="116" spans="1:34" s="226" customFormat="1" x14ac:dyDescent="0.2">
      <c r="A116" s="314" t="s">
        <v>105</v>
      </c>
      <c r="B116" s="321" t="s">
        <v>105</v>
      </c>
      <c r="C116" s="328" t="s">
        <v>105</v>
      </c>
      <c r="D116" s="309" t="s">
        <v>105</v>
      </c>
      <c r="E116" s="321" t="s">
        <v>105</v>
      </c>
      <c r="F116" s="328" t="s">
        <v>105</v>
      </c>
      <c r="G116" s="309" t="s">
        <v>105</v>
      </c>
      <c r="H116" s="321" t="s">
        <v>105</v>
      </c>
      <c r="I116" s="328" t="s">
        <v>105</v>
      </c>
      <c r="J116" s="309" t="s">
        <v>105</v>
      </c>
      <c r="K116" s="321" t="s">
        <v>105</v>
      </c>
      <c r="L116" s="328" t="s">
        <v>105</v>
      </c>
      <c r="M116" s="309" t="s">
        <v>105</v>
      </c>
      <c r="N116" s="321" t="s">
        <v>105</v>
      </c>
      <c r="O116" s="328" t="s">
        <v>105</v>
      </c>
      <c r="P116" s="309" t="s">
        <v>105</v>
      </c>
      <c r="R116" s="763"/>
      <c r="T116" s="299"/>
      <c r="U116" s="264"/>
      <c r="V116" s="273"/>
      <c r="W116" s="275"/>
      <c r="Y116" s="280"/>
      <c r="Z116" s="275"/>
      <c r="AB116" s="280"/>
      <c r="AC116" s="275"/>
      <c r="AE116" s="280"/>
      <c r="AF116" s="950"/>
      <c r="AG116" s="51"/>
      <c r="AH116" s="923"/>
    </row>
    <row r="117" spans="1:34" s="226" customFormat="1" ht="10.8" thickBot="1" x14ac:dyDescent="0.25">
      <c r="A117" s="314" t="s">
        <v>105</v>
      </c>
      <c r="B117" s="321" t="s">
        <v>105</v>
      </c>
      <c r="C117" s="328" t="s">
        <v>105</v>
      </c>
      <c r="D117" s="309" t="s">
        <v>105</v>
      </c>
      <c r="E117" s="321" t="s">
        <v>105</v>
      </c>
      <c r="F117" s="328" t="s">
        <v>105</v>
      </c>
      <c r="G117" s="309" t="s">
        <v>105</v>
      </c>
      <c r="H117" s="321" t="s">
        <v>105</v>
      </c>
      <c r="I117" s="328" t="s">
        <v>105</v>
      </c>
      <c r="J117" s="309" t="s">
        <v>105</v>
      </c>
      <c r="K117" s="321" t="s">
        <v>105</v>
      </c>
      <c r="L117" s="328" t="s">
        <v>105</v>
      </c>
      <c r="M117" s="309" t="s">
        <v>105</v>
      </c>
      <c r="N117" s="321" t="s">
        <v>105</v>
      </c>
      <c r="O117" s="328" t="s">
        <v>105</v>
      </c>
      <c r="P117" s="309" t="s">
        <v>105</v>
      </c>
      <c r="R117" s="769"/>
      <c r="T117" s="275"/>
      <c r="V117" s="280"/>
      <c r="W117" s="275"/>
      <c r="Y117" s="280"/>
      <c r="Z117" s="275"/>
      <c r="AB117" s="280"/>
      <c r="AC117" s="275"/>
      <c r="AE117" s="280"/>
      <c r="AF117" s="950"/>
      <c r="AG117" s="51"/>
      <c r="AH117" s="923"/>
    </row>
    <row r="118" spans="1:34" s="226" customFormat="1" ht="10.8" thickBot="1" x14ac:dyDescent="0.25">
      <c r="A118" s="314" t="s">
        <v>105</v>
      </c>
      <c r="B118" s="321" t="s">
        <v>105</v>
      </c>
      <c r="C118" s="328" t="s">
        <v>105</v>
      </c>
      <c r="D118" s="309" t="s">
        <v>105</v>
      </c>
      <c r="E118" s="321" t="s">
        <v>105</v>
      </c>
      <c r="F118" s="328" t="s">
        <v>105</v>
      </c>
      <c r="G118" s="309" t="s">
        <v>105</v>
      </c>
      <c r="H118" s="321" t="s">
        <v>105</v>
      </c>
      <c r="I118" s="328" t="s">
        <v>105</v>
      </c>
      <c r="J118" s="309" t="s">
        <v>105</v>
      </c>
      <c r="K118" s="321" t="s">
        <v>105</v>
      </c>
      <c r="L118" s="328" t="s">
        <v>105</v>
      </c>
      <c r="M118" s="309" t="s">
        <v>105</v>
      </c>
      <c r="N118" s="321" t="s">
        <v>105</v>
      </c>
      <c r="O118" s="328" t="s">
        <v>105</v>
      </c>
      <c r="P118" s="309" t="s">
        <v>105</v>
      </c>
      <c r="R118" s="768" t="s">
        <v>6389</v>
      </c>
      <c r="T118" s="300"/>
      <c r="U118" s="266"/>
      <c r="V118" s="766"/>
      <c r="W118" s="275"/>
      <c r="Y118" s="280"/>
      <c r="Z118" s="275"/>
      <c r="AB118" s="280"/>
      <c r="AC118" s="275"/>
      <c r="AE118" s="280"/>
      <c r="AF118" s="950"/>
      <c r="AG118" s="51"/>
      <c r="AH118" s="923"/>
    </row>
    <row r="119" spans="1:34" s="226" customFormat="1" ht="11.4" x14ac:dyDescent="0.2">
      <c r="A119" s="315" t="s">
        <v>6454</v>
      </c>
      <c r="B119" s="322" t="s">
        <v>105</v>
      </c>
      <c r="C119" s="329" t="s">
        <v>105</v>
      </c>
      <c r="D119" s="307" t="s">
        <v>566</v>
      </c>
      <c r="E119" s="322" t="s">
        <v>105</v>
      </c>
      <c r="F119" s="329" t="s">
        <v>105</v>
      </c>
      <c r="G119" s="307" t="s">
        <v>105</v>
      </c>
      <c r="H119" s="322" t="s">
        <v>105</v>
      </c>
      <c r="I119" s="329" t="s">
        <v>105</v>
      </c>
      <c r="J119" s="307" t="s">
        <v>105</v>
      </c>
      <c r="K119" s="322" t="s">
        <v>105</v>
      </c>
      <c r="L119" s="329" t="s">
        <v>105</v>
      </c>
      <c r="M119" s="307" t="s">
        <v>105</v>
      </c>
      <c r="N119" s="322" t="s">
        <v>105</v>
      </c>
      <c r="O119" s="329" t="s">
        <v>105</v>
      </c>
      <c r="P119" s="307" t="s">
        <v>105</v>
      </c>
      <c r="R119" s="760" t="s">
        <v>6390</v>
      </c>
      <c r="T119" s="774"/>
      <c r="U119" s="775"/>
      <c r="V119" s="1072">
        <f>INDEX('IN_Calcolo H'!$A$3:$AAA$158,MATCH(D119,'IN_Calcolo H'!$A$3:$A$158,0),MATCH($T$4,'IN_Calcolo H'!$A$3:$AAA$3,0))</f>
        <v>1396997.8075943999</v>
      </c>
      <c r="W119" s="275"/>
      <c r="Y119" s="280"/>
      <c r="Z119" s="275"/>
      <c r="AB119" s="280"/>
      <c r="AC119" s="275"/>
      <c r="AE119" s="280"/>
      <c r="AF119" s="950"/>
      <c r="AG119" s="51"/>
      <c r="AH119" s="923"/>
    </row>
    <row r="120" spans="1:34" s="226" customFormat="1" ht="11.4" x14ac:dyDescent="0.2">
      <c r="A120" s="315" t="s">
        <v>6454</v>
      </c>
      <c r="B120" s="322" t="s">
        <v>105</v>
      </c>
      <c r="C120" s="329" t="s">
        <v>105</v>
      </c>
      <c r="D120" s="307" t="s">
        <v>598</v>
      </c>
      <c r="E120" s="322" t="s">
        <v>105</v>
      </c>
      <c r="F120" s="329" t="s">
        <v>105</v>
      </c>
      <c r="G120" s="307" t="s">
        <v>105</v>
      </c>
      <c r="H120" s="322" t="s">
        <v>105</v>
      </c>
      <c r="I120" s="329" t="s">
        <v>105</v>
      </c>
      <c r="J120" s="307" t="s">
        <v>105</v>
      </c>
      <c r="K120" s="322" t="s">
        <v>105</v>
      </c>
      <c r="L120" s="329" t="s">
        <v>105</v>
      </c>
      <c r="M120" s="307" t="s">
        <v>105</v>
      </c>
      <c r="N120" s="322" t="s">
        <v>105</v>
      </c>
      <c r="O120" s="329" t="s">
        <v>105</v>
      </c>
      <c r="P120" s="307" t="s">
        <v>105</v>
      </c>
      <c r="R120" s="761" t="s">
        <v>6391</v>
      </c>
      <c r="T120" s="776"/>
      <c r="U120" s="777"/>
      <c r="V120" s="1073">
        <f>INDEX('IN_Calcolo H'!$A$3:$AAA$158,MATCH(D120,'IN_Calcolo H'!$A$3:$A$158,0),MATCH($T$4,'IN_Calcolo H'!$A$3:$AAA$3,0))</f>
        <v>2342106.8235419234</v>
      </c>
      <c r="W120" s="275"/>
      <c r="Y120" s="280"/>
      <c r="Z120" s="275"/>
      <c r="AB120" s="280"/>
      <c r="AC120" s="275"/>
      <c r="AE120" s="280"/>
      <c r="AF120" s="950"/>
      <c r="AG120" s="51"/>
      <c r="AH120" s="923"/>
    </row>
    <row r="121" spans="1:34" s="226" customFormat="1" x14ac:dyDescent="0.2">
      <c r="A121" s="315" t="s">
        <v>6454</v>
      </c>
      <c r="B121" s="322" t="s">
        <v>105</v>
      </c>
      <c r="C121" s="329" t="s">
        <v>105</v>
      </c>
      <c r="D121" s="307" t="s">
        <v>5336</v>
      </c>
      <c r="E121" s="322" t="s">
        <v>105</v>
      </c>
      <c r="F121" s="329" t="s">
        <v>105</v>
      </c>
      <c r="G121" s="307" t="s">
        <v>105</v>
      </c>
      <c r="H121" s="322" t="s">
        <v>105</v>
      </c>
      <c r="I121" s="329" t="s">
        <v>105</v>
      </c>
      <c r="J121" s="307" t="s">
        <v>105</v>
      </c>
      <c r="K121" s="322" t="s">
        <v>105</v>
      </c>
      <c r="L121" s="329" t="s">
        <v>105</v>
      </c>
      <c r="M121" s="307" t="s">
        <v>105</v>
      </c>
      <c r="N121" s="322" t="s">
        <v>105</v>
      </c>
      <c r="O121" s="329" t="s">
        <v>105</v>
      </c>
      <c r="P121" s="307" t="s">
        <v>105</v>
      </c>
      <c r="R121" s="764" t="s">
        <v>6392</v>
      </c>
      <c r="T121" s="776"/>
      <c r="U121" s="777"/>
      <c r="V121" s="1069">
        <f>INDEX('IN_Calcolo H'!$A$3:$AAA$158,MATCH(D121,'IN_Calcolo H'!$A$3:$A$158,0),MATCH($T$4,'IN_Calcolo H'!$A$3:$AAA$3,0))</f>
        <v>0.59647057664165237</v>
      </c>
      <c r="W121" s="275"/>
      <c r="Y121" s="280"/>
      <c r="Z121" s="275"/>
      <c r="AB121" s="280"/>
      <c r="AC121" s="275"/>
      <c r="AE121" s="280"/>
      <c r="AF121" s="950"/>
      <c r="AG121" s="51"/>
      <c r="AH121" s="923"/>
    </row>
    <row r="122" spans="1:34" s="226" customFormat="1" ht="10.8" thickBot="1" x14ac:dyDescent="0.25">
      <c r="A122" s="315" t="s">
        <v>6454</v>
      </c>
      <c r="B122" s="322" t="s">
        <v>105</v>
      </c>
      <c r="C122" s="329" t="s">
        <v>105</v>
      </c>
      <c r="D122" s="307" t="s">
        <v>5337</v>
      </c>
      <c r="E122" s="322" t="s">
        <v>105</v>
      </c>
      <c r="F122" s="329" t="s">
        <v>105</v>
      </c>
      <c r="G122" s="307" t="s">
        <v>105</v>
      </c>
      <c r="H122" s="322" t="s">
        <v>105</v>
      </c>
      <c r="I122" s="329" t="s">
        <v>105</v>
      </c>
      <c r="J122" s="307" t="s">
        <v>105</v>
      </c>
      <c r="K122" s="322" t="s">
        <v>105</v>
      </c>
      <c r="L122" s="329" t="s">
        <v>105</v>
      </c>
      <c r="M122" s="307" t="s">
        <v>105</v>
      </c>
      <c r="N122" s="322" t="s">
        <v>105</v>
      </c>
      <c r="O122" s="329" t="s">
        <v>105</v>
      </c>
      <c r="P122" s="307" t="s">
        <v>105</v>
      </c>
      <c r="R122" s="765" t="s">
        <v>6393</v>
      </c>
      <c r="T122" s="778"/>
      <c r="U122" s="779"/>
      <c r="V122" s="767" t="str">
        <f>INDEX('IN_Calcolo H'!$A$3:$AAA$158,MATCH(D122,'IN_Calcolo H'!$A$3:$A$158,0),MATCH($T$4,'IN_Calcolo H'!$A$3:$AAA$3,0))</f>
        <v>D</v>
      </c>
      <c r="W122" s="275"/>
      <c r="Y122" s="280"/>
      <c r="Z122" s="275"/>
      <c r="AB122" s="280"/>
      <c r="AC122" s="275"/>
      <c r="AE122" s="280"/>
      <c r="AF122" s="950"/>
      <c r="AG122" s="51"/>
      <c r="AH122" s="923"/>
    </row>
    <row r="123" spans="1:34" s="226" customFormat="1" ht="10.8" thickBot="1" x14ac:dyDescent="0.25">
      <c r="A123" s="314" t="s">
        <v>105</v>
      </c>
      <c r="B123" s="321" t="s">
        <v>105</v>
      </c>
      <c r="C123" s="328" t="s">
        <v>105</v>
      </c>
      <c r="D123" s="309" t="s">
        <v>105</v>
      </c>
      <c r="E123" s="321" t="s">
        <v>105</v>
      </c>
      <c r="F123" s="328" t="s">
        <v>105</v>
      </c>
      <c r="G123" s="309" t="s">
        <v>105</v>
      </c>
      <c r="H123" s="321" t="s">
        <v>105</v>
      </c>
      <c r="I123" s="328" t="s">
        <v>105</v>
      </c>
      <c r="J123" s="309" t="s">
        <v>105</v>
      </c>
      <c r="K123" s="321" t="s">
        <v>105</v>
      </c>
      <c r="L123" s="328" t="s">
        <v>105</v>
      </c>
      <c r="M123" s="309" t="s">
        <v>105</v>
      </c>
      <c r="N123" s="321" t="s">
        <v>105</v>
      </c>
      <c r="O123" s="328" t="s">
        <v>105</v>
      </c>
      <c r="P123" s="309" t="s">
        <v>105</v>
      </c>
      <c r="R123" s="769"/>
      <c r="T123" s="275"/>
      <c r="V123" s="280"/>
      <c r="W123" s="275"/>
      <c r="Y123" s="280"/>
      <c r="Z123" s="275"/>
      <c r="AB123" s="280"/>
      <c r="AC123" s="275"/>
      <c r="AE123" s="280"/>
      <c r="AF123" s="950"/>
      <c r="AG123" s="51"/>
      <c r="AH123" s="923"/>
    </row>
    <row r="124" spans="1:34" s="226" customFormat="1" ht="10.8" thickBot="1" x14ac:dyDescent="0.25">
      <c r="A124" s="314" t="s">
        <v>105</v>
      </c>
      <c r="B124" s="321" t="s">
        <v>105</v>
      </c>
      <c r="C124" s="328" t="s">
        <v>105</v>
      </c>
      <c r="D124" s="309" t="s">
        <v>105</v>
      </c>
      <c r="E124" s="321" t="s">
        <v>105</v>
      </c>
      <c r="F124" s="328" t="s">
        <v>105</v>
      </c>
      <c r="G124" s="309" t="s">
        <v>105</v>
      </c>
      <c r="H124" s="321" t="s">
        <v>105</v>
      </c>
      <c r="I124" s="328" t="s">
        <v>105</v>
      </c>
      <c r="J124" s="309" t="s">
        <v>105</v>
      </c>
      <c r="K124" s="321" t="s">
        <v>105</v>
      </c>
      <c r="L124" s="328" t="s">
        <v>105</v>
      </c>
      <c r="M124" s="309" t="s">
        <v>105</v>
      </c>
      <c r="N124" s="321" t="s">
        <v>105</v>
      </c>
      <c r="O124" s="328" t="s">
        <v>105</v>
      </c>
      <c r="P124" s="309" t="s">
        <v>105</v>
      </c>
      <c r="R124" s="768" t="s">
        <v>6394</v>
      </c>
      <c r="T124" s="300"/>
      <c r="U124" s="266"/>
      <c r="V124" s="766"/>
      <c r="W124" s="275"/>
      <c r="Y124" s="280"/>
      <c r="Z124" s="275"/>
      <c r="AB124" s="280"/>
      <c r="AC124" s="275"/>
      <c r="AE124" s="280"/>
      <c r="AF124" s="950"/>
      <c r="AG124" s="51"/>
      <c r="AH124" s="923"/>
    </row>
    <row r="125" spans="1:34" s="226" customFormat="1" ht="11.4" x14ac:dyDescent="0.2">
      <c r="A125" s="315" t="s">
        <v>6454</v>
      </c>
      <c r="B125" s="322" t="s">
        <v>105</v>
      </c>
      <c r="C125" s="329" t="s">
        <v>105</v>
      </c>
      <c r="D125" s="307" t="s">
        <v>5349</v>
      </c>
      <c r="E125" s="322" t="s">
        <v>105</v>
      </c>
      <c r="F125" s="329" t="s">
        <v>105</v>
      </c>
      <c r="G125" s="307" t="s">
        <v>105</v>
      </c>
      <c r="H125" s="322" t="s">
        <v>105</v>
      </c>
      <c r="I125" s="329" t="s">
        <v>105</v>
      </c>
      <c r="J125" s="307" t="s">
        <v>105</v>
      </c>
      <c r="K125" s="322" t="s">
        <v>105</v>
      </c>
      <c r="L125" s="329" t="s">
        <v>105</v>
      </c>
      <c r="M125" s="307" t="s">
        <v>105</v>
      </c>
      <c r="N125" s="322" t="s">
        <v>105</v>
      </c>
      <c r="O125" s="329" t="s">
        <v>105</v>
      </c>
      <c r="P125" s="307" t="s">
        <v>105</v>
      </c>
      <c r="R125" s="760" t="s">
        <v>6388</v>
      </c>
      <c r="T125" s="774"/>
      <c r="U125" s="775"/>
      <c r="V125" s="1072">
        <f>INDEX('IN_Calcolo H'!$A$3:$AAA$158,MATCH(D125,'IN_Calcolo H'!$A$3:$A$158,0),MATCH($T$4,'IN_Calcolo H'!$A$3:$AAA$3,0))</f>
        <v>0</v>
      </c>
      <c r="W125" s="275"/>
      <c r="Y125" s="280"/>
      <c r="Z125" s="275"/>
      <c r="AB125" s="280"/>
      <c r="AC125" s="275"/>
      <c r="AE125" s="280"/>
      <c r="AF125" s="950"/>
      <c r="AG125" s="51"/>
      <c r="AH125" s="923"/>
    </row>
    <row r="126" spans="1:34" s="226" customFormat="1" ht="11.4" x14ac:dyDescent="0.2">
      <c r="A126" s="315" t="s">
        <v>6454</v>
      </c>
      <c r="B126" s="322" t="s">
        <v>105</v>
      </c>
      <c r="C126" s="329" t="s">
        <v>105</v>
      </c>
      <c r="D126" s="307" t="s">
        <v>5350</v>
      </c>
      <c r="E126" s="322" t="s">
        <v>105</v>
      </c>
      <c r="F126" s="329" t="s">
        <v>105</v>
      </c>
      <c r="G126" s="307" t="s">
        <v>105</v>
      </c>
      <c r="H126" s="322" t="s">
        <v>105</v>
      </c>
      <c r="I126" s="329" t="s">
        <v>105</v>
      </c>
      <c r="J126" s="307" t="s">
        <v>105</v>
      </c>
      <c r="K126" s="322" t="s">
        <v>105</v>
      </c>
      <c r="L126" s="329" t="s">
        <v>105</v>
      </c>
      <c r="M126" s="307" t="s">
        <v>105</v>
      </c>
      <c r="N126" s="322" t="s">
        <v>105</v>
      </c>
      <c r="O126" s="329" t="s">
        <v>105</v>
      </c>
      <c r="P126" s="307" t="s">
        <v>105</v>
      </c>
      <c r="R126" s="761" t="s">
        <v>6395</v>
      </c>
      <c r="T126" s="776"/>
      <c r="U126" s="777"/>
      <c r="V126" s="1073">
        <f>INDEX('IN_Calcolo H'!$A$3:$AAA$158,MATCH(D126,'IN_Calcolo H'!$A$3:$A$158,0),MATCH($T$4,'IN_Calcolo H'!$A$3:$AAA$3,0))</f>
        <v>0</v>
      </c>
      <c r="W126" s="275"/>
      <c r="Y126" s="280"/>
      <c r="Z126" s="275"/>
      <c r="AB126" s="280"/>
      <c r="AC126" s="275"/>
      <c r="AE126" s="280"/>
      <c r="AF126" s="950"/>
      <c r="AG126" s="51"/>
      <c r="AH126" s="923"/>
    </row>
    <row r="127" spans="1:34" s="226" customFormat="1" ht="12" thickBot="1" x14ac:dyDescent="0.3">
      <c r="A127" s="315" t="s">
        <v>6454</v>
      </c>
      <c r="B127" s="322" t="s">
        <v>105</v>
      </c>
      <c r="C127" s="329" t="s">
        <v>105</v>
      </c>
      <c r="D127" s="307" t="s">
        <v>5353</v>
      </c>
      <c r="E127" s="322" t="s">
        <v>105</v>
      </c>
      <c r="F127" s="329" t="s">
        <v>105</v>
      </c>
      <c r="G127" s="307" t="s">
        <v>105</v>
      </c>
      <c r="H127" s="322" t="s">
        <v>105</v>
      </c>
      <c r="I127" s="329" t="s">
        <v>105</v>
      </c>
      <c r="J127" s="307" t="s">
        <v>105</v>
      </c>
      <c r="K127" s="322" t="s">
        <v>105</v>
      </c>
      <c r="L127" s="329" t="s">
        <v>105</v>
      </c>
      <c r="M127" s="307" t="s">
        <v>105</v>
      </c>
      <c r="N127" s="322" t="s">
        <v>105</v>
      </c>
      <c r="O127" s="329" t="s">
        <v>105</v>
      </c>
      <c r="P127" s="307" t="s">
        <v>105</v>
      </c>
      <c r="R127" s="765" t="s">
        <v>6396</v>
      </c>
      <c r="T127" s="778"/>
      <c r="U127" s="779"/>
      <c r="V127" s="1071">
        <f>INDEX('IN_Calcolo H'!$A$3:$AAA$158,MATCH(D127,'IN_Calcolo H'!$A$3:$A$158,0),MATCH($T$4,'IN_Calcolo H'!$A$3:$AAA$3,0))</f>
        <v>0</v>
      </c>
      <c r="W127" s="275"/>
      <c r="Y127" s="280"/>
      <c r="Z127" s="275"/>
      <c r="AB127" s="280"/>
      <c r="AC127" s="275"/>
      <c r="AE127" s="280"/>
      <c r="AF127" s="950"/>
      <c r="AG127" s="51"/>
      <c r="AH127" s="923"/>
    </row>
    <row r="128" spans="1:34" s="226" customFormat="1" ht="10.8" thickBot="1" x14ac:dyDescent="0.25">
      <c r="A128" s="314" t="s">
        <v>105</v>
      </c>
      <c r="B128" s="321" t="s">
        <v>105</v>
      </c>
      <c r="C128" s="328" t="s">
        <v>105</v>
      </c>
      <c r="D128" s="309" t="s">
        <v>105</v>
      </c>
      <c r="E128" s="321" t="s">
        <v>105</v>
      </c>
      <c r="F128" s="328" t="s">
        <v>105</v>
      </c>
      <c r="G128" s="309" t="s">
        <v>105</v>
      </c>
      <c r="H128" s="321" t="s">
        <v>105</v>
      </c>
      <c r="I128" s="328" t="s">
        <v>105</v>
      </c>
      <c r="J128" s="309" t="s">
        <v>105</v>
      </c>
      <c r="K128" s="321" t="s">
        <v>105</v>
      </c>
      <c r="L128" s="328" t="s">
        <v>105</v>
      </c>
      <c r="M128" s="309" t="s">
        <v>105</v>
      </c>
      <c r="N128" s="321" t="s">
        <v>105</v>
      </c>
      <c r="O128" s="328" t="s">
        <v>105</v>
      </c>
      <c r="P128" s="309" t="s">
        <v>105</v>
      </c>
      <c r="R128" s="763"/>
      <c r="T128" s="299"/>
      <c r="U128" s="264"/>
      <c r="V128" s="273"/>
      <c r="W128" s="275"/>
      <c r="Y128" s="280"/>
      <c r="Z128" s="275"/>
      <c r="AB128" s="280"/>
      <c r="AC128" s="275"/>
      <c r="AE128" s="280"/>
      <c r="AF128" s="950"/>
      <c r="AG128" s="51"/>
      <c r="AH128" s="923"/>
    </row>
    <row r="129" spans="1:34" s="226" customFormat="1" ht="12" thickBot="1" x14ac:dyDescent="0.25">
      <c r="A129" s="316" t="s">
        <v>6454</v>
      </c>
      <c r="B129" s="323" t="s">
        <v>105</v>
      </c>
      <c r="C129" s="330" t="s">
        <v>105</v>
      </c>
      <c r="D129" s="308" t="s">
        <v>5298</v>
      </c>
      <c r="E129" s="323" t="s">
        <v>105</v>
      </c>
      <c r="F129" s="330" t="s">
        <v>105</v>
      </c>
      <c r="G129" s="308" t="s">
        <v>105</v>
      </c>
      <c r="H129" s="323" t="s">
        <v>105</v>
      </c>
      <c r="I129" s="330" t="s">
        <v>105</v>
      </c>
      <c r="J129" s="308" t="s">
        <v>105</v>
      </c>
      <c r="K129" s="323" t="s">
        <v>105</v>
      </c>
      <c r="L129" s="330" t="s">
        <v>105</v>
      </c>
      <c r="M129" s="308" t="s">
        <v>105</v>
      </c>
      <c r="N129" s="323" t="s">
        <v>105</v>
      </c>
      <c r="O129" s="330" t="s">
        <v>105</v>
      </c>
      <c r="P129" s="308" t="s">
        <v>105</v>
      </c>
      <c r="R129" s="770" t="s">
        <v>6397</v>
      </c>
      <c r="T129" s="849"/>
      <c r="U129" s="850"/>
      <c r="V129" s="1074">
        <f>INDEX('IN_Calcolo H'!$A$3:$AAA$158,MATCH(D129,'IN_Calcolo H'!$A$3:$A$158,0),MATCH($T$4,'IN_Calcolo H'!$A$3:$AAA$3,0))</f>
        <v>0</v>
      </c>
      <c r="W129" s="771"/>
      <c r="X129" s="772"/>
      <c r="Y129" s="773"/>
      <c r="Z129" s="771"/>
      <c r="AA129" s="772"/>
      <c r="AB129" s="773"/>
      <c r="AC129" s="771"/>
      <c r="AD129" s="772"/>
      <c r="AE129" s="773"/>
      <c r="AF129" s="954"/>
      <c r="AG129" s="955"/>
      <c r="AH129" s="956"/>
    </row>
    <row r="130" spans="1:34" s="226" customFormat="1" x14ac:dyDescent="0.2">
      <c r="A130" s="305"/>
      <c r="B130" s="324"/>
      <c r="C130" s="331"/>
      <c r="D130" s="305"/>
      <c r="E130" s="324"/>
      <c r="F130" s="331"/>
      <c r="G130" s="305"/>
      <c r="H130" s="324"/>
      <c r="I130" s="331"/>
      <c r="J130" s="305"/>
      <c r="K130" s="324"/>
      <c r="L130" s="331"/>
      <c r="M130" s="305"/>
      <c r="N130" s="324"/>
      <c r="O130" s="331"/>
      <c r="P130" s="305"/>
    </row>
    <row r="131" spans="1:34" s="226" customFormat="1" x14ac:dyDescent="0.2">
      <c r="A131" s="305"/>
      <c r="B131" s="324"/>
      <c r="C131" s="331"/>
      <c r="D131" s="305"/>
      <c r="E131" s="324"/>
      <c r="F131" s="331"/>
      <c r="G131" s="305"/>
      <c r="H131" s="324"/>
      <c r="I131" s="331"/>
      <c r="J131" s="305"/>
      <c r="K131" s="324"/>
      <c r="L131" s="331"/>
      <c r="M131" s="305"/>
      <c r="N131" s="324"/>
      <c r="O131" s="331"/>
      <c r="P131" s="305"/>
    </row>
    <row r="132" spans="1:34" s="226" customFormat="1" x14ac:dyDescent="0.2">
      <c r="A132" s="305"/>
      <c r="B132" s="324"/>
      <c r="C132" s="331"/>
      <c r="D132" s="305"/>
      <c r="E132" s="324"/>
      <c r="F132" s="331"/>
      <c r="G132" s="305"/>
      <c r="H132" s="324"/>
      <c r="I132" s="331"/>
      <c r="J132" s="305"/>
      <c r="K132" s="324"/>
      <c r="L132" s="331"/>
      <c r="M132" s="305"/>
      <c r="N132" s="324"/>
      <c r="O132" s="331"/>
      <c r="P132" s="305"/>
    </row>
    <row r="133" spans="1:34" s="226" customFormat="1" x14ac:dyDescent="0.2">
      <c r="A133" s="305"/>
      <c r="B133" s="324"/>
      <c r="C133" s="331"/>
      <c r="D133" s="305"/>
      <c r="E133" s="324"/>
      <c r="F133" s="331"/>
      <c r="G133" s="305"/>
      <c r="H133" s="324"/>
      <c r="I133" s="331"/>
      <c r="J133" s="305"/>
      <c r="K133" s="324"/>
      <c r="L133" s="331"/>
      <c r="M133" s="305"/>
      <c r="N133" s="324"/>
      <c r="O133" s="331"/>
      <c r="P133" s="305"/>
    </row>
    <row r="134" spans="1:34" s="226" customFormat="1" x14ac:dyDescent="0.2">
      <c r="A134" s="305"/>
      <c r="B134" s="324"/>
      <c r="C134" s="331"/>
      <c r="D134" s="305"/>
      <c r="E134" s="324"/>
      <c r="F134" s="331"/>
      <c r="G134" s="305"/>
      <c r="H134" s="324"/>
      <c r="I134" s="331"/>
      <c r="J134" s="305"/>
      <c r="K134" s="324"/>
      <c r="L134" s="331"/>
      <c r="M134" s="305"/>
      <c r="N134" s="324"/>
      <c r="O134" s="331"/>
      <c r="P134" s="305"/>
    </row>
    <row r="135" spans="1:34" s="226" customFormat="1" x14ac:dyDescent="0.2">
      <c r="A135" s="305"/>
      <c r="B135" s="324"/>
      <c r="C135" s="331"/>
      <c r="D135" s="305"/>
      <c r="E135" s="324"/>
      <c r="F135" s="331"/>
      <c r="G135" s="305"/>
      <c r="H135" s="324"/>
      <c r="I135" s="331"/>
      <c r="J135" s="305"/>
      <c r="K135" s="324"/>
      <c r="L135" s="331"/>
      <c r="M135" s="305"/>
      <c r="N135" s="324"/>
      <c r="O135" s="331"/>
      <c r="P135" s="305"/>
    </row>
    <row r="136" spans="1:34" s="226" customFormat="1" x14ac:dyDescent="0.2">
      <c r="A136" s="305"/>
      <c r="B136" s="324"/>
      <c r="C136" s="331"/>
      <c r="D136" s="305"/>
      <c r="E136" s="324"/>
      <c r="F136" s="331"/>
      <c r="G136" s="305"/>
      <c r="H136" s="324"/>
      <c r="I136" s="331"/>
      <c r="J136" s="305"/>
      <c r="K136" s="324"/>
      <c r="L136" s="331"/>
      <c r="M136" s="305"/>
      <c r="N136" s="324"/>
      <c r="O136" s="331"/>
      <c r="P136" s="305"/>
    </row>
    <row r="137" spans="1:34" s="226" customFormat="1" x14ac:dyDescent="0.2">
      <c r="A137" s="305"/>
      <c r="B137" s="324"/>
      <c r="C137" s="331"/>
      <c r="D137" s="305"/>
      <c r="E137" s="324"/>
      <c r="F137" s="331"/>
      <c r="G137" s="305"/>
      <c r="H137" s="324"/>
      <c r="I137" s="331"/>
      <c r="J137" s="305"/>
      <c r="K137" s="324"/>
      <c r="L137" s="331"/>
      <c r="M137" s="305"/>
      <c r="N137" s="324"/>
      <c r="O137" s="331"/>
      <c r="P137" s="305"/>
    </row>
    <row r="138" spans="1:34" s="226" customFormat="1" x14ac:dyDescent="0.2">
      <c r="A138" s="305"/>
      <c r="B138" s="324"/>
      <c r="C138" s="331"/>
      <c r="D138" s="305"/>
      <c r="E138" s="324"/>
      <c r="F138" s="331"/>
      <c r="G138" s="305"/>
      <c r="H138" s="324"/>
      <c r="I138" s="331"/>
      <c r="J138" s="305"/>
      <c r="K138" s="324"/>
      <c r="L138" s="331"/>
      <c r="M138" s="305"/>
      <c r="N138" s="324"/>
      <c r="O138" s="331"/>
      <c r="P138" s="305"/>
    </row>
    <row r="139" spans="1:34" s="226" customFormat="1" x14ac:dyDescent="0.2">
      <c r="A139" s="305"/>
      <c r="B139" s="324"/>
      <c r="C139" s="331"/>
      <c r="D139" s="305"/>
      <c r="E139" s="324"/>
      <c r="F139" s="331"/>
      <c r="G139" s="305"/>
      <c r="H139" s="324"/>
      <c r="I139" s="331"/>
      <c r="J139" s="305"/>
      <c r="K139" s="324"/>
      <c r="L139" s="331"/>
      <c r="M139" s="305"/>
      <c r="N139" s="324"/>
      <c r="O139" s="331"/>
      <c r="P139" s="305"/>
    </row>
    <row r="140" spans="1:34" s="226" customFormat="1" x14ac:dyDescent="0.2">
      <c r="A140" s="305"/>
      <c r="B140" s="324"/>
      <c r="C140" s="331"/>
      <c r="D140" s="305"/>
      <c r="E140" s="324"/>
      <c r="F140" s="331"/>
      <c r="G140" s="305"/>
      <c r="H140" s="324"/>
      <c r="I140" s="331"/>
      <c r="J140" s="305"/>
      <c r="K140" s="324"/>
      <c r="L140" s="331"/>
      <c r="M140" s="305"/>
      <c r="N140" s="324"/>
      <c r="O140" s="331"/>
      <c r="P140" s="305"/>
    </row>
    <row r="141" spans="1:34" s="226" customFormat="1" x14ac:dyDescent="0.2">
      <c r="A141" s="305"/>
      <c r="B141" s="324"/>
      <c r="C141" s="331"/>
      <c r="D141" s="305"/>
      <c r="E141" s="324"/>
      <c r="F141" s="331"/>
      <c r="G141" s="305"/>
      <c r="H141" s="324"/>
      <c r="I141" s="331"/>
      <c r="J141" s="305"/>
      <c r="K141" s="324"/>
      <c r="L141" s="331"/>
      <c r="M141" s="305"/>
      <c r="N141" s="324"/>
      <c r="O141" s="331"/>
      <c r="P141" s="305"/>
    </row>
    <row r="142" spans="1:34" s="226" customFormat="1" x14ac:dyDescent="0.2">
      <c r="A142" s="305"/>
      <c r="B142" s="324"/>
      <c r="C142" s="331"/>
      <c r="D142" s="305"/>
      <c r="E142" s="324"/>
      <c r="F142" s="331"/>
      <c r="G142" s="305"/>
      <c r="H142" s="324"/>
      <c r="I142" s="331"/>
      <c r="J142" s="305"/>
      <c r="K142" s="324"/>
      <c r="L142" s="331"/>
      <c r="M142" s="305"/>
      <c r="N142" s="324"/>
      <c r="O142" s="331"/>
      <c r="P142" s="305"/>
    </row>
    <row r="143" spans="1:34" s="226" customFormat="1" x14ac:dyDescent="0.2">
      <c r="A143" s="305"/>
      <c r="B143" s="324"/>
      <c r="C143" s="331"/>
      <c r="D143" s="305"/>
      <c r="E143" s="324"/>
      <c r="F143" s="331"/>
      <c r="G143" s="305"/>
      <c r="H143" s="324"/>
      <c r="I143" s="331"/>
      <c r="J143" s="305"/>
      <c r="K143" s="324"/>
      <c r="L143" s="331"/>
      <c r="M143" s="305"/>
      <c r="N143" s="324"/>
      <c r="O143" s="331"/>
      <c r="P143" s="305"/>
    </row>
    <row r="144" spans="1:34" s="226" customFormat="1" x14ac:dyDescent="0.2">
      <c r="A144" s="305"/>
      <c r="B144" s="324"/>
      <c r="C144" s="331"/>
      <c r="D144" s="305"/>
      <c r="E144" s="324"/>
      <c r="F144" s="331"/>
      <c r="G144" s="305"/>
      <c r="H144" s="324"/>
      <c r="I144" s="331"/>
      <c r="J144" s="305"/>
      <c r="K144" s="324"/>
      <c r="L144" s="331"/>
      <c r="M144" s="305"/>
      <c r="N144" s="324"/>
      <c r="O144" s="331"/>
      <c r="P144" s="305"/>
    </row>
    <row r="145" spans="1:16" s="226" customFormat="1" x14ac:dyDescent="0.2">
      <c r="A145" s="305"/>
      <c r="B145" s="324"/>
      <c r="C145" s="331"/>
      <c r="D145" s="305"/>
      <c r="E145" s="324"/>
      <c r="F145" s="331"/>
      <c r="G145" s="305"/>
      <c r="H145" s="324"/>
      <c r="I145" s="331"/>
      <c r="J145" s="305"/>
      <c r="K145" s="324"/>
      <c r="L145" s="331"/>
      <c r="M145" s="305"/>
      <c r="N145" s="324"/>
      <c r="O145" s="331"/>
      <c r="P145" s="305"/>
    </row>
    <row r="146" spans="1:16" s="226" customFormat="1" x14ac:dyDescent="0.2">
      <c r="A146" s="305"/>
      <c r="B146" s="324"/>
      <c r="C146" s="331"/>
      <c r="D146" s="305"/>
      <c r="E146" s="324"/>
      <c r="F146" s="331"/>
      <c r="G146" s="305"/>
      <c r="H146" s="324"/>
      <c r="I146" s="331"/>
      <c r="J146" s="305"/>
      <c r="K146" s="324"/>
      <c r="L146" s="331"/>
      <c r="M146" s="305"/>
      <c r="N146" s="324"/>
      <c r="O146" s="331"/>
      <c r="P146" s="305"/>
    </row>
    <row r="147" spans="1:16" s="226" customFormat="1" x14ac:dyDescent="0.2">
      <c r="A147" s="305"/>
      <c r="B147" s="324"/>
      <c r="C147" s="331"/>
      <c r="D147" s="305"/>
      <c r="E147" s="324"/>
      <c r="F147" s="331"/>
      <c r="G147" s="305"/>
      <c r="H147" s="324"/>
      <c r="I147" s="331"/>
      <c r="J147" s="305"/>
      <c r="K147" s="324"/>
      <c r="L147" s="331"/>
      <c r="M147" s="305"/>
      <c r="N147" s="324"/>
      <c r="O147" s="331"/>
      <c r="P147" s="305"/>
    </row>
    <row r="148" spans="1:16" s="226" customFormat="1" x14ac:dyDescent="0.2">
      <c r="A148" s="305"/>
      <c r="B148" s="324"/>
      <c r="C148" s="331"/>
      <c r="D148" s="305"/>
      <c r="E148" s="324"/>
      <c r="F148" s="331"/>
      <c r="G148" s="305"/>
      <c r="H148" s="324"/>
      <c r="I148" s="331"/>
      <c r="J148" s="305"/>
      <c r="K148" s="324"/>
      <c r="L148" s="331"/>
      <c r="M148" s="305"/>
      <c r="N148" s="324"/>
      <c r="O148" s="331"/>
      <c r="P148" s="305"/>
    </row>
    <row r="149" spans="1:16" s="226" customFormat="1" x14ac:dyDescent="0.2">
      <c r="A149" s="305"/>
      <c r="B149" s="324"/>
      <c r="C149" s="331"/>
      <c r="D149" s="305"/>
      <c r="E149" s="324"/>
      <c r="F149" s="331"/>
      <c r="G149" s="305"/>
      <c r="H149" s="324"/>
      <c r="I149" s="331"/>
      <c r="J149" s="305"/>
      <c r="K149" s="324"/>
      <c r="L149" s="331"/>
      <c r="M149" s="305"/>
      <c r="N149" s="324"/>
      <c r="O149" s="331"/>
      <c r="P149" s="305"/>
    </row>
    <row r="150" spans="1:16" s="226" customFormat="1" x14ac:dyDescent="0.2">
      <c r="A150" s="305"/>
      <c r="B150" s="324"/>
      <c r="C150" s="331"/>
      <c r="D150" s="305"/>
      <c r="E150" s="324"/>
      <c r="F150" s="331"/>
      <c r="G150" s="305"/>
      <c r="H150" s="324"/>
      <c r="I150" s="331"/>
      <c r="J150" s="305"/>
      <c r="K150" s="324"/>
      <c r="L150" s="331"/>
      <c r="M150" s="305"/>
      <c r="N150" s="324"/>
      <c r="O150" s="331"/>
      <c r="P150" s="305"/>
    </row>
    <row r="151" spans="1:16" s="226" customFormat="1" x14ac:dyDescent="0.2">
      <c r="A151" s="305"/>
      <c r="B151" s="324"/>
      <c r="C151" s="331"/>
      <c r="D151" s="305"/>
      <c r="E151" s="324"/>
      <c r="F151" s="331"/>
      <c r="G151" s="305"/>
      <c r="H151" s="324"/>
      <c r="I151" s="331"/>
      <c r="J151" s="305"/>
      <c r="K151" s="324"/>
      <c r="L151" s="331"/>
      <c r="M151" s="305"/>
      <c r="N151" s="324"/>
      <c r="O151" s="331"/>
      <c r="P151" s="305"/>
    </row>
    <row r="152" spans="1:16" s="226" customFormat="1" x14ac:dyDescent="0.2">
      <c r="A152" s="305"/>
      <c r="B152" s="324"/>
      <c r="C152" s="331"/>
      <c r="D152" s="305"/>
      <c r="E152" s="324"/>
      <c r="F152" s="331"/>
      <c r="G152" s="305"/>
      <c r="H152" s="324"/>
      <c r="I152" s="331"/>
      <c r="J152" s="305"/>
      <c r="K152" s="324"/>
      <c r="L152" s="331"/>
      <c r="M152" s="305"/>
      <c r="N152" s="324"/>
      <c r="O152" s="331"/>
      <c r="P152" s="305"/>
    </row>
    <row r="153" spans="1:16" s="226" customFormat="1" x14ac:dyDescent="0.2">
      <c r="A153" s="305"/>
      <c r="B153" s="324"/>
      <c r="C153" s="331"/>
      <c r="D153" s="305"/>
      <c r="E153" s="324"/>
      <c r="F153" s="331"/>
      <c r="G153" s="305"/>
      <c r="H153" s="324"/>
      <c r="I153" s="331"/>
      <c r="J153" s="305"/>
      <c r="K153" s="324"/>
      <c r="L153" s="331"/>
      <c r="M153" s="305"/>
      <c r="N153" s="324"/>
      <c r="O153" s="331"/>
      <c r="P153" s="305"/>
    </row>
    <row r="154" spans="1:16" s="226" customFormat="1" x14ac:dyDescent="0.2">
      <c r="A154" s="305"/>
      <c r="B154" s="324"/>
      <c r="C154" s="331"/>
      <c r="D154" s="305"/>
      <c r="E154" s="324"/>
      <c r="F154" s="331"/>
      <c r="G154" s="305"/>
      <c r="H154" s="324"/>
      <c r="I154" s="331"/>
      <c r="J154" s="305"/>
      <c r="K154" s="324"/>
      <c r="L154" s="331"/>
      <c r="M154" s="305"/>
      <c r="N154" s="324"/>
      <c r="O154" s="331"/>
      <c r="P154" s="305"/>
    </row>
    <row r="155" spans="1:16" s="226" customFormat="1" x14ac:dyDescent="0.2">
      <c r="A155" s="305"/>
      <c r="B155" s="324"/>
      <c r="C155" s="331"/>
      <c r="D155" s="305"/>
      <c r="E155" s="324"/>
      <c r="F155" s="331"/>
      <c r="G155" s="305"/>
      <c r="H155" s="324"/>
      <c r="I155" s="331"/>
      <c r="J155" s="305"/>
      <c r="K155" s="324"/>
      <c r="L155" s="331"/>
      <c r="M155" s="305"/>
      <c r="N155" s="324"/>
      <c r="O155" s="331"/>
      <c r="P155" s="305"/>
    </row>
    <row r="156" spans="1:16" s="226" customFormat="1" x14ac:dyDescent="0.2">
      <c r="A156" s="305"/>
      <c r="B156" s="324"/>
      <c r="C156" s="331"/>
      <c r="D156" s="305"/>
      <c r="E156" s="324"/>
      <c r="F156" s="331"/>
      <c r="G156" s="305"/>
      <c r="H156" s="324"/>
      <c r="I156" s="331"/>
      <c r="J156" s="305"/>
      <c r="K156" s="324"/>
      <c r="L156" s="331"/>
      <c r="M156" s="305"/>
      <c r="N156" s="324"/>
      <c r="O156" s="331"/>
      <c r="P156" s="305"/>
    </row>
    <row r="157" spans="1:16" s="226" customFormat="1" x14ac:dyDescent="0.2">
      <c r="A157" s="305"/>
      <c r="B157" s="324"/>
      <c r="C157" s="331"/>
      <c r="D157" s="305"/>
      <c r="E157" s="324"/>
      <c r="F157" s="331"/>
      <c r="G157" s="305"/>
      <c r="H157" s="324"/>
      <c r="I157" s="331"/>
      <c r="J157" s="305"/>
      <c r="K157" s="324"/>
      <c r="L157" s="331"/>
      <c r="M157" s="305"/>
      <c r="N157" s="324"/>
      <c r="O157" s="331"/>
      <c r="P157" s="305"/>
    </row>
    <row r="158" spans="1:16" s="226" customFormat="1" x14ac:dyDescent="0.2">
      <c r="A158" s="305"/>
      <c r="B158" s="324"/>
      <c r="C158" s="331"/>
      <c r="D158" s="305"/>
      <c r="E158" s="324"/>
      <c r="F158" s="331"/>
      <c r="G158" s="305"/>
      <c r="H158" s="324"/>
      <c r="I158" s="331"/>
      <c r="J158" s="305"/>
      <c r="K158" s="324"/>
      <c r="L158" s="331"/>
      <c r="M158" s="305"/>
      <c r="N158" s="324"/>
      <c r="O158" s="331"/>
      <c r="P158" s="305"/>
    </row>
    <row r="159" spans="1:16" s="226" customFormat="1" x14ac:dyDescent="0.2">
      <c r="A159" s="305"/>
      <c r="B159" s="324"/>
      <c r="C159" s="331"/>
      <c r="D159" s="305"/>
      <c r="E159" s="324"/>
      <c r="F159" s="331"/>
      <c r="G159" s="305"/>
      <c r="H159" s="324"/>
      <c r="I159" s="331"/>
      <c r="J159" s="305"/>
      <c r="K159" s="324"/>
      <c r="L159" s="331"/>
      <c r="M159" s="305"/>
      <c r="N159" s="324"/>
      <c r="O159" s="331"/>
      <c r="P159" s="305"/>
    </row>
    <row r="160" spans="1:16" s="226" customFormat="1" x14ac:dyDescent="0.2">
      <c r="A160" s="305"/>
      <c r="B160" s="324"/>
      <c r="C160" s="331"/>
      <c r="D160" s="305"/>
      <c r="E160" s="324"/>
      <c r="F160" s="331"/>
      <c r="G160" s="305"/>
      <c r="H160" s="324"/>
      <c r="I160" s="331"/>
      <c r="J160" s="305"/>
      <c r="K160" s="324"/>
      <c r="L160" s="331"/>
      <c r="M160" s="305"/>
      <c r="N160" s="324"/>
      <c r="O160" s="331"/>
      <c r="P160" s="305"/>
    </row>
    <row r="161" spans="1:16" s="226" customFormat="1" x14ac:dyDescent="0.2">
      <c r="A161" s="305"/>
      <c r="B161" s="324"/>
      <c r="C161" s="331"/>
      <c r="D161" s="305"/>
      <c r="E161" s="324"/>
      <c r="F161" s="331"/>
      <c r="G161" s="305"/>
      <c r="H161" s="324"/>
      <c r="I161" s="331"/>
      <c r="J161" s="305"/>
      <c r="K161" s="324"/>
      <c r="L161" s="331"/>
      <c r="M161" s="305"/>
      <c r="N161" s="324"/>
      <c r="O161" s="331"/>
      <c r="P161" s="305"/>
    </row>
    <row r="162" spans="1:16" s="226" customFormat="1" x14ac:dyDescent="0.2">
      <c r="A162" s="305"/>
      <c r="B162" s="324"/>
      <c r="C162" s="331"/>
      <c r="D162" s="305"/>
      <c r="E162" s="324"/>
      <c r="F162" s="331"/>
      <c r="G162" s="305"/>
      <c r="H162" s="324"/>
      <c r="I162" s="331"/>
      <c r="J162" s="305"/>
      <c r="K162" s="324"/>
      <c r="L162" s="331"/>
      <c r="M162" s="305"/>
      <c r="N162" s="324"/>
      <c r="O162" s="331"/>
      <c r="P162" s="305"/>
    </row>
    <row r="163" spans="1:16" s="226" customFormat="1" x14ac:dyDescent="0.2">
      <c r="A163" s="305"/>
      <c r="B163" s="324"/>
      <c r="C163" s="331"/>
      <c r="D163" s="305"/>
      <c r="E163" s="324"/>
      <c r="F163" s="331"/>
      <c r="G163" s="305"/>
      <c r="H163" s="324"/>
      <c r="I163" s="331"/>
      <c r="J163" s="305"/>
      <c r="K163" s="324"/>
      <c r="L163" s="331"/>
      <c r="M163" s="305"/>
      <c r="N163" s="324"/>
      <c r="O163" s="331"/>
      <c r="P163" s="305"/>
    </row>
    <row r="164" spans="1:16" s="226" customFormat="1" x14ac:dyDescent="0.2">
      <c r="A164" s="305"/>
      <c r="B164" s="324"/>
      <c r="C164" s="331"/>
      <c r="D164" s="305"/>
      <c r="E164" s="324"/>
      <c r="F164" s="331"/>
      <c r="G164" s="305"/>
      <c r="H164" s="324"/>
      <c r="I164" s="331"/>
      <c r="J164" s="305"/>
      <c r="K164" s="324"/>
      <c r="L164" s="331"/>
      <c r="M164" s="305"/>
      <c r="N164" s="324"/>
      <c r="O164" s="331"/>
      <c r="P164" s="305"/>
    </row>
    <row r="165" spans="1:16" s="226" customFormat="1" x14ac:dyDescent="0.2">
      <c r="A165" s="305"/>
      <c r="B165" s="324"/>
      <c r="C165" s="331"/>
      <c r="D165" s="305"/>
      <c r="E165" s="324"/>
      <c r="F165" s="331"/>
      <c r="G165" s="305"/>
      <c r="H165" s="324"/>
      <c r="I165" s="331"/>
      <c r="J165" s="305"/>
      <c r="K165" s="324"/>
      <c r="L165" s="331"/>
      <c r="M165" s="305"/>
      <c r="N165" s="324"/>
      <c r="O165" s="331"/>
      <c r="P165" s="305"/>
    </row>
    <row r="166" spans="1:16" s="226" customFormat="1" x14ac:dyDescent="0.2">
      <c r="A166" s="305"/>
      <c r="B166" s="324"/>
      <c r="C166" s="331"/>
      <c r="D166" s="305"/>
      <c r="E166" s="324"/>
      <c r="F166" s="331"/>
      <c r="G166" s="305"/>
      <c r="H166" s="324"/>
      <c r="I166" s="331"/>
      <c r="J166" s="305"/>
      <c r="K166" s="324"/>
      <c r="L166" s="331"/>
      <c r="M166" s="305"/>
      <c r="N166" s="324"/>
      <c r="O166" s="331"/>
      <c r="P166" s="305"/>
    </row>
    <row r="167" spans="1:16" s="226" customFormat="1" x14ac:dyDescent="0.2">
      <c r="A167" s="305"/>
      <c r="B167" s="324"/>
      <c r="C167" s="331"/>
      <c r="D167" s="305"/>
      <c r="E167" s="324"/>
      <c r="F167" s="331"/>
      <c r="G167" s="305"/>
      <c r="H167" s="324"/>
      <c r="I167" s="331"/>
      <c r="J167" s="305"/>
      <c r="K167" s="324"/>
      <c r="L167" s="331"/>
      <c r="M167" s="305"/>
      <c r="N167" s="324"/>
      <c r="O167" s="331"/>
      <c r="P167" s="305"/>
    </row>
    <row r="168" spans="1:16" s="226" customFormat="1" x14ac:dyDescent="0.2">
      <c r="A168" s="305"/>
      <c r="B168" s="324"/>
      <c r="C168" s="331"/>
      <c r="D168" s="305"/>
      <c r="E168" s="324"/>
      <c r="F168" s="331"/>
      <c r="G168" s="305"/>
      <c r="H168" s="324"/>
      <c r="I168" s="331"/>
      <c r="J168" s="305"/>
      <c r="K168" s="324"/>
      <c r="L168" s="331"/>
      <c r="M168" s="305"/>
      <c r="N168" s="324"/>
      <c r="O168" s="331"/>
      <c r="P168" s="305"/>
    </row>
    <row r="169" spans="1:16" s="226" customFormat="1" x14ac:dyDescent="0.2">
      <c r="A169" s="305"/>
      <c r="B169" s="324"/>
      <c r="C169" s="331"/>
      <c r="D169" s="305"/>
      <c r="E169" s="324"/>
      <c r="F169" s="331"/>
      <c r="G169" s="305"/>
      <c r="H169" s="324"/>
      <c r="I169" s="331"/>
      <c r="J169" s="305"/>
      <c r="K169" s="324"/>
      <c r="L169" s="331"/>
      <c r="M169" s="305"/>
      <c r="N169" s="324"/>
      <c r="O169" s="331"/>
      <c r="P169" s="305"/>
    </row>
    <row r="170" spans="1:16" s="226" customFormat="1" x14ac:dyDescent="0.2">
      <c r="A170" s="305"/>
      <c r="B170" s="324"/>
      <c r="C170" s="331"/>
      <c r="D170" s="305"/>
      <c r="E170" s="324"/>
      <c r="F170" s="331"/>
      <c r="G170" s="305"/>
      <c r="H170" s="324"/>
      <c r="I170" s="331"/>
      <c r="J170" s="305"/>
      <c r="K170" s="324"/>
      <c r="L170" s="331"/>
      <c r="M170" s="305"/>
      <c r="N170" s="324"/>
      <c r="O170" s="331"/>
      <c r="P170" s="305"/>
    </row>
    <row r="171" spans="1:16" s="226" customFormat="1" x14ac:dyDescent="0.2">
      <c r="A171" s="305"/>
      <c r="B171" s="324"/>
      <c r="C171" s="331"/>
      <c r="D171" s="305"/>
      <c r="E171" s="324"/>
      <c r="F171" s="331"/>
      <c r="G171" s="305"/>
      <c r="H171" s="324"/>
      <c r="I171" s="331"/>
      <c r="J171" s="305"/>
      <c r="K171" s="324"/>
      <c r="L171" s="331"/>
      <c r="M171" s="305"/>
      <c r="N171" s="324"/>
      <c r="O171" s="331"/>
      <c r="P171" s="305"/>
    </row>
    <row r="172" spans="1:16" s="226" customFormat="1" x14ac:dyDescent="0.2">
      <c r="A172" s="305"/>
      <c r="B172" s="324"/>
      <c r="C172" s="331"/>
      <c r="D172" s="305"/>
      <c r="E172" s="324"/>
      <c r="F172" s="331"/>
      <c r="G172" s="305"/>
      <c r="H172" s="324"/>
      <c r="I172" s="331"/>
      <c r="J172" s="305"/>
      <c r="K172" s="324"/>
      <c r="L172" s="331"/>
      <c r="M172" s="305"/>
      <c r="N172" s="324"/>
      <c r="O172" s="331"/>
      <c r="P172" s="305"/>
    </row>
    <row r="173" spans="1:16" s="226" customFormat="1" x14ac:dyDescent="0.2">
      <c r="A173" s="305"/>
      <c r="B173" s="324"/>
      <c r="C173" s="331"/>
      <c r="D173" s="305"/>
      <c r="E173" s="324"/>
      <c r="F173" s="331"/>
      <c r="G173" s="305"/>
      <c r="H173" s="324"/>
      <c r="I173" s="331"/>
      <c r="J173" s="305"/>
      <c r="K173" s="324"/>
      <c r="L173" s="331"/>
      <c r="M173" s="305"/>
      <c r="N173" s="324"/>
      <c r="O173" s="331"/>
      <c r="P173" s="305"/>
    </row>
    <row r="174" spans="1:16" s="226" customFormat="1" x14ac:dyDescent="0.2">
      <c r="A174" s="305"/>
      <c r="B174" s="324"/>
      <c r="C174" s="331"/>
      <c r="D174" s="305"/>
      <c r="E174" s="324"/>
      <c r="F174" s="331"/>
      <c r="G174" s="305"/>
      <c r="H174" s="324"/>
      <c r="I174" s="331"/>
      <c r="J174" s="305"/>
      <c r="K174" s="324"/>
      <c r="L174" s="331"/>
      <c r="M174" s="305"/>
      <c r="N174" s="324"/>
      <c r="O174" s="331"/>
      <c r="P174" s="305"/>
    </row>
    <row r="175" spans="1:16" s="226" customFormat="1" x14ac:dyDescent="0.2">
      <c r="A175" s="305"/>
      <c r="B175" s="324"/>
      <c r="C175" s="331"/>
      <c r="D175" s="305"/>
      <c r="E175" s="324"/>
      <c r="F175" s="331"/>
      <c r="G175" s="305"/>
      <c r="H175" s="324"/>
      <c r="I175" s="331"/>
      <c r="J175" s="305"/>
      <c r="K175" s="324"/>
      <c r="L175" s="331"/>
      <c r="M175" s="305"/>
      <c r="N175" s="324"/>
      <c r="O175" s="331"/>
      <c r="P175" s="305"/>
    </row>
    <row r="176" spans="1:16" s="226" customFormat="1" x14ac:dyDescent="0.2">
      <c r="A176" s="305"/>
      <c r="B176" s="324"/>
      <c r="C176" s="331"/>
      <c r="D176" s="305"/>
      <c r="E176" s="324"/>
      <c r="F176" s="331"/>
      <c r="G176" s="305"/>
      <c r="H176" s="324"/>
      <c r="I176" s="331"/>
      <c r="J176" s="305"/>
      <c r="K176" s="324"/>
      <c r="L176" s="331"/>
      <c r="M176" s="305"/>
      <c r="N176" s="324"/>
      <c r="O176" s="331"/>
      <c r="P176" s="305"/>
    </row>
    <row r="177" spans="1:16" s="226" customFormat="1" x14ac:dyDescent="0.2">
      <c r="A177" s="305"/>
      <c r="B177" s="324"/>
      <c r="C177" s="331"/>
      <c r="D177" s="305"/>
      <c r="E177" s="324"/>
      <c r="F177" s="331"/>
      <c r="G177" s="305"/>
      <c r="H177" s="324"/>
      <c r="I177" s="331"/>
      <c r="J177" s="305"/>
      <c r="K177" s="324"/>
      <c r="L177" s="331"/>
      <c r="M177" s="305"/>
      <c r="N177" s="324"/>
      <c r="O177" s="331"/>
      <c r="P177" s="305"/>
    </row>
    <row r="178" spans="1:16" s="226" customFormat="1" x14ac:dyDescent="0.2">
      <c r="A178" s="305"/>
      <c r="B178" s="324"/>
      <c r="C178" s="331"/>
      <c r="D178" s="305"/>
      <c r="E178" s="324"/>
      <c r="F178" s="331"/>
      <c r="G178" s="305"/>
      <c r="H178" s="324"/>
      <c r="I178" s="331"/>
      <c r="J178" s="305"/>
      <c r="K178" s="324"/>
      <c r="L178" s="331"/>
      <c r="M178" s="305"/>
      <c r="N178" s="324"/>
      <c r="O178" s="331"/>
      <c r="P178" s="305"/>
    </row>
    <row r="179" spans="1:16" s="226" customFormat="1" x14ac:dyDescent="0.2">
      <c r="A179" s="305"/>
      <c r="B179" s="324"/>
      <c r="C179" s="331"/>
      <c r="D179" s="305"/>
      <c r="E179" s="324"/>
      <c r="F179" s="331"/>
      <c r="G179" s="305"/>
      <c r="H179" s="324"/>
      <c r="I179" s="331"/>
      <c r="J179" s="305"/>
      <c r="K179" s="324"/>
      <c r="L179" s="331"/>
      <c r="M179" s="305"/>
      <c r="N179" s="324"/>
      <c r="O179" s="331"/>
      <c r="P179" s="305"/>
    </row>
    <row r="180" spans="1:16" s="226" customFormat="1" x14ac:dyDescent="0.2">
      <c r="A180" s="305"/>
      <c r="B180" s="324"/>
      <c r="C180" s="331"/>
      <c r="D180" s="305"/>
      <c r="E180" s="324"/>
      <c r="F180" s="331"/>
      <c r="G180" s="305"/>
      <c r="H180" s="324"/>
      <c r="I180" s="331"/>
      <c r="J180" s="305"/>
      <c r="K180" s="324"/>
      <c r="L180" s="331"/>
      <c r="M180" s="305"/>
      <c r="N180" s="324"/>
      <c r="O180" s="331"/>
      <c r="P180" s="305"/>
    </row>
    <row r="181" spans="1:16" s="226" customFormat="1" x14ac:dyDescent="0.2">
      <c r="A181" s="305"/>
      <c r="B181" s="324"/>
      <c r="C181" s="331"/>
      <c r="D181" s="305"/>
      <c r="E181" s="324"/>
      <c r="F181" s="331"/>
      <c r="G181" s="305"/>
      <c r="H181" s="324"/>
      <c r="I181" s="331"/>
      <c r="J181" s="305"/>
      <c r="K181" s="324"/>
      <c r="L181" s="331"/>
      <c r="M181" s="305"/>
      <c r="N181" s="324"/>
      <c r="O181" s="331"/>
      <c r="P181" s="305"/>
    </row>
    <row r="182" spans="1:16" s="226" customFormat="1" x14ac:dyDescent="0.2">
      <c r="A182" s="305"/>
      <c r="B182" s="324"/>
      <c r="C182" s="331"/>
      <c r="D182" s="305"/>
      <c r="E182" s="324"/>
      <c r="F182" s="331"/>
      <c r="G182" s="305"/>
      <c r="H182" s="324"/>
      <c r="I182" s="331"/>
      <c r="J182" s="305"/>
      <c r="K182" s="324"/>
      <c r="L182" s="331"/>
      <c r="M182" s="305"/>
      <c r="N182" s="324"/>
      <c r="O182" s="331"/>
      <c r="P182" s="305"/>
    </row>
    <row r="183" spans="1:16" s="226" customFormat="1" x14ac:dyDescent="0.2">
      <c r="A183" s="305"/>
      <c r="B183" s="324"/>
      <c r="C183" s="331"/>
      <c r="D183" s="305"/>
      <c r="E183" s="324"/>
      <c r="F183" s="331"/>
      <c r="G183" s="305"/>
      <c r="H183" s="324"/>
      <c r="I183" s="331"/>
      <c r="J183" s="305"/>
      <c r="K183" s="324"/>
      <c r="L183" s="331"/>
      <c r="M183" s="305"/>
      <c r="N183" s="324"/>
      <c r="O183" s="331"/>
      <c r="P183" s="305"/>
    </row>
    <row r="184" spans="1:16" s="226" customFormat="1" x14ac:dyDescent="0.2">
      <c r="A184" s="305"/>
      <c r="B184" s="324"/>
      <c r="C184" s="331"/>
      <c r="D184" s="305"/>
      <c r="E184" s="324"/>
      <c r="F184" s="331"/>
      <c r="G184" s="305"/>
      <c r="H184" s="324"/>
      <c r="I184" s="331"/>
      <c r="J184" s="305"/>
      <c r="K184" s="324"/>
      <c r="L184" s="331"/>
      <c r="M184" s="305"/>
      <c r="N184" s="324"/>
      <c r="O184" s="331"/>
      <c r="P184" s="305"/>
    </row>
    <row r="185" spans="1:16" s="226" customFormat="1" x14ac:dyDescent="0.2">
      <c r="A185" s="305"/>
      <c r="B185" s="324"/>
      <c r="C185" s="331"/>
      <c r="D185" s="305"/>
      <c r="E185" s="324"/>
      <c r="F185" s="331"/>
      <c r="G185" s="305"/>
      <c r="H185" s="324"/>
      <c r="I185" s="331"/>
      <c r="J185" s="305"/>
      <c r="K185" s="324"/>
      <c r="L185" s="331"/>
      <c r="M185" s="305"/>
      <c r="N185" s="324"/>
      <c r="O185" s="331"/>
      <c r="P185" s="305"/>
    </row>
    <row r="186" spans="1:16" s="226" customFormat="1" x14ac:dyDescent="0.2">
      <c r="A186" s="305"/>
      <c r="B186" s="324"/>
      <c r="C186" s="331"/>
      <c r="D186" s="305"/>
      <c r="E186" s="324"/>
      <c r="F186" s="331"/>
      <c r="G186" s="305"/>
      <c r="H186" s="324"/>
      <c r="I186" s="331"/>
      <c r="J186" s="305"/>
      <c r="K186" s="324"/>
      <c r="L186" s="331"/>
      <c r="M186" s="305"/>
      <c r="N186" s="324"/>
      <c r="O186" s="331"/>
      <c r="P186" s="305"/>
    </row>
    <row r="187" spans="1:16" s="226" customFormat="1" x14ac:dyDescent="0.2">
      <c r="A187" s="305"/>
      <c r="B187" s="324"/>
      <c r="C187" s="331"/>
      <c r="D187" s="305"/>
      <c r="E187" s="324"/>
      <c r="F187" s="331"/>
      <c r="G187" s="305"/>
      <c r="H187" s="324"/>
      <c r="I187" s="331"/>
      <c r="J187" s="305"/>
      <c r="K187" s="324"/>
      <c r="L187" s="331"/>
      <c r="M187" s="305"/>
      <c r="N187" s="324"/>
      <c r="O187" s="331"/>
      <c r="P187" s="305"/>
    </row>
    <row r="188" spans="1:16" s="226" customFormat="1" x14ac:dyDescent="0.2">
      <c r="A188" s="305"/>
      <c r="B188" s="324"/>
      <c r="C188" s="331"/>
      <c r="D188" s="305"/>
      <c r="E188" s="324"/>
      <c r="F188" s="331"/>
      <c r="G188" s="305"/>
      <c r="H188" s="324"/>
      <c r="I188" s="331"/>
      <c r="J188" s="305"/>
      <c r="K188" s="324"/>
      <c r="L188" s="331"/>
      <c r="M188" s="305"/>
      <c r="N188" s="324"/>
      <c r="O188" s="331"/>
      <c r="P188" s="305"/>
    </row>
    <row r="189" spans="1:16" s="226" customFormat="1" x14ac:dyDescent="0.2">
      <c r="A189" s="305"/>
      <c r="B189" s="324"/>
      <c r="C189" s="331"/>
      <c r="D189" s="305"/>
      <c r="E189" s="324"/>
      <c r="F189" s="331"/>
      <c r="G189" s="305"/>
      <c r="H189" s="324"/>
      <c r="I189" s="331"/>
      <c r="J189" s="305"/>
      <c r="K189" s="324"/>
      <c r="L189" s="331"/>
      <c r="M189" s="305"/>
      <c r="N189" s="324"/>
      <c r="O189" s="331"/>
      <c r="P189" s="305"/>
    </row>
    <row r="190" spans="1:16" s="226" customFormat="1" x14ac:dyDescent="0.2">
      <c r="A190" s="305"/>
      <c r="B190" s="324"/>
      <c r="C190" s="331"/>
      <c r="D190" s="305"/>
      <c r="E190" s="324"/>
      <c r="F190" s="331"/>
      <c r="G190" s="305"/>
      <c r="H190" s="324"/>
      <c r="I190" s="331"/>
      <c r="J190" s="305"/>
      <c r="K190" s="324"/>
      <c r="L190" s="331"/>
      <c r="M190" s="305"/>
      <c r="N190" s="324"/>
      <c r="O190" s="331"/>
      <c r="P190" s="305"/>
    </row>
    <row r="191" spans="1:16" s="226" customFormat="1" x14ac:dyDescent="0.2">
      <c r="A191" s="305"/>
      <c r="B191" s="324"/>
      <c r="C191" s="331"/>
      <c r="D191" s="305"/>
      <c r="E191" s="324"/>
      <c r="F191" s="331"/>
      <c r="G191" s="305"/>
      <c r="H191" s="324"/>
      <c r="I191" s="331"/>
      <c r="J191" s="305"/>
      <c r="K191" s="324"/>
      <c r="L191" s="331"/>
      <c r="M191" s="305"/>
      <c r="N191" s="324"/>
      <c r="O191" s="331"/>
      <c r="P191" s="305"/>
    </row>
    <row r="192" spans="1:16" s="226" customFormat="1" x14ac:dyDescent="0.2">
      <c r="A192" s="305"/>
      <c r="B192" s="324"/>
      <c r="C192" s="331"/>
      <c r="D192" s="305"/>
      <c r="E192" s="324"/>
      <c r="F192" s="331"/>
      <c r="G192" s="305"/>
      <c r="H192" s="324"/>
      <c r="I192" s="331"/>
      <c r="J192" s="305"/>
      <c r="K192" s="324"/>
      <c r="L192" s="331"/>
      <c r="M192" s="305"/>
      <c r="N192" s="324"/>
      <c r="O192" s="331"/>
      <c r="P192" s="305"/>
    </row>
    <row r="193" spans="1:16" s="226" customFormat="1" x14ac:dyDescent="0.2">
      <c r="A193" s="305"/>
      <c r="B193" s="324"/>
      <c r="C193" s="331"/>
      <c r="D193" s="305"/>
      <c r="E193" s="324"/>
      <c r="F193" s="331"/>
      <c r="G193" s="305"/>
      <c r="H193" s="324"/>
      <c r="I193" s="331"/>
      <c r="J193" s="305"/>
      <c r="K193" s="324"/>
      <c r="L193" s="331"/>
      <c r="M193" s="305"/>
      <c r="N193" s="324"/>
      <c r="O193" s="331"/>
      <c r="P193" s="305"/>
    </row>
    <row r="194" spans="1:16" s="226" customFormat="1" x14ac:dyDescent="0.2">
      <c r="A194" s="305"/>
      <c r="B194" s="324"/>
      <c r="C194" s="331"/>
      <c r="D194" s="305"/>
      <c r="E194" s="324"/>
      <c r="F194" s="331"/>
      <c r="G194" s="305"/>
      <c r="H194" s="324"/>
      <c r="I194" s="331"/>
      <c r="J194" s="305"/>
      <c r="K194" s="324"/>
      <c r="L194" s="331"/>
      <c r="M194" s="305"/>
      <c r="N194" s="324"/>
      <c r="O194" s="331"/>
      <c r="P194" s="305"/>
    </row>
    <row r="195" spans="1:16" s="226" customFormat="1" x14ac:dyDescent="0.2">
      <c r="A195" s="305"/>
      <c r="B195" s="324"/>
      <c r="C195" s="331"/>
      <c r="D195" s="305"/>
      <c r="E195" s="324"/>
      <c r="F195" s="331"/>
      <c r="G195" s="305"/>
      <c r="H195" s="324"/>
      <c r="I195" s="331"/>
      <c r="J195" s="305"/>
      <c r="K195" s="324"/>
      <c r="L195" s="331"/>
      <c r="M195" s="305"/>
      <c r="N195" s="324"/>
      <c r="O195" s="331"/>
      <c r="P195" s="305"/>
    </row>
    <row r="196" spans="1:16" s="226" customFormat="1" x14ac:dyDescent="0.2">
      <c r="A196" s="305"/>
      <c r="B196" s="324"/>
      <c r="C196" s="331"/>
      <c r="D196" s="305"/>
      <c r="E196" s="324"/>
      <c r="F196" s="331"/>
      <c r="G196" s="305"/>
      <c r="H196" s="324"/>
      <c r="I196" s="331"/>
      <c r="J196" s="305"/>
      <c r="K196" s="324"/>
      <c r="L196" s="331"/>
      <c r="M196" s="305"/>
      <c r="N196" s="324"/>
      <c r="O196" s="331"/>
      <c r="P196" s="305"/>
    </row>
    <row r="197" spans="1:16" s="226" customFormat="1" x14ac:dyDescent="0.2">
      <c r="A197" s="305"/>
      <c r="B197" s="324"/>
      <c r="C197" s="331"/>
      <c r="D197" s="305"/>
      <c r="E197" s="324"/>
      <c r="F197" s="331"/>
      <c r="G197" s="305"/>
      <c r="H197" s="324"/>
      <c r="I197" s="331"/>
      <c r="J197" s="305"/>
      <c r="K197" s="324"/>
      <c r="L197" s="331"/>
      <c r="M197" s="305"/>
      <c r="N197" s="324"/>
      <c r="O197" s="331"/>
      <c r="P197" s="305"/>
    </row>
    <row r="198" spans="1:16" s="226" customFormat="1" x14ac:dyDescent="0.2">
      <c r="A198" s="305"/>
      <c r="B198" s="324"/>
      <c r="C198" s="331"/>
      <c r="D198" s="305"/>
      <c r="E198" s="324"/>
      <c r="F198" s="331"/>
      <c r="G198" s="305"/>
      <c r="H198" s="324"/>
      <c r="I198" s="331"/>
      <c r="J198" s="305"/>
      <c r="K198" s="324"/>
      <c r="L198" s="331"/>
      <c r="M198" s="305"/>
      <c r="N198" s="324"/>
      <c r="O198" s="331"/>
      <c r="P198" s="305"/>
    </row>
    <row r="199" spans="1:16" s="226" customFormat="1" x14ac:dyDescent="0.2">
      <c r="A199" s="305"/>
      <c r="B199" s="324"/>
      <c r="C199" s="331"/>
      <c r="D199" s="305"/>
      <c r="E199" s="324"/>
      <c r="F199" s="331"/>
      <c r="G199" s="305"/>
      <c r="H199" s="324"/>
      <c r="I199" s="331"/>
      <c r="J199" s="305"/>
      <c r="K199" s="324"/>
      <c r="L199" s="331"/>
      <c r="M199" s="305"/>
      <c r="N199" s="324"/>
      <c r="O199" s="331"/>
      <c r="P199" s="305"/>
    </row>
    <row r="200" spans="1:16" s="226" customFormat="1" x14ac:dyDescent="0.2">
      <c r="A200" s="305"/>
      <c r="B200" s="324"/>
      <c r="C200" s="331"/>
      <c r="D200" s="305"/>
      <c r="E200" s="324"/>
      <c r="F200" s="331"/>
      <c r="G200" s="305"/>
      <c r="H200" s="324"/>
      <c r="I200" s="331"/>
      <c r="J200" s="305"/>
      <c r="K200" s="324"/>
      <c r="L200" s="331"/>
      <c r="M200" s="305"/>
      <c r="N200" s="324"/>
      <c r="O200" s="331"/>
      <c r="P200" s="305"/>
    </row>
    <row r="201" spans="1:16" s="226" customFormat="1" x14ac:dyDescent="0.2">
      <c r="A201" s="305"/>
      <c r="B201" s="324"/>
      <c r="C201" s="331"/>
      <c r="D201" s="305"/>
      <c r="E201" s="324"/>
      <c r="F201" s="331"/>
      <c r="G201" s="305"/>
      <c r="H201" s="324"/>
      <c r="I201" s="331"/>
      <c r="J201" s="305"/>
      <c r="K201" s="324"/>
      <c r="L201" s="331"/>
      <c r="M201" s="305"/>
      <c r="N201" s="324"/>
      <c r="O201" s="331"/>
      <c r="P201" s="305"/>
    </row>
    <row r="202" spans="1:16" s="226" customFormat="1" x14ac:dyDescent="0.2">
      <c r="A202" s="305"/>
      <c r="B202" s="324"/>
      <c r="C202" s="331"/>
      <c r="D202" s="305"/>
      <c r="E202" s="324"/>
      <c r="F202" s="331"/>
      <c r="G202" s="305"/>
      <c r="H202" s="324"/>
      <c r="I202" s="331"/>
      <c r="J202" s="305"/>
      <c r="K202" s="324"/>
      <c r="L202" s="331"/>
      <c r="M202" s="305"/>
      <c r="N202" s="324"/>
      <c r="O202" s="331"/>
      <c r="P202" s="305"/>
    </row>
    <row r="203" spans="1:16" s="226" customFormat="1" x14ac:dyDescent="0.2">
      <c r="A203" s="305"/>
      <c r="B203" s="324"/>
      <c r="C203" s="331"/>
      <c r="D203" s="305"/>
      <c r="E203" s="324"/>
      <c r="F203" s="331"/>
      <c r="G203" s="305"/>
      <c r="H203" s="324"/>
      <c r="I203" s="331"/>
      <c r="J203" s="305"/>
      <c r="K203" s="324"/>
      <c r="L203" s="331"/>
      <c r="M203" s="305"/>
      <c r="N203" s="324"/>
      <c r="O203" s="331"/>
      <c r="P203" s="305"/>
    </row>
    <row r="204" spans="1:16" s="226" customFormat="1" x14ac:dyDescent="0.2">
      <c r="A204" s="305"/>
      <c r="B204" s="324"/>
      <c r="C204" s="331"/>
      <c r="D204" s="305"/>
      <c r="E204" s="324"/>
      <c r="F204" s="331"/>
      <c r="G204" s="305"/>
      <c r="H204" s="324"/>
      <c r="I204" s="331"/>
      <c r="J204" s="305"/>
      <c r="K204" s="324"/>
      <c r="L204" s="331"/>
      <c r="M204" s="305"/>
      <c r="N204" s="324"/>
      <c r="O204" s="331"/>
      <c r="P204" s="305"/>
    </row>
    <row r="205" spans="1:16" s="226" customFormat="1" x14ac:dyDescent="0.2">
      <c r="A205" s="305"/>
      <c r="B205" s="324"/>
      <c r="C205" s="331"/>
      <c r="D205" s="305"/>
      <c r="E205" s="324"/>
      <c r="F205" s="331"/>
      <c r="G205" s="305"/>
      <c r="H205" s="324"/>
      <c r="I205" s="331"/>
      <c r="J205" s="305"/>
      <c r="K205" s="324"/>
      <c r="L205" s="331"/>
      <c r="M205" s="305"/>
      <c r="N205" s="324"/>
      <c r="O205" s="331"/>
      <c r="P205" s="305"/>
    </row>
    <row r="206" spans="1:16" s="226" customFormat="1" x14ac:dyDescent="0.2">
      <c r="A206" s="305"/>
      <c r="B206" s="324"/>
      <c r="C206" s="331"/>
      <c r="D206" s="305"/>
      <c r="E206" s="324"/>
      <c r="F206" s="331"/>
      <c r="G206" s="305"/>
      <c r="H206" s="324"/>
      <c r="I206" s="331"/>
      <c r="J206" s="305"/>
      <c r="K206" s="324"/>
      <c r="L206" s="331"/>
      <c r="M206" s="305"/>
      <c r="N206" s="324"/>
      <c r="O206" s="331"/>
      <c r="P206" s="305"/>
    </row>
    <row r="207" spans="1:16" s="226" customFormat="1" x14ac:dyDescent="0.2">
      <c r="A207" s="305"/>
      <c r="B207" s="324"/>
      <c r="C207" s="331"/>
      <c r="D207" s="305"/>
      <c r="E207" s="324"/>
      <c r="F207" s="331"/>
      <c r="G207" s="305"/>
      <c r="H207" s="324"/>
      <c r="I207" s="331"/>
      <c r="J207" s="305"/>
      <c r="K207" s="324"/>
      <c r="L207" s="331"/>
      <c r="M207" s="305"/>
      <c r="N207" s="324"/>
      <c r="O207" s="331"/>
      <c r="P207" s="305"/>
    </row>
    <row r="208" spans="1:16" s="226" customFormat="1" x14ac:dyDescent="0.2">
      <c r="A208" s="305"/>
      <c r="B208" s="324"/>
      <c r="C208" s="331"/>
      <c r="D208" s="305"/>
      <c r="E208" s="324"/>
      <c r="F208" s="331"/>
      <c r="G208" s="305"/>
      <c r="H208" s="324"/>
      <c r="I208" s="331"/>
      <c r="J208" s="305"/>
      <c r="K208" s="324"/>
      <c r="L208" s="331"/>
      <c r="M208" s="305"/>
      <c r="N208" s="324"/>
      <c r="O208" s="331"/>
      <c r="P208" s="305"/>
    </row>
    <row r="209" spans="1:16" s="226" customFormat="1" x14ac:dyDescent="0.2">
      <c r="A209" s="305"/>
      <c r="B209" s="324"/>
      <c r="C209" s="331"/>
      <c r="D209" s="305"/>
      <c r="E209" s="324"/>
      <c r="F209" s="331"/>
      <c r="G209" s="305"/>
      <c r="H209" s="324"/>
      <c r="I209" s="331"/>
      <c r="J209" s="305"/>
      <c r="K209" s="324"/>
      <c r="L209" s="331"/>
      <c r="M209" s="305"/>
      <c r="N209" s="324"/>
      <c r="O209" s="331"/>
      <c r="P209" s="305"/>
    </row>
    <row r="210" spans="1:16" s="226" customFormat="1" x14ac:dyDescent="0.2">
      <c r="A210" s="305"/>
      <c r="B210" s="324"/>
      <c r="C210" s="331"/>
      <c r="D210" s="305"/>
      <c r="E210" s="324"/>
      <c r="F210" s="331"/>
      <c r="G210" s="305"/>
      <c r="H210" s="324"/>
      <c r="I210" s="331"/>
      <c r="J210" s="305"/>
      <c r="K210" s="324"/>
      <c r="L210" s="331"/>
      <c r="M210" s="305"/>
      <c r="N210" s="324"/>
      <c r="O210" s="331"/>
      <c r="P210" s="305"/>
    </row>
    <row r="211" spans="1:16" s="226" customFormat="1" x14ac:dyDescent="0.2">
      <c r="A211" s="305"/>
      <c r="B211" s="324"/>
      <c r="C211" s="331"/>
      <c r="D211" s="305"/>
      <c r="E211" s="324"/>
      <c r="F211" s="331"/>
      <c r="G211" s="305"/>
      <c r="H211" s="324"/>
      <c r="I211" s="331"/>
      <c r="J211" s="305"/>
      <c r="K211" s="324"/>
      <c r="L211" s="331"/>
      <c r="M211" s="305"/>
      <c r="N211" s="324"/>
      <c r="O211" s="331"/>
      <c r="P211" s="305"/>
    </row>
    <row r="212" spans="1:16" s="226" customFormat="1" x14ac:dyDescent="0.2">
      <c r="A212" s="305"/>
      <c r="B212" s="324"/>
      <c r="C212" s="331"/>
      <c r="D212" s="305"/>
      <c r="E212" s="324"/>
      <c r="F212" s="331"/>
      <c r="G212" s="305"/>
      <c r="H212" s="324"/>
      <c r="I212" s="331"/>
      <c r="J212" s="305"/>
      <c r="K212" s="324"/>
      <c r="L212" s="331"/>
      <c r="M212" s="305"/>
      <c r="N212" s="324"/>
      <c r="O212" s="331"/>
      <c r="P212" s="305"/>
    </row>
    <row r="213" spans="1:16" s="226" customFormat="1" x14ac:dyDescent="0.2">
      <c r="A213" s="305"/>
      <c r="B213" s="324"/>
      <c r="C213" s="331"/>
      <c r="D213" s="305"/>
      <c r="E213" s="324"/>
      <c r="F213" s="331"/>
      <c r="G213" s="305"/>
      <c r="H213" s="324"/>
      <c r="I213" s="331"/>
      <c r="J213" s="305"/>
      <c r="K213" s="324"/>
      <c r="L213" s="331"/>
      <c r="M213" s="305"/>
      <c r="N213" s="324"/>
      <c r="O213" s="331"/>
      <c r="P213" s="305"/>
    </row>
    <row r="214" spans="1:16" s="226" customFormat="1" x14ac:dyDescent="0.2">
      <c r="A214" s="305"/>
      <c r="B214" s="324"/>
      <c r="C214" s="331"/>
      <c r="D214" s="305"/>
      <c r="E214" s="324"/>
      <c r="F214" s="331"/>
      <c r="G214" s="305"/>
      <c r="H214" s="324"/>
      <c r="I214" s="331"/>
      <c r="J214" s="305"/>
      <c r="K214" s="324"/>
      <c r="L214" s="331"/>
      <c r="M214" s="305"/>
      <c r="N214" s="324"/>
      <c r="O214" s="331"/>
      <c r="P214" s="305"/>
    </row>
    <row r="215" spans="1:16" s="226" customFormat="1" x14ac:dyDescent="0.2">
      <c r="A215" s="305"/>
      <c r="B215" s="324"/>
      <c r="C215" s="331"/>
      <c r="D215" s="305"/>
      <c r="E215" s="324"/>
      <c r="F215" s="331"/>
      <c r="G215" s="305"/>
      <c r="H215" s="324"/>
      <c r="I215" s="331"/>
      <c r="J215" s="305"/>
      <c r="K215" s="324"/>
      <c r="L215" s="331"/>
      <c r="M215" s="305"/>
      <c r="N215" s="324"/>
      <c r="O215" s="331"/>
      <c r="P215" s="305"/>
    </row>
    <row r="216" spans="1:16" s="226" customFormat="1" x14ac:dyDescent="0.2">
      <c r="A216" s="305"/>
      <c r="B216" s="324"/>
      <c r="C216" s="331"/>
      <c r="D216" s="305"/>
      <c r="E216" s="324"/>
      <c r="F216" s="331"/>
      <c r="G216" s="305"/>
      <c r="H216" s="324"/>
      <c r="I216" s="331"/>
      <c r="J216" s="305"/>
      <c r="K216" s="324"/>
      <c r="L216" s="331"/>
      <c r="M216" s="305"/>
      <c r="N216" s="324"/>
      <c r="O216" s="331"/>
      <c r="P216" s="305"/>
    </row>
    <row r="217" spans="1:16" s="226" customFormat="1" x14ac:dyDescent="0.2">
      <c r="A217" s="305"/>
      <c r="B217" s="324"/>
      <c r="C217" s="331"/>
      <c r="D217" s="305"/>
      <c r="E217" s="324"/>
      <c r="F217" s="331"/>
      <c r="G217" s="305"/>
      <c r="H217" s="324"/>
      <c r="I217" s="331"/>
      <c r="J217" s="305"/>
      <c r="K217" s="324"/>
      <c r="L217" s="331"/>
      <c r="M217" s="305"/>
      <c r="N217" s="324"/>
      <c r="O217" s="331"/>
      <c r="P217" s="305"/>
    </row>
    <row r="218" spans="1:16" s="226" customFormat="1" x14ac:dyDescent="0.2">
      <c r="A218" s="305"/>
      <c r="B218" s="324"/>
      <c r="C218" s="331"/>
      <c r="D218" s="305"/>
      <c r="E218" s="324"/>
      <c r="F218" s="331"/>
      <c r="G218" s="305"/>
      <c r="H218" s="324"/>
      <c r="I218" s="331"/>
      <c r="J218" s="305"/>
      <c r="K218" s="324"/>
      <c r="L218" s="331"/>
      <c r="M218" s="305"/>
      <c r="N218" s="324"/>
      <c r="O218" s="331"/>
      <c r="P218" s="305"/>
    </row>
    <row r="219" spans="1:16" s="226" customFormat="1" x14ac:dyDescent="0.2">
      <c r="A219" s="305"/>
      <c r="B219" s="324"/>
      <c r="C219" s="331"/>
      <c r="D219" s="305"/>
      <c r="E219" s="324"/>
      <c r="F219" s="331"/>
      <c r="G219" s="305"/>
      <c r="H219" s="324"/>
      <c r="I219" s="331"/>
      <c r="J219" s="305"/>
      <c r="K219" s="324"/>
      <c r="L219" s="331"/>
      <c r="M219" s="305"/>
      <c r="N219" s="324"/>
      <c r="O219" s="331"/>
      <c r="P219" s="305"/>
    </row>
    <row r="220" spans="1:16" s="226" customFormat="1" x14ac:dyDescent="0.2">
      <c r="A220" s="305"/>
      <c r="B220" s="324"/>
      <c r="C220" s="331"/>
      <c r="D220" s="305"/>
      <c r="E220" s="324"/>
      <c r="F220" s="331"/>
      <c r="G220" s="305"/>
      <c r="H220" s="324"/>
      <c r="I220" s="331"/>
      <c r="J220" s="305"/>
      <c r="K220" s="324"/>
      <c r="L220" s="331"/>
      <c r="M220" s="305"/>
      <c r="N220" s="324"/>
      <c r="O220" s="331"/>
      <c r="P220" s="305"/>
    </row>
    <row r="221" spans="1:16" s="226" customFormat="1" x14ac:dyDescent="0.2">
      <c r="A221" s="305"/>
      <c r="B221" s="324"/>
      <c r="C221" s="331"/>
      <c r="D221" s="305"/>
      <c r="E221" s="324"/>
      <c r="F221" s="331"/>
      <c r="G221" s="305"/>
      <c r="H221" s="324"/>
      <c r="I221" s="331"/>
      <c r="J221" s="305"/>
      <c r="K221" s="324"/>
      <c r="L221" s="331"/>
      <c r="M221" s="305"/>
      <c r="N221" s="324"/>
      <c r="O221" s="331"/>
      <c r="P221" s="305"/>
    </row>
    <row r="222" spans="1:16" s="226" customFormat="1" x14ac:dyDescent="0.2">
      <c r="A222" s="305"/>
      <c r="B222" s="324"/>
      <c r="C222" s="331"/>
      <c r="D222" s="305"/>
      <c r="E222" s="324"/>
      <c r="F222" s="331"/>
      <c r="G222" s="305"/>
      <c r="H222" s="324"/>
      <c r="I222" s="331"/>
      <c r="J222" s="305"/>
      <c r="K222" s="324"/>
      <c r="L222" s="331"/>
      <c r="M222" s="305"/>
      <c r="N222" s="324"/>
      <c r="O222" s="331"/>
      <c r="P222" s="305"/>
    </row>
    <row r="223" spans="1:16" s="226" customFormat="1" x14ac:dyDescent="0.2">
      <c r="A223" s="305"/>
      <c r="B223" s="324"/>
      <c r="C223" s="331"/>
      <c r="D223" s="305"/>
      <c r="E223" s="324"/>
      <c r="F223" s="331"/>
      <c r="G223" s="305"/>
      <c r="H223" s="324"/>
      <c r="I223" s="331"/>
      <c r="J223" s="305"/>
      <c r="K223" s="324"/>
      <c r="L223" s="331"/>
      <c r="M223" s="305"/>
      <c r="N223" s="324"/>
      <c r="O223" s="331"/>
      <c r="P223" s="305"/>
    </row>
    <row r="224" spans="1:16" s="226" customFormat="1" x14ac:dyDescent="0.2">
      <c r="A224" s="305"/>
      <c r="B224" s="324"/>
      <c r="C224" s="331"/>
      <c r="D224" s="305"/>
      <c r="E224" s="324"/>
      <c r="F224" s="331"/>
      <c r="G224" s="305"/>
      <c r="H224" s="324"/>
      <c r="I224" s="331"/>
      <c r="J224" s="305"/>
      <c r="K224" s="324"/>
      <c r="L224" s="331"/>
      <c r="M224" s="305"/>
      <c r="N224" s="324"/>
      <c r="O224" s="331"/>
      <c r="P224" s="305"/>
    </row>
    <row r="225" spans="1:16" s="226" customFormat="1" x14ac:dyDescent="0.2">
      <c r="A225" s="305"/>
      <c r="B225" s="324"/>
      <c r="C225" s="331"/>
      <c r="D225" s="305"/>
      <c r="E225" s="324"/>
      <c r="F225" s="331"/>
      <c r="G225" s="305"/>
      <c r="H225" s="324"/>
      <c r="I225" s="331"/>
      <c r="J225" s="305"/>
      <c r="K225" s="324"/>
      <c r="L225" s="331"/>
      <c r="M225" s="305"/>
      <c r="N225" s="324"/>
      <c r="O225" s="331"/>
      <c r="P225" s="305"/>
    </row>
    <row r="226" spans="1:16" s="226" customFormat="1" x14ac:dyDescent="0.2">
      <c r="A226" s="305"/>
      <c r="B226" s="324"/>
      <c r="C226" s="331"/>
      <c r="D226" s="305"/>
      <c r="E226" s="324"/>
      <c r="F226" s="331"/>
      <c r="G226" s="305"/>
      <c r="H226" s="324"/>
      <c r="I226" s="331"/>
      <c r="J226" s="305"/>
      <c r="K226" s="324"/>
      <c r="L226" s="331"/>
      <c r="M226" s="305"/>
      <c r="N226" s="324"/>
      <c r="O226" s="331"/>
      <c r="P226" s="305"/>
    </row>
    <row r="227" spans="1:16" s="226" customFormat="1" x14ac:dyDescent="0.2">
      <c r="A227" s="305"/>
      <c r="B227" s="324"/>
      <c r="C227" s="331"/>
      <c r="D227" s="305"/>
      <c r="E227" s="324"/>
      <c r="F227" s="331"/>
      <c r="G227" s="305"/>
      <c r="H227" s="324"/>
      <c r="I227" s="331"/>
      <c r="J227" s="305"/>
      <c r="K227" s="324"/>
      <c r="L227" s="331"/>
      <c r="M227" s="305"/>
      <c r="N227" s="324"/>
      <c r="O227" s="331"/>
      <c r="P227" s="305"/>
    </row>
    <row r="228" spans="1:16" s="226" customFormat="1" x14ac:dyDescent="0.2">
      <c r="A228" s="305"/>
      <c r="B228" s="324"/>
      <c r="C228" s="331"/>
      <c r="D228" s="305"/>
      <c r="E228" s="324"/>
      <c r="F228" s="331"/>
      <c r="G228" s="305"/>
      <c r="H228" s="324"/>
      <c r="I228" s="331"/>
      <c r="J228" s="305"/>
      <c r="K228" s="324"/>
      <c r="L228" s="331"/>
      <c r="M228" s="305"/>
      <c r="N228" s="324"/>
      <c r="O228" s="331"/>
      <c r="P228" s="305"/>
    </row>
    <row r="229" spans="1:16" s="226" customFormat="1" x14ac:dyDescent="0.2">
      <c r="A229" s="305"/>
      <c r="B229" s="324"/>
      <c r="C229" s="331"/>
      <c r="D229" s="305"/>
      <c r="E229" s="324"/>
      <c r="F229" s="331"/>
      <c r="G229" s="305"/>
      <c r="H229" s="324"/>
      <c r="I229" s="331"/>
      <c r="J229" s="305"/>
      <c r="K229" s="324"/>
      <c r="L229" s="331"/>
      <c r="M229" s="305"/>
      <c r="N229" s="324"/>
      <c r="O229" s="331"/>
      <c r="P229" s="305"/>
    </row>
    <row r="230" spans="1:16" s="226" customFormat="1" x14ac:dyDescent="0.2">
      <c r="A230" s="305"/>
      <c r="B230" s="324"/>
      <c r="C230" s="331"/>
      <c r="D230" s="305"/>
      <c r="E230" s="324"/>
      <c r="F230" s="331"/>
      <c r="G230" s="305"/>
      <c r="H230" s="324"/>
      <c r="I230" s="331"/>
      <c r="J230" s="305"/>
      <c r="K230" s="324"/>
      <c r="L230" s="331"/>
      <c r="M230" s="305"/>
      <c r="N230" s="324"/>
      <c r="O230" s="331"/>
      <c r="P230" s="305"/>
    </row>
    <row r="231" spans="1:16" s="226" customFormat="1" x14ac:dyDescent="0.2">
      <c r="A231" s="305"/>
      <c r="B231" s="324"/>
      <c r="C231" s="331"/>
      <c r="D231" s="305"/>
      <c r="E231" s="324"/>
      <c r="F231" s="331"/>
      <c r="G231" s="305"/>
      <c r="H231" s="324"/>
      <c r="I231" s="331"/>
      <c r="J231" s="305"/>
      <c r="K231" s="324"/>
      <c r="L231" s="331"/>
      <c r="M231" s="305"/>
      <c r="N231" s="324"/>
      <c r="O231" s="331"/>
      <c r="P231" s="305"/>
    </row>
    <row r="232" spans="1:16" s="226" customFormat="1" x14ac:dyDescent="0.2">
      <c r="A232" s="305"/>
      <c r="B232" s="324"/>
      <c r="C232" s="331"/>
      <c r="D232" s="305"/>
      <c r="E232" s="324"/>
      <c r="F232" s="331"/>
      <c r="G232" s="305"/>
      <c r="H232" s="324"/>
      <c r="I232" s="331"/>
      <c r="J232" s="305"/>
      <c r="K232" s="324"/>
      <c r="L232" s="331"/>
      <c r="M232" s="305"/>
      <c r="N232" s="324"/>
      <c r="O232" s="331"/>
      <c r="P232" s="305"/>
    </row>
    <row r="233" spans="1:16" s="226" customFormat="1" x14ac:dyDescent="0.2">
      <c r="A233" s="305"/>
      <c r="B233" s="324"/>
      <c r="C233" s="331"/>
      <c r="D233" s="305"/>
      <c r="E233" s="324"/>
      <c r="F233" s="331"/>
      <c r="G233" s="305"/>
      <c r="H233" s="324"/>
      <c r="I233" s="331"/>
      <c r="J233" s="305"/>
      <c r="K233" s="324"/>
      <c r="L233" s="331"/>
      <c r="M233" s="305"/>
      <c r="N233" s="324"/>
      <c r="O233" s="331"/>
      <c r="P233" s="305"/>
    </row>
    <row r="234" spans="1:16" s="226" customFormat="1" x14ac:dyDescent="0.2">
      <c r="A234" s="305"/>
      <c r="B234" s="324"/>
      <c r="C234" s="331"/>
      <c r="D234" s="305"/>
      <c r="E234" s="324"/>
      <c r="F234" s="331"/>
      <c r="G234" s="305"/>
      <c r="H234" s="324"/>
      <c r="I234" s="331"/>
      <c r="J234" s="305"/>
      <c r="K234" s="324"/>
      <c r="L234" s="331"/>
      <c r="M234" s="305"/>
      <c r="N234" s="324"/>
      <c r="O234" s="331"/>
      <c r="P234" s="305"/>
    </row>
    <row r="235" spans="1:16" s="226" customFormat="1" x14ac:dyDescent="0.2">
      <c r="A235" s="305"/>
      <c r="B235" s="324"/>
      <c r="C235" s="331"/>
      <c r="D235" s="305"/>
      <c r="E235" s="324"/>
      <c r="F235" s="331"/>
      <c r="G235" s="305"/>
      <c r="H235" s="324"/>
      <c r="I235" s="331"/>
      <c r="J235" s="305"/>
      <c r="K235" s="324"/>
      <c r="L235" s="331"/>
      <c r="M235" s="305"/>
      <c r="N235" s="324"/>
      <c r="O235" s="331"/>
      <c r="P235" s="305"/>
    </row>
    <row r="236" spans="1:16" s="226" customFormat="1" x14ac:dyDescent="0.2">
      <c r="A236" s="305"/>
      <c r="B236" s="324"/>
      <c r="C236" s="331"/>
      <c r="D236" s="305"/>
      <c r="E236" s="324"/>
      <c r="F236" s="331"/>
      <c r="G236" s="305"/>
      <c r="H236" s="324"/>
      <c r="I236" s="331"/>
      <c r="J236" s="305"/>
      <c r="K236" s="324"/>
      <c r="L236" s="331"/>
      <c r="M236" s="305"/>
      <c r="N236" s="324"/>
      <c r="O236" s="331"/>
      <c r="P236" s="305"/>
    </row>
    <row r="237" spans="1:16" s="226" customFormat="1" x14ac:dyDescent="0.2">
      <c r="A237" s="305"/>
      <c r="B237" s="324"/>
      <c r="C237" s="331"/>
      <c r="D237" s="305"/>
      <c r="E237" s="324"/>
      <c r="F237" s="331"/>
      <c r="G237" s="305"/>
      <c r="H237" s="324"/>
      <c r="I237" s="331"/>
      <c r="J237" s="305"/>
      <c r="K237" s="324"/>
      <c r="L237" s="331"/>
      <c r="M237" s="305"/>
      <c r="N237" s="324"/>
      <c r="O237" s="331"/>
      <c r="P237" s="305"/>
    </row>
    <row r="238" spans="1:16" s="226" customFormat="1" x14ac:dyDescent="0.2">
      <c r="A238" s="305"/>
      <c r="B238" s="324"/>
      <c r="C238" s="331"/>
      <c r="D238" s="305"/>
      <c r="E238" s="324"/>
      <c r="F238" s="331"/>
      <c r="G238" s="305"/>
      <c r="H238" s="324"/>
      <c r="I238" s="331"/>
      <c r="J238" s="305"/>
      <c r="K238" s="324"/>
      <c r="L238" s="331"/>
      <c r="M238" s="305"/>
      <c r="N238" s="324"/>
      <c r="O238" s="331"/>
      <c r="P238" s="305"/>
    </row>
    <row r="239" spans="1:16" s="226" customFormat="1" x14ac:dyDescent="0.2">
      <c r="A239" s="305"/>
      <c r="B239" s="324"/>
      <c r="C239" s="331"/>
      <c r="D239" s="305"/>
      <c r="E239" s="324"/>
      <c r="F239" s="331"/>
      <c r="G239" s="305"/>
      <c r="H239" s="324"/>
      <c r="I239" s="331"/>
      <c r="J239" s="305"/>
      <c r="K239" s="324"/>
      <c r="L239" s="331"/>
      <c r="M239" s="305"/>
      <c r="N239" s="324"/>
      <c r="O239" s="331"/>
      <c r="P239" s="305"/>
    </row>
    <row r="240" spans="1:16" s="226" customFormat="1" x14ac:dyDescent="0.2">
      <c r="A240" s="305"/>
      <c r="B240" s="324"/>
      <c r="C240" s="331"/>
      <c r="D240" s="305"/>
      <c r="E240" s="324"/>
      <c r="F240" s="331"/>
      <c r="G240" s="305"/>
      <c r="H240" s="324"/>
      <c r="I240" s="331"/>
      <c r="J240" s="305"/>
      <c r="K240" s="324"/>
      <c r="L240" s="331"/>
      <c r="M240" s="305"/>
      <c r="N240" s="324"/>
      <c r="O240" s="331"/>
      <c r="P240" s="305"/>
    </row>
    <row r="241" spans="1:16" s="226" customFormat="1" x14ac:dyDescent="0.2">
      <c r="A241" s="305"/>
      <c r="B241" s="324"/>
      <c r="C241" s="331"/>
      <c r="D241" s="305"/>
      <c r="E241" s="324"/>
      <c r="F241" s="331"/>
      <c r="G241" s="305"/>
      <c r="H241" s="324"/>
      <c r="I241" s="331"/>
      <c r="J241" s="305"/>
      <c r="K241" s="324"/>
      <c r="L241" s="331"/>
      <c r="M241" s="305"/>
      <c r="N241" s="324"/>
      <c r="O241" s="331"/>
      <c r="P241" s="305"/>
    </row>
    <row r="242" spans="1:16" s="226" customFormat="1" x14ac:dyDescent="0.2">
      <c r="A242" s="305"/>
      <c r="B242" s="324"/>
      <c r="C242" s="331"/>
      <c r="D242" s="305"/>
      <c r="E242" s="324"/>
      <c r="F242" s="331"/>
      <c r="G242" s="305"/>
      <c r="H242" s="324"/>
      <c r="I242" s="331"/>
      <c r="J242" s="305"/>
      <c r="K242" s="324"/>
      <c r="L242" s="331"/>
      <c r="M242" s="305"/>
      <c r="N242" s="324"/>
      <c r="O242" s="331"/>
      <c r="P242" s="305"/>
    </row>
    <row r="243" spans="1:16" s="226" customFormat="1" x14ac:dyDescent="0.2">
      <c r="A243" s="305"/>
      <c r="B243" s="324"/>
      <c r="C243" s="331"/>
      <c r="D243" s="305"/>
      <c r="E243" s="324"/>
      <c r="F243" s="331"/>
      <c r="G243" s="305"/>
      <c r="H243" s="324"/>
      <c r="I243" s="331"/>
      <c r="J243" s="305"/>
      <c r="K243" s="324"/>
      <c r="L243" s="331"/>
      <c r="M243" s="305"/>
      <c r="N243" s="324"/>
      <c r="O243" s="331"/>
      <c r="P243" s="305"/>
    </row>
    <row r="244" spans="1:16" s="226" customFormat="1" x14ac:dyDescent="0.2">
      <c r="A244" s="305"/>
      <c r="B244" s="324"/>
      <c r="C244" s="331"/>
      <c r="D244" s="305"/>
      <c r="E244" s="324"/>
      <c r="F244" s="331"/>
      <c r="G244" s="305"/>
      <c r="H244" s="324"/>
      <c r="I244" s="331"/>
      <c r="J244" s="305"/>
      <c r="K244" s="324"/>
      <c r="L244" s="331"/>
      <c r="M244" s="305"/>
      <c r="N244" s="324"/>
      <c r="O244" s="331"/>
      <c r="P244" s="305"/>
    </row>
    <row r="245" spans="1:16" s="226" customFormat="1" x14ac:dyDescent="0.2">
      <c r="A245" s="305"/>
      <c r="B245" s="324"/>
      <c r="C245" s="331"/>
      <c r="D245" s="305"/>
      <c r="E245" s="324"/>
      <c r="F245" s="331"/>
      <c r="G245" s="305"/>
      <c r="H245" s="324"/>
      <c r="I245" s="331"/>
      <c r="J245" s="305"/>
      <c r="K245" s="324"/>
      <c r="L245" s="331"/>
      <c r="M245" s="305"/>
      <c r="N245" s="324"/>
      <c r="O245" s="331"/>
      <c r="P245" s="305"/>
    </row>
    <row r="246" spans="1:16" s="226" customFormat="1" x14ac:dyDescent="0.2">
      <c r="A246" s="305"/>
      <c r="B246" s="324"/>
      <c r="C246" s="331"/>
      <c r="D246" s="305"/>
      <c r="E246" s="324"/>
      <c r="F246" s="331"/>
      <c r="G246" s="305"/>
      <c r="H246" s="324"/>
      <c r="I246" s="331"/>
      <c r="J246" s="305"/>
      <c r="K246" s="324"/>
      <c r="L246" s="331"/>
      <c r="M246" s="305"/>
      <c r="N246" s="324"/>
      <c r="O246" s="331"/>
      <c r="P246" s="305"/>
    </row>
    <row r="247" spans="1:16" s="226" customFormat="1" x14ac:dyDescent="0.2">
      <c r="A247" s="305"/>
      <c r="B247" s="324"/>
      <c r="C247" s="331"/>
      <c r="D247" s="305"/>
      <c r="E247" s="324"/>
      <c r="F247" s="331"/>
      <c r="G247" s="305"/>
      <c r="H247" s="324"/>
      <c r="I247" s="331"/>
      <c r="J247" s="305"/>
      <c r="K247" s="324"/>
      <c r="L247" s="331"/>
      <c r="M247" s="305"/>
      <c r="N247" s="324"/>
      <c r="O247" s="331"/>
      <c r="P247" s="305"/>
    </row>
    <row r="248" spans="1:16" s="226" customFormat="1" x14ac:dyDescent="0.2">
      <c r="A248" s="305"/>
      <c r="B248" s="324"/>
      <c r="C248" s="331"/>
      <c r="D248" s="305"/>
      <c r="E248" s="324"/>
      <c r="F248" s="331"/>
      <c r="G248" s="305"/>
      <c r="H248" s="324"/>
      <c r="I248" s="331"/>
      <c r="J248" s="305"/>
      <c r="K248" s="324"/>
      <c r="L248" s="331"/>
      <c r="M248" s="305"/>
      <c r="N248" s="324"/>
      <c r="O248" s="331"/>
      <c r="P248" s="305"/>
    </row>
    <row r="249" spans="1:16" s="226" customFormat="1" x14ac:dyDescent="0.2">
      <c r="A249" s="305"/>
      <c r="B249" s="324"/>
      <c r="C249" s="331"/>
      <c r="D249" s="305"/>
      <c r="E249" s="324"/>
      <c r="F249" s="331"/>
      <c r="G249" s="305"/>
      <c r="H249" s="324"/>
      <c r="I249" s="331"/>
      <c r="J249" s="305"/>
      <c r="K249" s="324"/>
      <c r="L249" s="331"/>
      <c r="M249" s="305"/>
      <c r="N249" s="324"/>
      <c r="O249" s="331"/>
      <c r="P249" s="305"/>
    </row>
    <row r="250" spans="1:16" s="226" customFormat="1" x14ac:dyDescent="0.2">
      <c r="A250" s="305"/>
      <c r="B250" s="324"/>
      <c r="C250" s="331"/>
      <c r="D250" s="305"/>
      <c r="E250" s="324"/>
      <c r="F250" s="331"/>
      <c r="G250" s="305"/>
      <c r="H250" s="324"/>
      <c r="I250" s="331"/>
      <c r="J250" s="305"/>
      <c r="K250" s="324"/>
      <c r="L250" s="331"/>
      <c r="M250" s="305"/>
      <c r="N250" s="324"/>
      <c r="O250" s="331"/>
      <c r="P250" s="305"/>
    </row>
    <row r="251" spans="1:16" s="226" customFormat="1" x14ac:dyDescent="0.2">
      <c r="A251" s="305"/>
      <c r="B251" s="324"/>
      <c r="C251" s="331"/>
      <c r="D251" s="305"/>
      <c r="E251" s="324"/>
      <c r="F251" s="331"/>
      <c r="G251" s="305"/>
      <c r="H251" s="324"/>
      <c r="I251" s="331"/>
      <c r="J251" s="305"/>
      <c r="K251" s="324"/>
      <c r="L251" s="331"/>
      <c r="M251" s="305"/>
      <c r="N251" s="324"/>
      <c r="O251" s="331"/>
      <c r="P251" s="305"/>
    </row>
    <row r="252" spans="1:16" s="226" customFormat="1" x14ac:dyDescent="0.2">
      <c r="A252" s="305"/>
      <c r="B252" s="324"/>
      <c r="C252" s="331"/>
      <c r="D252" s="305"/>
      <c r="E252" s="324"/>
      <c r="F252" s="331"/>
      <c r="G252" s="305"/>
      <c r="H252" s="324"/>
      <c r="I252" s="331"/>
      <c r="J252" s="305"/>
      <c r="K252" s="324"/>
      <c r="L252" s="331"/>
      <c r="M252" s="305"/>
      <c r="N252" s="324"/>
      <c r="O252" s="331"/>
      <c r="P252" s="305"/>
    </row>
    <row r="253" spans="1:16" s="226" customFormat="1" x14ac:dyDescent="0.2">
      <c r="A253" s="305"/>
      <c r="B253" s="324"/>
      <c r="C253" s="331"/>
      <c r="D253" s="305"/>
      <c r="E253" s="324"/>
      <c r="F253" s="331"/>
      <c r="G253" s="305"/>
      <c r="H253" s="324"/>
      <c r="I253" s="331"/>
      <c r="J253" s="305"/>
      <c r="K253" s="324"/>
      <c r="L253" s="331"/>
      <c r="M253" s="305"/>
      <c r="N253" s="324"/>
      <c r="O253" s="331"/>
      <c r="P253" s="305"/>
    </row>
    <row r="254" spans="1:16" s="226" customFormat="1" x14ac:dyDescent="0.2">
      <c r="A254" s="305"/>
      <c r="B254" s="324"/>
      <c r="C254" s="331"/>
      <c r="D254" s="305"/>
      <c r="E254" s="324"/>
      <c r="F254" s="331"/>
      <c r="G254" s="305"/>
      <c r="H254" s="324"/>
      <c r="I254" s="331"/>
      <c r="J254" s="305"/>
      <c r="K254" s="324"/>
      <c r="L254" s="331"/>
      <c r="M254" s="305"/>
      <c r="N254" s="324"/>
      <c r="O254" s="331"/>
      <c r="P254" s="305"/>
    </row>
    <row r="255" spans="1:16" s="226" customFormat="1" x14ac:dyDescent="0.2">
      <c r="A255" s="305"/>
      <c r="B255" s="324"/>
      <c r="C255" s="331"/>
      <c r="D255" s="305"/>
      <c r="E255" s="324"/>
      <c r="F255" s="331"/>
      <c r="G255" s="305"/>
      <c r="H255" s="324"/>
      <c r="I255" s="331"/>
      <c r="J255" s="305"/>
      <c r="K255" s="324"/>
      <c r="L255" s="331"/>
      <c r="M255" s="305"/>
      <c r="N255" s="324"/>
      <c r="O255" s="331"/>
      <c r="P255" s="305"/>
    </row>
    <row r="256" spans="1:16" s="226" customFormat="1" x14ac:dyDescent="0.2">
      <c r="A256" s="305"/>
      <c r="B256" s="324"/>
      <c r="C256" s="331"/>
      <c r="D256" s="305"/>
      <c r="E256" s="324"/>
      <c r="F256" s="331"/>
      <c r="G256" s="305"/>
      <c r="H256" s="324"/>
      <c r="I256" s="331"/>
      <c r="J256" s="305"/>
      <c r="K256" s="324"/>
      <c r="L256" s="331"/>
      <c r="M256" s="305"/>
      <c r="N256" s="324"/>
      <c r="O256" s="331"/>
      <c r="P256" s="305"/>
    </row>
    <row r="257" spans="1:16" s="226" customFormat="1" x14ac:dyDescent="0.2">
      <c r="A257" s="305"/>
      <c r="B257" s="324"/>
      <c r="C257" s="331"/>
      <c r="D257" s="305"/>
      <c r="E257" s="324"/>
      <c r="F257" s="331"/>
      <c r="G257" s="305"/>
      <c r="H257" s="324"/>
      <c r="I257" s="331"/>
      <c r="J257" s="305"/>
      <c r="K257" s="324"/>
      <c r="L257" s="331"/>
      <c r="M257" s="305"/>
      <c r="N257" s="324"/>
      <c r="O257" s="331"/>
      <c r="P257" s="305"/>
    </row>
    <row r="258" spans="1:16" s="226" customFormat="1" x14ac:dyDescent="0.2">
      <c r="A258" s="305"/>
      <c r="B258" s="324"/>
      <c r="C258" s="331"/>
      <c r="D258" s="305"/>
      <c r="E258" s="324"/>
      <c r="F258" s="331"/>
      <c r="G258" s="305"/>
      <c r="H258" s="324"/>
      <c r="I258" s="331"/>
      <c r="J258" s="305"/>
      <c r="K258" s="324"/>
      <c r="L258" s="331"/>
      <c r="M258" s="305"/>
      <c r="N258" s="324"/>
      <c r="O258" s="331"/>
      <c r="P258" s="305"/>
    </row>
    <row r="259" spans="1:16" s="226" customFormat="1" x14ac:dyDescent="0.2">
      <c r="A259" s="305"/>
      <c r="B259" s="324"/>
      <c r="C259" s="331"/>
      <c r="D259" s="305"/>
      <c r="E259" s="324"/>
      <c r="F259" s="331"/>
      <c r="G259" s="305"/>
      <c r="H259" s="324"/>
      <c r="I259" s="331"/>
      <c r="J259" s="305"/>
      <c r="K259" s="324"/>
      <c r="L259" s="331"/>
      <c r="M259" s="305"/>
      <c r="N259" s="324"/>
      <c r="O259" s="331"/>
      <c r="P259" s="305"/>
    </row>
    <row r="260" spans="1:16" s="226" customFormat="1" x14ac:dyDescent="0.2">
      <c r="A260" s="305"/>
      <c r="B260" s="324"/>
      <c r="C260" s="331"/>
      <c r="D260" s="305"/>
      <c r="E260" s="324"/>
      <c r="F260" s="331"/>
      <c r="G260" s="305"/>
      <c r="H260" s="324"/>
      <c r="I260" s="331"/>
      <c r="J260" s="305"/>
      <c r="K260" s="324"/>
      <c r="L260" s="331"/>
      <c r="M260" s="305"/>
      <c r="N260" s="324"/>
      <c r="O260" s="331"/>
      <c r="P260" s="305"/>
    </row>
    <row r="261" spans="1:16" s="226" customFormat="1" x14ac:dyDescent="0.2">
      <c r="A261" s="305"/>
      <c r="B261" s="324"/>
      <c r="C261" s="331"/>
      <c r="D261" s="305"/>
      <c r="E261" s="324"/>
      <c r="F261" s="331"/>
      <c r="G261" s="305"/>
      <c r="H261" s="324"/>
      <c r="I261" s="331"/>
      <c r="J261" s="305"/>
      <c r="K261" s="324"/>
      <c r="L261" s="331"/>
      <c r="M261" s="305"/>
      <c r="N261" s="324"/>
      <c r="O261" s="331"/>
      <c r="P261" s="305"/>
    </row>
    <row r="262" spans="1:16" s="226" customFormat="1" x14ac:dyDescent="0.2">
      <c r="A262" s="305"/>
      <c r="B262" s="324"/>
      <c r="C262" s="331"/>
      <c r="D262" s="305"/>
      <c r="E262" s="324"/>
      <c r="F262" s="331"/>
      <c r="G262" s="305"/>
      <c r="H262" s="324"/>
      <c r="I262" s="331"/>
      <c r="J262" s="305"/>
      <c r="K262" s="324"/>
      <c r="L262" s="331"/>
      <c r="M262" s="305"/>
      <c r="N262" s="324"/>
      <c r="O262" s="331"/>
      <c r="P262" s="305"/>
    </row>
    <row r="263" spans="1:16" s="226" customFormat="1" x14ac:dyDescent="0.2">
      <c r="A263" s="305"/>
      <c r="B263" s="324"/>
      <c r="C263" s="331"/>
      <c r="D263" s="305"/>
      <c r="E263" s="324"/>
      <c r="F263" s="331"/>
      <c r="G263" s="305"/>
      <c r="H263" s="324"/>
      <c r="I263" s="331"/>
      <c r="J263" s="305"/>
      <c r="K263" s="324"/>
      <c r="L263" s="331"/>
      <c r="M263" s="305"/>
      <c r="N263" s="324"/>
      <c r="O263" s="331"/>
      <c r="P263" s="305"/>
    </row>
    <row r="264" spans="1:16" s="226" customFormat="1" x14ac:dyDescent="0.2">
      <c r="A264" s="305"/>
      <c r="B264" s="324"/>
      <c r="C264" s="331"/>
      <c r="D264" s="305"/>
      <c r="E264" s="324"/>
      <c r="F264" s="331"/>
      <c r="G264" s="305"/>
      <c r="H264" s="324"/>
      <c r="I264" s="331"/>
      <c r="J264" s="305"/>
      <c r="K264" s="324"/>
      <c r="L264" s="331"/>
      <c r="M264" s="305"/>
      <c r="N264" s="324"/>
      <c r="O264" s="331"/>
      <c r="P264" s="305"/>
    </row>
    <row r="265" spans="1:16" s="226" customFormat="1" x14ac:dyDescent="0.2">
      <c r="A265" s="305"/>
      <c r="B265" s="324"/>
      <c r="C265" s="331"/>
      <c r="D265" s="305"/>
      <c r="E265" s="324"/>
      <c r="F265" s="331"/>
      <c r="G265" s="305"/>
      <c r="H265" s="324"/>
      <c r="I265" s="331"/>
      <c r="J265" s="305"/>
      <c r="K265" s="324"/>
      <c r="L265" s="331"/>
      <c r="M265" s="305"/>
      <c r="N265" s="324"/>
      <c r="O265" s="331"/>
      <c r="P265" s="305"/>
    </row>
    <row r="266" spans="1:16" s="226" customFormat="1" x14ac:dyDescent="0.2">
      <c r="A266" s="305"/>
      <c r="B266" s="324"/>
      <c r="C266" s="331"/>
      <c r="D266" s="305"/>
      <c r="E266" s="324"/>
      <c r="F266" s="331"/>
      <c r="G266" s="305"/>
      <c r="H266" s="324"/>
      <c r="I266" s="331"/>
      <c r="J266" s="305"/>
      <c r="K266" s="324"/>
      <c r="L266" s="331"/>
      <c r="M266" s="305"/>
      <c r="N266" s="324"/>
      <c r="O266" s="331"/>
      <c r="P266" s="305"/>
    </row>
    <row r="267" spans="1:16" s="226" customFormat="1" x14ac:dyDescent="0.2">
      <c r="A267" s="305"/>
      <c r="B267" s="324"/>
      <c r="C267" s="331"/>
      <c r="D267" s="305"/>
      <c r="E267" s="324"/>
      <c r="F267" s="331"/>
      <c r="G267" s="305"/>
      <c r="H267" s="324"/>
      <c r="I267" s="331"/>
      <c r="J267" s="305"/>
      <c r="K267" s="324"/>
      <c r="L267" s="331"/>
      <c r="M267" s="305"/>
      <c r="N267" s="324"/>
      <c r="O267" s="331"/>
      <c r="P267" s="305"/>
    </row>
    <row r="268" spans="1:16" s="226" customFormat="1" x14ac:dyDescent="0.2">
      <c r="A268" s="305"/>
      <c r="B268" s="324"/>
      <c r="C268" s="331"/>
      <c r="D268" s="305"/>
      <c r="E268" s="324"/>
      <c r="F268" s="331"/>
      <c r="G268" s="305"/>
      <c r="H268" s="324"/>
      <c r="I268" s="331"/>
      <c r="J268" s="305"/>
      <c r="K268" s="324"/>
      <c r="L268" s="331"/>
      <c r="M268" s="305"/>
      <c r="N268" s="324"/>
      <c r="O268" s="331"/>
      <c r="P268" s="305"/>
    </row>
    <row r="269" spans="1:16" s="226" customFormat="1" x14ac:dyDescent="0.2">
      <c r="A269" s="305"/>
      <c r="B269" s="324"/>
      <c r="C269" s="331"/>
      <c r="D269" s="305"/>
      <c r="E269" s="324"/>
      <c r="F269" s="331"/>
      <c r="G269" s="305"/>
      <c r="H269" s="324"/>
      <c r="I269" s="331"/>
      <c r="J269" s="305"/>
      <c r="K269" s="324"/>
      <c r="L269" s="331"/>
      <c r="M269" s="305"/>
      <c r="N269" s="324"/>
      <c r="O269" s="331"/>
      <c r="P269" s="305"/>
    </row>
    <row r="270" spans="1:16" s="226" customFormat="1" x14ac:dyDescent="0.2">
      <c r="A270" s="305"/>
      <c r="B270" s="324"/>
      <c r="C270" s="331"/>
      <c r="D270" s="305"/>
      <c r="E270" s="324"/>
      <c r="F270" s="331"/>
      <c r="G270" s="305"/>
      <c r="H270" s="324"/>
      <c r="I270" s="331"/>
      <c r="J270" s="305"/>
      <c r="K270" s="324"/>
      <c r="L270" s="331"/>
      <c r="M270" s="305"/>
      <c r="N270" s="324"/>
      <c r="O270" s="331"/>
      <c r="P270" s="305"/>
    </row>
    <row r="271" spans="1:16" s="226" customFormat="1" x14ac:dyDescent="0.2">
      <c r="A271" s="305"/>
      <c r="B271" s="324"/>
      <c r="C271" s="331"/>
      <c r="D271" s="305"/>
      <c r="E271" s="324"/>
      <c r="F271" s="331"/>
      <c r="G271" s="305"/>
      <c r="H271" s="324"/>
      <c r="I271" s="331"/>
      <c r="J271" s="305"/>
      <c r="K271" s="324"/>
      <c r="L271" s="331"/>
      <c r="M271" s="305"/>
      <c r="N271" s="324"/>
      <c r="O271" s="331"/>
      <c r="P271" s="305"/>
    </row>
    <row r="272" spans="1:16" s="226" customFormat="1" x14ac:dyDescent="0.2">
      <c r="A272" s="305"/>
      <c r="B272" s="324"/>
      <c r="C272" s="331"/>
      <c r="D272" s="305"/>
      <c r="E272" s="324"/>
      <c r="F272" s="331"/>
      <c r="G272" s="305"/>
      <c r="H272" s="324"/>
      <c r="I272" s="331"/>
      <c r="J272" s="305"/>
      <c r="K272" s="324"/>
      <c r="L272" s="331"/>
      <c r="M272" s="305"/>
      <c r="N272" s="324"/>
      <c r="O272" s="331"/>
      <c r="P272" s="305"/>
    </row>
    <row r="273" spans="1:16" s="226" customFormat="1" x14ac:dyDescent="0.2">
      <c r="A273" s="305"/>
      <c r="B273" s="324"/>
      <c r="C273" s="331"/>
      <c r="D273" s="305"/>
      <c r="E273" s="324"/>
      <c r="F273" s="331"/>
      <c r="G273" s="305"/>
      <c r="H273" s="324"/>
      <c r="I273" s="331"/>
      <c r="J273" s="305"/>
      <c r="K273" s="324"/>
      <c r="L273" s="331"/>
      <c r="M273" s="305"/>
      <c r="N273" s="324"/>
      <c r="O273" s="331"/>
      <c r="P273" s="305"/>
    </row>
    <row r="274" spans="1:16" s="226" customFormat="1" x14ac:dyDescent="0.2">
      <c r="A274" s="305"/>
      <c r="B274" s="324"/>
      <c r="C274" s="331"/>
      <c r="D274" s="305"/>
      <c r="E274" s="324"/>
      <c r="F274" s="331"/>
      <c r="G274" s="305"/>
      <c r="H274" s="324"/>
      <c r="I274" s="331"/>
      <c r="J274" s="305"/>
      <c r="K274" s="324"/>
      <c r="L274" s="331"/>
      <c r="M274" s="305"/>
      <c r="N274" s="324"/>
      <c r="O274" s="331"/>
      <c r="P274" s="305"/>
    </row>
    <row r="275" spans="1:16" s="226" customFormat="1" x14ac:dyDescent="0.2">
      <c r="A275" s="305"/>
      <c r="B275" s="324"/>
      <c r="C275" s="331"/>
      <c r="D275" s="305"/>
      <c r="E275" s="324"/>
      <c r="F275" s="331"/>
      <c r="G275" s="305"/>
      <c r="H275" s="324"/>
      <c r="I275" s="331"/>
      <c r="J275" s="305"/>
      <c r="K275" s="324"/>
      <c r="L275" s="331"/>
      <c r="M275" s="305"/>
      <c r="N275" s="324"/>
      <c r="O275" s="331"/>
      <c r="P275" s="305"/>
    </row>
    <row r="276" spans="1:16" s="226" customFormat="1" x14ac:dyDescent="0.2">
      <c r="A276" s="305"/>
      <c r="B276" s="324"/>
      <c r="C276" s="331"/>
      <c r="D276" s="305"/>
      <c r="E276" s="324"/>
      <c r="F276" s="331"/>
      <c r="G276" s="305"/>
      <c r="H276" s="324"/>
      <c r="I276" s="331"/>
      <c r="J276" s="305"/>
      <c r="K276" s="324"/>
      <c r="L276" s="331"/>
      <c r="M276" s="305"/>
      <c r="N276" s="324"/>
      <c r="O276" s="331"/>
      <c r="P276" s="305"/>
    </row>
    <row r="277" spans="1:16" s="226" customFormat="1" x14ac:dyDescent="0.2">
      <c r="A277" s="305"/>
      <c r="B277" s="324"/>
      <c r="C277" s="331"/>
      <c r="D277" s="305"/>
      <c r="E277" s="324"/>
      <c r="F277" s="331"/>
      <c r="G277" s="305"/>
      <c r="H277" s="324"/>
      <c r="I277" s="331"/>
      <c r="J277" s="305"/>
      <c r="K277" s="324"/>
      <c r="L277" s="331"/>
      <c r="M277" s="305"/>
      <c r="N277" s="324"/>
      <c r="O277" s="331"/>
      <c r="P277" s="305"/>
    </row>
    <row r="278" spans="1:16" s="226" customFormat="1" x14ac:dyDescent="0.2">
      <c r="A278" s="305"/>
      <c r="B278" s="324"/>
      <c r="C278" s="331"/>
      <c r="D278" s="305"/>
      <c r="E278" s="324"/>
      <c r="F278" s="331"/>
      <c r="G278" s="305"/>
      <c r="H278" s="324"/>
      <c r="I278" s="331"/>
      <c r="J278" s="305"/>
      <c r="K278" s="324"/>
      <c r="L278" s="331"/>
      <c r="M278" s="305"/>
      <c r="N278" s="324"/>
      <c r="O278" s="331"/>
      <c r="P278" s="305"/>
    </row>
    <row r="279" spans="1:16" s="226" customFormat="1" x14ac:dyDescent="0.2">
      <c r="A279" s="305"/>
      <c r="B279" s="324"/>
      <c r="C279" s="331"/>
      <c r="D279" s="305"/>
      <c r="E279" s="324"/>
      <c r="F279" s="331"/>
      <c r="G279" s="305"/>
      <c r="H279" s="324"/>
      <c r="I279" s="331"/>
      <c r="J279" s="305"/>
      <c r="K279" s="324"/>
      <c r="L279" s="331"/>
      <c r="M279" s="305"/>
      <c r="N279" s="324"/>
      <c r="O279" s="331"/>
      <c r="P279" s="305"/>
    </row>
    <row r="280" spans="1:16" s="226" customFormat="1" x14ac:dyDescent="0.2">
      <c r="A280" s="305"/>
      <c r="B280" s="324"/>
      <c r="C280" s="331"/>
      <c r="D280" s="305"/>
      <c r="E280" s="324"/>
      <c r="F280" s="331"/>
      <c r="G280" s="305"/>
      <c r="H280" s="324"/>
      <c r="I280" s="331"/>
      <c r="J280" s="305"/>
      <c r="K280" s="324"/>
      <c r="L280" s="331"/>
      <c r="M280" s="305"/>
      <c r="N280" s="324"/>
      <c r="O280" s="331"/>
      <c r="P280" s="305"/>
    </row>
    <row r="281" spans="1:16" s="226" customFormat="1" x14ac:dyDescent="0.2">
      <c r="A281" s="305"/>
      <c r="B281" s="324"/>
      <c r="C281" s="331"/>
      <c r="D281" s="305"/>
      <c r="E281" s="324"/>
      <c r="F281" s="331"/>
      <c r="G281" s="305"/>
      <c r="H281" s="324"/>
      <c r="I281" s="331"/>
      <c r="J281" s="305"/>
      <c r="K281" s="324"/>
      <c r="L281" s="331"/>
      <c r="M281" s="305"/>
      <c r="N281" s="324"/>
      <c r="O281" s="331"/>
      <c r="P281" s="305"/>
    </row>
    <row r="282" spans="1:16" s="226" customFormat="1" x14ac:dyDescent="0.2">
      <c r="A282" s="305"/>
      <c r="B282" s="324"/>
      <c r="C282" s="331"/>
      <c r="D282" s="305"/>
      <c r="E282" s="324"/>
      <c r="F282" s="331"/>
      <c r="G282" s="305"/>
      <c r="H282" s="324"/>
      <c r="I282" s="331"/>
      <c r="J282" s="305"/>
      <c r="K282" s="324"/>
      <c r="L282" s="331"/>
      <c r="M282" s="305"/>
      <c r="N282" s="324"/>
      <c r="O282" s="331"/>
      <c r="P282" s="305"/>
    </row>
    <row r="283" spans="1:16" s="226" customFormat="1" x14ac:dyDescent="0.2">
      <c r="A283" s="305"/>
      <c r="B283" s="324"/>
      <c r="C283" s="331"/>
      <c r="D283" s="305"/>
      <c r="E283" s="324"/>
      <c r="F283" s="331"/>
      <c r="G283" s="305"/>
      <c r="H283" s="324"/>
      <c r="I283" s="331"/>
      <c r="J283" s="305"/>
      <c r="K283" s="324"/>
      <c r="L283" s="331"/>
      <c r="M283" s="305"/>
      <c r="N283" s="324"/>
      <c r="O283" s="331"/>
      <c r="P283" s="305"/>
    </row>
    <row r="284" spans="1:16" s="226" customFormat="1" x14ac:dyDescent="0.2">
      <c r="A284" s="305"/>
      <c r="B284" s="324"/>
      <c r="C284" s="331"/>
      <c r="D284" s="305"/>
      <c r="E284" s="324"/>
      <c r="F284" s="331"/>
      <c r="G284" s="305"/>
      <c r="H284" s="324"/>
      <c r="I284" s="331"/>
      <c r="J284" s="305"/>
      <c r="K284" s="324"/>
      <c r="L284" s="331"/>
      <c r="M284" s="305"/>
      <c r="N284" s="324"/>
      <c r="O284" s="331"/>
      <c r="P284" s="305"/>
    </row>
    <row r="285" spans="1:16" s="226" customFormat="1" x14ac:dyDescent="0.2">
      <c r="A285" s="305"/>
      <c r="B285" s="324"/>
      <c r="C285" s="331"/>
      <c r="D285" s="305"/>
      <c r="E285" s="324"/>
      <c r="F285" s="331"/>
      <c r="G285" s="305"/>
      <c r="H285" s="324"/>
      <c r="I285" s="331"/>
      <c r="J285" s="305"/>
      <c r="K285" s="324"/>
      <c r="L285" s="331"/>
      <c r="M285" s="305"/>
      <c r="N285" s="324"/>
      <c r="O285" s="331"/>
      <c r="P285" s="305"/>
    </row>
    <row r="286" spans="1:16" s="226" customFormat="1" x14ac:dyDescent="0.2">
      <c r="A286" s="305"/>
      <c r="B286" s="324"/>
      <c r="C286" s="331"/>
      <c r="D286" s="305"/>
      <c r="E286" s="324"/>
      <c r="F286" s="331"/>
      <c r="G286" s="305"/>
      <c r="H286" s="324"/>
      <c r="I286" s="331"/>
      <c r="J286" s="305"/>
      <c r="K286" s="324"/>
      <c r="L286" s="331"/>
      <c r="M286" s="305"/>
      <c r="N286" s="324"/>
      <c r="O286" s="331"/>
      <c r="P286" s="305"/>
    </row>
    <row r="287" spans="1:16" s="226" customFormat="1" x14ac:dyDescent="0.2">
      <c r="A287" s="305"/>
      <c r="B287" s="324"/>
      <c r="C287" s="331"/>
      <c r="D287" s="305"/>
      <c r="E287" s="324"/>
      <c r="F287" s="331"/>
      <c r="G287" s="305"/>
      <c r="H287" s="324"/>
      <c r="I287" s="331"/>
      <c r="J287" s="305"/>
      <c r="K287" s="324"/>
      <c r="L287" s="331"/>
      <c r="M287" s="305"/>
      <c r="N287" s="324"/>
      <c r="O287" s="331"/>
      <c r="P287" s="305"/>
    </row>
    <row r="288" spans="1:16" s="226" customFormat="1" x14ac:dyDescent="0.2">
      <c r="A288" s="305"/>
      <c r="B288" s="324"/>
      <c r="C288" s="331"/>
      <c r="D288" s="305"/>
      <c r="E288" s="324"/>
      <c r="F288" s="331"/>
      <c r="G288" s="305"/>
      <c r="H288" s="324"/>
      <c r="I288" s="331"/>
      <c r="J288" s="305"/>
      <c r="K288" s="324"/>
      <c r="L288" s="331"/>
      <c r="M288" s="305"/>
      <c r="N288" s="324"/>
      <c r="O288" s="331"/>
      <c r="P288" s="305"/>
    </row>
    <row r="289" spans="1:16" s="226" customFormat="1" x14ac:dyDescent="0.2">
      <c r="A289" s="305"/>
      <c r="B289" s="324"/>
      <c r="C289" s="331"/>
      <c r="D289" s="305"/>
      <c r="E289" s="324"/>
      <c r="F289" s="331"/>
      <c r="G289" s="305"/>
      <c r="H289" s="324"/>
      <c r="I289" s="331"/>
      <c r="J289" s="305"/>
      <c r="K289" s="324"/>
      <c r="L289" s="331"/>
      <c r="M289" s="305"/>
      <c r="N289" s="324"/>
      <c r="O289" s="331"/>
      <c r="P289" s="305"/>
    </row>
    <row r="290" spans="1:16" s="226" customFormat="1" x14ac:dyDescent="0.2">
      <c r="A290" s="305"/>
      <c r="B290" s="324"/>
      <c r="C290" s="331"/>
      <c r="D290" s="305"/>
      <c r="E290" s="324"/>
      <c r="F290" s="331"/>
      <c r="G290" s="305"/>
      <c r="H290" s="324"/>
      <c r="I290" s="331"/>
      <c r="J290" s="305"/>
      <c r="K290" s="324"/>
      <c r="L290" s="331"/>
      <c r="M290" s="305"/>
      <c r="N290" s="324"/>
      <c r="O290" s="331"/>
      <c r="P290" s="305"/>
    </row>
    <row r="291" spans="1:16" s="226" customFormat="1" x14ac:dyDescent="0.2">
      <c r="A291" s="305"/>
      <c r="B291" s="324"/>
      <c r="C291" s="331"/>
      <c r="D291" s="305"/>
      <c r="E291" s="324"/>
      <c r="F291" s="331"/>
      <c r="G291" s="305"/>
      <c r="H291" s="324"/>
      <c r="I291" s="331"/>
      <c r="J291" s="305"/>
      <c r="K291" s="324"/>
      <c r="L291" s="331"/>
      <c r="M291" s="305"/>
      <c r="N291" s="324"/>
      <c r="O291" s="331"/>
      <c r="P291" s="305"/>
    </row>
    <row r="292" spans="1:16" s="226" customFormat="1" x14ac:dyDescent="0.2">
      <c r="A292" s="305"/>
      <c r="B292" s="324"/>
      <c r="C292" s="331"/>
      <c r="D292" s="305"/>
      <c r="E292" s="324"/>
      <c r="F292" s="331"/>
      <c r="G292" s="305"/>
      <c r="H292" s="324"/>
      <c r="I292" s="331"/>
      <c r="J292" s="305"/>
      <c r="K292" s="324"/>
      <c r="L292" s="331"/>
      <c r="M292" s="305"/>
      <c r="N292" s="324"/>
      <c r="O292" s="331"/>
      <c r="P292" s="305"/>
    </row>
    <row r="293" spans="1:16" s="226" customFormat="1" x14ac:dyDescent="0.2">
      <c r="A293" s="305"/>
      <c r="B293" s="324"/>
      <c r="C293" s="331"/>
      <c r="D293" s="305"/>
      <c r="E293" s="324"/>
      <c r="F293" s="331"/>
      <c r="G293" s="305"/>
      <c r="H293" s="324"/>
      <c r="I293" s="331"/>
      <c r="J293" s="305"/>
      <c r="K293" s="324"/>
      <c r="L293" s="331"/>
      <c r="M293" s="305"/>
      <c r="N293" s="324"/>
      <c r="O293" s="331"/>
      <c r="P293" s="305"/>
    </row>
    <row r="294" spans="1:16" s="226" customFormat="1" x14ac:dyDescent="0.2">
      <c r="A294" s="305"/>
      <c r="B294" s="324"/>
      <c r="C294" s="331"/>
      <c r="D294" s="305"/>
      <c r="E294" s="324"/>
      <c r="F294" s="331"/>
      <c r="G294" s="305"/>
      <c r="H294" s="324"/>
      <c r="I294" s="331"/>
      <c r="J294" s="305"/>
      <c r="K294" s="324"/>
      <c r="L294" s="331"/>
      <c r="M294" s="305"/>
      <c r="N294" s="324"/>
      <c r="O294" s="331"/>
      <c r="P294" s="305"/>
    </row>
    <row r="295" spans="1:16" s="226" customFormat="1" x14ac:dyDescent="0.2">
      <c r="A295" s="305"/>
      <c r="B295" s="324"/>
      <c r="C295" s="331"/>
      <c r="D295" s="305"/>
      <c r="E295" s="324"/>
      <c r="F295" s="331"/>
      <c r="G295" s="305"/>
      <c r="H295" s="324"/>
      <c r="I295" s="331"/>
      <c r="J295" s="305"/>
      <c r="K295" s="324"/>
      <c r="L295" s="331"/>
      <c r="M295" s="305"/>
      <c r="N295" s="324"/>
      <c r="O295" s="331"/>
      <c r="P295" s="305"/>
    </row>
    <row r="296" spans="1:16" s="226" customFormat="1" x14ac:dyDescent="0.2">
      <c r="A296" s="305"/>
      <c r="B296" s="324"/>
      <c r="C296" s="331"/>
      <c r="D296" s="305"/>
      <c r="E296" s="324"/>
      <c r="F296" s="331"/>
      <c r="G296" s="305"/>
      <c r="H296" s="324"/>
      <c r="I296" s="331"/>
      <c r="J296" s="305"/>
      <c r="K296" s="324"/>
      <c r="L296" s="331"/>
      <c r="M296" s="305"/>
      <c r="N296" s="324"/>
      <c r="O296" s="331"/>
      <c r="P296" s="305"/>
    </row>
    <row r="297" spans="1:16" s="226" customFormat="1" x14ac:dyDescent="0.2">
      <c r="A297" s="305"/>
      <c r="B297" s="324"/>
      <c r="C297" s="331"/>
      <c r="D297" s="305"/>
      <c r="E297" s="324"/>
      <c r="F297" s="331"/>
      <c r="G297" s="305"/>
      <c r="H297" s="324"/>
      <c r="I297" s="331"/>
      <c r="J297" s="305"/>
      <c r="K297" s="324"/>
      <c r="L297" s="331"/>
      <c r="M297" s="305"/>
      <c r="N297" s="324"/>
      <c r="O297" s="331"/>
      <c r="P297" s="305"/>
    </row>
    <row r="298" spans="1:16" s="226" customFormat="1" x14ac:dyDescent="0.2">
      <c r="A298" s="305"/>
      <c r="B298" s="324"/>
      <c r="C298" s="331"/>
      <c r="D298" s="305"/>
      <c r="E298" s="324"/>
      <c r="F298" s="331"/>
      <c r="G298" s="305"/>
      <c r="H298" s="324"/>
      <c r="I298" s="331"/>
      <c r="J298" s="305"/>
      <c r="K298" s="324"/>
      <c r="L298" s="331"/>
      <c r="M298" s="305"/>
      <c r="N298" s="324"/>
      <c r="O298" s="331"/>
      <c r="P298" s="305"/>
    </row>
    <row r="299" spans="1:16" s="226" customFormat="1" x14ac:dyDescent="0.2">
      <c r="A299" s="305"/>
      <c r="B299" s="324"/>
      <c r="C299" s="331"/>
      <c r="D299" s="305"/>
      <c r="E299" s="324"/>
      <c r="F299" s="331"/>
      <c r="G299" s="305"/>
      <c r="H299" s="324"/>
      <c r="I299" s="331"/>
      <c r="J299" s="305"/>
      <c r="K299" s="324"/>
      <c r="L299" s="331"/>
      <c r="M299" s="305"/>
      <c r="N299" s="324"/>
      <c r="O299" s="331"/>
      <c r="P299" s="305"/>
    </row>
    <row r="300" spans="1:16" s="226" customFormat="1" x14ac:dyDescent="0.2">
      <c r="A300" s="305"/>
      <c r="B300" s="324"/>
      <c r="C300" s="331"/>
      <c r="D300" s="305"/>
      <c r="E300" s="324"/>
      <c r="F300" s="331"/>
      <c r="G300" s="305"/>
      <c r="H300" s="324"/>
      <c r="I300" s="331"/>
      <c r="J300" s="305"/>
      <c r="K300" s="324"/>
      <c r="L300" s="331"/>
      <c r="M300" s="305"/>
      <c r="N300" s="324"/>
      <c r="O300" s="331"/>
      <c r="P300" s="305"/>
    </row>
    <row r="301" spans="1:16" s="226" customFormat="1" x14ac:dyDescent="0.2">
      <c r="A301" s="305"/>
      <c r="B301" s="324"/>
      <c r="C301" s="331"/>
      <c r="D301" s="305"/>
      <c r="E301" s="324"/>
      <c r="F301" s="331"/>
      <c r="G301" s="305"/>
      <c r="H301" s="324"/>
      <c r="I301" s="331"/>
      <c r="J301" s="305"/>
      <c r="K301" s="324"/>
      <c r="L301" s="331"/>
      <c r="M301" s="305"/>
      <c r="N301" s="324"/>
      <c r="O301" s="331"/>
      <c r="P301" s="305"/>
    </row>
    <row r="302" spans="1:16" s="226" customFormat="1" x14ac:dyDescent="0.2">
      <c r="A302" s="305"/>
      <c r="B302" s="324"/>
      <c r="C302" s="331"/>
      <c r="D302" s="305"/>
      <c r="E302" s="324"/>
      <c r="F302" s="331"/>
      <c r="G302" s="305"/>
      <c r="H302" s="324"/>
      <c r="I302" s="331"/>
      <c r="J302" s="305"/>
      <c r="K302" s="324"/>
      <c r="L302" s="331"/>
      <c r="M302" s="305"/>
      <c r="N302" s="324"/>
      <c r="O302" s="331"/>
      <c r="P302" s="305"/>
    </row>
    <row r="303" spans="1:16" s="226" customFormat="1" x14ac:dyDescent="0.2">
      <c r="A303" s="305"/>
      <c r="B303" s="324"/>
      <c r="C303" s="331"/>
      <c r="D303" s="305"/>
      <c r="E303" s="324"/>
      <c r="F303" s="331"/>
      <c r="G303" s="305"/>
      <c r="H303" s="324"/>
      <c r="I303" s="331"/>
      <c r="J303" s="305"/>
      <c r="K303" s="324"/>
      <c r="L303" s="331"/>
      <c r="M303" s="305"/>
      <c r="N303" s="324"/>
      <c r="O303" s="331"/>
      <c r="P303" s="305"/>
    </row>
    <row r="304" spans="1:16" s="226" customFormat="1" x14ac:dyDescent="0.2">
      <c r="A304" s="305"/>
      <c r="B304" s="324"/>
      <c r="C304" s="331"/>
      <c r="D304" s="305"/>
      <c r="E304" s="324"/>
      <c r="F304" s="331"/>
      <c r="G304" s="305"/>
      <c r="H304" s="324"/>
      <c r="I304" s="331"/>
      <c r="J304" s="305"/>
      <c r="K304" s="324"/>
      <c r="L304" s="331"/>
      <c r="M304" s="305"/>
      <c r="N304" s="324"/>
      <c r="O304" s="331"/>
      <c r="P304" s="305"/>
    </row>
    <row r="305" spans="1:16" s="226" customFormat="1" x14ac:dyDescent="0.2">
      <c r="A305" s="305"/>
      <c r="B305" s="324"/>
      <c r="C305" s="331"/>
      <c r="D305" s="305"/>
      <c r="E305" s="324"/>
      <c r="F305" s="331"/>
      <c r="G305" s="305"/>
      <c r="H305" s="324"/>
      <c r="I305" s="331"/>
      <c r="J305" s="305"/>
      <c r="K305" s="324"/>
      <c r="L305" s="331"/>
      <c r="M305" s="305"/>
      <c r="N305" s="324"/>
      <c r="O305" s="331"/>
      <c r="P305" s="305"/>
    </row>
    <row r="306" spans="1:16" s="226" customFormat="1" x14ac:dyDescent="0.2">
      <c r="A306" s="305"/>
      <c r="B306" s="324"/>
      <c r="C306" s="331"/>
      <c r="D306" s="305"/>
      <c r="E306" s="324"/>
      <c r="F306" s="331"/>
      <c r="G306" s="305"/>
      <c r="H306" s="324"/>
      <c r="I306" s="331"/>
      <c r="J306" s="305"/>
      <c r="K306" s="324"/>
      <c r="L306" s="331"/>
      <c r="M306" s="305"/>
      <c r="N306" s="324"/>
      <c r="O306" s="331"/>
      <c r="P306" s="305"/>
    </row>
    <row r="307" spans="1:16" s="226" customFormat="1" x14ac:dyDescent="0.2">
      <c r="A307" s="305"/>
      <c r="B307" s="324"/>
      <c r="C307" s="331"/>
      <c r="D307" s="305"/>
      <c r="E307" s="324"/>
      <c r="F307" s="331"/>
      <c r="G307" s="305"/>
      <c r="H307" s="324"/>
      <c r="I307" s="331"/>
      <c r="J307" s="305"/>
      <c r="K307" s="324"/>
      <c r="L307" s="331"/>
      <c r="M307" s="305"/>
      <c r="N307" s="324"/>
      <c r="O307" s="331"/>
      <c r="P307" s="305"/>
    </row>
    <row r="308" spans="1:16" s="226" customFormat="1" x14ac:dyDescent="0.2">
      <c r="A308" s="305"/>
      <c r="B308" s="324"/>
      <c r="C308" s="331"/>
      <c r="D308" s="305"/>
      <c r="E308" s="324"/>
      <c r="F308" s="331"/>
      <c r="G308" s="305"/>
      <c r="H308" s="324"/>
      <c r="I308" s="331"/>
      <c r="J308" s="305"/>
      <c r="K308" s="324"/>
      <c r="L308" s="331"/>
      <c r="M308" s="305"/>
      <c r="N308" s="324"/>
      <c r="O308" s="331"/>
      <c r="P308" s="305"/>
    </row>
    <row r="309" spans="1:16" s="226" customFormat="1" x14ac:dyDescent="0.2">
      <c r="A309" s="305"/>
      <c r="B309" s="324"/>
      <c r="C309" s="331"/>
      <c r="D309" s="305"/>
      <c r="E309" s="324"/>
      <c r="F309" s="331"/>
      <c r="G309" s="305"/>
      <c r="H309" s="324"/>
      <c r="I309" s="331"/>
      <c r="J309" s="305"/>
      <c r="K309" s="324"/>
      <c r="L309" s="331"/>
      <c r="M309" s="305"/>
      <c r="N309" s="324"/>
      <c r="O309" s="331"/>
      <c r="P309" s="305"/>
    </row>
    <row r="310" spans="1:16" s="226" customFormat="1" x14ac:dyDescent="0.2">
      <c r="A310" s="305"/>
      <c r="B310" s="324"/>
      <c r="C310" s="331"/>
      <c r="D310" s="305"/>
      <c r="E310" s="324"/>
      <c r="F310" s="331"/>
      <c r="G310" s="305"/>
      <c r="H310" s="324"/>
      <c r="I310" s="331"/>
      <c r="J310" s="305"/>
      <c r="K310" s="324"/>
      <c r="L310" s="331"/>
      <c r="M310" s="305"/>
      <c r="N310" s="324"/>
      <c r="O310" s="331"/>
      <c r="P310" s="305"/>
    </row>
    <row r="311" spans="1:16" s="226" customFormat="1" x14ac:dyDescent="0.2">
      <c r="A311" s="305"/>
      <c r="B311" s="324"/>
      <c r="C311" s="331"/>
      <c r="D311" s="305"/>
      <c r="E311" s="324"/>
      <c r="F311" s="331"/>
      <c r="G311" s="305"/>
      <c r="H311" s="324"/>
      <c r="I311" s="331"/>
      <c r="J311" s="305"/>
      <c r="K311" s="324"/>
      <c r="L311" s="331"/>
      <c r="M311" s="305"/>
      <c r="N311" s="324"/>
      <c r="O311" s="331"/>
      <c r="P311" s="305"/>
    </row>
    <row r="312" spans="1:16" s="226" customFormat="1" x14ac:dyDescent="0.2">
      <c r="A312" s="305"/>
      <c r="B312" s="324"/>
      <c r="C312" s="331"/>
      <c r="D312" s="305"/>
      <c r="E312" s="324"/>
      <c r="F312" s="331"/>
      <c r="G312" s="305"/>
      <c r="H312" s="324"/>
      <c r="I312" s="331"/>
      <c r="J312" s="305"/>
      <c r="K312" s="324"/>
      <c r="L312" s="331"/>
      <c r="M312" s="305"/>
      <c r="N312" s="324"/>
      <c r="O312" s="331"/>
      <c r="P312" s="305"/>
    </row>
    <row r="313" spans="1:16" s="226" customFormat="1" x14ac:dyDescent="0.2">
      <c r="A313" s="305"/>
      <c r="B313" s="324"/>
      <c r="C313" s="331"/>
      <c r="D313" s="305"/>
      <c r="E313" s="324"/>
      <c r="F313" s="331"/>
      <c r="G313" s="305"/>
      <c r="H313" s="324"/>
      <c r="I313" s="331"/>
      <c r="J313" s="305"/>
      <c r="K313" s="324"/>
      <c r="L313" s="331"/>
      <c r="M313" s="305"/>
      <c r="N313" s="324"/>
      <c r="O313" s="331"/>
      <c r="P313" s="305"/>
    </row>
    <row r="314" spans="1:16" s="226" customFormat="1" x14ac:dyDescent="0.2">
      <c r="A314" s="305"/>
      <c r="B314" s="324"/>
      <c r="C314" s="331"/>
      <c r="D314" s="305"/>
      <c r="E314" s="324"/>
      <c r="F314" s="331"/>
      <c r="G314" s="305"/>
      <c r="H314" s="324"/>
      <c r="I314" s="331"/>
      <c r="J314" s="305"/>
      <c r="K314" s="324"/>
      <c r="L314" s="331"/>
      <c r="M314" s="305"/>
      <c r="N314" s="324"/>
      <c r="O314" s="331"/>
      <c r="P314" s="305"/>
    </row>
    <row r="315" spans="1:16" s="226" customFormat="1" x14ac:dyDescent="0.2">
      <c r="A315" s="305"/>
      <c r="B315" s="324"/>
      <c r="C315" s="331"/>
      <c r="D315" s="305"/>
      <c r="E315" s="324"/>
      <c r="F315" s="331"/>
      <c r="G315" s="305"/>
      <c r="H315" s="324"/>
      <c r="I315" s="331"/>
      <c r="J315" s="305"/>
      <c r="K315" s="324"/>
      <c r="L315" s="331"/>
      <c r="M315" s="305"/>
      <c r="N315" s="324"/>
      <c r="O315" s="331"/>
      <c r="P315" s="305"/>
    </row>
    <row r="316" spans="1:16" s="226" customFormat="1" x14ac:dyDescent="0.2">
      <c r="A316" s="305"/>
      <c r="B316" s="324"/>
      <c r="C316" s="331"/>
      <c r="D316" s="305"/>
      <c r="E316" s="324"/>
      <c r="F316" s="331"/>
      <c r="G316" s="305"/>
      <c r="H316" s="324"/>
      <c r="I316" s="331"/>
      <c r="J316" s="305"/>
      <c r="K316" s="324"/>
      <c r="L316" s="331"/>
      <c r="M316" s="305"/>
      <c r="N316" s="324"/>
      <c r="O316" s="331"/>
      <c r="P316" s="305"/>
    </row>
    <row r="317" spans="1:16" s="226" customFormat="1" x14ac:dyDescent="0.2">
      <c r="A317" s="305"/>
      <c r="B317" s="324"/>
      <c r="C317" s="331"/>
      <c r="D317" s="305"/>
      <c r="E317" s="324"/>
      <c r="F317" s="331"/>
      <c r="G317" s="305"/>
      <c r="H317" s="324"/>
      <c r="I317" s="331"/>
      <c r="J317" s="305"/>
      <c r="K317" s="324"/>
      <c r="L317" s="331"/>
      <c r="M317" s="305"/>
      <c r="N317" s="324"/>
      <c r="O317" s="331"/>
      <c r="P317" s="305"/>
    </row>
    <row r="318" spans="1:16" s="226" customFormat="1" x14ac:dyDescent="0.2">
      <c r="A318" s="305"/>
      <c r="B318" s="324"/>
      <c r="C318" s="331"/>
      <c r="D318" s="305"/>
      <c r="E318" s="324"/>
      <c r="F318" s="331"/>
      <c r="G318" s="305"/>
      <c r="H318" s="324"/>
      <c r="I318" s="331"/>
      <c r="J318" s="305"/>
      <c r="K318" s="324"/>
      <c r="L318" s="331"/>
      <c r="M318" s="305"/>
      <c r="N318" s="324"/>
      <c r="O318" s="331"/>
      <c r="P318" s="305"/>
    </row>
    <row r="319" spans="1:16" s="226" customFormat="1" x14ac:dyDescent="0.2">
      <c r="A319" s="305"/>
      <c r="B319" s="324"/>
      <c r="C319" s="331"/>
      <c r="D319" s="305"/>
      <c r="E319" s="324"/>
      <c r="F319" s="331"/>
      <c r="G319" s="305"/>
      <c r="H319" s="324"/>
      <c r="I319" s="331"/>
      <c r="J319" s="305"/>
      <c r="K319" s="324"/>
      <c r="L319" s="331"/>
      <c r="M319" s="305"/>
      <c r="N319" s="324"/>
      <c r="O319" s="331"/>
      <c r="P319" s="305"/>
    </row>
    <row r="320" spans="1:16" s="226" customFormat="1" x14ac:dyDescent="0.2">
      <c r="A320" s="305"/>
      <c r="B320" s="324"/>
      <c r="C320" s="331"/>
      <c r="D320" s="305"/>
      <c r="E320" s="324"/>
      <c r="F320" s="331"/>
      <c r="G320" s="305"/>
      <c r="H320" s="324"/>
      <c r="I320" s="331"/>
      <c r="J320" s="305"/>
      <c r="K320" s="324"/>
      <c r="L320" s="331"/>
      <c r="M320" s="305"/>
      <c r="N320" s="324"/>
      <c r="O320" s="331"/>
      <c r="P320" s="305"/>
    </row>
    <row r="321" spans="1:16" s="226" customFormat="1" x14ac:dyDescent="0.2">
      <c r="A321" s="305"/>
      <c r="B321" s="324"/>
      <c r="C321" s="331"/>
      <c r="D321" s="305"/>
      <c r="E321" s="324"/>
      <c r="F321" s="331"/>
      <c r="G321" s="305"/>
      <c r="H321" s="324"/>
      <c r="I321" s="331"/>
      <c r="J321" s="305"/>
      <c r="K321" s="324"/>
      <c r="L321" s="331"/>
      <c r="M321" s="305"/>
      <c r="N321" s="324"/>
      <c r="O321" s="331"/>
      <c r="P321" s="305"/>
    </row>
    <row r="322" spans="1:16" s="226" customFormat="1" x14ac:dyDescent="0.2">
      <c r="A322" s="305"/>
      <c r="B322" s="324"/>
      <c r="C322" s="331"/>
      <c r="D322" s="305"/>
      <c r="E322" s="324"/>
      <c r="F322" s="331"/>
      <c r="G322" s="305"/>
      <c r="H322" s="324"/>
      <c r="I322" s="331"/>
      <c r="J322" s="305"/>
      <c r="K322" s="324"/>
      <c r="L322" s="331"/>
      <c r="M322" s="305"/>
      <c r="N322" s="324"/>
      <c r="O322" s="331"/>
      <c r="P322" s="305"/>
    </row>
    <row r="323" spans="1:16" s="226" customFormat="1" x14ac:dyDescent="0.2">
      <c r="A323" s="305"/>
      <c r="B323" s="324"/>
      <c r="C323" s="331"/>
      <c r="D323" s="305"/>
      <c r="E323" s="324"/>
      <c r="F323" s="331"/>
      <c r="G323" s="305"/>
      <c r="H323" s="324"/>
      <c r="I323" s="331"/>
      <c r="J323" s="305"/>
      <c r="K323" s="324"/>
      <c r="L323" s="331"/>
      <c r="M323" s="305"/>
      <c r="N323" s="324"/>
      <c r="O323" s="331"/>
      <c r="P323" s="305"/>
    </row>
    <row r="324" spans="1:16" s="226" customFormat="1" x14ac:dyDescent="0.2">
      <c r="A324" s="305"/>
      <c r="B324" s="324"/>
      <c r="C324" s="331"/>
      <c r="D324" s="305"/>
      <c r="E324" s="324"/>
      <c r="F324" s="331"/>
      <c r="G324" s="305"/>
      <c r="H324" s="324"/>
      <c r="I324" s="331"/>
      <c r="J324" s="305"/>
      <c r="K324" s="324"/>
      <c r="L324" s="331"/>
      <c r="M324" s="305"/>
      <c r="N324" s="324"/>
      <c r="O324" s="331"/>
      <c r="P324" s="305"/>
    </row>
    <row r="325" spans="1:16" s="226" customFormat="1" x14ac:dyDescent="0.2">
      <c r="A325" s="305"/>
      <c r="B325" s="324"/>
      <c r="C325" s="331"/>
      <c r="D325" s="305"/>
      <c r="E325" s="324"/>
      <c r="F325" s="331"/>
      <c r="G325" s="305"/>
      <c r="H325" s="324"/>
      <c r="I325" s="331"/>
      <c r="J325" s="305"/>
      <c r="K325" s="324"/>
      <c r="L325" s="331"/>
      <c r="M325" s="305"/>
      <c r="N325" s="324"/>
      <c r="O325" s="331"/>
      <c r="P325" s="305"/>
    </row>
    <row r="326" spans="1:16" s="226" customFormat="1" x14ac:dyDescent="0.2">
      <c r="A326" s="305"/>
      <c r="B326" s="324"/>
      <c r="C326" s="331"/>
      <c r="D326" s="305"/>
      <c r="E326" s="324"/>
      <c r="F326" s="331"/>
      <c r="G326" s="305"/>
      <c r="H326" s="324"/>
      <c r="I326" s="331"/>
      <c r="J326" s="305"/>
      <c r="K326" s="324"/>
      <c r="L326" s="331"/>
      <c r="M326" s="305"/>
      <c r="N326" s="324"/>
      <c r="O326" s="331"/>
      <c r="P326" s="305"/>
    </row>
    <row r="327" spans="1:16" s="226" customFormat="1" x14ac:dyDescent="0.2">
      <c r="A327" s="305"/>
      <c r="B327" s="324"/>
      <c r="C327" s="331"/>
      <c r="D327" s="305"/>
      <c r="E327" s="324"/>
      <c r="F327" s="331"/>
      <c r="G327" s="305"/>
      <c r="H327" s="324"/>
      <c r="I327" s="331"/>
      <c r="J327" s="305"/>
      <c r="K327" s="324"/>
      <c r="L327" s="331"/>
      <c r="M327" s="305"/>
      <c r="N327" s="324"/>
      <c r="O327" s="331"/>
      <c r="P327" s="305"/>
    </row>
    <row r="328" spans="1:16" s="226" customFormat="1" x14ac:dyDescent="0.2">
      <c r="A328" s="305"/>
      <c r="B328" s="324"/>
      <c r="C328" s="331"/>
      <c r="D328" s="305"/>
      <c r="E328" s="324"/>
      <c r="F328" s="331"/>
      <c r="G328" s="305"/>
      <c r="H328" s="324"/>
      <c r="I328" s="331"/>
      <c r="J328" s="305"/>
      <c r="K328" s="324"/>
      <c r="L328" s="331"/>
      <c r="M328" s="305"/>
      <c r="N328" s="324"/>
      <c r="O328" s="331"/>
      <c r="P328" s="305"/>
    </row>
    <row r="329" spans="1:16" s="226" customFormat="1" x14ac:dyDescent="0.2">
      <c r="A329" s="305"/>
      <c r="B329" s="324"/>
      <c r="C329" s="331"/>
      <c r="D329" s="305"/>
      <c r="E329" s="324"/>
      <c r="F329" s="331"/>
      <c r="G329" s="305"/>
      <c r="H329" s="324"/>
      <c r="I329" s="331"/>
      <c r="J329" s="305"/>
      <c r="K329" s="324"/>
      <c r="L329" s="331"/>
      <c r="M329" s="305"/>
      <c r="N329" s="324"/>
      <c r="O329" s="331"/>
      <c r="P329" s="305"/>
    </row>
    <row r="330" spans="1:16" s="226" customFormat="1" x14ac:dyDescent="0.2">
      <c r="A330" s="305"/>
      <c r="B330" s="324"/>
      <c r="C330" s="331"/>
      <c r="D330" s="305"/>
      <c r="E330" s="324"/>
      <c r="F330" s="331"/>
      <c r="G330" s="305"/>
      <c r="H330" s="324"/>
      <c r="I330" s="331"/>
      <c r="J330" s="305"/>
      <c r="K330" s="324"/>
      <c r="L330" s="331"/>
      <c r="M330" s="305"/>
      <c r="N330" s="324"/>
      <c r="O330" s="331"/>
      <c r="P330" s="305"/>
    </row>
    <row r="331" spans="1:16" s="226" customFormat="1" x14ac:dyDescent="0.2">
      <c r="A331" s="305"/>
      <c r="B331" s="324"/>
      <c r="C331" s="331"/>
      <c r="D331" s="305"/>
      <c r="E331" s="324"/>
      <c r="F331" s="331"/>
      <c r="G331" s="305"/>
      <c r="H331" s="324"/>
      <c r="I331" s="331"/>
      <c r="J331" s="305"/>
      <c r="K331" s="324"/>
      <c r="L331" s="331"/>
      <c r="M331" s="305"/>
      <c r="N331" s="324"/>
      <c r="O331" s="331"/>
      <c r="P331" s="305"/>
    </row>
    <row r="332" spans="1:16" s="226" customFormat="1" x14ac:dyDescent="0.2">
      <c r="A332" s="305"/>
      <c r="B332" s="324"/>
      <c r="C332" s="331"/>
      <c r="D332" s="305"/>
      <c r="E332" s="324"/>
      <c r="F332" s="331"/>
      <c r="G332" s="305"/>
      <c r="H332" s="324"/>
      <c r="I332" s="331"/>
      <c r="J332" s="305"/>
      <c r="K332" s="324"/>
      <c r="L332" s="331"/>
      <c r="M332" s="305"/>
      <c r="N332" s="324"/>
      <c r="O332" s="331"/>
      <c r="P332" s="305"/>
    </row>
    <row r="333" spans="1:16" s="226" customFormat="1" x14ac:dyDescent="0.2">
      <c r="A333" s="305"/>
      <c r="B333" s="324"/>
      <c r="C333" s="331"/>
      <c r="D333" s="305"/>
      <c r="E333" s="324"/>
      <c r="F333" s="331"/>
      <c r="G333" s="305"/>
      <c r="H333" s="324"/>
      <c r="I333" s="331"/>
      <c r="J333" s="305"/>
      <c r="K333" s="324"/>
      <c r="L333" s="331"/>
      <c r="M333" s="305"/>
      <c r="N333" s="324"/>
      <c r="O333" s="331"/>
      <c r="P333" s="305"/>
    </row>
    <row r="334" spans="1:16" s="226" customFormat="1" x14ac:dyDescent="0.2">
      <c r="A334" s="305"/>
      <c r="B334" s="324"/>
      <c r="C334" s="331"/>
      <c r="D334" s="305"/>
      <c r="E334" s="324"/>
      <c r="F334" s="331"/>
      <c r="G334" s="305"/>
      <c r="H334" s="324"/>
      <c r="I334" s="331"/>
      <c r="J334" s="305"/>
      <c r="K334" s="324"/>
      <c r="L334" s="331"/>
      <c r="M334" s="305"/>
      <c r="N334" s="324"/>
      <c r="O334" s="331"/>
      <c r="P334" s="305"/>
    </row>
    <row r="335" spans="1:16" s="226" customFormat="1" x14ac:dyDescent="0.2">
      <c r="A335" s="305"/>
      <c r="B335" s="324"/>
      <c r="C335" s="331"/>
      <c r="D335" s="305"/>
      <c r="E335" s="324"/>
      <c r="F335" s="331"/>
      <c r="G335" s="305"/>
      <c r="H335" s="324"/>
      <c r="I335" s="331"/>
      <c r="J335" s="305"/>
      <c r="K335" s="324"/>
      <c r="L335" s="331"/>
      <c r="M335" s="305"/>
      <c r="N335" s="324"/>
      <c r="O335" s="331"/>
      <c r="P335" s="305"/>
    </row>
    <row r="336" spans="1:16" s="226" customFormat="1" x14ac:dyDescent="0.2">
      <c r="A336" s="305"/>
      <c r="B336" s="324"/>
      <c r="C336" s="331"/>
      <c r="D336" s="305"/>
      <c r="E336" s="324"/>
      <c r="F336" s="331"/>
      <c r="G336" s="305"/>
      <c r="H336" s="324"/>
      <c r="I336" s="331"/>
      <c r="J336" s="305"/>
      <c r="K336" s="324"/>
      <c r="L336" s="331"/>
      <c r="M336" s="305"/>
      <c r="N336" s="324"/>
      <c r="O336" s="331"/>
      <c r="P336" s="305"/>
    </row>
    <row r="337" spans="1:16" s="226" customFormat="1" x14ac:dyDescent="0.2">
      <c r="A337" s="305"/>
      <c r="B337" s="324"/>
      <c r="C337" s="331"/>
      <c r="D337" s="305"/>
      <c r="E337" s="324"/>
      <c r="F337" s="331"/>
      <c r="G337" s="305"/>
      <c r="H337" s="324"/>
      <c r="I337" s="331"/>
      <c r="J337" s="305"/>
      <c r="K337" s="324"/>
      <c r="L337" s="331"/>
      <c r="M337" s="305"/>
      <c r="N337" s="324"/>
      <c r="O337" s="331"/>
      <c r="P337" s="305"/>
    </row>
    <row r="338" spans="1:16" s="226" customFormat="1" x14ac:dyDescent="0.2">
      <c r="A338" s="305"/>
      <c r="B338" s="324"/>
      <c r="C338" s="331"/>
      <c r="D338" s="305"/>
      <c r="E338" s="324"/>
      <c r="F338" s="331"/>
      <c r="G338" s="305"/>
      <c r="H338" s="324"/>
      <c r="I338" s="331"/>
      <c r="J338" s="305"/>
      <c r="K338" s="324"/>
      <c r="L338" s="331"/>
      <c r="M338" s="305"/>
      <c r="N338" s="324"/>
      <c r="O338" s="331"/>
      <c r="P338" s="305"/>
    </row>
    <row r="339" spans="1:16" s="226" customFormat="1" x14ac:dyDescent="0.2">
      <c r="A339" s="305"/>
      <c r="B339" s="324"/>
      <c r="C339" s="331"/>
      <c r="D339" s="305"/>
      <c r="E339" s="324"/>
      <c r="F339" s="331"/>
      <c r="G339" s="305"/>
      <c r="H339" s="324"/>
      <c r="I339" s="331"/>
      <c r="J339" s="305"/>
      <c r="K339" s="324"/>
      <c r="L339" s="331"/>
      <c r="M339" s="305"/>
      <c r="N339" s="324"/>
      <c r="O339" s="331"/>
      <c r="P339" s="305"/>
    </row>
    <row r="340" spans="1:16" s="226" customFormat="1" x14ac:dyDescent="0.2">
      <c r="A340" s="305"/>
      <c r="B340" s="324"/>
      <c r="C340" s="331"/>
      <c r="D340" s="305"/>
      <c r="E340" s="324"/>
      <c r="F340" s="331"/>
      <c r="G340" s="305"/>
      <c r="H340" s="324"/>
      <c r="I340" s="331"/>
      <c r="J340" s="305"/>
      <c r="K340" s="324"/>
      <c r="L340" s="331"/>
      <c r="M340" s="305"/>
      <c r="N340" s="324"/>
      <c r="O340" s="331"/>
      <c r="P340" s="305"/>
    </row>
    <row r="341" spans="1:16" s="226" customFormat="1" x14ac:dyDescent="0.2">
      <c r="A341" s="305"/>
      <c r="B341" s="324"/>
      <c r="C341" s="331"/>
      <c r="D341" s="305"/>
      <c r="E341" s="324"/>
      <c r="F341" s="331"/>
      <c r="G341" s="305"/>
      <c r="H341" s="324"/>
      <c r="I341" s="331"/>
      <c r="J341" s="305"/>
      <c r="K341" s="324"/>
      <c r="L341" s="331"/>
      <c r="M341" s="305"/>
      <c r="N341" s="324"/>
      <c r="O341" s="331"/>
      <c r="P341" s="305"/>
    </row>
    <row r="342" spans="1:16" s="226" customFormat="1" x14ac:dyDescent="0.2">
      <c r="A342" s="305"/>
      <c r="B342" s="324"/>
      <c r="C342" s="331"/>
      <c r="D342" s="305"/>
      <c r="E342" s="324"/>
      <c r="F342" s="331"/>
      <c r="G342" s="305"/>
      <c r="H342" s="324"/>
      <c r="I342" s="331"/>
      <c r="J342" s="305"/>
      <c r="K342" s="324"/>
      <c r="L342" s="331"/>
      <c r="M342" s="305"/>
      <c r="N342" s="324"/>
      <c r="O342" s="331"/>
      <c r="P342" s="305"/>
    </row>
    <row r="343" spans="1:16" s="226" customFormat="1" x14ac:dyDescent="0.2">
      <c r="A343" s="305"/>
      <c r="B343" s="324"/>
      <c r="C343" s="331"/>
      <c r="D343" s="305"/>
      <c r="E343" s="324"/>
      <c r="F343" s="331"/>
      <c r="G343" s="305"/>
      <c r="H343" s="324"/>
      <c r="I343" s="331"/>
      <c r="J343" s="305"/>
      <c r="K343" s="324"/>
      <c r="L343" s="331"/>
      <c r="M343" s="305"/>
      <c r="N343" s="324"/>
      <c r="O343" s="331"/>
      <c r="P343" s="305"/>
    </row>
    <row r="344" spans="1:16" s="226" customFormat="1" x14ac:dyDescent="0.2">
      <c r="A344" s="305"/>
      <c r="B344" s="324"/>
      <c r="C344" s="331"/>
      <c r="D344" s="305"/>
      <c r="E344" s="324"/>
      <c r="F344" s="331"/>
      <c r="G344" s="305"/>
      <c r="H344" s="324"/>
      <c r="I344" s="331"/>
      <c r="J344" s="305"/>
      <c r="K344" s="324"/>
      <c r="L344" s="331"/>
      <c r="M344" s="305"/>
      <c r="N344" s="324"/>
      <c r="O344" s="331"/>
      <c r="P344" s="305"/>
    </row>
    <row r="345" spans="1:16" s="226" customFormat="1" x14ac:dyDescent="0.2">
      <c r="A345" s="305"/>
      <c r="B345" s="324"/>
      <c r="C345" s="331"/>
      <c r="D345" s="305"/>
      <c r="E345" s="324"/>
      <c r="F345" s="331"/>
      <c r="G345" s="305"/>
      <c r="H345" s="324"/>
      <c r="I345" s="331"/>
      <c r="J345" s="305"/>
      <c r="K345" s="324"/>
      <c r="L345" s="331"/>
      <c r="M345" s="305"/>
      <c r="N345" s="324"/>
      <c r="O345" s="331"/>
      <c r="P345" s="305"/>
    </row>
    <row r="346" spans="1:16" s="226" customFormat="1" x14ac:dyDescent="0.2">
      <c r="A346" s="305"/>
      <c r="B346" s="324"/>
      <c r="C346" s="331"/>
      <c r="D346" s="305"/>
      <c r="E346" s="324"/>
      <c r="F346" s="331"/>
      <c r="G346" s="305"/>
      <c r="H346" s="324"/>
      <c r="I346" s="331"/>
      <c r="J346" s="305"/>
      <c r="K346" s="324"/>
      <c r="L346" s="331"/>
      <c r="M346" s="305"/>
      <c r="N346" s="324"/>
      <c r="O346" s="331"/>
      <c r="P346" s="305"/>
    </row>
    <row r="347" spans="1:16" s="226" customFormat="1" x14ac:dyDescent="0.2">
      <c r="A347" s="305"/>
      <c r="B347" s="324"/>
      <c r="C347" s="331"/>
      <c r="D347" s="305"/>
      <c r="E347" s="324"/>
      <c r="F347" s="331"/>
      <c r="G347" s="305"/>
      <c r="H347" s="324"/>
      <c r="I347" s="331"/>
      <c r="J347" s="305"/>
      <c r="K347" s="324"/>
      <c r="L347" s="331"/>
      <c r="M347" s="305"/>
      <c r="N347" s="324"/>
      <c r="O347" s="331"/>
      <c r="P347" s="305"/>
    </row>
    <row r="348" spans="1:16" s="226" customFormat="1" x14ac:dyDescent="0.2">
      <c r="A348" s="305"/>
      <c r="B348" s="324"/>
      <c r="C348" s="331"/>
      <c r="D348" s="305"/>
      <c r="E348" s="324"/>
      <c r="F348" s="331"/>
      <c r="G348" s="305"/>
      <c r="H348" s="324"/>
      <c r="I348" s="331"/>
      <c r="J348" s="305"/>
      <c r="K348" s="324"/>
      <c r="L348" s="331"/>
      <c r="M348" s="305"/>
      <c r="N348" s="324"/>
      <c r="O348" s="331"/>
      <c r="P348" s="305"/>
    </row>
    <row r="349" spans="1:16" s="226" customFormat="1" x14ac:dyDescent="0.2">
      <c r="A349" s="305"/>
      <c r="B349" s="324"/>
      <c r="C349" s="331"/>
      <c r="D349" s="305"/>
      <c r="E349" s="324"/>
      <c r="F349" s="331"/>
      <c r="G349" s="305"/>
      <c r="H349" s="324"/>
      <c r="I349" s="331"/>
      <c r="J349" s="305"/>
      <c r="K349" s="324"/>
      <c r="L349" s="331"/>
      <c r="M349" s="305"/>
      <c r="N349" s="324"/>
      <c r="O349" s="331"/>
      <c r="P349" s="305"/>
    </row>
    <row r="350" spans="1:16" s="226" customFormat="1" x14ac:dyDescent="0.2">
      <c r="A350" s="305"/>
      <c r="B350" s="324"/>
      <c r="C350" s="331"/>
      <c r="D350" s="305"/>
      <c r="E350" s="324"/>
      <c r="F350" s="331"/>
      <c r="G350" s="305"/>
      <c r="H350" s="324"/>
      <c r="I350" s="331"/>
      <c r="J350" s="305"/>
      <c r="K350" s="324"/>
      <c r="L350" s="331"/>
      <c r="M350" s="305"/>
      <c r="N350" s="324"/>
      <c r="O350" s="331"/>
      <c r="P350" s="305"/>
    </row>
    <row r="351" spans="1:16" s="226" customFormat="1" x14ac:dyDescent="0.2">
      <c r="A351" s="305"/>
      <c r="B351" s="324"/>
      <c r="C351" s="331"/>
      <c r="D351" s="305"/>
      <c r="E351" s="324"/>
      <c r="F351" s="331"/>
      <c r="G351" s="305"/>
      <c r="H351" s="324"/>
      <c r="I351" s="331"/>
      <c r="J351" s="305"/>
      <c r="K351" s="324"/>
      <c r="L351" s="331"/>
      <c r="M351" s="305"/>
      <c r="N351" s="324"/>
      <c r="O351" s="331"/>
      <c r="P351" s="305"/>
    </row>
    <row r="352" spans="1:16" s="226" customFormat="1" x14ac:dyDescent="0.2">
      <c r="A352" s="305"/>
      <c r="B352" s="324"/>
      <c r="C352" s="331"/>
      <c r="D352" s="305"/>
      <c r="E352" s="324"/>
      <c r="F352" s="331"/>
      <c r="G352" s="305"/>
      <c r="H352" s="324"/>
      <c r="I352" s="331"/>
      <c r="J352" s="305"/>
      <c r="K352" s="324"/>
      <c r="L352" s="331"/>
      <c r="M352" s="305"/>
      <c r="N352" s="324"/>
      <c r="O352" s="331"/>
      <c r="P352" s="305"/>
    </row>
    <row r="353" spans="1:16" s="226" customFormat="1" x14ac:dyDescent="0.2">
      <c r="A353" s="305"/>
      <c r="B353" s="324"/>
      <c r="C353" s="331"/>
      <c r="D353" s="305"/>
      <c r="E353" s="324"/>
      <c r="F353" s="331"/>
      <c r="G353" s="305"/>
      <c r="H353" s="324"/>
      <c r="I353" s="331"/>
      <c r="J353" s="305"/>
      <c r="K353" s="324"/>
      <c r="L353" s="331"/>
      <c r="M353" s="305"/>
      <c r="N353" s="324"/>
      <c r="O353" s="331"/>
      <c r="P353" s="305"/>
    </row>
    <row r="354" spans="1:16" s="226" customFormat="1" x14ac:dyDescent="0.2">
      <c r="A354" s="305"/>
      <c r="B354" s="324"/>
      <c r="C354" s="331"/>
      <c r="D354" s="305"/>
      <c r="E354" s="324"/>
      <c r="F354" s="331"/>
      <c r="G354" s="305"/>
      <c r="H354" s="324"/>
      <c r="I354" s="331"/>
      <c r="J354" s="305"/>
      <c r="K354" s="324"/>
      <c r="L354" s="331"/>
      <c r="M354" s="305"/>
      <c r="N354" s="324"/>
      <c r="O354" s="331"/>
      <c r="P354" s="305"/>
    </row>
    <row r="355" spans="1:16" s="226" customFormat="1" x14ac:dyDescent="0.2">
      <c r="A355" s="305"/>
      <c r="B355" s="324"/>
      <c r="C355" s="331"/>
      <c r="D355" s="305"/>
      <c r="E355" s="324"/>
      <c r="F355" s="331"/>
      <c r="G355" s="305"/>
      <c r="H355" s="324"/>
      <c r="I355" s="331"/>
      <c r="J355" s="305"/>
      <c r="K355" s="324"/>
      <c r="L355" s="331"/>
      <c r="M355" s="305"/>
      <c r="N355" s="324"/>
      <c r="O355" s="331"/>
      <c r="P355" s="305"/>
    </row>
    <row r="356" spans="1:16" s="226" customFormat="1" x14ac:dyDescent="0.2">
      <c r="A356" s="305"/>
      <c r="B356" s="324"/>
      <c r="C356" s="331"/>
      <c r="D356" s="305"/>
      <c r="E356" s="324"/>
      <c r="F356" s="331"/>
      <c r="G356" s="305"/>
      <c r="H356" s="324"/>
      <c r="I356" s="331"/>
      <c r="J356" s="305"/>
      <c r="K356" s="324"/>
      <c r="L356" s="331"/>
      <c r="M356" s="305"/>
      <c r="N356" s="324"/>
      <c r="O356" s="331"/>
      <c r="P356" s="305"/>
    </row>
    <row r="357" spans="1:16" s="226" customFormat="1" x14ac:dyDescent="0.2">
      <c r="A357" s="305"/>
      <c r="B357" s="324"/>
      <c r="C357" s="331"/>
      <c r="D357" s="305"/>
      <c r="E357" s="324"/>
      <c r="F357" s="331"/>
      <c r="G357" s="305"/>
      <c r="H357" s="324"/>
      <c r="I357" s="331"/>
      <c r="J357" s="305"/>
      <c r="K357" s="324"/>
      <c r="L357" s="331"/>
      <c r="M357" s="305"/>
      <c r="N357" s="324"/>
      <c r="O357" s="331"/>
      <c r="P357" s="305"/>
    </row>
    <row r="358" spans="1:16" s="226" customFormat="1" x14ac:dyDescent="0.2">
      <c r="A358" s="305"/>
      <c r="B358" s="324"/>
      <c r="C358" s="331"/>
      <c r="D358" s="305"/>
      <c r="E358" s="324"/>
      <c r="F358" s="331"/>
      <c r="G358" s="305"/>
      <c r="H358" s="324"/>
      <c r="I358" s="331"/>
      <c r="J358" s="305"/>
      <c r="K358" s="324"/>
      <c r="L358" s="331"/>
      <c r="M358" s="305"/>
      <c r="N358" s="324"/>
      <c r="O358" s="331"/>
      <c r="P358" s="305"/>
    </row>
    <row r="359" spans="1:16" s="226" customFormat="1" x14ac:dyDescent="0.2">
      <c r="A359" s="305"/>
      <c r="B359" s="324"/>
      <c r="C359" s="331"/>
      <c r="D359" s="305"/>
      <c r="E359" s="324"/>
      <c r="F359" s="331"/>
      <c r="G359" s="305"/>
      <c r="H359" s="324"/>
      <c r="I359" s="331"/>
      <c r="J359" s="305"/>
      <c r="K359" s="324"/>
      <c r="L359" s="331"/>
      <c r="M359" s="305"/>
      <c r="N359" s="324"/>
      <c r="O359" s="331"/>
      <c r="P359" s="305"/>
    </row>
    <row r="360" spans="1:16" s="226" customFormat="1" x14ac:dyDescent="0.2">
      <c r="A360" s="305"/>
      <c r="B360" s="324"/>
      <c r="C360" s="331"/>
      <c r="D360" s="305"/>
      <c r="E360" s="324"/>
      <c r="F360" s="331"/>
      <c r="G360" s="305"/>
      <c r="H360" s="324"/>
      <c r="I360" s="331"/>
      <c r="J360" s="305"/>
      <c r="K360" s="324"/>
      <c r="L360" s="331"/>
      <c r="M360" s="305"/>
      <c r="N360" s="324"/>
      <c r="O360" s="331"/>
      <c r="P360" s="305"/>
    </row>
    <row r="361" spans="1:16" s="226" customFormat="1" x14ac:dyDescent="0.2">
      <c r="A361" s="305"/>
      <c r="B361" s="324"/>
      <c r="C361" s="331"/>
      <c r="D361" s="305"/>
      <c r="E361" s="324"/>
      <c r="F361" s="331"/>
      <c r="G361" s="305"/>
      <c r="H361" s="324"/>
      <c r="I361" s="331"/>
      <c r="J361" s="305"/>
      <c r="K361" s="324"/>
      <c r="L361" s="331"/>
      <c r="M361" s="305"/>
      <c r="N361" s="324"/>
      <c r="O361" s="331"/>
      <c r="P361" s="305"/>
    </row>
    <row r="362" spans="1:16" s="226" customFormat="1" x14ac:dyDescent="0.2">
      <c r="A362" s="305"/>
      <c r="B362" s="324"/>
      <c r="C362" s="331"/>
      <c r="D362" s="305"/>
      <c r="E362" s="324"/>
      <c r="F362" s="331"/>
      <c r="G362" s="305"/>
      <c r="H362" s="324"/>
      <c r="I362" s="331"/>
      <c r="J362" s="305"/>
      <c r="K362" s="324"/>
      <c r="L362" s="331"/>
      <c r="M362" s="305"/>
      <c r="N362" s="324"/>
      <c r="O362" s="331"/>
      <c r="P362" s="305"/>
    </row>
    <row r="363" spans="1:16" s="226" customFormat="1" x14ac:dyDescent="0.2">
      <c r="A363" s="305"/>
      <c r="B363" s="324"/>
      <c r="C363" s="331"/>
      <c r="D363" s="305"/>
      <c r="E363" s="324"/>
      <c r="F363" s="331"/>
      <c r="G363" s="305"/>
      <c r="H363" s="324"/>
      <c r="I363" s="331"/>
      <c r="J363" s="305"/>
      <c r="K363" s="324"/>
      <c r="L363" s="331"/>
      <c r="M363" s="305"/>
      <c r="N363" s="324"/>
      <c r="O363" s="331"/>
      <c r="P363" s="305"/>
    </row>
    <row r="364" spans="1:16" s="226" customFormat="1" x14ac:dyDescent="0.2">
      <c r="A364" s="305"/>
      <c r="B364" s="324"/>
      <c r="C364" s="331"/>
      <c r="D364" s="305"/>
      <c r="E364" s="324"/>
      <c r="F364" s="331"/>
      <c r="G364" s="305"/>
      <c r="H364" s="324"/>
      <c r="I364" s="331"/>
      <c r="J364" s="305"/>
      <c r="K364" s="324"/>
      <c r="L364" s="331"/>
      <c r="M364" s="305"/>
      <c r="N364" s="324"/>
      <c r="O364" s="331"/>
      <c r="P364" s="305"/>
    </row>
    <row r="365" spans="1:16" s="226" customFormat="1" x14ac:dyDescent="0.2">
      <c r="A365" s="305"/>
      <c r="B365" s="324"/>
      <c r="C365" s="331"/>
      <c r="D365" s="305"/>
      <c r="E365" s="324"/>
      <c r="F365" s="331"/>
      <c r="G365" s="305"/>
      <c r="H365" s="324"/>
      <c r="I365" s="331"/>
      <c r="J365" s="305"/>
      <c r="K365" s="324"/>
      <c r="L365" s="331"/>
      <c r="M365" s="305"/>
      <c r="N365" s="324"/>
      <c r="O365" s="331"/>
      <c r="P365" s="305"/>
    </row>
    <row r="366" spans="1:16" s="226" customFormat="1" x14ac:dyDescent="0.2">
      <c r="A366" s="305"/>
      <c r="B366" s="324"/>
      <c r="C366" s="331"/>
      <c r="D366" s="305"/>
      <c r="E366" s="324"/>
      <c r="F366" s="331"/>
      <c r="G366" s="305"/>
      <c r="H366" s="324"/>
      <c r="I366" s="331"/>
      <c r="J366" s="305"/>
      <c r="K366" s="324"/>
      <c r="L366" s="331"/>
      <c r="M366" s="305"/>
      <c r="N366" s="324"/>
      <c r="O366" s="331"/>
      <c r="P366" s="305"/>
    </row>
    <row r="367" spans="1:16" s="226" customFormat="1" x14ac:dyDescent="0.2">
      <c r="A367" s="305"/>
      <c r="B367" s="324"/>
      <c r="C367" s="331"/>
      <c r="D367" s="305"/>
      <c r="E367" s="324"/>
      <c r="F367" s="331"/>
      <c r="G367" s="305"/>
      <c r="H367" s="324"/>
      <c r="I367" s="331"/>
      <c r="J367" s="305"/>
      <c r="K367" s="324"/>
      <c r="L367" s="331"/>
      <c r="M367" s="305"/>
      <c r="N367" s="324"/>
      <c r="O367" s="331"/>
      <c r="P367" s="305"/>
    </row>
    <row r="368" spans="1:16" s="226" customFormat="1" x14ac:dyDescent="0.2">
      <c r="A368" s="305"/>
      <c r="B368" s="324"/>
      <c r="C368" s="331"/>
      <c r="D368" s="305"/>
      <c r="E368" s="324"/>
      <c r="F368" s="331"/>
      <c r="G368" s="305"/>
      <c r="H368" s="324"/>
      <c r="I368" s="331"/>
      <c r="J368" s="305"/>
      <c r="K368" s="324"/>
      <c r="L368" s="331"/>
      <c r="M368" s="305"/>
      <c r="N368" s="324"/>
      <c r="O368" s="331"/>
      <c r="P368" s="305"/>
    </row>
    <row r="369" spans="1:16" s="226" customFormat="1" x14ac:dyDescent="0.2">
      <c r="A369" s="305"/>
      <c r="B369" s="324"/>
      <c r="C369" s="331"/>
      <c r="D369" s="305"/>
      <c r="E369" s="324"/>
      <c r="F369" s="331"/>
      <c r="G369" s="305"/>
      <c r="H369" s="324"/>
      <c r="I369" s="331"/>
      <c r="J369" s="305"/>
      <c r="K369" s="324"/>
      <c r="L369" s="331"/>
      <c r="M369" s="305"/>
      <c r="N369" s="324"/>
      <c r="O369" s="331"/>
      <c r="P369" s="305"/>
    </row>
    <row r="370" spans="1:16" s="226" customFormat="1" x14ac:dyDescent="0.2">
      <c r="A370" s="305"/>
      <c r="B370" s="324"/>
      <c r="C370" s="331"/>
      <c r="D370" s="305"/>
      <c r="E370" s="324"/>
      <c r="F370" s="331"/>
      <c r="G370" s="305"/>
      <c r="H370" s="324"/>
      <c r="I370" s="331"/>
      <c r="J370" s="305"/>
      <c r="K370" s="324"/>
      <c r="L370" s="331"/>
      <c r="M370" s="305"/>
      <c r="N370" s="324"/>
      <c r="O370" s="331"/>
      <c r="P370" s="305"/>
    </row>
    <row r="371" spans="1:16" s="226" customFormat="1" x14ac:dyDescent="0.2">
      <c r="A371" s="305"/>
      <c r="B371" s="324"/>
      <c r="C371" s="331"/>
      <c r="D371" s="305"/>
      <c r="E371" s="324"/>
      <c r="F371" s="331"/>
      <c r="G371" s="305"/>
      <c r="H371" s="324"/>
      <c r="I371" s="331"/>
      <c r="J371" s="305"/>
      <c r="K371" s="324"/>
      <c r="L371" s="331"/>
      <c r="M371" s="305"/>
      <c r="N371" s="324"/>
      <c r="O371" s="331"/>
      <c r="P371" s="305"/>
    </row>
    <row r="372" spans="1:16" s="226" customFormat="1" x14ac:dyDescent="0.2">
      <c r="A372" s="305"/>
      <c r="B372" s="324"/>
      <c r="C372" s="331"/>
      <c r="D372" s="305"/>
      <c r="E372" s="324"/>
      <c r="F372" s="331"/>
      <c r="G372" s="305"/>
      <c r="H372" s="324"/>
      <c r="I372" s="331"/>
      <c r="J372" s="305"/>
      <c r="K372" s="324"/>
      <c r="L372" s="331"/>
      <c r="M372" s="305"/>
      <c r="N372" s="324"/>
      <c r="O372" s="331"/>
      <c r="P372" s="305"/>
    </row>
    <row r="373" spans="1:16" s="226" customFormat="1" x14ac:dyDescent="0.2">
      <c r="A373" s="305"/>
      <c r="B373" s="324"/>
      <c r="C373" s="331"/>
      <c r="D373" s="305"/>
      <c r="E373" s="324"/>
      <c r="F373" s="331"/>
      <c r="G373" s="305"/>
      <c r="H373" s="324"/>
      <c r="I373" s="331"/>
      <c r="J373" s="305"/>
      <c r="K373" s="324"/>
      <c r="L373" s="331"/>
      <c r="M373" s="305"/>
      <c r="N373" s="324"/>
      <c r="O373" s="331"/>
      <c r="P373" s="305"/>
    </row>
    <row r="374" spans="1:16" s="226" customFormat="1" x14ac:dyDescent="0.2">
      <c r="A374" s="305"/>
      <c r="B374" s="324"/>
      <c r="C374" s="331"/>
      <c r="D374" s="305"/>
      <c r="E374" s="324"/>
      <c r="F374" s="331"/>
      <c r="G374" s="305"/>
      <c r="H374" s="324"/>
      <c r="I374" s="331"/>
      <c r="J374" s="305"/>
      <c r="K374" s="324"/>
      <c r="L374" s="331"/>
      <c r="M374" s="305"/>
      <c r="N374" s="324"/>
      <c r="O374" s="331"/>
      <c r="P374" s="305"/>
    </row>
    <row r="375" spans="1:16" s="226" customFormat="1" x14ac:dyDescent="0.2">
      <c r="A375" s="305"/>
      <c r="B375" s="324"/>
      <c r="C375" s="331"/>
      <c r="D375" s="305"/>
      <c r="E375" s="324"/>
      <c r="F375" s="331"/>
      <c r="G375" s="305"/>
      <c r="H375" s="324"/>
      <c r="I375" s="331"/>
      <c r="J375" s="305"/>
      <c r="K375" s="324"/>
      <c r="L375" s="331"/>
      <c r="M375" s="305"/>
      <c r="N375" s="324"/>
      <c r="O375" s="331"/>
      <c r="P375" s="305"/>
    </row>
    <row r="376" spans="1:16" s="226" customFormat="1" x14ac:dyDescent="0.2">
      <c r="A376" s="305"/>
      <c r="B376" s="324"/>
      <c r="C376" s="331"/>
      <c r="D376" s="305"/>
      <c r="E376" s="324"/>
      <c r="F376" s="331"/>
      <c r="G376" s="305"/>
      <c r="H376" s="324"/>
      <c r="I376" s="331"/>
      <c r="J376" s="305"/>
      <c r="K376" s="324"/>
      <c r="L376" s="331"/>
      <c r="M376" s="305"/>
      <c r="N376" s="324"/>
      <c r="O376" s="331"/>
      <c r="P376" s="305"/>
    </row>
    <row r="377" spans="1:16" s="226" customFormat="1" x14ac:dyDescent="0.2">
      <c r="A377" s="305"/>
      <c r="B377" s="324"/>
      <c r="C377" s="331"/>
      <c r="D377" s="305"/>
      <c r="E377" s="324"/>
      <c r="F377" s="331"/>
      <c r="G377" s="305"/>
      <c r="H377" s="324"/>
      <c r="I377" s="331"/>
      <c r="J377" s="305"/>
      <c r="K377" s="324"/>
      <c r="L377" s="331"/>
      <c r="M377" s="305"/>
      <c r="N377" s="324"/>
      <c r="O377" s="331"/>
      <c r="P377" s="305"/>
    </row>
    <row r="378" spans="1:16" s="226" customFormat="1" x14ac:dyDescent="0.2">
      <c r="A378" s="305"/>
      <c r="B378" s="324"/>
      <c r="C378" s="331"/>
      <c r="D378" s="305"/>
      <c r="E378" s="324"/>
      <c r="F378" s="331"/>
      <c r="G378" s="305"/>
      <c r="H378" s="324"/>
      <c r="I378" s="331"/>
      <c r="J378" s="305"/>
      <c r="K378" s="324"/>
      <c r="L378" s="331"/>
      <c r="M378" s="305"/>
      <c r="N378" s="324"/>
      <c r="O378" s="331"/>
      <c r="P378" s="305"/>
    </row>
    <row r="379" spans="1:16" s="226" customFormat="1" x14ac:dyDescent="0.2">
      <c r="A379" s="305"/>
      <c r="B379" s="324"/>
      <c r="C379" s="331"/>
      <c r="D379" s="305"/>
      <c r="E379" s="324"/>
      <c r="F379" s="331"/>
      <c r="G379" s="305"/>
      <c r="H379" s="324"/>
      <c r="I379" s="331"/>
      <c r="J379" s="305"/>
      <c r="K379" s="324"/>
      <c r="L379" s="331"/>
      <c r="M379" s="305"/>
      <c r="N379" s="324"/>
      <c r="O379" s="331"/>
      <c r="P379" s="305"/>
    </row>
    <row r="380" spans="1:16" s="226" customFormat="1" x14ac:dyDescent="0.2">
      <c r="A380" s="305"/>
      <c r="B380" s="324"/>
      <c r="C380" s="331"/>
      <c r="D380" s="305"/>
      <c r="E380" s="324"/>
      <c r="F380" s="331"/>
      <c r="G380" s="305"/>
      <c r="H380" s="324"/>
      <c r="I380" s="331"/>
      <c r="J380" s="305"/>
      <c r="K380" s="324"/>
      <c r="L380" s="331"/>
      <c r="M380" s="305"/>
      <c r="N380" s="324"/>
      <c r="O380" s="331"/>
      <c r="P380" s="305"/>
    </row>
    <row r="381" spans="1:16" s="226" customFormat="1" x14ac:dyDescent="0.2">
      <c r="A381" s="305"/>
      <c r="B381" s="324"/>
      <c r="C381" s="331"/>
      <c r="D381" s="305"/>
      <c r="E381" s="324"/>
      <c r="F381" s="331"/>
      <c r="G381" s="305"/>
      <c r="H381" s="324"/>
      <c r="I381" s="331"/>
      <c r="J381" s="305"/>
      <c r="K381" s="324"/>
      <c r="L381" s="331"/>
      <c r="M381" s="305"/>
      <c r="N381" s="324"/>
      <c r="O381" s="331"/>
      <c r="P381" s="305"/>
    </row>
    <row r="382" spans="1:16" s="226" customFormat="1" x14ac:dyDescent="0.2">
      <c r="A382" s="305"/>
      <c r="B382" s="324"/>
      <c r="C382" s="331"/>
      <c r="D382" s="305"/>
      <c r="E382" s="324"/>
      <c r="F382" s="331"/>
      <c r="G382" s="305"/>
      <c r="H382" s="324"/>
      <c r="I382" s="331"/>
      <c r="J382" s="305"/>
      <c r="K382" s="324"/>
      <c r="L382" s="331"/>
      <c r="M382" s="305"/>
      <c r="N382" s="324"/>
      <c r="O382" s="331"/>
      <c r="P382" s="305"/>
    </row>
    <row r="383" spans="1:16" s="226" customFormat="1" x14ac:dyDescent="0.2">
      <c r="A383" s="305"/>
      <c r="B383" s="324"/>
      <c r="C383" s="331"/>
      <c r="D383" s="305"/>
      <c r="E383" s="324"/>
      <c r="F383" s="331"/>
      <c r="G383" s="305"/>
      <c r="H383" s="324"/>
      <c r="I383" s="331"/>
      <c r="J383" s="305"/>
      <c r="K383" s="324"/>
      <c r="L383" s="331"/>
      <c r="M383" s="305"/>
      <c r="N383" s="324"/>
      <c r="O383" s="331"/>
      <c r="P383" s="305"/>
    </row>
    <row r="384" spans="1:16" s="226" customFormat="1" x14ac:dyDescent="0.2">
      <c r="A384" s="305"/>
      <c r="B384" s="324"/>
      <c r="C384" s="331"/>
      <c r="D384" s="305"/>
      <c r="E384" s="324"/>
      <c r="F384" s="331"/>
      <c r="G384" s="305"/>
      <c r="H384" s="324"/>
      <c r="I384" s="331"/>
      <c r="J384" s="305"/>
      <c r="K384" s="324"/>
      <c r="L384" s="331"/>
      <c r="M384" s="305"/>
      <c r="N384" s="324"/>
      <c r="O384" s="331"/>
      <c r="P384" s="305"/>
    </row>
    <row r="385" spans="1:16" s="226" customFormat="1" x14ac:dyDescent="0.2">
      <c r="A385" s="305"/>
      <c r="B385" s="324"/>
      <c r="C385" s="331"/>
      <c r="D385" s="305"/>
      <c r="E385" s="324"/>
      <c r="F385" s="331"/>
      <c r="G385" s="305"/>
      <c r="H385" s="324"/>
      <c r="I385" s="331"/>
      <c r="J385" s="305"/>
      <c r="K385" s="324"/>
      <c r="L385" s="331"/>
      <c r="M385" s="305"/>
      <c r="N385" s="324"/>
      <c r="O385" s="331"/>
      <c r="P385" s="305"/>
    </row>
    <row r="386" spans="1:16" s="226" customFormat="1" x14ac:dyDescent="0.2">
      <c r="A386" s="305"/>
      <c r="B386" s="324"/>
      <c r="C386" s="331"/>
      <c r="D386" s="305"/>
      <c r="E386" s="324"/>
      <c r="F386" s="331"/>
      <c r="G386" s="305"/>
      <c r="H386" s="324"/>
      <c r="I386" s="331"/>
      <c r="J386" s="305"/>
      <c r="K386" s="324"/>
      <c r="L386" s="331"/>
      <c r="M386" s="305"/>
      <c r="N386" s="324"/>
      <c r="O386" s="331"/>
      <c r="P386" s="305"/>
    </row>
    <row r="387" spans="1:16" s="226" customFormat="1" x14ac:dyDescent="0.2">
      <c r="A387" s="305"/>
      <c r="B387" s="324"/>
      <c r="C387" s="331"/>
      <c r="D387" s="305"/>
      <c r="E387" s="324"/>
      <c r="F387" s="331"/>
      <c r="G387" s="305"/>
      <c r="H387" s="324"/>
      <c r="I387" s="331"/>
      <c r="J387" s="305"/>
      <c r="K387" s="324"/>
      <c r="L387" s="331"/>
      <c r="M387" s="305"/>
      <c r="N387" s="324"/>
      <c r="O387" s="331"/>
      <c r="P387" s="305"/>
    </row>
    <row r="388" spans="1:16" s="226" customFormat="1" x14ac:dyDescent="0.2">
      <c r="A388" s="305"/>
      <c r="B388" s="324"/>
      <c r="C388" s="331"/>
      <c r="D388" s="305"/>
      <c r="E388" s="324"/>
      <c r="F388" s="331"/>
      <c r="G388" s="305"/>
      <c r="H388" s="324"/>
      <c r="I388" s="331"/>
      <c r="J388" s="305"/>
      <c r="K388" s="324"/>
      <c r="L388" s="331"/>
      <c r="M388" s="305"/>
      <c r="N388" s="324"/>
      <c r="O388" s="331"/>
      <c r="P388" s="305"/>
    </row>
    <row r="389" spans="1:16" s="226" customFormat="1" x14ac:dyDescent="0.2">
      <c r="A389" s="305"/>
      <c r="B389" s="324"/>
      <c r="C389" s="331"/>
      <c r="D389" s="305"/>
      <c r="E389" s="324"/>
      <c r="F389" s="331"/>
      <c r="G389" s="305"/>
      <c r="H389" s="324"/>
      <c r="I389" s="331"/>
      <c r="J389" s="305"/>
      <c r="K389" s="324"/>
      <c r="L389" s="331"/>
      <c r="M389" s="305"/>
      <c r="N389" s="324"/>
      <c r="O389" s="331"/>
      <c r="P389" s="305"/>
    </row>
    <row r="390" spans="1:16" s="226" customFormat="1" x14ac:dyDescent="0.2">
      <c r="A390" s="305"/>
      <c r="B390" s="324"/>
      <c r="C390" s="331"/>
      <c r="D390" s="305"/>
      <c r="E390" s="324"/>
      <c r="F390" s="331"/>
      <c r="G390" s="305"/>
      <c r="H390" s="324"/>
      <c r="I390" s="331"/>
      <c r="J390" s="305"/>
      <c r="K390" s="324"/>
      <c r="L390" s="331"/>
      <c r="M390" s="305"/>
      <c r="N390" s="324"/>
      <c r="O390" s="331"/>
      <c r="P390" s="305"/>
    </row>
    <row r="391" spans="1:16" s="226" customFormat="1" x14ac:dyDescent="0.2">
      <c r="A391" s="305"/>
      <c r="B391" s="324"/>
      <c r="C391" s="331"/>
      <c r="D391" s="305"/>
      <c r="E391" s="324"/>
      <c r="F391" s="331"/>
      <c r="G391" s="305"/>
      <c r="H391" s="324"/>
      <c r="I391" s="331"/>
      <c r="J391" s="305"/>
      <c r="K391" s="324"/>
      <c r="L391" s="331"/>
      <c r="M391" s="305"/>
      <c r="N391" s="324"/>
      <c r="O391" s="331"/>
      <c r="P391" s="305"/>
    </row>
    <row r="392" spans="1:16" s="226" customFormat="1" x14ac:dyDescent="0.2">
      <c r="A392" s="305"/>
      <c r="B392" s="324"/>
      <c r="C392" s="331"/>
      <c r="D392" s="305"/>
      <c r="E392" s="324"/>
      <c r="F392" s="331"/>
      <c r="G392" s="305"/>
      <c r="H392" s="324"/>
      <c r="I392" s="331"/>
      <c r="J392" s="305"/>
      <c r="K392" s="324"/>
      <c r="L392" s="331"/>
      <c r="M392" s="305"/>
      <c r="N392" s="324"/>
      <c r="O392" s="331"/>
      <c r="P392" s="305"/>
    </row>
    <row r="393" spans="1:16" s="226" customFormat="1" x14ac:dyDescent="0.2">
      <c r="A393" s="305"/>
      <c r="B393" s="324"/>
      <c r="C393" s="331"/>
      <c r="D393" s="305"/>
      <c r="E393" s="324"/>
      <c r="F393" s="331"/>
      <c r="G393" s="305"/>
      <c r="H393" s="324"/>
      <c r="I393" s="331"/>
      <c r="J393" s="305"/>
      <c r="K393" s="324"/>
      <c r="L393" s="331"/>
      <c r="M393" s="305"/>
      <c r="N393" s="324"/>
      <c r="O393" s="331"/>
      <c r="P393" s="305"/>
    </row>
    <row r="394" spans="1:16" s="226" customFormat="1" x14ac:dyDescent="0.2">
      <c r="A394" s="305"/>
      <c r="B394" s="324"/>
      <c r="C394" s="331"/>
      <c r="D394" s="305"/>
      <c r="E394" s="324"/>
      <c r="F394" s="331"/>
      <c r="G394" s="305"/>
      <c r="H394" s="324"/>
      <c r="I394" s="331"/>
      <c r="J394" s="305"/>
      <c r="K394" s="324"/>
      <c r="L394" s="331"/>
      <c r="M394" s="305"/>
      <c r="N394" s="324"/>
      <c r="O394" s="331"/>
      <c r="P394" s="305"/>
    </row>
    <row r="395" spans="1:16" s="226" customFormat="1" x14ac:dyDescent="0.2">
      <c r="A395" s="305"/>
      <c r="B395" s="324"/>
      <c r="C395" s="331"/>
      <c r="D395" s="305"/>
      <c r="E395" s="324"/>
      <c r="F395" s="331"/>
      <c r="G395" s="305"/>
      <c r="H395" s="324"/>
      <c r="I395" s="331"/>
      <c r="J395" s="305"/>
      <c r="K395" s="324"/>
      <c r="L395" s="331"/>
      <c r="M395" s="305"/>
      <c r="N395" s="324"/>
      <c r="O395" s="331"/>
      <c r="P395" s="305"/>
    </row>
    <row r="396" spans="1:16" s="226" customFormat="1" x14ac:dyDescent="0.2">
      <c r="A396" s="305"/>
      <c r="B396" s="324"/>
      <c r="C396" s="331"/>
      <c r="D396" s="305"/>
      <c r="E396" s="324"/>
      <c r="F396" s="331"/>
      <c r="G396" s="305"/>
      <c r="H396" s="324"/>
      <c r="I396" s="331"/>
      <c r="J396" s="305"/>
      <c r="K396" s="324"/>
      <c r="L396" s="331"/>
      <c r="M396" s="305"/>
      <c r="N396" s="324"/>
      <c r="O396" s="331"/>
      <c r="P396" s="305"/>
    </row>
    <row r="397" spans="1:16" s="226" customFormat="1" x14ac:dyDescent="0.2">
      <c r="A397" s="305"/>
      <c r="B397" s="324"/>
      <c r="C397" s="331"/>
      <c r="D397" s="305"/>
      <c r="E397" s="324"/>
      <c r="F397" s="331"/>
      <c r="G397" s="305"/>
      <c r="H397" s="324"/>
      <c r="I397" s="331"/>
      <c r="J397" s="305"/>
      <c r="K397" s="324"/>
      <c r="L397" s="331"/>
      <c r="M397" s="305"/>
      <c r="N397" s="324"/>
      <c r="O397" s="331"/>
      <c r="P397" s="305"/>
    </row>
    <row r="398" spans="1:16" s="226" customFormat="1" x14ac:dyDescent="0.2">
      <c r="A398" s="305"/>
      <c r="B398" s="324"/>
      <c r="C398" s="331"/>
      <c r="D398" s="305"/>
      <c r="E398" s="324"/>
      <c r="F398" s="331"/>
      <c r="G398" s="305"/>
      <c r="H398" s="324"/>
      <c r="I398" s="331"/>
      <c r="J398" s="305"/>
      <c r="K398" s="324"/>
      <c r="L398" s="331"/>
      <c r="M398" s="305"/>
      <c r="N398" s="324"/>
      <c r="O398" s="331"/>
      <c r="P398" s="305"/>
    </row>
    <row r="399" spans="1:16" s="226" customFormat="1" x14ac:dyDescent="0.2">
      <c r="A399" s="305"/>
      <c r="B399" s="324"/>
      <c r="C399" s="331"/>
      <c r="D399" s="305"/>
      <c r="E399" s="324"/>
      <c r="F399" s="331"/>
      <c r="G399" s="305"/>
      <c r="H399" s="324"/>
      <c r="I399" s="331"/>
      <c r="J399" s="305"/>
      <c r="K399" s="324"/>
      <c r="L399" s="331"/>
      <c r="M399" s="305"/>
      <c r="N399" s="324"/>
      <c r="O399" s="331"/>
      <c r="P399" s="305"/>
    </row>
    <row r="400" spans="1:16" s="226" customFormat="1" x14ac:dyDescent="0.2">
      <c r="A400" s="305"/>
      <c r="B400" s="324"/>
      <c r="C400" s="331"/>
      <c r="D400" s="305"/>
      <c r="E400" s="324"/>
      <c r="F400" s="331"/>
      <c r="G400" s="305"/>
      <c r="H400" s="324"/>
      <c r="I400" s="331"/>
      <c r="J400" s="305"/>
      <c r="K400" s="324"/>
      <c r="L400" s="331"/>
      <c r="M400" s="305"/>
      <c r="N400" s="324"/>
      <c r="O400" s="331"/>
      <c r="P400" s="305"/>
    </row>
    <row r="401" spans="1:16" s="226" customFormat="1" x14ac:dyDescent="0.2">
      <c r="A401" s="305"/>
      <c r="B401" s="324"/>
      <c r="C401" s="331"/>
      <c r="D401" s="305"/>
      <c r="E401" s="324"/>
      <c r="F401" s="331"/>
      <c r="G401" s="305"/>
      <c r="H401" s="324"/>
      <c r="I401" s="331"/>
      <c r="J401" s="305"/>
      <c r="K401" s="324"/>
      <c r="L401" s="331"/>
      <c r="M401" s="305"/>
      <c r="N401" s="324"/>
      <c r="O401" s="331"/>
      <c r="P401" s="305"/>
    </row>
    <row r="402" spans="1:16" s="226" customFormat="1" x14ac:dyDescent="0.2">
      <c r="A402" s="305"/>
      <c r="B402" s="324"/>
      <c r="C402" s="331"/>
      <c r="D402" s="305"/>
      <c r="E402" s="324"/>
      <c r="F402" s="331"/>
      <c r="G402" s="305"/>
      <c r="H402" s="324"/>
      <c r="I402" s="331"/>
      <c r="J402" s="305"/>
      <c r="K402" s="324"/>
      <c r="L402" s="331"/>
      <c r="M402" s="305"/>
      <c r="N402" s="324"/>
      <c r="O402" s="331"/>
      <c r="P402" s="305"/>
    </row>
    <row r="403" spans="1:16" s="226" customFormat="1" x14ac:dyDescent="0.2">
      <c r="A403" s="305"/>
      <c r="B403" s="324"/>
      <c r="C403" s="331"/>
      <c r="D403" s="305"/>
      <c r="E403" s="324"/>
      <c r="F403" s="331"/>
      <c r="G403" s="305"/>
      <c r="H403" s="324"/>
      <c r="I403" s="331"/>
      <c r="J403" s="305"/>
      <c r="K403" s="324"/>
      <c r="L403" s="331"/>
      <c r="M403" s="305"/>
      <c r="N403" s="324"/>
      <c r="O403" s="331"/>
      <c r="P403" s="305"/>
    </row>
    <row r="404" spans="1:16" s="226" customFormat="1" x14ac:dyDescent="0.2">
      <c r="A404" s="305"/>
      <c r="B404" s="324"/>
      <c r="C404" s="331"/>
      <c r="D404" s="305"/>
      <c r="E404" s="324"/>
      <c r="F404" s="331"/>
      <c r="G404" s="305"/>
      <c r="H404" s="324"/>
      <c r="I404" s="331"/>
      <c r="J404" s="305"/>
      <c r="K404" s="324"/>
      <c r="L404" s="331"/>
      <c r="M404" s="305"/>
      <c r="N404" s="324"/>
      <c r="O404" s="331"/>
      <c r="P404" s="305"/>
    </row>
    <row r="405" spans="1:16" s="226" customFormat="1" x14ac:dyDescent="0.2">
      <c r="A405" s="305"/>
      <c r="B405" s="324"/>
      <c r="C405" s="331"/>
      <c r="D405" s="305"/>
      <c r="E405" s="324"/>
      <c r="F405" s="331"/>
      <c r="G405" s="305"/>
      <c r="H405" s="324"/>
      <c r="I405" s="331"/>
      <c r="J405" s="305"/>
      <c r="K405" s="324"/>
      <c r="L405" s="331"/>
      <c r="M405" s="305"/>
      <c r="N405" s="324"/>
      <c r="O405" s="331"/>
      <c r="P405" s="305"/>
    </row>
    <row r="406" spans="1:16" s="226" customFormat="1" x14ac:dyDescent="0.2">
      <c r="A406" s="305"/>
      <c r="B406" s="324"/>
      <c r="C406" s="331"/>
      <c r="D406" s="305"/>
      <c r="E406" s="324"/>
      <c r="F406" s="331"/>
      <c r="G406" s="305"/>
      <c r="H406" s="324"/>
      <c r="I406" s="331"/>
      <c r="J406" s="305"/>
      <c r="K406" s="324"/>
      <c r="L406" s="331"/>
      <c r="M406" s="305"/>
      <c r="N406" s="324"/>
      <c r="O406" s="331"/>
      <c r="P406" s="305"/>
    </row>
    <row r="407" spans="1:16" s="226" customFormat="1" x14ac:dyDescent="0.2">
      <c r="A407" s="305"/>
      <c r="B407" s="324"/>
      <c r="C407" s="331"/>
      <c r="D407" s="305"/>
      <c r="E407" s="324"/>
      <c r="F407" s="331"/>
      <c r="G407" s="305"/>
      <c r="H407" s="324"/>
      <c r="I407" s="331"/>
      <c r="J407" s="305"/>
      <c r="K407" s="324"/>
      <c r="L407" s="331"/>
      <c r="M407" s="305"/>
      <c r="N407" s="324"/>
      <c r="O407" s="331"/>
      <c r="P407" s="305"/>
    </row>
    <row r="408" spans="1:16" s="226" customFormat="1" x14ac:dyDescent="0.2">
      <c r="A408" s="305"/>
      <c r="B408" s="324"/>
      <c r="C408" s="331"/>
      <c r="D408" s="305"/>
      <c r="E408" s="324"/>
      <c r="F408" s="331"/>
      <c r="G408" s="305"/>
      <c r="H408" s="324"/>
      <c r="I408" s="331"/>
      <c r="J408" s="305"/>
      <c r="K408" s="324"/>
      <c r="L408" s="331"/>
      <c r="M408" s="305"/>
      <c r="N408" s="324"/>
      <c r="O408" s="331"/>
      <c r="P408" s="305"/>
    </row>
    <row r="409" spans="1:16" s="226" customFormat="1" x14ac:dyDescent="0.2">
      <c r="A409" s="305"/>
      <c r="B409" s="324"/>
      <c r="C409" s="331"/>
      <c r="D409" s="305"/>
      <c r="E409" s="324"/>
      <c r="F409" s="331"/>
      <c r="G409" s="305"/>
      <c r="H409" s="324"/>
      <c r="I409" s="331"/>
      <c r="J409" s="305"/>
      <c r="K409" s="324"/>
      <c r="L409" s="331"/>
      <c r="M409" s="305"/>
      <c r="N409" s="324"/>
      <c r="O409" s="331"/>
      <c r="P409" s="305"/>
    </row>
    <row r="410" spans="1:16" s="226" customFormat="1" x14ac:dyDescent="0.2">
      <c r="A410" s="305"/>
      <c r="B410" s="324"/>
      <c r="C410" s="331"/>
      <c r="D410" s="305"/>
      <c r="E410" s="324"/>
      <c r="F410" s="331"/>
      <c r="G410" s="305"/>
      <c r="H410" s="324"/>
      <c r="I410" s="331"/>
      <c r="J410" s="305"/>
      <c r="K410" s="324"/>
      <c r="L410" s="331"/>
      <c r="M410" s="305"/>
      <c r="N410" s="324"/>
      <c r="O410" s="331"/>
      <c r="P410" s="305"/>
    </row>
    <row r="411" spans="1:16" s="226" customFormat="1" x14ac:dyDescent="0.2">
      <c r="A411" s="305"/>
      <c r="B411" s="324"/>
      <c r="C411" s="331"/>
      <c r="D411" s="305"/>
      <c r="E411" s="324"/>
      <c r="F411" s="331"/>
      <c r="G411" s="305"/>
      <c r="H411" s="324"/>
      <c r="I411" s="331"/>
      <c r="J411" s="305"/>
      <c r="K411" s="324"/>
      <c r="L411" s="331"/>
      <c r="M411" s="305"/>
      <c r="N411" s="324"/>
      <c r="O411" s="331"/>
      <c r="P411" s="305"/>
    </row>
    <row r="412" spans="1:16" s="226" customFormat="1" x14ac:dyDescent="0.2">
      <c r="A412" s="305"/>
      <c r="B412" s="324"/>
      <c r="C412" s="331"/>
      <c r="D412" s="305"/>
      <c r="E412" s="324"/>
      <c r="F412" s="331"/>
      <c r="G412" s="305"/>
      <c r="H412" s="324"/>
      <c r="I412" s="331"/>
      <c r="J412" s="305"/>
      <c r="K412" s="324"/>
      <c r="L412" s="331"/>
      <c r="M412" s="305"/>
      <c r="N412" s="324"/>
      <c r="O412" s="331"/>
      <c r="P412" s="305"/>
    </row>
    <row r="413" spans="1:16" s="226" customFormat="1" x14ac:dyDescent="0.2">
      <c r="A413" s="305"/>
      <c r="B413" s="324"/>
      <c r="C413" s="331"/>
      <c r="D413" s="305"/>
      <c r="E413" s="324"/>
      <c r="F413" s="331"/>
      <c r="G413" s="305"/>
      <c r="H413" s="324"/>
      <c r="I413" s="331"/>
      <c r="J413" s="305"/>
      <c r="K413" s="324"/>
      <c r="L413" s="331"/>
      <c r="M413" s="305"/>
      <c r="N413" s="324"/>
      <c r="O413" s="331"/>
      <c r="P413" s="305"/>
    </row>
    <row r="414" spans="1:16" s="226" customFormat="1" x14ac:dyDescent="0.2">
      <c r="A414" s="305"/>
      <c r="B414" s="324"/>
      <c r="C414" s="331"/>
      <c r="D414" s="305"/>
      <c r="E414" s="324"/>
      <c r="F414" s="331"/>
      <c r="G414" s="305"/>
      <c r="H414" s="324"/>
      <c r="I414" s="331"/>
      <c r="J414" s="305"/>
      <c r="K414" s="324"/>
      <c r="L414" s="331"/>
      <c r="M414" s="305"/>
      <c r="N414" s="324"/>
      <c r="O414" s="331"/>
      <c r="P414" s="305"/>
    </row>
    <row r="415" spans="1:16" s="226" customFormat="1" x14ac:dyDescent="0.2">
      <c r="A415" s="305"/>
      <c r="B415" s="324"/>
      <c r="C415" s="331"/>
      <c r="D415" s="305"/>
      <c r="E415" s="324"/>
      <c r="F415" s="331"/>
      <c r="G415" s="305"/>
      <c r="H415" s="324"/>
      <c r="I415" s="331"/>
      <c r="J415" s="305"/>
      <c r="K415" s="324"/>
      <c r="L415" s="331"/>
      <c r="M415" s="305"/>
      <c r="N415" s="324"/>
      <c r="O415" s="331"/>
      <c r="P415" s="305"/>
    </row>
    <row r="416" spans="1:16" s="226" customFormat="1" x14ac:dyDescent="0.2">
      <c r="A416" s="305"/>
      <c r="B416" s="324"/>
      <c r="C416" s="331"/>
      <c r="D416" s="305"/>
      <c r="E416" s="324"/>
      <c r="F416" s="331"/>
      <c r="G416" s="305"/>
      <c r="H416" s="324"/>
      <c r="I416" s="331"/>
      <c r="J416" s="305"/>
      <c r="K416" s="324"/>
      <c r="L416" s="331"/>
      <c r="M416" s="305"/>
      <c r="N416" s="324"/>
      <c r="O416" s="331"/>
      <c r="P416" s="305"/>
    </row>
    <row r="417" spans="1:16" s="226" customFormat="1" x14ac:dyDescent="0.2">
      <c r="A417" s="305"/>
      <c r="B417" s="324"/>
      <c r="C417" s="331"/>
      <c r="D417" s="305"/>
      <c r="E417" s="324"/>
      <c r="F417" s="331"/>
      <c r="G417" s="305"/>
      <c r="H417" s="324"/>
      <c r="I417" s="331"/>
      <c r="J417" s="305"/>
      <c r="K417" s="324"/>
      <c r="L417" s="331"/>
      <c r="M417" s="305"/>
      <c r="N417" s="324"/>
      <c r="O417" s="331"/>
      <c r="P417" s="305"/>
    </row>
    <row r="418" spans="1:16" s="226" customFormat="1" x14ac:dyDescent="0.2">
      <c r="A418" s="305"/>
      <c r="B418" s="324"/>
      <c r="C418" s="331"/>
      <c r="D418" s="305"/>
      <c r="E418" s="324"/>
      <c r="F418" s="331"/>
      <c r="G418" s="305"/>
      <c r="H418" s="324"/>
      <c r="I418" s="331"/>
      <c r="J418" s="305"/>
      <c r="K418" s="324"/>
      <c r="L418" s="331"/>
      <c r="M418" s="305"/>
      <c r="N418" s="324"/>
      <c r="O418" s="331"/>
      <c r="P418" s="305"/>
    </row>
    <row r="419" spans="1:16" s="226" customFormat="1" x14ac:dyDescent="0.2">
      <c r="A419" s="305"/>
      <c r="B419" s="324"/>
      <c r="C419" s="331"/>
      <c r="D419" s="305"/>
      <c r="E419" s="324"/>
      <c r="F419" s="331"/>
      <c r="G419" s="305"/>
      <c r="H419" s="324"/>
      <c r="I419" s="331"/>
      <c r="J419" s="305"/>
      <c r="K419" s="324"/>
      <c r="L419" s="331"/>
      <c r="M419" s="305"/>
      <c r="N419" s="324"/>
      <c r="O419" s="331"/>
      <c r="P419" s="305"/>
    </row>
    <row r="420" spans="1:16" s="226" customFormat="1" x14ac:dyDescent="0.2">
      <c r="A420" s="305"/>
      <c r="B420" s="324"/>
      <c r="C420" s="331"/>
      <c r="D420" s="305"/>
      <c r="E420" s="324"/>
      <c r="F420" s="331"/>
      <c r="G420" s="305"/>
      <c r="H420" s="324"/>
      <c r="I420" s="331"/>
      <c r="J420" s="305"/>
      <c r="K420" s="324"/>
      <c r="L420" s="331"/>
      <c r="M420" s="305"/>
      <c r="N420" s="324"/>
      <c r="O420" s="331"/>
      <c r="P420" s="305"/>
    </row>
    <row r="421" spans="1:16" s="226" customFormat="1" x14ac:dyDescent="0.2">
      <c r="A421" s="305"/>
      <c r="B421" s="324"/>
      <c r="C421" s="331"/>
      <c r="D421" s="305"/>
      <c r="E421" s="324"/>
      <c r="F421" s="331"/>
      <c r="G421" s="305"/>
      <c r="H421" s="324"/>
      <c r="I421" s="331"/>
      <c r="J421" s="305"/>
      <c r="K421" s="324"/>
      <c r="L421" s="331"/>
      <c r="M421" s="305"/>
      <c r="N421" s="324"/>
      <c r="O421" s="331"/>
      <c r="P421" s="305"/>
    </row>
    <row r="422" spans="1:16" s="226" customFormat="1" x14ac:dyDescent="0.2">
      <c r="A422" s="305"/>
      <c r="B422" s="324"/>
      <c r="C422" s="331"/>
      <c r="D422" s="305"/>
      <c r="E422" s="324"/>
      <c r="F422" s="331"/>
      <c r="G422" s="305"/>
      <c r="H422" s="324"/>
      <c r="I422" s="331"/>
      <c r="J422" s="305"/>
      <c r="K422" s="324"/>
      <c r="L422" s="331"/>
      <c r="M422" s="305"/>
      <c r="N422" s="324"/>
      <c r="O422" s="331"/>
      <c r="P422" s="305"/>
    </row>
    <row r="423" spans="1:16" s="226" customFormat="1" x14ac:dyDescent="0.2">
      <c r="A423" s="305"/>
      <c r="B423" s="324"/>
      <c r="C423" s="331"/>
      <c r="D423" s="305"/>
      <c r="E423" s="324"/>
      <c r="F423" s="331"/>
      <c r="G423" s="305"/>
      <c r="H423" s="324"/>
      <c r="I423" s="331"/>
      <c r="J423" s="305"/>
      <c r="K423" s="324"/>
      <c r="L423" s="331"/>
      <c r="M423" s="305"/>
      <c r="N423" s="324"/>
      <c r="O423" s="331"/>
      <c r="P423" s="305"/>
    </row>
    <row r="424" spans="1:16" s="226" customFormat="1" x14ac:dyDescent="0.2">
      <c r="A424" s="305"/>
      <c r="B424" s="324"/>
      <c r="C424" s="331"/>
      <c r="D424" s="305"/>
      <c r="E424" s="324"/>
      <c r="F424" s="331"/>
      <c r="G424" s="305"/>
      <c r="H424" s="324"/>
      <c r="I424" s="331"/>
      <c r="J424" s="305"/>
      <c r="K424" s="324"/>
      <c r="L424" s="331"/>
      <c r="M424" s="305"/>
      <c r="N424" s="324"/>
      <c r="O424" s="331"/>
      <c r="P424" s="305"/>
    </row>
    <row r="425" spans="1:16" s="226" customFormat="1" x14ac:dyDescent="0.2">
      <c r="A425" s="305"/>
      <c r="B425" s="324"/>
      <c r="C425" s="331"/>
      <c r="D425" s="305"/>
      <c r="E425" s="324"/>
      <c r="F425" s="331"/>
      <c r="G425" s="305"/>
      <c r="H425" s="324"/>
      <c r="I425" s="331"/>
      <c r="J425" s="305"/>
      <c r="K425" s="324"/>
      <c r="L425" s="331"/>
      <c r="M425" s="305"/>
      <c r="N425" s="324"/>
      <c r="O425" s="331"/>
      <c r="P425" s="305"/>
    </row>
    <row r="426" spans="1:16" s="226" customFormat="1" x14ac:dyDescent="0.2">
      <c r="A426" s="305"/>
      <c r="B426" s="324"/>
      <c r="C426" s="331"/>
      <c r="D426" s="305"/>
      <c r="E426" s="324"/>
      <c r="F426" s="331"/>
      <c r="G426" s="305"/>
      <c r="H426" s="324"/>
      <c r="I426" s="331"/>
      <c r="J426" s="305"/>
      <c r="K426" s="324"/>
      <c r="L426" s="331"/>
      <c r="M426" s="305"/>
      <c r="N426" s="324"/>
      <c r="O426" s="331"/>
      <c r="P426" s="305"/>
    </row>
    <row r="427" spans="1:16" s="226" customFormat="1" x14ac:dyDescent="0.2">
      <c r="A427" s="305"/>
      <c r="B427" s="324"/>
      <c r="C427" s="331"/>
      <c r="D427" s="305"/>
      <c r="E427" s="324"/>
      <c r="F427" s="331"/>
      <c r="G427" s="305"/>
      <c r="H427" s="324"/>
      <c r="I427" s="331"/>
      <c r="J427" s="305"/>
      <c r="K427" s="324"/>
      <c r="L427" s="331"/>
      <c r="M427" s="305"/>
      <c r="N427" s="324"/>
      <c r="O427" s="331"/>
      <c r="P427" s="305"/>
    </row>
    <row r="428" spans="1:16" s="226" customFormat="1" x14ac:dyDescent="0.2">
      <c r="A428" s="305"/>
      <c r="B428" s="324"/>
      <c r="C428" s="331"/>
      <c r="D428" s="305"/>
      <c r="E428" s="324"/>
      <c r="F428" s="331"/>
      <c r="G428" s="305"/>
      <c r="H428" s="324"/>
      <c r="I428" s="331"/>
      <c r="J428" s="305"/>
      <c r="K428" s="324"/>
      <c r="L428" s="331"/>
      <c r="M428" s="305"/>
      <c r="N428" s="324"/>
      <c r="O428" s="331"/>
      <c r="P428" s="305"/>
    </row>
    <row r="429" spans="1:16" s="226" customFormat="1" x14ac:dyDescent="0.2">
      <c r="A429" s="305"/>
      <c r="B429" s="324"/>
      <c r="C429" s="331"/>
      <c r="D429" s="305"/>
      <c r="E429" s="324"/>
      <c r="F429" s="331"/>
      <c r="G429" s="305"/>
      <c r="H429" s="324"/>
      <c r="I429" s="331"/>
      <c r="J429" s="305"/>
      <c r="K429" s="324"/>
      <c r="L429" s="331"/>
      <c r="M429" s="305"/>
      <c r="N429" s="324"/>
      <c r="O429" s="331"/>
      <c r="P429" s="305"/>
    </row>
    <row r="430" spans="1:16" s="226" customFormat="1" x14ac:dyDescent="0.2">
      <c r="A430" s="305"/>
      <c r="B430" s="324"/>
      <c r="C430" s="331"/>
      <c r="D430" s="305"/>
      <c r="E430" s="324"/>
      <c r="F430" s="331"/>
      <c r="G430" s="305"/>
      <c r="H430" s="324"/>
      <c r="I430" s="331"/>
      <c r="J430" s="305"/>
      <c r="K430" s="324"/>
      <c r="L430" s="331"/>
      <c r="M430" s="305"/>
      <c r="N430" s="324"/>
      <c r="O430" s="331"/>
      <c r="P430" s="305"/>
    </row>
    <row r="431" spans="1:16" s="226" customFormat="1" x14ac:dyDescent="0.2">
      <c r="A431" s="305"/>
      <c r="B431" s="324"/>
      <c r="C431" s="331"/>
      <c r="D431" s="305"/>
      <c r="E431" s="324"/>
      <c r="F431" s="331"/>
      <c r="G431" s="305"/>
      <c r="H431" s="324"/>
      <c r="I431" s="331"/>
      <c r="J431" s="305"/>
      <c r="K431" s="324"/>
      <c r="L431" s="331"/>
      <c r="M431" s="305"/>
      <c r="N431" s="324"/>
      <c r="O431" s="331"/>
      <c r="P431" s="305"/>
    </row>
    <row r="432" spans="1:16" s="226" customFormat="1" x14ac:dyDescent="0.2">
      <c r="A432" s="305"/>
      <c r="B432" s="324"/>
      <c r="C432" s="331"/>
      <c r="D432" s="305"/>
      <c r="E432" s="324"/>
      <c r="F432" s="331"/>
      <c r="G432" s="305"/>
      <c r="H432" s="324"/>
      <c r="I432" s="331"/>
      <c r="J432" s="305"/>
      <c r="K432" s="324"/>
      <c r="L432" s="331"/>
      <c r="M432" s="305"/>
      <c r="N432" s="324"/>
      <c r="O432" s="331"/>
      <c r="P432" s="305"/>
    </row>
    <row r="433" spans="1:16" s="226" customFormat="1" x14ac:dyDescent="0.2">
      <c r="A433" s="305"/>
      <c r="B433" s="324"/>
      <c r="C433" s="331"/>
      <c r="D433" s="305"/>
      <c r="E433" s="324"/>
      <c r="F433" s="331"/>
      <c r="G433" s="305"/>
      <c r="H433" s="324"/>
      <c r="I433" s="331"/>
      <c r="J433" s="305"/>
      <c r="K433" s="324"/>
      <c r="L433" s="331"/>
      <c r="M433" s="305"/>
      <c r="N433" s="324"/>
      <c r="O433" s="331"/>
      <c r="P433" s="305"/>
    </row>
    <row r="434" spans="1:16" s="226" customFormat="1" x14ac:dyDescent="0.2">
      <c r="A434" s="305"/>
      <c r="B434" s="324"/>
      <c r="C434" s="331"/>
      <c r="D434" s="305"/>
      <c r="E434" s="324"/>
      <c r="F434" s="331"/>
      <c r="G434" s="305"/>
      <c r="H434" s="324"/>
      <c r="I434" s="331"/>
      <c r="J434" s="305"/>
      <c r="K434" s="324"/>
      <c r="L434" s="331"/>
      <c r="M434" s="305"/>
      <c r="N434" s="324"/>
      <c r="O434" s="331"/>
      <c r="P434" s="305"/>
    </row>
    <row r="435" spans="1:16" s="226" customFormat="1" x14ac:dyDescent="0.2">
      <c r="A435" s="305"/>
      <c r="B435" s="324"/>
      <c r="C435" s="331"/>
      <c r="D435" s="305"/>
      <c r="E435" s="324"/>
      <c r="F435" s="331"/>
      <c r="G435" s="305"/>
      <c r="H435" s="324"/>
      <c r="I435" s="331"/>
      <c r="J435" s="305"/>
      <c r="K435" s="324"/>
      <c r="L435" s="331"/>
      <c r="M435" s="305"/>
      <c r="N435" s="324"/>
      <c r="O435" s="331"/>
      <c r="P435" s="305"/>
    </row>
    <row r="436" spans="1:16" s="226" customFormat="1" x14ac:dyDescent="0.2">
      <c r="A436" s="305"/>
      <c r="B436" s="324"/>
      <c r="C436" s="331"/>
      <c r="D436" s="305"/>
      <c r="E436" s="324"/>
      <c r="F436" s="331"/>
      <c r="G436" s="305"/>
      <c r="H436" s="324"/>
      <c r="I436" s="331"/>
      <c r="J436" s="305"/>
      <c r="K436" s="324"/>
      <c r="L436" s="331"/>
      <c r="M436" s="305"/>
      <c r="N436" s="324"/>
      <c r="O436" s="331"/>
      <c r="P436" s="305"/>
    </row>
    <row r="437" spans="1:16" s="226" customFormat="1" x14ac:dyDescent="0.2">
      <c r="A437" s="305"/>
      <c r="B437" s="324"/>
      <c r="C437" s="331"/>
      <c r="D437" s="305"/>
      <c r="E437" s="324"/>
      <c r="F437" s="331"/>
      <c r="G437" s="305"/>
      <c r="H437" s="324"/>
      <c r="I437" s="331"/>
      <c r="J437" s="305"/>
      <c r="K437" s="324"/>
      <c r="L437" s="331"/>
      <c r="M437" s="305"/>
      <c r="N437" s="324"/>
      <c r="O437" s="331"/>
      <c r="P437" s="305"/>
    </row>
    <row r="438" spans="1:16" s="226" customFormat="1" x14ac:dyDescent="0.2">
      <c r="A438" s="305"/>
      <c r="B438" s="324"/>
      <c r="C438" s="331"/>
      <c r="D438" s="305"/>
      <c r="E438" s="324"/>
      <c r="F438" s="331"/>
      <c r="G438" s="305"/>
      <c r="H438" s="324"/>
      <c r="I438" s="331"/>
      <c r="J438" s="305"/>
      <c r="K438" s="324"/>
      <c r="L438" s="331"/>
      <c r="M438" s="305"/>
      <c r="N438" s="324"/>
      <c r="O438" s="331"/>
      <c r="P438" s="305"/>
    </row>
    <row r="439" spans="1:16" s="226" customFormat="1" x14ac:dyDescent="0.2">
      <c r="A439" s="305"/>
      <c r="B439" s="324"/>
      <c r="C439" s="331"/>
      <c r="D439" s="305"/>
      <c r="E439" s="324"/>
      <c r="F439" s="331"/>
      <c r="G439" s="305"/>
      <c r="H439" s="324"/>
      <c r="I439" s="331"/>
      <c r="J439" s="305"/>
      <c r="K439" s="324"/>
      <c r="L439" s="331"/>
      <c r="M439" s="305"/>
      <c r="N439" s="324"/>
      <c r="O439" s="331"/>
      <c r="P439" s="305"/>
    </row>
    <row r="440" spans="1:16" s="226" customFormat="1" x14ac:dyDescent="0.2">
      <c r="A440" s="305"/>
      <c r="B440" s="324"/>
      <c r="C440" s="331"/>
      <c r="D440" s="305"/>
      <c r="E440" s="324"/>
      <c r="F440" s="331"/>
      <c r="G440" s="305"/>
      <c r="H440" s="324"/>
      <c r="I440" s="331"/>
      <c r="J440" s="305"/>
      <c r="K440" s="324"/>
      <c r="L440" s="331"/>
      <c r="M440" s="305"/>
      <c r="N440" s="324"/>
      <c r="O440" s="331"/>
      <c r="P440" s="305"/>
    </row>
    <row r="441" spans="1:16" s="226" customFormat="1" x14ac:dyDescent="0.2">
      <c r="A441" s="305"/>
      <c r="B441" s="324"/>
      <c r="C441" s="331"/>
      <c r="D441" s="305"/>
      <c r="E441" s="324"/>
      <c r="F441" s="331"/>
      <c r="G441" s="305"/>
      <c r="H441" s="324"/>
      <c r="I441" s="331"/>
      <c r="J441" s="305"/>
      <c r="K441" s="324"/>
      <c r="L441" s="331"/>
      <c r="M441" s="305"/>
      <c r="N441" s="324"/>
      <c r="O441" s="331"/>
      <c r="P441" s="305"/>
    </row>
    <row r="442" spans="1:16" s="226" customFormat="1" x14ac:dyDescent="0.2">
      <c r="A442" s="305"/>
      <c r="B442" s="324"/>
      <c r="C442" s="331"/>
      <c r="D442" s="305"/>
      <c r="E442" s="324"/>
      <c r="F442" s="331"/>
      <c r="G442" s="305"/>
      <c r="H442" s="324"/>
      <c r="I442" s="331"/>
      <c r="J442" s="305"/>
      <c r="K442" s="324"/>
      <c r="L442" s="331"/>
      <c r="M442" s="305"/>
      <c r="N442" s="324"/>
      <c r="O442" s="331"/>
      <c r="P442" s="305"/>
    </row>
    <row r="443" spans="1:16" s="226" customFormat="1" x14ac:dyDescent="0.2">
      <c r="A443" s="305"/>
      <c r="B443" s="324"/>
      <c r="C443" s="331"/>
      <c r="D443" s="305"/>
      <c r="E443" s="324"/>
      <c r="F443" s="331"/>
      <c r="G443" s="305"/>
      <c r="H443" s="324"/>
      <c r="I443" s="331"/>
      <c r="J443" s="305"/>
      <c r="K443" s="324"/>
      <c r="L443" s="331"/>
      <c r="M443" s="305"/>
      <c r="N443" s="324"/>
      <c r="O443" s="331"/>
      <c r="P443" s="305"/>
    </row>
    <row r="444" spans="1:16" s="226" customFormat="1" x14ac:dyDescent="0.2">
      <c r="A444" s="305"/>
      <c r="B444" s="324"/>
      <c r="C444" s="331"/>
      <c r="D444" s="305"/>
      <c r="E444" s="324"/>
      <c r="F444" s="331"/>
      <c r="G444" s="305"/>
      <c r="H444" s="324"/>
      <c r="I444" s="331"/>
      <c r="J444" s="305"/>
      <c r="K444" s="324"/>
      <c r="L444" s="331"/>
      <c r="M444" s="305"/>
      <c r="N444" s="324"/>
      <c r="O444" s="331"/>
      <c r="P444" s="305"/>
    </row>
    <row r="445" spans="1:16" s="226" customFormat="1" x14ac:dyDescent="0.2">
      <c r="A445" s="305"/>
      <c r="B445" s="324"/>
      <c r="C445" s="331"/>
      <c r="D445" s="305"/>
      <c r="E445" s="324"/>
      <c r="F445" s="331"/>
      <c r="G445" s="305"/>
      <c r="H445" s="324"/>
      <c r="I445" s="331"/>
      <c r="J445" s="305"/>
      <c r="K445" s="324"/>
      <c r="L445" s="331"/>
      <c r="M445" s="305"/>
      <c r="N445" s="324"/>
      <c r="O445" s="331"/>
      <c r="P445" s="305"/>
    </row>
    <row r="446" spans="1:16" s="226" customFormat="1" x14ac:dyDescent="0.2">
      <c r="A446" s="305"/>
      <c r="B446" s="324"/>
      <c r="C446" s="331"/>
      <c r="D446" s="305"/>
      <c r="E446" s="324"/>
      <c r="F446" s="331"/>
      <c r="G446" s="305"/>
      <c r="H446" s="324"/>
      <c r="I446" s="331"/>
      <c r="J446" s="305"/>
      <c r="K446" s="324"/>
      <c r="L446" s="331"/>
      <c r="M446" s="305"/>
      <c r="N446" s="324"/>
      <c r="O446" s="331"/>
      <c r="P446" s="305"/>
    </row>
    <row r="447" spans="1:16" s="226" customFormat="1" x14ac:dyDescent="0.2">
      <c r="A447" s="305"/>
      <c r="B447" s="324"/>
      <c r="C447" s="331"/>
      <c r="D447" s="305"/>
      <c r="E447" s="324"/>
      <c r="F447" s="331"/>
      <c r="G447" s="305"/>
      <c r="H447" s="324"/>
      <c r="I447" s="331"/>
      <c r="J447" s="305"/>
      <c r="K447" s="324"/>
      <c r="L447" s="331"/>
      <c r="M447" s="305"/>
      <c r="N447" s="324"/>
      <c r="O447" s="331"/>
      <c r="P447" s="305"/>
    </row>
    <row r="448" spans="1:16" s="226" customFormat="1" x14ac:dyDescent="0.2">
      <c r="A448" s="305"/>
      <c r="B448" s="324"/>
      <c r="C448" s="331"/>
      <c r="D448" s="305"/>
      <c r="E448" s="324"/>
      <c r="F448" s="331"/>
      <c r="G448" s="305"/>
      <c r="H448" s="324"/>
      <c r="I448" s="331"/>
      <c r="J448" s="305"/>
      <c r="K448" s="324"/>
      <c r="L448" s="331"/>
      <c r="M448" s="305"/>
      <c r="N448" s="324"/>
      <c r="O448" s="331"/>
      <c r="P448" s="305"/>
    </row>
    <row r="449" spans="1:16" s="226" customFormat="1" x14ac:dyDescent="0.2">
      <c r="A449" s="305"/>
      <c r="B449" s="324"/>
      <c r="C449" s="331"/>
      <c r="D449" s="305"/>
      <c r="E449" s="324"/>
      <c r="F449" s="331"/>
      <c r="G449" s="305"/>
      <c r="H449" s="324"/>
      <c r="I449" s="331"/>
      <c r="J449" s="305"/>
      <c r="K449" s="324"/>
      <c r="L449" s="331"/>
      <c r="M449" s="305"/>
      <c r="N449" s="324"/>
      <c r="O449" s="331"/>
      <c r="P449" s="305"/>
    </row>
    <row r="450" spans="1:16" s="226" customFormat="1" x14ac:dyDescent="0.2">
      <c r="A450" s="305"/>
      <c r="B450" s="324"/>
      <c r="C450" s="331"/>
      <c r="D450" s="305"/>
      <c r="E450" s="324"/>
      <c r="F450" s="331"/>
      <c r="G450" s="305"/>
      <c r="H450" s="324"/>
      <c r="I450" s="331"/>
      <c r="J450" s="305"/>
      <c r="K450" s="324"/>
      <c r="L450" s="331"/>
      <c r="M450" s="305"/>
      <c r="N450" s="324"/>
      <c r="O450" s="331"/>
      <c r="P450" s="305"/>
    </row>
    <row r="451" spans="1:16" s="226" customFormat="1" x14ac:dyDescent="0.2">
      <c r="A451" s="305"/>
      <c r="B451" s="324"/>
      <c r="C451" s="331"/>
      <c r="D451" s="305"/>
      <c r="E451" s="324"/>
      <c r="F451" s="331"/>
      <c r="G451" s="305"/>
      <c r="H451" s="324"/>
      <c r="I451" s="331"/>
      <c r="J451" s="305"/>
      <c r="K451" s="324"/>
      <c r="L451" s="331"/>
      <c r="M451" s="305"/>
      <c r="N451" s="324"/>
      <c r="O451" s="331"/>
      <c r="P451" s="305"/>
    </row>
    <row r="452" spans="1:16" s="226" customFormat="1" x14ac:dyDescent="0.2">
      <c r="A452" s="305"/>
      <c r="B452" s="324"/>
      <c r="C452" s="331"/>
      <c r="D452" s="305"/>
      <c r="E452" s="324"/>
      <c r="F452" s="331"/>
      <c r="G452" s="305"/>
      <c r="H452" s="324"/>
      <c r="I452" s="331"/>
      <c r="J452" s="305"/>
      <c r="K452" s="324"/>
      <c r="L452" s="331"/>
      <c r="M452" s="305"/>
      <c r="N452" s="324"/>
      <c r="O452" s="331"/>
      <c r="P452" s="305"/>
    </row>
    <row r="453" spans="1:16" s="226" customFormat="1" x14ac:dyDescent="0.2">
      <c r="A453" s="305"/>
      <c r="B453" s="324"/>
      <c r="C453" s="331"/>
      <c r="D453" s="305"/>
      <c r="E453" s="324"/>
      <c r="F453" s="331"/>
      <c r="G453" s="305"/>
      <c r="H453" s="324"/>
      <c r="I453" s="331"/>
      <c r="J453" s="305"/>
      <c r="K453" s="324"/>
      <c r="L453" s="331"/>
      <c r="M453" s="305"/>
      <c r="N453" s="324"/>
      <c r="O453" s="331"/>
      <c r="P453" s="305"/>
    </row>
    <row r="454" spans="1:16" s="226" customFormat="1" x14ac:dyDescent="0.2">
      <c r="A454" s="305"/>
      <c r="B454" s="324"/>
      <c r="C454" s="331"/>
      <c r="D454" s="305"/>
      <c r="E454" s="324"/>
      <c r="F454" s="331"/>
      <c r="G454" s="305"/>
      <c r="H454" s="324"/>
      <c r="I454" s="331"/>
      <c r="J454" s="305"/>
      <c r="K454" s="324"/>
      <c r="L454" s="331"/>
      <c r="M454" s="305"/>
      <c r="N454" s="324"/>
      <c r="O454" s="331"/>
      <c r="P454" s="305"/>
    </row>
    <row r="455" spans="1:16" s="226" customFormat="1" x14ac:dyDescent="0.2">
      <c r="A455" s="305"/>
      <c r="B455" s="324"/>
      <c r="C455" s="331"/>
      <c r="D455" s="305"/>
      <c r="E455" s="324"/>
      <c r="F455" s="331"/>
      <c r="G455" s="305"/>
      <c r="H455" s="324"/>
      <c r="I455" s="331"/>
      <c r="J455" s="305"/>
      <c r="K455" s="324"/>
      <c r="L455" s="331"/>
      <c r="M455" s="305"/>
      <c r="N455" s="324"/>
      <c r="O455" s="331"/>
      <c r="P455" s="305"/>
    </row>
    <row r="456" spans="1:16" s="226" customFormat="1" x14ac:dyDescent="0.2">
      <c r="A456" s="305"/>
      <c r="B456" s="324"/>
      <c r="C456" s="331"/>
      <c r="D456" s="305"/>
      <c r="E456" s="324"/>
      <c r="F456" s="331"/>
      <c r="G456" s="305"/>
      <c r="H456" s="324"/>
      <c r="I456" s="331"/>
      <c r="J456" s="305"/>
      <c r="K456" s="324"/>
      <c r="L456" s="331"/>
      <c r="M456" s="305"/>
      <c r="N456" s="324"/>
      <c r="O456" s="331"/>
      <c r="P456" s="305"/>
    </row>
    <row r="457" spans="1:16" s="226" customFormat="1" x14ac:dyDescent="0.2">
      <c r="A457" s="305"/>
      <c r="B457" s="324"/>
      <c r="C457" s="331"/>
      <c r="D457" s="305"/>
      <c r="E457" s="324"/>
      <c r="F457" s="331"/>
      <c r="G457" s="305"/>
      <c r="H457" s="324"/>
      <c r="I457" s="331"/>
      <c r="J457" s="305"/>
      <c r="K457" s="324"/>
      <c r="L457" s="331"/>
      <c r="M457" s="305"/>
      <c r="N457" s="324"/>
      <c r="O457" s="331"/>
      <c r="P457" s="305"/>
    </row>
    <row r="458" spans="1:16" s="226" customFormat="1" x14ac:dyDescent="0.2">
      <c r="A458" s="305"/>
      <c r="B458" s="324"/>
      <c r="C458" s="331"/>
      <c r="D458" s="305"/>
      <c r="E458" s="324"/>
      <c r="F458" s="331"/>
      <c r="G458" s="305"/>
      <c r="H458" s="324"/>
      <c r="I458" s="331"/>
      <c r="J458" s="305"/>
      <c r="K458" s="324"/>
      <c r="L458" s="331"/>
      <c r="M458" s="305"/>
      <c r="N458" s="324"/>
      <c r="O458" s="331"/>
      <c r="P458" s="305"/>
    </row>
    <row r="459" spans="1:16" s="226" customFormat="1" x14ac:dyDescent="0.2">
      <c r="A459" s="305"/>
      <c r="B459" s="324"/>
      <c r="C459" s="331"/>
      <c r="D459" s="305"/>
      <c r="E459" s="324"/>
      <c r="F459" s="331"/>
      <c r="G459" s="305"/>
      <c r="H459" s="324"/>
      <c r="I459" s="331"/>
      <c r="J459" s="305"/>
      <c r="K459" s="324"/>
      <c r="L459" s="331"/>
      <c r="M459" s="305"/>
      <c r="N459" s="324"/>
      <c r="O459" s="331"/>
      <c r="P459" s="305"/>
    </row>
    <row r="460" spans="1:16" s="226" customFormat="1" x14ac:dyDescent="0.2">
      <c r="A460" s="305"/>
      <c r="B460" s="324"/>
      <c r="C460" s="331"/>
      <c r="D460" s="305"/>
      <c r="E460" s="324"/>
      <c r="F460" s="331"/>
      <c r="G460" s="305"/>
      <c r="H460" s="324"/>
      <c r="I460" s="331"/>
      <c r="J460" s="305"/>
      <c r="K460" s="324"/>
      <c r="L460" s="331"/>
      <c r="M460" s="305"/>
      <c r="N460" s="324"/>
      <c r="O460" s="331"/>
      <c r="P460" s="305"/>
    </row>
    <row r="461" spans="1:16" s="226" customFormat="1" x14ac:dyDescent="0.2">
      <c r="A461" s="305"/>
      <c r="B461" s="324"/>
      <c r="C461" s="331"/>
      <c r="D461" s="305"/>
      <c r="E461" s="324"/>
      <c r="F461" s="331"/>
      <c r="G461" s="305"/>
      <c r="H461" s="324"/>
      <c r="I461" s="331"/>
      <c r="J461" s="305"/>
      <c r="K461" s="324"/>
      <c r="L461" s="331"/>
      <c r="M461" s="305"/>
      <c r="N461" s="324"/>
      <c r="O461" s="331"/>
      <c r="P461" s="305"/>
    </row>
    <row r="462" spans="1:16" s="226" customFormat="1" x14ac:dyDescent="0.2">
      <c r="A462" s="305"/>
      <c r="B462" s="324"/>
      <c r="C462" s="331"/>
      <c r="D462" s="305"/>
      <c r="E462" s="324"/>
      <c r="F462" s="331"/>
      <c r="G462" s="305"/>
      <c r="H462" s="324"/>
      <c r="I462" s="331"/>
      <c r="J462" s="305"/>
      <c r="K462" s="324"/>
      <c r="L462" s="331"/>
      <c r="M462" s="305"/>
      <c r="N462" s="324"/>
      <c r="O462" s="331"/>
      <c r="P462" s="305"/>
    </row>
    <row r="463" spans="1:16" s="226" customFormat="1" x14ac:dyDescent="0.2">
      <c r="A463" s="305"/>
      <c r="B463" s="324"/>
      <c r="C463" s="331"/>
      <c r="D463" s="305"/>
      <c r="E463" s="324"/>
      <c r="F463" s="331"/>
      <c r="G463" s="305"/>
      <c r="H463" s="324"/>
      <c r="I463" s="331"/>
      <c r="J463" s="305"/>
      <c r="K463" s="324"/>
      <c r="L463" s="331"/>
      <c r="M463" s="305"/>
      <c r="N463" s="324"/>
      <c r="O463" s="331"/>
      <c r="P463" s="305"/>
    </row>
    <row r="464" spans="1:16" s="226" customFormat="1" x14ac:dyDescent="0.2">
      <c r="A464" s="305"/>
      <c r="B464" s="324"/>
      <c r="C464" s="331"/>
      <c r="D464" s="305"/>
      <c r="E464" s="324"/>
      <c r="F464" s="331"/>
      <c r="G464" s="305"/>
      <c r="H464" s="324"/>
      <c r="I464" s="331"/>
      <c r="J464" s="305"/>
      <c r="K464" s="324"/>
      <c r="L464" s="331"/>
      <c r="M464" s="305"/>
      <c r="N464" s="324"/>
      <c r="O464" s="331"/>
      <c r="P464" s="305"/>
    </row>
    <row r="465" spans="1:16" s="226" customFormat="1" x14ac:dyDescent="0.2">
      <c r="A465" s="305"/>
      <c r="B465" s="324"/>
      <c r="C465" s="331"/>
      <c r="D465" s="305"/>
      <c r="E465" s="324"/>
      <c r="F465" s="331"/>
      <c r="G465" s="305"/>
      <c r="H465" s="324"/>
      <c r="I465" s="331"/>
      <c r="J465" s="305"/>
      <c r="K465" s="324"/>
      <c r="L465" s="331"/>
      <c r="M465" s="305"/>
      <c r="N465" s="324"/>
      <c r="O465" s="331"/>
      <c r="P465" s="305"/>
    </row>
    <row r="466" spans="1:16" s="226" customFormat="1" x14ac:dyDescent="0.2">
      <c r="A466" s="305"/>
      <c r="B466" s="324"/>
      <c r="C466" s="331"/>
      <c r="D466" s="305"/>
      <c r="E466" s="324"/>
      <c r="F466" s="331"/>
      <c r="G466" s="305"/>
      <c r="H466" s="324"/>
      <c r="I466" s="331"/>
      <c r="J466" s="305"/>
      <c r="K466" s="324"/>
      <c r="L466" s="331"/>
      <c r="M466" s="305"/>
      <c r="N466" s="324"/>
      <c r="O466" s="331"/>
      <c r="P466" s="305"/>
    </row>
    <row r="467" spans="1:16" s="226" customFormat="1" x14ac:dyDescent="0.2">
      <c r="A467" s="305"/>
      <c r="B467" s="324"/>
      <c r="C467" s="331"/>
      <c r="D467" s="305"/>
      <c r="E467" s="324"/>
      <c r="F467" s="331"/>
      <c r="G467" s="305"/>
      <c r="H467" s="324"/>
      <c r="I467" s="331"/>
      <c r="J467" s="305"/>
      <c r="K467" s="324"/>
      <c r="L467" s="331"/>
      <c r="M467" s="305"/>
      <c r="N467" s="324"/>
      <c r="O467" s="331"/>
      <c r="P467" s="305"/>
    </row>
    <row r="468" spans="1:16" s="226" customFormat="1" x14ac:dyDescent="0.2">
      <c r="A468" s="305"/>
      <c r="B468" s="324"/>
      <c r="C468" s="331"/>
      <c r="D468" s="305"/>
      <c r="E468" s="324"/>
      <c r="F468" s="331"/>
      <c r="G468" s="305"/>
      <c r="H468" s="324"/>
      <c r="I468" s="331"/>
      <c r="J468" s="305"/>
      <c r="K468" s="324"/>
      <c r="L468" s="331"/>
      <c r="M468" s="305"/>
      <c r="N468" s="324"/>
      <c r="O468" s="331"/>
      <c r="P468" s="305"/>
    </row>
    <row r="469" spans="1:16" s="226" customFormat="1" x14ac:dyDescent="0.2">
      <c r="A469" s="305"/>
      <c r="B469" s="324"/>
      <c r="C469" s="331"/>
      <c r="D469" s="305"/>
      <c r="E469" s="324"/>
      <c r="F469" s="331"/>
      <c r="G469" s="305"/>
      <c r="H469" s="324"/>
      <c r="I469" s="331"/>
      <c r="J469" s="305"/>
      <c r="K469" s="324"/>
      <c r="L469" s="331"/>
      <c r="M469" s="305"/>
      <c r="N469" s="324"/>
      <c r="O469" s="331"/>
      <c r="P469" s="305"/>
    </row>
    <row r="470" spans="1:16" s="226" customFormat="1" x14ac:dyDescent="0.2">
      <c r="A470" s="305"/>
      <c r="B470" s="324"/>
      <c r="C470" s="331"/>
      <c r="D470" s="305"/>
      <c r="E470" s="324"/>
      <c r="F470" s="331"/>
      <c r="G470" s="305"/>
      <c r="H470" s="324"/>
      <c r="I470" s="331"/>
      <c r="J470" s="305"/>
      <c r="K470" s="324"/>
      <c r="L470" s="331"/>
      <c r="M470" s="305"/>
      <c r="N470" s="324"/>
      <c r="O470" s="331"/>
      <c r="P470" s="305"/>
    </row>
    <row r="471" spans="1:16" s="226" customFormat="1" x14ac:dyDescent="0.2">
      <c r="A471" s="305"/>
      <c r="B471" s="324"/>
      <c r="C471" s="331"/>
      <c r="D471" s="305"/>
      <c r="E471" s="324"/>
      <c r="F471" s="331"/>
      <c r="G471" s="305"/>
      <c r="H471" s="324"/>
      <c r="I471" s="331"/>
      <c r="J471" s="305"/>
      <c r="K471" s="324"/>
      <c r="L471" s="331"/>
      <c r="M471" s="305"/>
      <c r="N471" s="324"/>
      <c r="O471" s="331"/>
      <c r="P471" s="305"/>
    </row>
    <row r="472" spans="1:16" s="226" customFormat="1" x14ac:dyDescent="0.2">
      <c r="A472" s="305"/>
      <c r="B472" s="324"/>
      <c r="C472" s="331"/>
      <c r="D472" s="305"/>
      <c r="E472" s="324"/>
      <c r="F472" s="331"/>
      <c r="G472" s="305"/>
      <c r="H472" s="324"/>
      <c r="I472" s="331"/>
      <c r="J472" s="305"/>
      <c r="K472" s="324"/>
      <c r="L472" s="331"/>
      <c r="M472" s="305"/>
      <c r="N472" s="324"/>
      <c r="O472" s="331"/>
      <c r="P472" s="305"/>
    </row>
    <row r="473" spans="1:16" s="226" customFormat="1" x14ac:dyDescent="0.2">
      <c r="A473" s="305"/>
      <c r="B473" s="324"/>
      <c r="C473" s="331"/>
      <c r="D473" s="305"/>
      <c r="E473" s="324"/>
      <c r="F473" s="331"/>
      <c r="G473" s="305"/>
      <c r="H473" s="324"/>
      <c r="I473" s="331"/>
      <c r="J473" s="305"/>
      <c r="K473" s="324"/>
      <c r="L473" s="331"/>
      <c r="M473" s="305"/>
      <c r="N473" s="324"/>
      <c r="O473" s="331"/>
      <c r="P473" s="305"/>
    </row>
    <row r="474" spans="1:16" s="226" customFormat="1" x14ac:dyDescent="0.2">
      <c r="A474" s="305"/>
      <c r="B474" s="324"/>
      <c r="C474" s="331"/>
      <c r="D474" s="305"/>
      <c r="E474" s="324"/>
      <c r="F474" s="331"/>
      <c r="G474" s="305"/>
      <c r="H474" s="324"/>
      <c r="I474" s="331"/>
      <c r="J474" s="305"/>
      <c r="K474" s="324"/>
      <c r="L474" s="331"/>
      <c r="M474" s="305"/>
      <c r="N474" s="324"/>
      <c r="O474" s="331"/>
      <c r="P474" s="305"/>
    </row>
    <row r="475" spans="1:16" s="226" customFormat="1" x14ac:dyDescent="0.2">
      <c r="A475" s="305"/>
      <c r="B475" s="324"/>
      <c r="C475" s="331"/>
      <c r="D475" s="305"/>
      <c r="E475" s="324"/>
      <c r="F475" s="331"/>
      <c r="G475" s="305"/>
      <c r="H475" s="324"/>
      <c r="I475" s="331"/>
      <c r="J475" s="305"/>
      <c r="K475" s="324"/>
      <c r="L475" s="331"/>
      <c r="M475" s="305"/>
      <c r="N475" s="324"/>
      <c r="O475" s="331"/>
      <c r="P475" s="305"/>
    </row>
    <row r="476" spans="1:16" s="226" customFormat="1" x14ac:dyDescent="0.2">
      <c r="A476" s="305"/>
      <c r="B476" s="324"/>
      <c r="C476" s="331"/>
      <c r="D476" s="305"/>
      <c r="E476" s="324"/>
      <c r="F476" s="331"/>
      <c r="G476" s="305"/>
      <c r="H476" s="324"/>
      <c r="I476" s="331"/>
      <c r="J476" s="305"/>
      <c r="K476" s="324"/>
      <c r="L476" s="331"/>
      <c r="M476" s="305"/>
      <c r="N476" s="324"/>
      <c r="O476" s="331"/>
      <c r="P476" s="305"/>
    </row>
    <row r="477" spans="1:16" s="226" customFormat="1" x14ac:dyDescent="0.2">
      <c r="A477" s="305"/>
      <c r="B477" s="324"/>
      <c r="C477" s="331"/>
      <c r="D477" s="305"/>
      <c r="E477" s="324"/>
      <c r="F477" s="331"/>
      <c r="G477" s="305"/>
      <c r="H477" s="324"/>
      <c r="I477" s="331"/>
      <c r="J477" s="305"/>
      <c r="K477" s="324"/>
      <c r="L477" s="331"/>
      <c r="M477" s="305"/>
      <c r="N477" s="324"/>
      <c r="O477" s="331"/>
      <c r="P477" s="305"/>
    </row>
    <row r="478" spans="1:16" s="226" customFormat="1" x14ac:dyDescent="0.2">
      <c r="A478" s="305"/>
      <c r="B478" s="324"/>
      <c r="C478" s="331"/>
      <c r="D478" s="305"/>
      <c r="E478" s="324"/>
      <c r="F478" s="331"/>
      <c r="G478" s="305"/>
      <c r="H478" s="324"/>
      <c r="I478" s="331"/>
      <c r="J478" s="305"/>
      <c r="K478" s="324"/>
      <c r="L478" s="331"/>
      <c r="M478" s="305"/>
      <c r="N478" s="324"/>
      <c r="O478" s="331"/>
      <c r="P478" s="305"/>
    </row>
    <row r="479" spans="1:16" s="226" customFormat="1" x14ac:dyDescent="0.2">
      <c r="A479" s="305"/>
      <c r="B479" s="324"/>
      <c r="C479" s="331"/>
      <c r="D479" s="305"/>
      <c r="E479" s="324"/>
      <c r="F479" s="331"/>
      <c r="G479" s="305"/>
      <c r="H479" s="324"/>
      <c r="I479" s="331"/>
      <c r="J479" s="305"/>
      <c r="K479" s="324"/>
      <c r="L479" s="331"/>
      <c r="M479" s="305"/>
      <c r="N479" s="324"/>
      <c r="O479" s="331"/>
      <c r="P479" s="305"/>
    </row>
    <row r="480" spans="1:16" s="226" customFormat="1" x14ac:dyDescent="0.2">
      <c r="A480" s="305"/>
      <c r="B480" s="324"/>
      <c r="C480" s="331"/>
      <c r="D480" s="305"/>
      <c r="E480" s="324"/>
      <c r="F480" s="331"/>
      <c r="G480" s="305"/>
      <c r="H480" s="324"/>
      <c r="I480" s="331"/>
      <c r="J480" s="305"/>
      <c r="K480" s="324"/>
      <c r="L480" s="331"/>
      <c r="M480" s="305"/>
      <c r="N480" s="324"/>
      <c r="O480" s="331"/>
      <c r="P480" s="305"/>
    </row>
    <row r="481" spans="1:16" s="226" customFormat="1" x14ac:dyDescent="0.2">
      <c r="A481" s="305"/>
      <c r="B481" s="324"/>
      <c r="C481" s="331"/>
      <c r="D481" s="305"/>
      <c r="E481" s="324"/>
      <c r="F481" s="331"/>
      <c r="G481" s="305"/>
      <c r="H481" s="324"/>
      <c r="I481" s="331"/>
      <c r="J481" s="305"/>
      <c r="K481" s="324"/>
      <c r="L481" s="331"/>
      <c r="M481" s="305"/>
      <c r="N481" s="324"/>
      <c r="O481" s="331"/>
      <c r="P481" s="305"/>
    </row>
    <row r="482" spans="1:16" s="226" customFormat="1" x14ac:dyDescent="0.2">
      <c r="A482" s="305"/>
      <c r="B482" s="324"/>
      <c r="C482" s="331"/>
      <c r="D482" s="305"/>
      <c r="E482" s="324"/>
      <c r="F482" s="331"/>
      <c r="G482" s="305"/>
      <c r="H482" s="324"/>
      <c r="I482" s="331"/>
      <c r="J482" s="305"/>
      <c r="K482" s="324"/>
      <c r="L482" s="331"/>
      <c r="M482" s="305"/>
      <c r="N482" s="324"/>
      <c r="O482" s="331"/>
      <c r="P482" s="305"/>
    </row>
    <row r="483" spans="1:16" s="226" customFormat="1" x14ac:dyDescent="0.2">
      <c r="A483" s="305"/>
      <c r="B483" s="324"/>
      <c r="C483" s="331"/>
      <c r="D483" s="305"/>
      <c r="E483" s="324"/>
      <c r="F483" s="331"/>
      <c r="G483" s="305"/>
      <c r="H483" s="324"/>
      <c r="I483" s="331"/>
      <c r="J483" s="305"/>
      <c r="K483" s="324"/>
      <c r="L483" s="331"/>
      <c r="M483" s="305"/>
      <c r="N483" s="324"/>
      <c r="O483" s="331"/>
      <c r="P483" s="305"/>
    </row>
    <row r="484" spans="1:16" s="226" customFormat="1" x14ac:dyDescent="0.2">
      <c r="A484" s="305"/>
      <c r="B484" s="324"/>
      <c r="C484" s="331"/>
      <c r="D484" s="305"/>
      <c r="E484" s="324"/>
      <c r="F484" s="331"/>
      <c r="G484" s="305"/>
      <c r="H484" s="324"/>
      <c r="I484" s="331"/>
      <c r="J484" s="305"/>
      <c r="K484" s="324"/>
      <c r="L484" s="331"/>
      <c r="M484" s="305"/>
      <c r="N484" s="324"/>
      <c r="O484" s="331"/>
      <c r="P484" s="305"/>
    </row>
    <row r="485" spans="1:16" s="226" customFormat="1" x14ac:dyDescent="0.2">
      <c r="A485" s="305"/>
      <c r="B485" s="324"/>
      <c r="C485" s="331"/>
      <c r="D485" s="305"/>
      <c r="E485" s="324"/>
      <c r="F485" s="331"/>
      <c r="G485" s="305"/>
      <c r="H485" s="324"/>
      <c r="I485" s="331"/>
      <c r="J485" s="305"/>
      <c r="K485" s="324"/>
      <c r="L485" s="331"/>
      <c r="M485" s="305"/>
      <c r="N485" s="324"/>
      <c r="O485" s="331"/>
      <c r="P485" s="305"/>
    </row>
    <row r="486" spans="1:16" s="226" customFormat="1" x14ac:dyDescent="0.2">
      <c r="A486" s="305"/>
      <c r="B486" s="324"/>
      <c r="C486" s="331"/>
      <c r="D486" s="305"/>
      <c r="E486" s="324"/>
      <c r="F486" s="331"/>
      <c r="G486" s="305"/>
      <c r="H486" s="324"/>
      <c r="I486" s="331"/>
      <c r="J486" s="305"/>
      <c r="K486" s="324"/>
      <c r="L486" s="331"/>
      <c r="M486" s="305"/>
      <c r="N486" s="324"/>
      <c r="O486" s="331"/>
      <c r="P486" s="305"/>
    </row>
    <row r="487" spans="1:16" s="226" customFormat="1" x14ac:dyDescent="0.2">
      <c r="A487" s="305"/>
      <c r="B487" s="324"/>
      <c r="C487" s="331"/>
      <c r="D487" s="305"/>
      <c r="E487" s="324"/>
      <c r="F487" s="331"/>
      <c r="G487" s="305"/>
      <c r="H487" s="324"/>
      <c r="I487" s="331"/>
      <c r="J487" s="305"/>
      <c r="K487" s="324"/>
      <c r="L487" s="331"/>
      <c r="M487" s="305"/>
      <c r="N487" s="324"/>
      <c r="O487" s="331"/>
      <c r="P487" s="305"/>
    </row>
    <row r="488" spans="1:16" s="226" customFormat="1" x14ac:dyDescent="0.2">
      <c r="A488" s="305"/>
      <c r="B488" s="324"/>
      <c r="C488" s="331"/>
      <c r="D488" s="305"/>
      <c r="E488" s="324"/>
      <c r="F488" s="331"/>
      <c r="G488" s="305"/>
      <c r="H488" s="324"/>
      <c r="I488" s="331"/>
      <c r="J488" s="305"/>
      <c r="K488" s="324"/>
      <c r="L488" s="331"/>
      <c r="M488" s="305"/>
      <c r="N488" s="324"/>
      <c r="O488" s="331"/>
      <c r="P488" s="305"/>
    </row>
    <row r="489" spans="1:16" s="226" customFormat="1" x14ac:dyDescent="0.2">
      <c r="A489" s="305"/>
      <c r="B489" s="324"/>
      <c r="C489" s="331"/>
      <c r="D489" s="305"/>
      <c r="E489" s="324"/>
      <c r="F489" s="331"/>
      <c r="G489" s="305"/>
      <c r="H489" s="324"/>
      <c r="I489" s="331"/>
      <c r="J489" s="305"/>
      <c r="K489" s="324"/>
      <c r="L489" s="331"/>
      <c r="M489" s="305"/>
      <c r="N489" s="324"/>
      <c r="O489" s="331"/>
      <c r="P489" s="305"/>
    </row>
    <row r="490" spans="1:16" s="226" customFormat="1" x14ac:dyDescent="0.2">
      <c r="A490" s="305"/>
      <c r="B490" s="324"/>
      <c r="C490" s="331"/>
      <c r="D490" s="305"/>
      <c r="E490" s="324"/>
      <c r="F490" s="331"/>
      <c r="G490" s="305"/>
      <c r="H490" s="324"/>
      <c r="I490" s="331"/>
      <c r="J490" s="305"/>
      <c r="K490" s="324"/>
      <c r="L490" s="331"/>
      <c r="M490" s="305"/>
      <c r="N490" s="324"/>
      <c r="O490" s="331"/>
      <c r="P490" s="305"/>
    </row>
    <row r="491" spans="1:16" s="226" customFormat="1" x14ac:dyDescent="0.2">
      <c r="A491" s="305"/>
      <c r="B491" s="324"/>
      <c r="C491" s="331"/>
      <c r="D491" s="305"/>
      <c r="E491" s="324"/>
      <c r="F491" s="331"/>
      <c r="G491" s="305"/>
      <c r="H491" s="324"/>
      <c r="I491" s="331"/>
      <c r="J491" s="305"/>
      <c r="K491" s="324"/>
      <c r="L491" s="331"/>
      <c r="M491" s="305"/>
      <c r="N491" s="324"/>
      <c r="O491" s="331"/>
      <c r="P491" s="305"/>
    </row>
    <row r="492" spans="1:16" s="226" customFormat="1" x14ac:dyDescent="0.2">
      <c r="A492" s="305"/>
      <c r="B492" s="324"/>
      <c r="C492" s="331"/>
      <c r="D492" s="305"/>
      <c r="E492" s="324"/>
      <c r="F492" s="331"/>
      <c r="G492" s="305"/>
      <c r="H492" s="324"/>
      <c r="I492" s="331"/>
      <c r="J492" s="305"/>
      <c r="K492" s="324"/>
      <c r="L492" s="331"/>
      <c r="M492" s="305"/>
      <c r="N492" s="324"/>
      <c r="O492" s="331"/>
      <c r="P492" s="305"/>
    </row>
    <row r="493" spans="1:16" s="226" customFormat="1" x14ac:dyDescent="0.2">
      <c r="A493" s="305"/>
      <c r="B493" s="324"/>
      <c r="C493" s="331"/>
      <c r="D493" s="305"/>
      <c r="E493" s="324"/>
      <c r="F493" s="331"/>
      <c r="G493" s="305"/>
      <c r="H493" s="324"/>
      <c r="I493" s="331"/>
      <c r="J493" s="305"/>
      <c r="K493" s="324"/>
      <c r="L493" s="331"/>
      <c r="M493" s="305"/>
      <c r="N493" s="324"/>
      <c r="O493" s="331"/>
      <c r="P493" s="305"/>
    </row>
    <row r="494" spans="1:16" s="226" customFormat="1" x14ac:dyDescent="0.2">
      <c r="A494" s="305"/>
      <c r="B494" s="324"/>
      <c r="C494" s="331"/>
      <c r="D494" s="305"/>
      <c r="E494" s="324"/>
      <c r="F494" s="331"/>
      <c r="G494" s="305"/>
      <c r="H494" s="324"/>
      <c r="I494" s="331"/>
      <c r="J494" s="305"/>
      <c r="K494" s="324"/>
      <c r="L494" s="331"/>
      <c r="M494" s="305"/>
      <c r="N494" s="324"/>
      <c r="O494" s="331"/>
      <c r="P494" s="305"/>
    </row>
    <row r="495" spans="1:16" s="226" customFormat="1" x14ac:dyDescent="0.2">
      <c r="A495" s="305"/>
      <c r="B495" s="324"/>
      <c r="C495" s="331"/>
      <c r="D495" s="305"/>
      <c r="E495" s="324"/>
      <c r="F495" s="331"/>
      <c r="G495" s="305"/>
      <c r="H495" s="324"/>
      <c r="I495" s="331"/>
      <c r="J495" s="305"/>
      <c r="K495" s="324"/>
      <c r="L495" s="331"/>
      <c r="M495" s="305"/>
      <c r="N495" s="324"/>
      <c r="O495" s="331"/>
      <c r="P495" s="305"/>
    </row>
    <row r="496" spans="1:16" s="226" customFormat="1" x14ac:dyDescent="0.2">
      <c r="A496" s="305"/>
      <c r="B496" s="324"/>
      <c r="C496" s="331"/>
      <c r="D496" s="305"/>
      <c r="E496" s="324"/>
      <c r="F496" s="331"/>
      <c r="G496" s="305"/>
      <c r="H496" s="324"/>
      <c r="I496" s="331"/>
      <c r="J496" s="305"/>
      <c r="K496" s="324"/>
      <c r="L496" s="331"/>
      <c r="M496" s="305"/>
      <c r="N496" s="324"/>
      <c r="O496" s="331"/>
      <c r="P496" s="305"/>
    </row>
    <row r="497" spans="1:16" s="226" customFormat="1" x14ac:dyDescent="0.2">
      <c r="A497" s="305"/>
      <c r="B497" s="324"/>
      <c r="C497" s="331"/>
      <c r="D497" s="305"/>
      <c r="E497" s="324"/>
      <c r="F497" s="331"/>
      <c r="G497" s="305"/>
      <c r="H497" s="324"/>
      <c r="I497" s="331"/>
      <c r="J497" s="305"/>
      <c r="K497" s="324"/>
      <c r="L497" s="331"/>
      <c r="M497" s="305"/>
      <c r="N497" s="324"/>
      <c r="O497" s="331"/>
      <c r="P497" s="305"/>
    </row>
    <row r="498" spans="1:16" s="226" customFormat="1" x14ac:dyDescent="0.2">
      <c r="A498" s="305"/>
      <c r="B498" s="324"/>
      <c r="C498" s="331"/>
      <c r="D498" s="305"/>
      <c r="E498" s="324"/>
      <c r="F498" s="331"/>
      <c r="G498" s="305"/>
      <c r="H498" s="324"/>
      <c r="I498" s="331"/>
      <c r="J498" s="305"/>
      <c r="K498" s="324"/>
      <c r="L498" s="331"/>
      <c r="M498" s="305"/>
      <c r="N498" s="324"/>
      <c r="O498" s="331"/>
      <c r="P498" s="305"/>
    </row>
    <row r="499" spans="1:16" s="226" customFormat="1" x14ac:dyDescent="0.2">
      <c r="A499" s="305"/>
      <c r="B499" s="324"/>
      <c r="C499" s="331"/>
      <c r="D499" s="305"/>
      <c r="E499" s="324"/>
      <c r="F499" s="331"/>
      <c r="G499" s="305"/>
      <c r="H499" s="324"/>
      <c r="I499" s="331"/>
      <c r="J499" s="305"/>
      <c r="K499" s="324"/>
      <c r="L499" s="331"/>
      <c r="M499" s="305"/>
      <c r="N499" s="324"/>
      <c r="O499" s="331"/>
      <c r="P499" s="305"/>
    </row>
    <row r="500" spans="1:16" s="226" customFormat="1" x14ac:dyDescent="0.2">
      <c r="A500" s="305"/>
      <c r="B500" s="324"/>
      <c r="C500" s="331"/>
      <c r="D500" s="305"/>
      <c r="E500" s="324"/>
      <c r="F500" s="331"/>
      <c r="G500" s="305"/>
      <c r="H500" s="324"/>
      <c r="I500" s="331"/>
      <c r="J500" s="305"/>
      <c r="K500" s="324"/>
      <c r="L500" s="331"/>
      <c r="M500" s="305"/>
      <c r="N500" s="324"/>
      <c r="O500" s="331"/>
      <c r="P500" s="305"/>
    </row>
    <row r="501" spans="1:16" s="226" customFormat="1" x14ac:dyDescent="0.2">
      <c r="A501" s="305"/>
      <c r="B501" s="324"/>
      <c r="C501" s="331"/>
      <c r="D501" s="305"/>
      <c r="E501" s="324"/>
      <c r="F501" s="331"/>
      <c r="G501" s="305"/>
      <c r="H501" s="324"/>
      <c r="I501" s="331"/>
      <c r="J501" s="305"/>
      <c r="K501" s="324"/>
      <c r="L501" s="331"/>
      <c r="M501" s="305"/>
      <c r="N501" s="324"/>
      <c r="O501" s="331"/>
      <c r="P501" s="305"/>
    </row>
    <row r="502" spans="1:16" s="226" customFormat="1" x14ac:dyDescent="0.2">
      <c r="A502" s="305"/>
      <c r="B502" s="324"/>
      <c r="C502" s="331"/>
      <c r="D502" s="305"/>
      <c r="E502" s="324"/>
      <c r="F502" s="331"/>
      <c r="G502" s="305"/>
      <c r="H502" s="324"/>
      <c r="I502" s="331"/>
      <c r="J502" s="305"/>
      <c r="K502" s="324"/>
      <c r="L502" s="331"/>
      <c r="M502" s="305"/>
      <c r="N502" s="324"/>
      <c r="O502" s="331"/>
      <c r="P502" s="305"/>
    </row>
    <row r="503" spans="1:16" s="226" customFormat="1" x14ac:dyDescent="0.2">
      <c r="A503" s="305"/>
      <c r="B503" s="324"/>
      <c r="C503" s="331"/>
      <c r="D503" s="305"/>
      <c r="E503" s="324"/>
      <c r="F503" s="331"/>
      <c r="G503" s="305"/>
      <c r="H503" s="324"/>
      <c r="I503" s="331"/>
      <c r="J503" s="305"/>
      <c r="K503" s="324"/>
      <c r="L503" s="331"/>
      <c r="M503" s="305"/>
      <c r="N503" s="324"/>
      <c r="O503" s="331"/>
      <c r="P503" s="305"/>
    </row>
    <row r="504" spans="1:16" s="226" customFormat="1" x14ac:dyDescent="0.2">
      <c r="A504" s="305"/>
      <c r="B504" s="324"/>
      <c r="C504" s="331"/>
      <c r="D504" s="305"/>
      <c r="E504" s="324"/>
      <c r="F504" s="331"/>
      <c r="G504" s="305"/>
      <c r="H504" s="324"/>
      <c r="I504" s="331"/>
      <c r="J504" s="305"/>
      <c r="K504" s="324"/>
      <c r="L504" s="331"/>
      <c r="M504" s="305"/>
      <c r="N504" s="324"/>
      <c r="O504" s="331"/>
      <c r="P504" s="305"/>
    </row>
    <row r="505" spans="1:16" s="226" customFormat="1" x14ac:dyDescent="0.2">
      <c r="A505" s="305"/>
      <c r="B505" s="324"/>
      <c r="C505" s="331"/>
      <c r="D505" s="305"/>
      <c r="E505" s="324"/>
      <c r="F505" s="331"/>
      <c r="G505" s="305"/>
      <c r="H505" s="324"/>
      <c r="I505" s="331"/>
      <c r="J505" s="305"/>
      <c r="K505" s="324"/>
      <c r="L505" s="331"/>
      <c r="M505" s="305"/>
      <c r="N505" s="324"/>
      <c r="O505" s="331"/>
      <c r="P505" s="305"/>
    </row>
    <row r="506" spans="1:16" s="226" customFormat="1" x14ac:dyDescent="0.2">
      <c r="A506" s="305"/>
      <c r="B506" s="324"/>
      <c r="C506" s="331"/>
      <c r="D506" s="305"/>
      <c r="E506" s="324"/>
      <c r="F506" s="331"/>
      <c r="G506" s="305"/>
      <c r="H506" s="324"/>
      <c r="I506" s="331"/>
      <c r="J506" s="305"/>
      <c r="K506" s="324"/>
      <c r="L506" s="331"/>
      <c r="M506" s="305"/>
      <c r="N506" s="324"/>
      <c r="O506" s="331"/>
      <c r="P506" s="305"/>
    </row>
    <row r="507" spans="1:16" s="226" customFormat="1" x14ac:dyDescent="0.2">
      <c r="A507" s="305"/>
      <c r="B507" s="324"/>
      <c r="C507" s="331"/>
      <c r="D507" s="305"/>
      <c r="E507" s="324"/>
      <c r="F507" s="331"/>
      <c r="G507" s="305"/>
      <c r="H507" s="324"/>
      <c r="I507" s="331"/>
      <c r="J507" s="305"/>
      <c r="K507" s="324"/>
      <c r="L507" s="331"/>
      <c r="M507" s="305"/>
      <c r="N507" s="324"/>
      <c r="O507" s="331"/>
      <c r="P507" s="305"/>
    </row>
    <row r="508" spans="1:16" s="226" customFormat="1" x14ac:dyDescent="0.2">
      <c r="A508" s="305"/>
      <c r="B508" s="324"/>
      <c r="C508" s="331"/>
      <c r="D508" s="305"/>
      <c r="E508" s="324"/>
      <c r="F508" s="331"/>
      <c r="G508" s="305"/>
      <c r="H508" s="324"/>
      <c r="I508" s="331"/>
      <c r="J508" s="305"/>
      <c r="K508" s="324"/>
      <c r="L508" s="331"/>
      <c r="M508" s="305"/>
      <c r="N508" s="324"/>
      <c r="O508" s="331"/>
      <c r="P508" s="305"/>
    </row>
    <row r="509" spans="1:16" s="226" customFormat="1" x14ac:dyDescent="0.2">
      <c r="A509" s="305"/>
      <c r="B509" s="324"/>
      <c r="C509" s="331"/>
      <c r="D509" s="305"/>
      <c r="E509" s="324"/>
      <c r="F509" s="331"/>
      <c r="G509" s="305"/>
      <c r="H509" s="324"/>
      <c r="I509" s="331"/>
      <c r="J509" s="305"/>
      <c r="K509" s="324"/>
      <c r="L509" s="331"/>
      <c r="M509" s="305"/>
      <c r="N509" s="324"/>
      <c r="O509" s="331"/>
      <c r="P509" s="305"/>
    </row>
    <row r="510" spans="1:16" s="226" customFormat="1" x14ac:dyDescent="0.2">
      <c r="A510" s="305"/>
      <c r="B510" s="324"/>
      <c r="C510" s="331"/>
      <c r="D510" s="305"/>
      <c r="E510" s="324"/>
      <c r="F510" s="331"/>
      <c r="G510" s="305"/>
      <c r="H510" s="324"/>
      <c r="I510" s="331"/>
      <c r="J510" s="305"/>
      <c r="K510" s="324"/>
      <c r="L510" s="331"/>
      <c r="M510" s="305"/>
      <c r="N510" s="324"/>
      <c r="O510" s="331"/>
      <c r="P510" s="305"/>
    </row>
    <row r="511" spans="1:16" s="226" customFormat="1" x14ac:dyDescent="0.2">
      <c r="A511" s="305"/>
      <c r="B511" s="324"/>
      <c r="C511" s="331"/>
      <c r="D511" s="305"/>
      <c r="E511" s="324"/>
      <c r="F511" s="331"/>
      <c r="G511" s="305"/>
      <c r="H511" s="324"/>
      <c r="I511" s="331"/>
      <c r="J511" s="305"/>
      <c r="K511" s="324"/>
      <c r="L511" s="331"/>
      <c r="M511" s="305"/>
      <c r="N511" s="324"/>
      <c r="O511" s="331"/>
      <c r="P511" s="305"/>
    </row>
    <row r="512" spans="1:16" s="226" customFormat="1" x14ac:dyDescent="0.2">
      <c r="A512" s="305"/>
      <c r="B512" s="324"/>
      <c r="C512" s="331"/>
      <c r="D512" s="305"/>
      <c r="E512" s="324"/>
      <c r="F512" s="331"/>
      <c r="G512" s="305"/>
      <c r="H512" s="324"/>
      <c r="I512" s="331"/>
      <c r="J512" s="305"/>
      <c r="K512" s="324"/>
      <c r="L512" s="331"/>
      <c r="M512" s="305"/>
      <c r="N512" s="324"/>
      <c r="O512" s="331"/>
      <c r="P512" s="305"/>
    </row>
    <row r="513" spans="1:16" s="226" customFormat="1" x14ac:dyDescent="0.2">
      <c r="A513" s="305"/>
      <c r="B513" s="324"/>
      <c r="C513" s="331"/>
      <c r="D513" s="305"/>
      <c r="E513" s="324"/>
      <c r="F513" s="331"/>
      <c r="G513" s="305"/>
      <c r="H513" s="324"/>
      <c r="I513" s="331"/>
      <c r="J513" s="305"/>
      <c r="K513" s="324"/>
      <c r="L513" s="331"/>
      <c r="M513" s="305"/>
      <c r="N513" s="324"/>
      <c r="O513" s="331"/>
      <c r="P513" s="305"/>
    </row>
    <row r="514" spans="1:16" s="226" customFormat="1" x14ac:dyDescent="0.2">
      <c r="A514" s="305"/>
      <c r="B514" s="324"/>
      <c r="C514" s="331"/>
      <c r="D514" s="305"/>
      <c r="E514" s="324"/>
      <c r="F514" s="331"/>
      <c r="G514" s="305"/>
      <c r="H514" s="324"/>
      <c r="I514" s="331"/>
      <c r="J514" s="305"/>
      <c r="K514" s="324"/>
      <c r="L514" s="331"/>
      <c r="M514" s="305"/>
      <c r="N514" s="324"/>
      <c r="O514" s="331"/>
      <c r="P514" s="305"/>
    </row>
    <row r="515" spans="1:16" s="226" customFormat="1" x14ac:dyDescent="0.2">
      <c r="A515" s="305"/>
      <c r="B515" s="324"/>
      <c r="C515" s="331"/>
      <c r="D515" s="305"/>
      <c r="E515" s="324"/>
      <c r="F515" s="331"/>
      <c r="G515" s="305"/>
      <c r="H515" s="324"/>
      <c r="I515" s="331"/>
      <c r="J515" s="305"/>
      <c r="K515" s="324"/>
      <c r="L515" s="331"/>
      <c r="M515" s="305"/>
      <c r="N515" s="324"/>
      <c r="O515" s="331"/>
      <c r="P515" s="305"/>
    </row>
    <row r="516" spans="1:16" s="226" customFormat="1" x14ac:dyDescent="0.2">
      <c r="A516" s="305"/>
      <c r="B516" s="324"/>
      <c r="C516" s="331"/>
      <c r="D516" s="305"/>
      <c r="E516" s="324"/>
      <c r="F516" s="331"/>
      <c r="G516" s="305"/>
      <c r="H516" s="324"/>
      <c r="I516" s="331"/>
      <c r="J516" s="305"/>
      <c r="K516" s="324"/>
      <c r="L516" s="331"/>
      <c r="M516" s="305"/>
      <c r="N516" s="324"/>
      <c r="O516" s="331"/>
      <c r="P516" s="305"/>
    </row>
    <row r="517" spans="1:16" s="226" customFormat="1" x14ac:dyDescent="0.2">
      <c r="A517" s="305"/>
      <c r="B517" s="324"/>
      <c r="C517" s="331"/>
      <c r="D517" s="305"/>
      <c r="E517" s="324"/>
      <c r="F517" s="331"/>
      <c r="G517" s="305"/>
      <c r="H517" s="324"/>
      <c r="I517" s="331"/>
      <c r="J517" s="305"/>
      <c r="K517" s="324"/>
      <c r="L517" s="331"/>
      <c r="M517" s="305"/>
      <c r="N517" s="324"/>
      <c r="O517" s="331"/>
      <c r="P517" s="305"/>
    </row>
    <row r="518" spans="1:16" s="226" customFormat="1" x14ac:dyDescent="0.2">
      <c r="A518" s="305"/>
      <c r="B518" s="324"/>
      <c r="C518" s="331"/>
      <c r="D518" s="305"/>
      <c r="E518" s="324"/>
      <c r="F518" s="331"/>
      <c r="G518" s="305"/>
      <c r="H518" s="324"/>
      <c r="I518" s="331"/>
      <c r="J518" s="305"/>
      <c r="K518" s="324"/>
      <c r="L518" s="331"/>
      <c r="M518" s="305"/>
      <c r="N518" s="324"/>
      <c r="O518" s="331"/>
      <c r="P518" s="305"/>
    </row>
    <row r="519" spans="1:16" s="226" customFormat="1" x14ac:dyDescent="0.2">
      <c r="A519" s="305"/>
      <c r="B519" s="324"/>
      <c r="C519" s="331"/>
      <c r="D519" s="305"/>
      <c r="E519" s="324"/>
      <c r="F519" s="331"/>
      <c r="G519" s="305"/>
      <c r="H519" s="324"/>
      <c r="I519" s="331"/>
      <c r="J519" s="305"/>
      <c r="K519" s="324"/>
      <c r="L519" s="331"/>
      <c r="M519" s="305"/>
      <c r="N519" s="324"/>
      <c r="O519" s="331"/>
      <c r="P519" s="305"/>
    </row>
    <row r="520" spans="1:16" s="226" customFormat="1" x14ac:dyDescent="0.2">
      <c r="A520" s="305"/>
      <c r="B520" s="324"/>
      <c r="C520" s="331"/>
      <c r="D520" s="305"/>
      <c r="E520" s="324"/>
      <c r="F520" s="331"/>
      <c r="G520" s="305"/>
      <c r="H520" s="324"/>
      <c r="I520" s="331"/>
      <c r="J520" s="305"/>
      <c r="K520" s="324"/>
      <c r="L520" s="331"/>
      <c r="M520" s="305"/>
      <c r="N520" s="324"/>
      <c r="O520" s="331"/>
      <c r="P520" s="305"/>
    </row>
    <row r="521" spans="1:16" s="226" customFormat="1" x14ac:dyDescent="0.2">
      <c r="A521" s="305"/>
      <c r="B521" s="324"/>
      <c r="C521" s="331"/>
      <c r="D521" s="305"/>
      <c r="E521" s="324"/>
      <c r="F521" s="331"/>
      <c r="G521" s="305"/>
      <c r="H521" s="324"/>
      <c r="I521" s="331"/>
      <c r="J521" s="305"/>
      <c r="K521" s="324"/>
      <c r="L521" s="331"/>
      <c r="M521" s="305"/>
      <c r="N521" s="324"/>
      <c r="O521" s="331"/>
      <c r="P521" s="305"/>
    </row>
    <row r="522" spans="1:16" s="226" customFormat="1" x14ac:dyDescent="0.2">
      <c r="A522" s="305"/>
      <c r="B522" s="324"/>
      <c r="C522" s="331"/>
      <c r="D522" s="305"/>
      <c r="E522" s="324"/>
      <c r="F522" s="331"/>
      <c r="G522" s="305"/>
      <c r="H522" s="324"/>
      <c r="I522" s="331"/>
      <c r="J522" s="305"/>
      <c r="K522" s="324"/>
      <c r="L522" s="331"/>
      <c r="M522" s="305"/>
      <c r="N522" s="324"/>
      <c r="O522" s="331"/>
      <c r="P522" s="305"/>
    </row>
    <row r="523" spans="1:16" s="226" customFormat="1" x14ac:dyDescent="0.2">
      <c r="A523" s="305"/>
      <c r="B523" s="324"/>
      <c r="C523" s="331"/>
      <c r="D523" s="305"/>
      <c r="E523" s="324"/>
      <c r="F523" s="331"/>
      <c r="G523" s="305"/>
      <c r="H523" s="324"/>
      <c r="I523" s="331"/>
      <c r="J523" s="305"/>
      <c r="K523" s="324"/>
      <c r="L523" s="331"/>
      <c r="M523" s="305"/>
      <c r="N523" s="324"/>
      <c r="O523" s="331"/>
      <c r="P523" s="305"/>
    </row>
    <row r="524" spans="1:16" s="226" customFormat="1" x14ac:dyDescent="0.2">
      <c r="A524" s="305"/>
      <c r="B524" s="324"/>
      <c r="C524" s="331"/>
      <c r="D524" s="305"/>
      <c r="E524" s="324"/>
      <c r="F524" s="331"/>
      <c r="G524" s="305"/>
      <c r="H524" s="324"/>
      <c r="I524" s="331"/>
      <c r="J524" s="305"/>
      <c r="K524" s="324"/>
      <c r="L524" s="331"/>
      <c r="M524" s="305"/>
      <c r="N524" s="324"/>
      <c r="O524" s="331"/>
      <c r="P524" s="305"/>
    </row>
    <row r="525" spans="1:16" s="226" customFormat="1" x14ac:dyDescent="0.2">
      <c r="A525" s="305"/>
      <c r="B525" s="324"/>
      <c r="C525" s="331"/>
      <c r="D525" s="305"/>
      <c r="E525" s="324"/>
      <c r="F525" s="331"/>
      <c r="G525" s="305"/>
      <c r="H525" s="324"/>
      <c r="I525" s="331"/>
      <c r="J525" s="305"/>
      <c r="K525" s="324"/>
      <c r="L525" s="331"/>
      <c r="M525" s="305"/>
      <c r="N525" s="324"/>
      <c r="O525" s="331"/>
      <c r="P525" s="305"/>
    </row>
    <row r="526" spans="1:16" s="226" customFormat="1" x14ac:dyDescent="0.2">
      <c r="A526" s="305"/>
      <c r="B526" s="324"/>
      <c r="C526" s="331"/>
      <c r="D526" s="305"/>
      <c r="E526" s="324"/>
      <c r="F526" s="331"/>
      <c r="G526" s="305"/>
      <c r="H526" s="324"/>
      <c r="I526" s="331"/>
      <c r="J526" s="305"/>
      <c r="K526" s="324"/>
      <c r="L526" s="331"/>
      <c r="M526" s="305"/>
      <c r="N526" s="324"/>
      <c r="O526" s="331"/>
      <c r="P526" s="305"/>
    </row>
    <row r="527" spans="1:16" s="226" customFormat="1" x14ac:dyDescent="0.2">
      <c r="A527" s="305"/>
      <c r="B527" s="324"/>
      <c r="C527" s="331"/>
      <c r="D527" s="305"/>
      <c r="E527" s="324"/>
      <c r="F527" s="331"/>
      <c r="G527" s="305"/>
      <c r="H527" s="324"/>
      <c r="I527" s="331"/>
      <c r="J527" s="305"/>
      <c r="K527" s="324"/>
      <c r="L527" s="331"/>
      <c r="M527" s="305"/>
      <c r="N527" s="324"/>
      <c r="O527" s="331"/>
      <c r="P527" s="305"/>
    </row>
    <row r="528" spans="1:16" s="226" customFormat="1" x14ac:dyDescent="0.2">
      <c r="A528" s="305"/>
      <c r="B528" s="324"/>
      <c r="C528" s="331"/>
      <c r="D528" s="305"/>
      <c r="E528" s="324"/>
      <c r="F528" s="331"/>
      <c r="G528" s="305"/>
      <c r="H528" s="324"/>
      <c r="I528" s="331"/>
      <c r="J528" s="305"/>
      <c r="K528" s="324"/>
      <c r="L528" s="331"/>
      <c r="M528" s="305"/>
      <c r="N528" s="324"/>
      <c r="O528" s="331"/>
      <c r="P528" s="305"/>
    </row>
    <row r="529" spans="1:16" s="226" customFormat="1" x14ac:dyDescent="0.2">
      <c r="A529" s="305"/>
      <c r="B529" s="324"/>
      <c r="C529" s="331"/>
      <c r="D529" s="305"/>
      <c r="E529" s="324"/>
      <c r="F529" s="331"/>
      <c r="G529" s="305"/>
      <c r="H529" s="324"/>
      <c r="I529" s="331"/>
      <c r="J529" s="305"/>
      <c r="K529" s="324"/>
      <c r="L529" s="331"/>
      <c r="M529" s="305"/>
      <c r="N529" s="324"/>
      <c r="O529" s="331"/>
      <c r="P529" s="305"/>
    </row>
    <row r="530" spans="1:16" s="226" customFormat="1" x14ac:dyDescent="0.2">
      <c r="A530" s="305"/>
      <c r="B530" s="324"/>
      <c r="C530" s="331"/>
      <c r="D530" s="305"/>
      <c r="E530" s="324"/>
      <c r="F530" s="331"/>
      <c r="G530" s="305"/>
      <c r="H530" s="324"/>
      <c r="I530" s="331"/>
      <c r="J530" s="305"/>
      <c r="K530" s="324"/>
      <c r="L530" s="331"/>
      <c r="M530" s="305"/>
      <c r="N530" s="324"/>
      <c r="O530" s="331"/>
      <c r="P530" s="305"/>
    </row>
    <row r="531" spans="1:16" s="226" customFormat="1" x14ac:dyDescent="0.2">
      <c r="A531" s="305"/>
      <c r="B531" s="324"/>
      <c r="C531" s="331"/>
      <c r="D531" s="305"/>
      <c r="E531" s="324"/>
      <c r="F531" s="331"/>
      <c r="G531" s="305"/>
      <c r="H531" s="324"/>
      <c r="I531" s="331"/>
      <c r="J531" s="305"/>
      <c r="K531" s="324"/>
      <c r="L531" s="331"/>
      <c r="M531" s="305"/>
      <c r="N531" s="324"/>
      <c r="O531" s="331"/>
      <c r="P531" s="305"/>
    </row>
    <row r="532" spans="1:16" s="226" customFormat="1" x14ac:dyDescent="0.2">
      <c r="A532" s="305"/>
      <c r="B532" s="324"/>
      <c r="C532" s="331"/>
      <c r="D532" s="305"/>
      <c r="E532" s="324"/>
      <c r="F532" s="331"/>
      <c r="G532" s="305"/>
      <c r="H532" s="324"/>
      <c r="I532" s="331"/>
      <c r="J532" s="305"/>
      <c r="K532" s="324"/>
      <c r="L532" s="331"/>
      <c r="M532" s="305"/>
      <c r="N532" s="324"/>
      <c r="O532" s="331"/>
      <c r="P532" s="305"/>
    </row>
    <row r="533" spans="1:16" s="226" customFormat="1" x14ac:dyDescent="0.2">
      <c r="A533" s="305"/>
      <c r="B533" s="324"/>
      <c r="C533" s="331"/>
      <c r="D533" s="305"/>
      <c r="E533" s="324"/>
      <c r="F533" s="331"/>
      <c r="G533" s="305"/>
      <c r="H533" s="324"/>
      <c r="I533" s="331"/>
      <c r="J533" s="305"/>
      <c r="K533" s="324"/>
      <c r="L533" s="331"/>
      <c r="M533" s="305"/>
      <c r="N533" s="324"/>
      <c r="O533" s="331"/>
      <c r="P533" s="305"/>
    </row>
    <row r="534" spans="1:16" s="226" customFormat="1" x14ac:dyDescent="0.2">
      <c r="A534" s="305"/>
      <c r="B534" s="324"/>
      <c r="C534" s="331"/>
      <c r="D534" s="305"/>
      <c r="E534" s="324"/>
      <c r="F534" s="331"/>
      <c r="G534" s="305"/>
      <c r="H534" s="324"/>
      <c r="I534" s="331"/>
      <c r="J534" s="305"/>
      <c r="K534" s="324"/>
      <c r="L534" s="331"/>
      <c r="M534" s="305"/>
      <c r="N534" s="324"/>
      <c r="O534" s="331"/>
      <c r="P534" s="305"/>
    </row>
    <row r="535" spans="1:16" s="226" customFormat="1" x14ac:dyDescent="0.2">
      <c r="A535" s="305"/>
      <c r="B535" s="324"/>
      <c r="C535" s="331"/>
      <c r="D535" s="305"/>
      <c r="E535" s="324"/>
      <c r="F535" s="331"/>
      <c r="G535" s="305"/>
      <c r="H535" s="324"/>
      <c r="I535" s="331"/>
      <c r="J535" s="305"/>
      <c r="K535" s="324"/>
      <c r="L535" s="331"/>
      <c r="M535" s="305"/>
      <c r="N535" s="324"/>
      <c r="O535" s="331"/>
      <c r="P535" s="305"/>
    </row>
    <row r="536" spans="1:16" s="226" customFormat="1" x14ac:dyDescent="0.2">
      <c r="A536" s="305"/>
      <c r="B536" s="324"/>
      <c r="C536" s="331"/>
      <c r="D536" s="305"/>
      <c r="E536" s="324"/>
      <c r="F536" s="331"/>
      <c r="G536" s="305"/>
      <c r="H536" s="324"/>
      <c r="I536" s="331"/>
      <c r="J536" s="305"/>
      <c r="K536" s="324"/>
      <c r="L536" s="331"/>
      <c r="M536" s="305"/>
      <c r="N536" s="324"/>
      <c r="O536" s="331"/>
      <c r="P536" s="305"/>
    </row>
    <row r="537" spans="1:16" s="226" customFormat="1" x14ac:dyDescent="0.2">
      <c r="A537" s="305"/>
      <c r="B537" s="324"/>
      <c r="C537" s="331"/>
      <c r="D537" s="305"/>
      <c r="E537" s="324"/>
      <c r="F537" s="331"/>
      <c r="G537" s="305"/>
      <c r="H537" s="324"/>
      <c r="I537" s="331"/>
      <c r="J537" s="305"/>
      <c r="K537" s="324"/>
      <c r="L537" s="331"/>
      <c r="M537" s="305"/>
      <c r="N537" s="324"/>
      <c r="O537" s="331"/>
      <c r="P537" s="305"/>
    </row>
    <row r="538" spans="1:16" s="226" customFormat="1" x14ac:dyDescent="0.2">
      <c r="A538" s="305"/>
      <c r="B538" s="324"/>
      <c r="C538" s="331"/>
      <c r="D538" s="305"/>
      <c r="E538" s="324"/>
      <c r="F538" s="331"/>
      <c r="G538" s="305"/>
      <c r="H538" s="324"/>
      <c r="I538" s="331"/>
      <c r="J538" s="305"/>
      <c r="K538" s="324"/>
      <c r="L538" s="331"/>
      <c r="M538" s="305"/>
      <c r="N538" s="324"/>
      <c r="O538" s="331"/>
      <c r="P538" s="305"/>
    </row>
    <row r="539" spans="1:16" s="226" customFormat="1" x14ac:dyDescent="0.2">
      <c r="A539" s="305"/>
      <c r="B539" s="324"/>
      <c r="C539" s="331"/>
      <c r="D539" s="305"/>
      <c r="E539" s="324"/>
      <c r="F539" s="331"/>
      <c r="G539" s="305"/>
      <c r="H539" s="324"/>
      <c r="I539" s="331"/>
      <c r="J539" s="305"/>
      <c r="K539" s="324"/>
      <c r="L539" s="331"/>
      <c r="M539" s="305"/>
      <c r="N539" s="324"/>
      <c r="O539" s="331"/>
      <c r="P539" s="305"/>
    </row>
    <row r="540" spans="1:16" s="226" customFormat="1" x14ac:dyDescent="0.2">
      <c r="A540" s="305"/>
      <c r="B540" s="324"/>
      <c r="C540" s="331"/>
      <c r="D540" s="305"/>
      <c r="E540" s="324"/>
      <c r="F540" s="331"/>
      <c r="G540" s="305"/>
      <c r="H540" s="324"/>
      <c r="I540" s="331"/>
      <c r="J540" s="305"/>
      <c r="K540" s="324"/>
      <c r="L540" s="331"/>
      <c r="M540" s="305"/>
      <c r="N540" s="324"/>
      <c r="O540" s="331"/>
      <c r="P540" s="305"/>
    </row>
    <row r="541" spans="1:16" s="226" customFormat="1" x14ac:dyDescent="0.2">
      <c r="A541" s="305"/>
      <c r="B541" s="324"/>
      <c r="C541" s="331"/>
      <c r="D541" s="305"/>
      <c r="E541" s="324"/>
      <c r="F541" s="331"/>
      <c r="G541" s="305"/>
      <c r="H541" s="324"/>
      <c r="I541" s="331"/>
      <c r="J541" s="305"/>
      <c r="K541" s="324"/>
      <c r="L541" s="331"/>
      <c r="M541" s="305"/>
      <c r="N541" s="324"/>
      <c r="O541" s="331"/>
      <c r="P541" s="305"/>
    </row>
    <row r="542" spans="1:16" s="226" customFormat="1" x14ac:dyDescent="0.2">
      <c r="A542" s="305"/>
      <c r="B542" s="324"/>
      <c r="C542" s="331"/>
      <c r="D542" s="305"/>
      <c r="E542" s="324"/>
      <c r="F542" s="331"/>
      <c r="G542" s="305"/>
      <c r="H542" s="324"/>
      <c r="I542" s="331"/>
      <c r="J542" s="305"/>
      <c r="K542" s="324"/>
      <c r="L542" s="331"/>
      <c r="M542" s="305"/>
      <c r="N542" s="324"/>
      <c r="O542" s="331"/>
      <c r="P542" s="305"/>
    </row>
    <row r="543" spans="1:16" s="226" customFormat="1" x14ac:dyDescent="0.2">
      <c r="A543" s="305"/>
      <c r="B543" s="324"/>
      <c r="C543" s="331"/>
      <c r="D543" s="305"/>
      <c r="E543" s="324"/>
      <c r="F543" s="331"/>
      <c r="G543" s="305"/>
      <c r="H543" s="324"/>
      <c r="I543" s="331"/>
      <c r="J543" s="305"/>
      <c r="K543" s="324"/>
      <c r="L543" s="331"/>
      <c r="M543" s="305"/>
      <c r="N543" s="324"/>
      <c r="O543" s="331"/>
      <c r="P543" s="305"/>
    </row>
    <row r="544" spans="1:16" s="226" customFormat="1" x14ac:dyDescent="0.2">
      <c r="A544" s="305"/>
      <c r="B544" s="324"/>
      <c r="C544" s="331"/>
      <c r="D544" s="305"/>
      <c r="E544" s="324"/>
      <c r="F544" s="331"/>
      <c r="G544" s="305"/>
      <c r="H544" s="324"/>
      <c r="I544" s="331"/>
      <c r="J544" s="305"/>
      <c r="K544" s="324"/>
      <c r="L544" s="331"/>
      <c r="M544" s="305"/>
      <c r="N544" s="324"/>
      <c r="O544" s="331"/>
      <c r="P544" s="305"/>
    </row>
    <row r="545" spans="1:16" s="226" customFormat="1" x14ac:dyDescent="0.2">
      <c r="A545" s="305"/>
      <c r="B545" s="324"/>
      <c r="C545" s="331"/>
      <c r="D545" s="305"/>
      <c r="E545" s="324"/>
      <c r="F545" s="331"/>
      <c r="G545" s="305"/>
      <c r="H545" s="324"/>
      <c r="I545" s="331"/>
      <c r="J545" s="305"/>
      <c r="K545" s="324"/>
      <c r="L545" s="331"/>
      <c r="M545" s="305"/>
      <c r="N545" s="324"/>
      <c r="O545" s="331"/>
      <c r="P545" s="305"/>
    </row>
    <row r="546" spans="1:16" s="226" customFormat="1" x14ac:dyDescent="0.2">
      <c r="A546" s="305"/>
      <c r="B546" s="324"/>
      <c r="C546" s="331"/>
      <c r="D546" s="305"/>
      <c r="E546" s="324"/>
      <c r="F546" s="331"/>
      <c r="G546" s="305"/>
      <c r="H546" s="324"/>
      <c r="I546" s="331"/>
      <c r="J546" s="305"/>
      <c r="K546" s="324"/>
      <c r="L546" s="331"/>
      <c r="M546" s="305"/>
      <c r="N546" s="324"/>
      <c r="O546" s="331"/>
      <c r="P546" s="305"/>
    </row>
    <row r="547" spans="1:16" s="226" customFormat="1" x14ac:dyDescent="0.2">
      <c r="A547" s="305"/>
      <c r="B547" s="324"/>
      <c r="C547" s="331"/>
      <c r="D547" s="305"/>
      <c r="E547" s="324"/>
      <c r="F547" s="331"/>
      <c r="G547" s="305"/>
      <c r="H547" s="324"/>
      <c r="I547" s="331"/>
      <c r="J547" s="305"/>
      <c r="K547" s="324"/>
      <c r="L547" s="331"/>
      <c r="M547" s="305"/>
      <c r="N547" s="324"/>
      <c r="O547" s="331"/>
      <c r="P547" s="305"/>
    </row>
    <row r="548" spans="1:16" s="226" customFormat="1" x14ac:dyDescent="0.2">
      <c r="A548" s="305"/>
      <c r="B548" s="324"/>
      <c r="C548" s="331"/>
      <c r="D548" s="305"/>
      <c r="E548" s="324"/>
      <c r="F548" s="331"/>
      <c r="G548" s="305"/>
      <c r="H548" s="324"/>
      <c r="I548" s="331"/>
      <c r="J548" s="305"/>
      <c r="K548" s="324"/>
      <c r="L548" s="331"/>
      <c r="M548" s="305"/>
      <c r="N548" s="324"/>
      <c r="O548" s="331"/>
      <c r="P548" s="305"/>
    </row>
    <row r="549" spans="1:16" s="226" customFormat="1" x14ac:dyDescent="0.2">
      <c r="A549" s="305"/>
      <c r="B549" s="324"/>
      <c r="C549" s="331"/>
      <c r="D549" s="305"/>
      <c r="E549" s="324"/>
      <c r="F549" s="331"/>
      <c r="G549" s="305"/>
      <c r="H549" s="324"/>
      <c r="I549" s="331"/>
      <c r="J549" s="305"/>
      <c r="K549" s="324"/>
      <c r="L549" s="331"/>
      <c r="M549" s="305"/>
      <c r="N549" s="324"/>
      <c r="O549" s="331"/>
      <c r="P549" s="305"/>
    </row>
    <row r="550" spans="1:16" s="226" customFormat="1" x14ac:dyDescent="0.2">
      <c r="A550" s="305"/>
      <c r="B550" s="324"/>
      <c r="C550" s="331"/>
      <c r="D550" s="305"/>
      <c r="E550" s="324"/>
      <c r="F550" s="331"/>
      <c r="G550" s="305"/>
      <c r="H550" s="324"/>
      <c r="I550" s="331"/>
      <c r="J550" s="305"/>
      <c r="K550" s="324"/>
      <c r="L550" s="331"/>
      <c r="M550" s="305"/>
      <c r="N550" s="324"/>
      <c r="O550" s="331"/>
      <c r="P550" s="305"/>
    </row>
    <row r="551" spans="1:16" s="226" customFormat="1" x14ac:dyDescent="0.2">
      <c r="A551" s="305"/>
      <c r="B551" s="324"/>
      <c r="C551" s="331"/>
      <c r="D551" s="305"/>
      <c r="E551" s="324"/>
      <c r="F551" s="331"/>
      <c r="G551" s="305"/>
      <c r="H551" s="324"/>
      <c r="I551" s="331"/>
      <c r="J551" s="305"/>
      <c r="K551" s="324"/>
      <c r="L551" s="331"/>
      <c r="M551" s="305"/>
      <c r="N551" s="324"/>
      <c r="O551" s="331"/>
      <c r="P551" s="305"/>
    </row>
    <row r="552" spans="1:16" s="226" customFormat="1" x14ac:dyDescent="0.2">
      <c r="A552" s="305"/>
      <c r="B552" s="324"/>
      <c r="C552" s="331"/>
      <c r="D552" s="305"/>
      <c r="E552" s="324"/>
      <c r="F552" s="331"/>
      <c r="G552" s="305"/>
      <c r="H552" s="324"/>
      <c r="I552" s="331"/>
      <c r="J552" s="305"/>
      <c r="K552" s="324"/>
      <c r="L552" s="331"/>
      <c r="M552" s="305"/>
      <c r="N552" s="324"/>
      <c r="O552" s="331"/>
      <c r="P552" s="305"/>
    </row>
    <row r="553" spans="1:16" s="226" customFormat="1" x14ac:dyDescent="0.2">
      <c r="A553" s="305"/>
      <c r="B553" s="324"/>
      <c r="C553" s="331"/>
      <c r="D553" s="305"/>
      <c r="E553" s="324"/>
      <c r="F553" s="331"/>
      <c r="G553" s="305"/>
      <c r="H553" s="324"/>
      <c r="I553" s="331"/>
      <c r="J553" s="305"/>
      <c r="K553" s="324"/>
      <c r="L553" s="331"/>
      <c r="M553" s="305"/>
      <c r="N553" s="324"/>
      <c r="O553" s="331"/>
      <c r="P553" s="305"/>
    </row>
    <row r="554" spans="1:16" s="226" customFormat="1" x14ac:dyDescent="0.2">
      <c r="A554" s="305"/>
      <c r="B554" s="324"/>
      <c r="C554" s="331"/>
      <c r="D554" s="305"/>
      <c r="E554" s="324"/>
      <c r="F554" s="331"/>
      <c r="G554" s="305"/>
      <c r="H554" s="324"/>
      <c r="I554" s="331"/>
      <c r="J554" s="305"/>
      <c r="K554" s="324"/>
      <c r="L554" s="331"/>
      <c r="M554" s="305"/>
      <c r="N554" s="324"/>
      <c r="O554" s="331"/>
      <c r="P554" s="305"/>
    </row>
    <row r="555" spans="1:16" s="226" customFormat="1" x14ac:dyDescent="0.2">
      <c r="A555" s="305"/>
      <c r="B555" s="324"/>
      <c r="C555" s="331"/>
      <c r="D555" s="305"/>
      <c r="E555" s="324"/>
      <c r="F555" s="331"/>
      <c r="G555" s="305"/>
      <c r="H555" s="324"/>
      <c r="I555" s="331"/>
      <c r="J555" s="305"/>
      <c r="K555" s="324"/>
      <c r="L555" s="331"/>
      <c r="M555" s="305"/>
      <c r="N555" s="324"/>
      <c r="O555" s="331"/>
      <c r="P555" s="305"/>
    </row>
    <row r="556" spans="1:16" s="226" customFormat="1" x14ac:dyDescent="0.2">
      <c r="A556" s="305"/>
      <c r="B556" s="324"/>
      <c r="C556" s="331"/>
      <c r="D556" s="305"/>
      <c r="E556" s="324"/>
      <c r="F556" s="331"/>
      <c r="G556" s="305"/>
      <c r="H556" s="324"/>
      <c r="I556" s="331"/>
      <c r="J556" s="305"/>
      <c r="K556" s="324"/>
      <c r="L556" s="331"/>
      <c r="M556" s="305"/>
      <c r="N556" s="324"/>
      <c r="O556" s="331"/>
      <c r="P556" s="305"/>
    </row>
    <row r="557" spans="1:16" s="226" customFormat="1" x14ac:dyDescent="0.2">
      <c r="A557" s="305"/>
      <c r="B557" s="324"/>
      <c r="C557" s="331"/>
      <c r="D557" s="305"/>
      <c r="E557" s="324"/>
      <c r="F557" s="331"/>
      <c r="G557" s="305"/>
      <c r="H557" s="324"/>
      <c r="I557" s="331"/>
      <c r="J557" s="305"/>
      <c r="K557" s="324"/>
      <c r="L557" s="331"/>
      <c r="M557" s="305"/>
      <c r="N557" s="324"/>
      <c r="O557" s="331"/>
      <c r="P557" s="305"/>
    </row>
    <row r="558" spans="1:16" s="226" customFormat="1" x14ac:dyDescent="0.2">
      <c r="A558" s="305"/>
      <c r="B558" s="324"/>
      <c r="C558" s="331"/>
      <c r="D558" s="305"/>
      <c r="E558" s="324"/>
      <c r="F558" s="331"/>
      <c r="G558" s="305"/>
      <c r="H558" s="324"/>
      <c r="I558" s="331"/>
      <c r="J558" s="305"/>
      <c r="K558" s="324"/>
      <c r="L558" s="331"/>
      <c r="M558" s="305"/>
      <c r="N558" s="324"/>
      <c r="O558" s="331"/>
      <c r="P558" s="305"/>
    </row>
    <row r="559" spans="1:16" s="226" customFormat="1" x14ac:dyDescent="0.2">
      <c r="A559" s="305"/>
      <c r="B559" s="324"/>
      <c r="C559" s="331"/>
      <c r="D559" s="305"/>
      <c r="E559" s="324"/>
      <c r="F559" s="331"/>
      <c r="G559" s="305"/>
      <c r="H559" s="324"/>
      <c r="I559" s="331"/>
      <c r="J559" s="305"/>
      <c r="K559" s="324"/>
      <c r="L559" s="331"/>
      <c r="M559" s="305"/>
      <c r="N559" s="324"/>
      <c r="O559" s="331"/>
      <c r="P559" s="305"/>
    </row>
    <row r="560" spans="1:16" s="226" customFormat="1" x14ac:dyDescent="0.2">
      <c r="A560" s="305"/>
      <c r="B560" s="324"/>
      <c r="C560" s="331"/>
      <c r="D560" s="305"/>
      <c r="E560" s="324"/>
      <c r="F560" s="331"/>
      <c r="G560" s="305"/>
      <c r="H560" s="324"/>
      <c r="I560" s="331"/>
      <c r="J560" s="305"/>
      <c r="K560" s="324"/>
      <c r="L560" s="331"/>
      <c r="M560" s="305"/>
      <c r="N560" s="324"/>
      <c r="O560" s="331"/>
      <c r="P560" s="305"/>
    </row>
    <row r="561" spans="1:16" s="226" customFormat="1" x14ac:dyDescent="0.2">
      <c r="A561" s="305"/>
      <c r="B561" s="324"/>
      <c r="C561" s="331"/>
      <c r="D561" s="305"/>
      <c r="E561" s="324"/>
      <c r="F561" s="331"/>
      <c r="G561" s="305"/>
      <c r="H561" s="324"/>
      <c r="I561" s="331"/>
      <c r="J561" s="305"/>
      <c r="K561" s="324"/>
      <c r="L561" s="331"/>
      <c r="M561" s="305"/>
      <c r="N561" s="324"/>
      <c r="O561" s="331"/>
      <c r="P561" s="305"/>
    </row>
    <row r="562" spans="1:16" s="226" customFormat="1" x14ac:dyDescent="0.2">
      <c r="A562" s="305"/>
      <c r="B562" s="324"/>
      <c r="C562" s="331"/>
      <c r="D562" s="305"/>
      <c r="E562" s="324"/>
      <c r="F562" s="331"/>
      <c r="G562" s="305"/>
      <c r="H562" s="324"/>
      <c r="I562" s="331"/>
      <c r="J562" s="305"/>
      <c r="K562" s="324"/>
      <c r="L562" s="331"/>
      <c r="M562" s="305"/>
      <c r="N562" s="324"/>
      <c r="O562" s="331"/>
      <c r="P562" s="305"/>
    </row>
    <row r="563" spans="1:16" s="226" customFormat="1" x14ac:dyDescent="0.2">
      <c r="A563" s="305"/>
      <c r="B563" s="324"/>
      <c r="C563" s="331"/>
      <c r="D563" s="305"/>
      <c r="E563" s="324"/>
      <c r="F563" s="331"/>
      <c r="G563" s="305"/>
      <c r="H563" s="324"/>
      <c r="I563" s="331"/>
      <c r="J563" s="305"/>
      <c r="K563" s="324"/>
      <c r="L563" s="331"/>
      <c r="M563" s="305"/>
      <c r="N563" s="324"/>
      <c r="O563" s="331"/>
      <c r="P563" s="305"/>
    </row>
    <row r="564" spans="1:16" s="226" customFormat="1" x14ac:dyDescent="0.2">
      <c r="A564" s="305"/>
      <c r="B564" s="324"/>
      <c r="C564" s="331"/>
      <c r="D564" s="305"/>
      <c r="E564" s="324"/>
      <c r="F564" s="331"/>
      <c r="G564" s="305"/>
      <c r="H564" s="324"/>
      <c r="I564" s="331"/>
      <c r="J564" s="305"/>
      <c r="K564" s="324"/>
      <c r="L564" s="331"/>
      <c r="M564" s="305"/>
      <c r="N564" s="324"/>
      <c r="O564" s="331"/>
      <c r="P564" s="305"/>
    </row>
    <row r="565" spans="1:16" s="226" customFormat="1" x14ac:dyDescent="0.2">
      <c r="A565" s="305"/>
      <c r="B565" s="324"/>
      <c r="C565" s="331"/>
      <c r="D565" s="305"/>
      <c r="E565" s="324"/>
      <c r="F565" s="331"/>
      <c r="G565" s="305"/>
      <c r="H565" s="324"/>
      <c r="I565" s="331"/>
      <c r="J565" s="305"/>
      <c r="K565" s="324"/>
      <c r="L565" s="331"/>
      <c r="M565" s="305"/>
      <c r="N565" s="324"/>
      <c r="O565" s="331"/>
      <c r="P565" s="305"/>
    </row>
    <row r="566" spans="1:16" s="226" customFormat="1" x14ac:dyDescent="0.2">
      <c r="A566" s="305"/>
      <c r="B566" s="324"/>
      <c r="C566" s="331"/>
      <c r="D566" s="305"/>
      <c r="E566" s="324"/>
      <c r="F566" s="331"/>
      <c r="G566" s="305"/>
      <c r="H566" s="324"/>
      <c r="I566" s="331"/>
      <c r="J566" s="305"/>
      <c r="K566" s="324"/>
      <c r="L566" s="331"/>
      <c r="M566" s="305"/>
      <c r="N566" s="324"/>
      <c r="O566" s="331"/>
      <c r="P566" s="305"/>
    </row>
    <row r="567" spans="1:16" s="226" customFormat="1" x14ac:dyDescent="0.2">
      <c r="A567" s="305"/>
      <c r="B567" s="324"/>
      <c r="C567" s="331"/>
      <c r="D567" s="305"/>
      <c r="E567" s="324"/>
      <c r="F567" s="331"/>
      <c r="G567" s="305"/>
      <c r="H567" s="324"/>
      <c r="I567" s="331"/>
      <c r="J567" s="305"/>
      <c r="K567" s="324"/>
      <c r="L567" s="331"/>
      <c r="M567" s="305"/>
      <c r="N567" s="324"/>
      <c r="O567" s="331"/>
      <c r="P567" s="305"/>
    </row>
    <row r="568" spans="1:16" s="226" customFormat="1" x14ac:dyDescent="0.2">
      <c r="A568" s="305"/>
      <c r="B568" s="324"/>
      <c r="C568" s="331"/>
      <c r="D568" s="305"/>
      <c r="E568" s="324"/>
      <c r="F568" s="331"/>
      <c r="G568" s="305"/>
      <c r="H568" s="324"/>
      <c r="I568" s="331"/>
      <c r="J568" s="305"/>
      <c r="K568" s="324"/>
      <c r="L568" s="331"/>
      <c r="M568" s="305"/>
      <c r="N568" s="324"/>
      <c r="O568" s="331"/>
      <c r="P568" s="305"/>
    </row>
    <row r="569" spans="1:16" s="226" customFormat="1" x14ac:dyDescent="0.2">
      <c r="A569" s="305"/>
      <c r="B569" s="324"/>
      <c r="C569" s="331"/>
      <c r="D569" s="305"/>
      <c r="E569" s="324"/>
      <c r="F569" s="331"/>
      <c r="G569" s="305"/>
      <c r="H569" s="324"/>
      <c r="I569" s="331"/>
      <c r="J569" s="305"/>
      <c r="K569" s="324"/>
      <c r="L569" s="331"/>
      <c r="M569" s="305"/>
      <c r="N569" s="324"/>
      <c r="O569" s="331"/>
      <c r="P569" s="305"/>
    </row>
    <row r="570" spans="1:16" s="226" customFormat="1" x14ac:dyDescent="0.2">
      <c r="A570" s="305"/>
      <c r="B570" s="324"/>
      <c r="C570" s="331"/>
      <c r="D570" s="305"/>
      <c r="E570" s="324"/>
      <c r="F570" s="331"/>
      <c r="G570" s="305"/>
      <c r="H570" s="324"/>
      <c r="I570" s="331"/>
      <c r="J570" s="305"/>
      <c r="K570" s="324"/>
      <c r="L570" s="331"/>
      <c r="M570" s="305"/>
      <c r="N570" s="324"/>
      <c r="O570" s="331"/>
      <c r="P570" s="305"/>
    </row>
    <row r="571" spans="1:16" s="226" customFormat="1" x14ac:dyDescent="0.2">
      <c r="A571" s="305"/>
      <c r="B571" s="324"/>
      <c r="C571" s="331"/>
      <c r="D571" s="305"/>
      <c r="E571" s="324"/>
      <c r="F571" s="331"/>
      <c r="G571" s="305"/>
      <c r="H571" s="324"/>
      <c r="I571" s="331"/>
      <c r="J571" s="305"/>
      <c r="K571" s="324"/>
      <c r="L571" s="331"/>
      <c r="M571" s="305"/>
      <c r="N571" s="324"/>
      <c r="O571" s="331"/>
      <c r="P571" s="305"/>
    </row>
    <row r="572" spans="1:16" s="226" customFormat="1" x14ac:dyDescent="0.2">
      <c r="A572" s="305"/>
      <c r="B572" s="324"/>
      <c r="C572" s="331"/>
      <c r="D572" s="305"/>
      <c r="E572" s="324"/>
      <c r="F572" s="331"/>
      <c r="G572" s="305"/>
      <c r="H572" s="324"/>
      <c r="I572" s="331"/>
      <c r="J572" s="305"/>
      <c r="K572" s="324"/>
      <c r="L572" s="331"/>
      <c r="M572" s="305"/>
      <c r="N572" s="324"/>
      <c r="O572" s="331"/>
      <c r="P572" s="305"/>
    </row>
    <row r="573" spans="1:16" s="226" customFormat="1" x14ac:dyDescent="0.2">
      <c r="A573" s="305"/>
      <c r="B573" s="324"/>
      <c r="C573" s="331"/>
      <c r="D573" s="305"/>
      <c r="E573" s="324"/>
      <c r="F573" s="331"/>
      <c r="G573" s="305"/>
      <c r="H573" s="324"/>
      <c r="I573" s="331"/>
      <c r="J573" s="305"/>
      <c r="K573" s="324"/>
      <c r="L573" s="331"/>
      <c r="M573" s="305"/>
      <c r="N573" s="324"/>
      <c r="O573" s="331"/>
      <c r="P573" s="305"/>
    </row>
    <row r="574" spans="1:16" s="226" customFormat="1" x14ac:dyDescent="0.2">
      <c r="A574" s="305"/>
      <c r="B574" s="324"/>
      <c r="C574" s="331"/>
      <c r="D574" s="305"/>
      <c r="E574" s="324"/>
      <c r="F574" s="331"/>
      <c r="G574" s="305"/>
      <c r="H574" s="324"/>
      <c r="I574" s="331"/>
      <c r="J574" s="305"/>
      <c r="K574" s="324"/>
      <c r="L574" s="331"/>
      <c r="M574" s="305"/>
      <c r="N574" s="324"/>
      <c r="O574" s="331"/>
      <c r="P574" s="305"/>
    </row>
    <row r="575" spans="1:16" s="226" customFormat="1" x14ac:dyDescent="0.2">
      <c r="A575" s="305"/>
      <c r="B575" s="324"/>
      <c r="C575" s="331"/>
      <c r="D575" s="305"/>
      <c r="E575" s="324"/>
      <c r="F575" s="331"/>
      <c r="G575" s="305"/>
      <c r="H575" s="324"/>
      <c r="I575" s="331"/>
      <c r="J575" s="305"/>
      <c r="K575" s="324"/>
      <c r="L575" s="331"/>
      <c r="M575" s="305"/>
      <c r="N575" s="324"/>
      <c r="O575" s="331"/>
      <c r="P575" s="305"/>
    </row>
    <row r="576" spans="1:16" s="226" customFormat="1" x14ac:dyDescent="0.2">
      <c r="A576" s="305"/>
      <c r="B576" s="324"/>
      <c r="C576" s="331"/>
      <c r="D576" s="305"/>
      <c r="E576" s="324"/>
      <c r="F576" s="331"/>
      <c r="G576" s="305"/>
      <c r="H576" s="324"/>
      <c r="I576" s="331"/>
      <c r="J576" s="305"/>
      <c r="K576" s="324"/>
      <c r="L576" s="331"/>
      <c r="M576" s="305"/>
      <c r="N576" s="324"/>
      <c r="O576" s="331"/>
      <c r="P576" s="305"/>
    </row>
    <row r="577" spans="1:16" s="226" customFormat="1" x14ac:dyDescent="0.2">
      <c r="A577" s="305"/>
      <c r="B577" s="324"/>
      <c r="C577" s="331"/>
      <c r="D577" s="305"/>
      <c r="E577" s="324"/>
      <c r="F577" s="331"/>
      <c r="G577" s="305"/>
      <c r="H577" s="324"/>
      <c r="I577" s="331"/>
      <c r="J577" s="305"/>
      <c r="K577" s="324"/>
      <c r="L577" s="331"/>
      <c r="M577" s="305"/>
      <c r="N577" s="324"/>
      <c r="O577" s="331"/>
      <c r="P577" s="305"/>
    </row>
    <row r="578" spans="1:16" s="226" customFormat="1" x14ac:dyDescent="0.2">
      <c r="A578" s="305"/>
      <c r="B578" s="324"/>
      <c r="C578" s="331"/>
      <c r="D578" s="305"/>
      <c r="E578" s="324"/>
      <c r="F578" s="331"/>
      <c r="G578" s="305"/>
      <c r="H578" s="324"/>
      <c r="I578" s="331"/>
      <c r="J578" s="305"/>
      <c r="K578" s="324"/>
      <c r="L578" s="331"/>
      <c r="M578" s="305"/>
      <c r="N578" s="324"/>
      <c r="O578" s="331"/>
      <c r="P578" s="305"/>
    </row>
    <row r="579" spans="1:16" s="226" customFormat="1" x14ac:dyDescent="0.2">
      <c r="A579" s="305"/>
      <c r="B579" s="324"/>
      <c r="C579" s="331"/>
      <c r="D579" s="305"/>
      <c r="E579" s="324"/>
      <c r="F579" s="331"/>
      <c r="G579" s="305"/>
      <c r="H579" s="324"/>
      <c r="I579" s="331"/>
      <c r="J579" s="305"/>
      <c r="K579" s="324"/>
      <c r="L579" s="331"/>
      <c r="M579" s="305"/>
      <c r="N579" s="324"/>
      <c r="O579" s="331"/>
      <c r="P579" s="305"/>
    </row>
  </sheetData>
  <mergeCells count="10">
    <mergeCell ref="AF3:AH3"/>
    <mergeCell ref="AF4:AH4"/>
    <mergeCell ref="T3:V3"/>
    <mergeCell ref="W3:Y3"/>
    <mergeCell ref="Z3:AB3"/>
    <mergeCell ref="AC3:AE3"/>
    <mergeCell ref="T4:V4"/>
    <mergeCell ref="W4:Y4"/>
    <mergeCell ref="Z4:AB4"/>
    <mergeCell ref="AC4:AE4"/>
  </mergeCells>
  <conditionalFormatting sqref="V82:V84">
    <cfRule type="containsText" dxfId="18" priority="33" operator="containsText" text="ERRORE">
      <formula>NOT(ISERROR(SEARCH("ERRORE",V82)))</formula>
    </cfRule>
  </conditionalFormatting>
  <conditionalFormatting sqref="V98:V101">
    <cfRule type="containsText" dxfId="17" priority="25" operator="containsText" text="ERRORE">
      <formula>NOT(ISERROR(SEARCH("ERRORE",V98)))</formula>
    </cfRule>
  </conditionalFormatting>
  <conditionalFormatting sqref="V104:V107">
    <cfRule type="containsText" dxfId="16" priority="11" operator="containsText" text="ERRORE">
      <formula>NOT(ISERROR(SEARCH("ERRORE",V104)))</formula>
    </cfRule>
  </conditionalFormatting>
  <conditionalFormatting sqref="V110:V115">
    <cfRule type="containsText" dxfId="15" priority="7" operator="containsText" text="ERRORE">
      <formula>NOT(ISERROR(SEARCH("ERRORE",V110)))</formula>
    </cfRule>
  </conditionalFormatting>
  <conditionalFormatting sqref="V119:V122">
    <cfRule type="containsText" dxfId="14" priority="3" operator="containsText" text="ERRORE">
      <formula>NOT(ISERROR(SEARCH("ERRORE",V119)))</formula>
    </cfRule>
  </conditionalFormatting>
  <conditionalFormatting sqref="V125:V127">
    <cfRule type="containsText" dxfId="13" priority="2" operator="containsText" text="ERRORE">
      <formula>NOT(ISERROR(SEARCH("ERRORE",V125)))</formula>
    </cfRule>
  </conditionalFormatting>
  <conditionalFormatting sqref="V129">
    <cfRule type="containsText" dxfId="12" priority="1" operator="containsText" text="ERRORE">
      <formula>NOT(ISERROR(SEARCH("ERRORE",V129)))</formula>
    </cfRule>
  </conditionalFormatting>
  <conditionalFormatting sqref="Y82:Y84">
    <cfRule type="containsText" dxfId="11" priority="32" operator="containsText" text="ERRORE">
      <formula>NOT(ISERROR(SEARCH("ERRORE",Y82)))</formula>
    </cfRule>
  </conditionalFormatting>
  <conditionalFormatting sqref="Y98:Y101">
    <cfRule type="containsText" dxfId="10" priority="14" operator="containsText" text="ERRORE">
      <formula>NOT(ISERROR(SEARCH("ERRORE",Y98)))</formula>
    </cfRule>
  </conditionalFormatting>
  <conditionalFormatting sqref="Y104:Y107">
    <cfRule type="containsText" dxfId="9" priority="10" operator="containsText" text="ERRORE">
      <formula>NOT(ISERROR(SEARCH("ERRORE",Y104)))</formula>
    </cfRule>
  </conditionalFormatting>
  <conditionalFormatting sqref="AB82:AB84">
    <cfRule type="containsText" dxfId="8" priority="31" operator="containsText" text="ERRORE">
      <formula>NOT(ISERROR(SEARCH("ERRORE",AB82)))</formula>
    </cfRule>
  </conditionalFormatting>
  <conditionalFormatting sqref="AB98:AB101">
    <cfRule type="containsText" dxfId="7" priority="13" operator="containsText" text="ERRORE">
      <formula>NOT(ISERROR(SEARCH("ERRORE",AB98)))</formula>
    </cfRule>
  </conditionalFormatting>
  <conditionalFormatting sqref="AB104:AB107">
    <cfRule type="containsText" dxfId="6" priority="9" operator="containsText" text="ERRORE">
      <formula>NOT(ISERROR(SEARCH("ERRORE",AB104)))</formula>
    </cfRule>
  </conditionalFormatting>
  <conditionalFormatting sqref="AE82:AE84 AH82:AH84">
    <cfRule type="containsText" dxfId="5" priority="30" operator="containsText" text="ERRORE">
      <formula>NOT(ISERROR(SEARCH("ERRORE",AE82)))</formula>
    </cfRule>
  </conditionalFormatting>
  <conditionalFormatting sqref="AE98:AE101 AH98:AH101">
    <cfRule type="containsText" dxfId="4" priority="12" operator="containsText" text="ERRORE">
      <formula>NOT(ISERROR(SEARCH("ERRORE",AE98)))</formula>
    </cfRule>
  </conditionalFormatting>
  <conditionalFormatting sqref="AE104:AE107 AH104:AH107">
    <cfRule type="containsText" dxfId="3" priority="8" operator="containsText" text="ERRORE">
      <formula>NOT(ISERROR(SEARCH("ERRORE",AE104)))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4CCB775-42C1-4D0E-9627-BA47CC610E62}">
          <x14:formula1>
            <xm:f>Ambiti!$B$4:$D$4</xm:f>
          </x14:formula1>
          <xm:sqref>T4:V4</xm:sqref>
        </x14:dataValidation>
      </x14:dataValidations>
    </ext>
  </extLst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9ABBB-4DB1-439D-91F3-3882797A0312}">
  <sheetPr codeName="Foglio38">
    <tabColor rgb="FF0070C0"/>
  </sheetPr>
  <dimension ref="A1:BX579"/>
  <sheetViews>
    <sheetView showGridLines="0" zoomScaleNormal="100" zoomScaleSheetLayoutView="80" workbookViewId="0">
      <pane xSplit="18" ySplit="5" topLeftCell="S6" activePane="bottomRight" state="frozen"/>
      <selection activeCell="N1" sqref="N1"/>
      <selection pane="topRight" activeCell="P1" sqref="P1"/>
      <selection pane="bottomLeft" activeCell="N6" sqref="N6"/>
      <selection pane="bottomRight" activeCell="T6" sqref="T6"/>
    </sheetView>
  </sheetViews>
  <sheetFormatPr defaultColWidth="9.88671875" defaultRowHeight="10.199999999999999" outlineLevelCol="1" x14ac:dyDescent="0.2"/>
  <cols>
    <col min="1" max="1" width="16.5546875" style="85" hidden="1" customWidth="1" outlineLevel="1"/>
    <col min="2" max="2" width="14.5546875" style="319" hidden="1" customWidth="1" outlineLevel="1"/>
    <col min="3" max="3" width="14.5546875" style="326" hidden="1" customWidth="1" outlineLevel="1"/>
    <col min="4" max="4" width="13.109375" style="85" hidden="1" customWidth="1" outlineLevel="1"/>
    <col min="5" max="5" width="14.5546875" style="319" hidden="1" customWidth="1" outlineLevel="1"/>
    <col min="6" max="6" width="14.5546875" style="326" hidden="1" customWidth="1" outlineLevel="1"/>
    <col min="7" max="7" width="13.109375" style="85" hidden="1" customWidth="1" outlineLevel="1"/>
    <col min="8" max="8" width="14.5546875" style="319" hidden="1" customWidth="1" outlineLevel="1"/>
    <col min="9" max="9" width="14.5546875" style="326" hidden="1" customWidth="1" outlineLevel="1"/>
    <col min="10" max="10" width="13.88671875" style="85" hidden="1" customWidth="1" outlineLevel="1"/>
    <col min="11" max="11" width="14.5546875" style="319" hidden="1" customWidth="1" outlineLevel="1"/>
    <col min="12" max="12" width="14.5546875" style="326" hidden="1" customWidth="1" outlineLevel="1"/>
    <col min="13" max="13" width="13.109375" style="85" hidden="1" customWidth="1" outlineLevel="1"/>
    <col min="14" max="14" width="14.5546875" style="319" hidden="1" customWidth="1" outlineLevel="1"/>
    <col min="15" max="15" width="14.5546875" style="326" hidden="1" customWidth="1" outlineLevel="1"/>
    <col min="16" max="16" width="13.109375" style="85" hidden="1" customWidth="1" outlineLevel="1"/>
    <col min="17" max="17" width="3.33203125" style="226" customWidth="1" collapsed="1"/>
    <col min="18" max="18" width="78" style="51" customWidth="1"/>
    <col min="19" max="19" width="0.88671875" style="51" customWidth="1"/>
    <col min="20" max="20" width="16.109375" style="51" bestFit="1" customWidth="1"/>
    <col min="21" max="21" width="11.44140625" style="51" bestFit="1" customWidth="1"/>
    <col min="22" max="22" width="11.33203125" style="51" bestFit="1" customWidth="1"/>
    <col min="23" max="23" width="16.109375" style="51" bestFit="1" customWidth="1"/>
    <col min="24" max="24" width="11.44140625" style="51" bestFit="1" customWidth="1"/>
    <col min="25" max="25" width="11.33203125" style="51" bestFit="1" customWidth="1"/>
    <col min="26" max="26" width="16.88671875" style="51" hidden="1" customWidth="1" outlineLevel="1"/>
    <col min="27" max="27" width="13.109375" style="51" hidden="1" customWidth="1" outlineLevel="1"/>
    <col min="28" max="28" width="12.6640625" style="51" hidden="1" customWidth="1" outlineLevel="1"/>
    <col min="29" max="29" width="16.88671875" style="51" hidden="1" customWidth="1" outlineLevel="1"/>
    <col min="30" max="30" width="13.109375" style="51" hidden="1" customWidth="1" outlineLevel="1"/>
    <col min="31" max="31" width="12.6640625" style="51" hidden="1" customWidth="1" outlineLevel="1"/>
    <col min="32" max="32" width="16.88671875" style="226" hidden="1" customWidth="1" outlineLevel="1"/>
    <col min="33" max="33" width="13.109375" style="226" hidden="1" customWidth="1" outlineLevel="1"/>
    <col min="34" max="34" width="12.6640625" style="226" hidden="1" customWidth="1" outlineLevel="1"/>
    <col min="35" max="35" width="9.88671875" style="226" collapsed="1"/>
    <col min="36" max="36" width="10.33203125" style="226" bestFit="1" customWidth="1"/>
    <col min="37" max="76" width="9.88671875" style="226"/>
    <col min="77" max="16384" width="9.88671875" style="51"/>
  </cols>
  <sheetData>
    <row r="1" spans="1:76" s="222" customFormat="1" ht="10.8" thickBot="1" x14ac:dyDescent="0.25">
      <c r="A1" s="304"/>
      <c r="B1" s="318"/>
      <c r="C1" s="325"/>
      <c r="D1" s="304"/>
      <c r="E1" s="318"/>
      <c r="F1" s="325"/>
      <c r="G1" s="304"/>
      <c r="H1" s="318"/>
      <c r="I1" s="325"/>
      <c r="J1" s="304"/>
      <c r="K1" s="318"/>
      <c r="L1" s="325"/>
      <c r="M1" s="304"/>
      <c r="N1" s="318"/>
      <c r="O1" s="325"/>
      <c r="P1" s="304"/>
      <c r="R1" s="303" t="s">
        <v>6367</v>
      </c>
      <c r="S1" s="223"/>
      <c r="T1" s="224"/>
      <c r="U1" s="224"/>
      <c r="V1" s="225"/>
      <c r="W1" s="224"/>
      <c r="X1" s="224"/>
      <c r="Y1" s="225"/>
      <c r="Z1" s="224"/>
      <c r="AA1" s="224"/>
      <c r="AB1" s="225"/>
      <c r="AC1" s="224"/>
      <c r="AD1" s="224"/>
      <c r="AE1" s="225"/>
    </row>
    <row r="2" spans="1:76" ht="11.4" thickTop="1" thickBot="1" x14ac:dyDescent="0.25">
      <c r="R2" s="226"/>
      <c r="S2" s="227"/>
      <c r="T2" s="228"/>
      <c r="U2" s="228"/>
      <c r="V2" s="229"/>
      <c r="W2" s="228"/>
      <c r="X2" s="228"/>
      <c r="Y2" s="229"/>
      <c r="Z2" s="228"/>
      <c r="AA2" s="228"/>
      <c r="AB2" s="229"/>
      <c r="AC2" s="228"/>
      <c r="AD2" s="228"/>
      <c r="AE2" s="229"/>
    </row>
    <row r="3" spans="1:76" ht="10.8" thickBot="1" x14ac:dyDescent="0.25">
      <c r="R3" s="226"/>
      <c r="S3" s="227"/>
      <c r="T3" s="1111">
        <v>2026</v>
      </c>
      <c r="U3" s="1112"/>
      <c r="V3" s="1113"/>
      <c r="W3" s="1111">
        <v>2027</v>
      </c>
      <c r="X3" s="1112"/>
      <c r="Y3" s="1113"/>
      <c r="Z3" s="1111">
        <v>2028</v>
      </c>
      <c r="AA3" s="1112"/>
      <c r="AB3" s="1113"/>
      <c r="AC3" s="1111">
        <v>2029</v>
      </c>
      <c r="AD3" s="1112"/>
      <c r="AE3" s="1113"/>
      <c r="AF3" s="1111" t="s">
        <v>5965</v>
      </c>
      <c r="AG3" s="1112"/>
      <c r="AH3" s="1113"/>
    </row>
    <row r="4" spans="1:76" ht="10.8" thickBot="1" x14ac:dyDescent="0.25">
      <c r="R4" s="230"/>
      <c r="S4" s="231"/>
      <c r="T4" s="1117" t="s">
        <v>0</v>
      </c>
      <c r="U4" s="1118"/>
      <c r="V4" s="1119"/>
      <c r="W4" s="1114" t="str">
        <f>T4</f>
        <v>TOTALE</v>
      </c>
      <c r="X4" s="1115"/>
      <c r="Y4" s="1116"/>
      <c r="Z4" s="1114" t="str">
        <f>T4</f>
        <v>TOTALE</v>
      </c>
      <c r="AA4" s="1115"/>
      <c r="AB4" s="1116"/>
      <c r="AC4" s="1114" t="str">
        <f>T4</f>
        <v>TOTALE</v>
      </c>
      <c r="AD4" s="1115"/>
      <c r="AE4" s="1116"/>
      <c r="AF4" s="1114" t="str">
        <f>W4</f>
        <v>TOTALE</v>
      </c>
      <c r="AG4" s="1115"/>
      <c r="AH4" s="1116"/>
    </row>
    <row r="5" spans="1:76" ht="30.6" x14ac:dyDescent="0.2">
      <c r="A5" s="317" t="s">
        <v>247</v>
      </c>
      <c r="B5" s="310" t="s">
        <v>6398</v>
      </c>
      <c r="C5" s="311" t="s">
        <v>6399</v>
      </c>
      <c r="D5" s="312" t="s">
        <v>6400</v>
      </c>
      <c r="E5" s="310" t="s">
        <v>6401</v>
      </c>
      <c r="F5" s="311" t="s">
        <v>6402</v>
      </c>
      <c r="G5" s="312" t="s">
        <v>6403</v>
      </c>
      <c r="H5" s="310" t="s">
        <v>6404</v>
      </c>
      <c r="I5" s="311" t="s">
        <v>6405</v>
      </c>
      <c r="J5" s="312" t="s">
        <v>6406</v>
      </c>
      <c r="K5" s="310" t="s">
        <v>6407</v>
      </c>
      <c r="L5" s="311" t="s">
        <v>6408</v>
      </c>
      <c r="M5" s="312" t="s">
        <v>6409</v>
      </c>
      <c r="N5" s="310" t="s">
        <v>6969</v>
      </c>
      <c r="O5" s="311" t="s">
        <v>6970</v>
      </c>
      <c r="P5" s="312" t="s">
        <v>6971</v>
      </c>
      <c r="R5" s="232"/>
      <c r="S5" s="233"/>
      <c r="T5" s="269" t="s">
        <v>106</v>
      </c>
      <c r="U5" s="234" t="s">
        <v>107</v>
      </c>
      <c r="V5" s="270" t="s">
        <v>108</v>
      </c>
      <c r="W5" s="269" t="s">
        <v>106</v>
      </c>
      <c r="X5" s="234" t="s">
        <v>107</v>
      </c>
      <c r="Y5" s="270" t="s">
        <v>108</v>
      </c>
      <c r="Z5" s="269" t="s">
        <v>106</v>
      </c>
      <c r="AA5" s="234" t="s">
        <v>107</v>
      </c>
      <c r="AB5" s="270" t="s">
        <v>108</v>
      </c>
      <c r="AC5" s="269" t="s">
        <v>106</v>
      </c>
      <c r="AD5" s="234" t="s">
        <v>107</v>
      </c>
      <c r="AE5" s="270" t="s">
        <v>108</v>
      </c>
      <c r="AF5" s="269" t="s">
        <v>106</v>
      </c>
      <c r="AG5" s="234" t="s">
        <v>107</v>
      </c>
      <c r="AH5" s="270" t="s">
        <v>108</v>
      </c>
      <c r="AJ5" s="1075" t="s">
        <v>8746</v>
      </c>
      <c r="BX5" s="51"/>
    </row>
    <row r="6" spans="1:76" x14ac:dyDescent="0.2">
      <c r="A6" s="313" t="s">
        <v>248</v>
      </c>
      <c r="B6" s="320" t="s">
        <v>3113</v>
      </c>
      <c r="C6" s="327" t="s">
        <v>3116</v>
      </c>
      <c r="D6" s="306" t="s">
        <v>105</v>
      </c>
      <c r="E6" s="320" t="s">
        <v>3270</v>
      </c>
      <c r="F6" s="327" t="s">
        <v>3273</v>
      </c>
      <c r="G6" s="306" t="s">
        <v>105</v>
      </c>
      <c r="H6" s="320" t="s">
        <v>4054</v>
      </c>
      <c r="I6" s="327" t="s">
        <v>4057</v>
      </c>
      <c r="J6" s="306" t="s">
        <v>105</v>
      </c>
      <c r="K6" s="320" t="s">
        <v>4259</v>
      </c>
      <c r="L6" s="327" t="s">
        <v>4262</v>
      </c>
      <c r="M6" s="306" t="s">
        <v>105</v>
      </c>
      <c r="N6" s="320" t="s">
        <v>105</v>
      </c>
      <c r="O6" s="327" t="s">
        <v>105</v>
      </c>
      <c r="P6" s="306" t="s">
        <v>105</v>
      </c>
      <c r="R6" s="732" t="s">
        <v>1</v>
      </c>
      <c r="S6" s="231"/>
      <c r="T6" s="781">
        <f>INDEX(PEF_GEST_26!$A$3:$AAA$102,MATCH(B6,PEF_GEST_26!$A$3:$A$102,0),MATCH($T$4,PEF_GEST_26!$A$3:$AAA$3,0))</f>
        <v>1299267.3991968001</v>
      </c>
      <c r="U6" s="782">
        <f>INDEX(PEF_COM_26!$A$3:$AAA$102,MATCH(C6,PEF_COM_26!$A$3:$A$102,0),MATCH($T$4,PEF_COM_26!$A$3:$AAA$3,0))</f>
        <v>0</v>
      </c>
      <c r="V6" s="783">
        <f>T6+U6</f>
        <v>1299267.3991968001</v>
      </c>
      <c r="W6" s="781">
        <f>INDEX(PEF_GEST_27!$A$3:$AAA$102,MATCH(E6,PEF_GEST_27!$A$3:$A$102,0),MATCH($T$4,PEF_GEST_27!$A$3:$AAA$3,0))</f>
        <v>1384937.1267688002</v>
      </c>
      <c r="X6" s="782">
        <f>INDEX(PEF_COM_27!$A$3:$AAA$102,MATCH(F6,PEF_COM_27!$A$3:$A$102,0),MATCH($T$4,PEF_COM_27!$A$3:$AAA$3,0))</f>
        <v>0</v>
      </c>
      <c r="Y6" s="783">
        <f>W6+X6</f>
        <v>1384937.1267688002</v>
      </c>
      <c r="Z6" s="781">
        <f>INDEX(PEF_GEST_28!$A$3:$AAA$102,MATCH(H6,PEF_GEST_28!$A$3:$A$102,0),MATCH($T$4,PEF_GEST_28!$A$3:$AAA$3,0))</f>
        <v>1384937.1267688002</v>
      </c>
      <c r="AA6" s="782">
        <f>INDEX(PEF_COM_28!$A$3:$AAA$102,MATCH(I6,PEF_COM_28!$A$3:$A$102,0),MATCH($T$4,PEF_COM_28!$A$3:$AAA$3,0))</f>
        <v>0</v>
      </c>
      <c r="AB6" s="783">
        <f>Z6+AA6</f>
        <v>1384937.1267688002</v>
      </c>
      <c r="AC6" s="781">
        <f>INDEX(PEF_GEST_29!$A$3:$AAA$102,MATCH(K6,PEF_GEST_29!$A$3:$A$102,0),MATCH($T$4,PEF_GEST_29!$A$3:$AAA$3,0))</f>
        <v>1384937.1267688002</v>
      </c>
      <c r="AD6" s="782">
        <f>INDEX(PEF_COM_29!$A$3:$AAA$102,MATCH(L6,PEF_COM_29!$A$3:$A$102,0),MATCH($T$4,PEF_COM_29!$A$3:$AAA$3,0))</f>
        <v>0</v>
      </c>
      <c r="AE6" s="783">
        <f>AC6+AD6</f>
        <v>1384937.1267688002</v>
      </c>
      <c r="AF6" s="957"/>
      <c r="AG6" s="958"/>
      <c r="AH6" s="959"/>
      <c r="AJ6" s="1076">
        <f>W6-T6</f>
        <v>85669.72757200012</v>
      </c>
      <c r="BX6" s="51"/>
    </row>
    <row r="7" spans="1:76" x14ac:dyDescent="0.2">
      <c r="A7" s="313" t="s">
        <v>248</v>
      </c>
      <c r="B7" s="320" t="s">
        <v>3119</v>
      </c>
      <c r="C7" s="327" t="s">
        <v>3122</v>
      </c>
      <c r="D7" s="306" t="s">
        <v>105</v>
      </c>
      <c r="E7" s="320" t="s">
        <v>3276</v>
      </c>
      <c r="F7" s="327" t="s">
        <v>3279</v>
      </c>
      <c r="G7" s="306" t="s">
        <v>105</v>
      </c>
      <c r="H7" s="320" t="s">
        <v>4060</v>
      </c>
      <c r="I7" s="327" t="s">
        <v>4063</v>
      </c>
      <c r="J7" s="306" t="s">
        <v>105</v>
      </c>
      <c r="K7" s="320" t="s">
        <v>4265</v>
      </c>
      <c r="L7" s="327" t="s">
        <v>4268</v>
      </c>
      <c r="M7" s="306" t="s">
        <v>105</v>
      </c>
      <c r="N7" s="320" t="s">
        <v>105</v>
      </c>
      <c r="O7" s="327" t="s">
        <v>105</v>
      </c>
      <c r="P7" s="306" t="s">
        <v>105</v>
      </c>
      <c r="R7" s="732" t="s">
        <v>3</v>
      </c>
      <c r="S7" s="231"/>
      <c r="T7" s="781">
        <f>INDEX(PEF_GEST_26!$A$3:$AAA$102,MATCH(B7,PEF_GEST_26!$A$3:$A$102,0),MATCH($T$4,PEF_GEST_26!$A$3:$AAA$3,0))</f>
        <v>189.21991440000002</v>
      </c>
      <c r="U7" s="782">
        <f>INDEX(PEF_COM_26!$A$3:$AAA$102,MATCH(C7,PEF_COM_26!$A$3:$A$102,0),MATCH($T$4,PEF_COM_26!$A$3:$AAA$3,0))</f>
        <v>0</v>
      </c>
      <c r="V7" s="783">
        <f t="shared" ref="V7:V22" si="0">T7+U7</f>
        <v>189.21991440000002</v>
      </c>
      <c r="W7" s="781">
        <f>INDEX(PEF_GEST_27!$A$3:$AAA$102,MATCH(E7,PEF_GEST_27!$A$3:$A$102,0),MATCH($T$4,PEF_GEST_27!$A$3:$AAA$3,0))</f>
        <v>190983.63427439998</v>
      </c>
      <c r="X7" s="782">
        <f>INDEX(PEF_COM_27!$A$3:$AAA$102,MATCH(F7,PEF_COM_27!$A$3:$A$102,0),MATCH($T$4,PEF_COM_27!$A$3:$AAA$3,0))</f>
        <v>0</v>
      </c>
      <c r="Y7" s="783">
        <f t="shared" ref="Y7:Y22" si="1">W7+X7</f>
        <v>190983.63427439998</v>
      </c>
      <c r="Z7" s="781">
        <f>INDEX(PEF_GEST_28!$A$3:$AAA$102,MATCH(H7,PEF_GEST_28!$A$3:$A$102,0),MATCH($T$4,PEF_GEST_28!$A$3:$AAA$3,0))</f>
        <v>190983.63427439998</v>
      </c>
      <c r="AA7" s="782">
        <f>INDEX(PEF_COM_28!$A$3:$AAA$102,MATCH(I7,PEF_COM_28!$A$3:$A$102,0),MATCH($T$4,PEF_COM_28!$A$3:$AAA$3,0))</f>
        <v>0</v>
      </c>
      <c r="AB7" s="783">
        <f t="shared" ref="AB7:AB22" si="2">Z7+AA7</f>
        <v>190983.63427439998</v>
      </c>
      <c r="AC7" s="781">
        <f>INDEX(PEF_GEST_29!$A$3:$AAA$102,MATCH(K7,PEF_GEST_29!$A$3:$A$102,0),MATCH($T$4,PEF_GEST_29!$A$3:$AAA$3,0))</f>
        <v>190983.63427439998</v>
      </c>
      <c r="AD7" s="782">
        <f>INDEX(PEF_COM_29!$A$3:$AAA$102,MATCH(L7,PEF_COM_29!$A$3:$A$102,0),MATCH($T$4,PEF_COM_29!$A$3:$AAA$3,0))</f>
        <v>0</v>
      </c>
      <c r="AE7" s="783">
        <f t="shared" ref="AE7:AE22" si="3">AC7+AD7</f>
        <v>190983.63427439998</v>
      </c>
      <c r="AF7" s="960"/>
      <c r="AG7" s="961"/>
      <c r="AH7" s="962"/>
      <c r="AJ7" s="1076">
        <f t="shared" ref="AJ7:AJ21" si="4">W7-T7</f>
        <v>190794.41436</v>
      </c>
      <c r="BX7" s="51"/>
    </row>
    <row r="8" spans="1:76" x14ac:dyDescent="0.2">
      <c r="A8" s="313" t="s">
        <v>248</v>
      </c>
      <c r="B8" s="320" t="s">
        <v>3125</v>
      </c>
      <c r="C8" s="327" t="s">
        <v>3128</v>
      </c>
      <c r="D8" s="306" t="s">
        <v>105</v>
      </c>
      <c r="E8" s="320" t="s">
        <v>3282</v>
      </c>
      <c r="F8" s="327" t="s">
        <v>3285</v>
      </c>
      <c r="G8" s="306" t="s">
        <v>105</v>
      </c>
      <c r="H8" s="320" t="s">
        <v>4066</v>
      </c>
      <c r="I8" s="327" t="s">
        <v>4069</v>
      </c>
      <c r="J8" s="306" t="s">
        <v>105</v>
      </c>
      <c r="K8" s="320" t="s">
        <v>4271</v>
      </c>
      <c r="L8" s="327" t="s">
        <v>4274</v>
      </c>
      <c r="M8" s="306" t="s">
        <v>105</v>
      </c>
      <c r="N8" s="320" t="s">
        <v>105</v>
      </c>
      <c r="O8" s="327" t="s">
        <v>105</v>
      </c>
      <c r="P8" s="306" t="s">
        <v>105</v>
      </c>
      <c r="R8" s="732" t="s">
        <v>4</v>
      </c>
      <c r="S8" s="231"/>
      <c r="T8" s="781">
        <f>INDEX(PEF_GEST_26!$A$3:$AAA$102,MATCH(B8,PEF_GEST_26!$A$3:$A$102,0),MATCH($T$4,PEF_GEST_26!$A$3:$AAA$3,0))</f>
        <v>3780969.548004</v>
      </c>
      <c r="U8" s="782">
        <f>INDEX(PEF_COM_26!$A$3:$AAA$102,MATCH(C8,PEF_COM_26!$A$3:$A$102,0),MATCH($T$4,PEF_COM_26!$A$3:$AAA$3,0))</f>
        <v>0</v>
      </c>
      <c r="V8" s="783">
        <f t="shared" si="0"/>
        <v>3780969.548004</v>
      </c>
      <c r="W8" s="781">
        <f>INDEX(PEF_GEST_27!$A$3:$AAA$102,MATCH(E8,PEF_GEST_27!$A$3:$A$102,0),MATCH($T$4,PEF_GEST_27!$A$3:$AAA$3,0))</f>
        <v>3248497.9972983999</v>
      </c>
      <c r="X8" s="782">
        <f>INDEX(PEF_COM_27!$A$3:$AAA$102,MATCH(F8,PEF_COM_27!$A$3:$A$102,0),MATCH($T$4,PEF_COM_27!$A$3:$AAA$3,0))</f>
        <v>0</v>
      </c>
      <c r="Y8" s="783">
        <f t="shared" si="1"/>
        <v>3248497.9972983999</v>
      </c>
      <c r="Z8" s="781">
        <f>INDEX(PEF_GEST_28!$A$3:$AAA$102,MATCH(H8,PEF_GEST_28!$A$3:$A$102,0),MATCH($T$4,PEF_GEST_28!$A$3:$AAA$3,0))</f>
        <v>3248497.9972983999</v>
      </c>
      <c r="AA8" s="782">
        <f>INDEX(PEF_COM_28!$A$3:$AAA$102,MATCH(I8,PEF_COM_28!$A$3:$A$102,0),MATCH($T$4,PEF_COM_28!$A$3:$AAA$3,0))</f>
        <v>0</v>
      </c>
      <c r="AB8" s="783">
        <f t="shared" si="2"/>
        <v>3248497.9972983999</v>
      </c>
      <c r="AC8" s="781">
        <f>INDEX(PEF_GEST_29!$A$3:$AAA$102,MATCH(K8,PEF_GEST_29!$A$3:$A$102,0),MATCH($T$4,PEF_GEST_29!$A$3:$AAA$3,0))</f>
        <v>3248497.9972983999</v>
      </c>
      <c r="AD8" s="782">
        <f>INDEX(PEF_COM_29!$A$3:$AAA$102,MATCH(L8,PEF_COM_29!$A$3:$A$102,0),MATCH($T$4,PEF_COM_29!$A$3:$AAA$3,0))</f>
        <v>0</v>
      </c>
      <c r="AE8" s="783">
        <f t="shared" si="3"/>
        <v>3248497.9972983999</v>
      </c>
      <c r="AF8" s="960"/>
      <c r="AG8" s="961"/>
      <c r="AH8" s="962"/>
      <c r="AJ8" s="1076">
        <f t="shared" si="4"/>
        <v>-532471.55070560006</v>
      </c>
      <c r="BX8" s="51"/>
    </row>
    <row r="9" spans="1:76" x14ac:dyDescent="0.2">
      <c r="A9" s="313" t="s">
        <v>248</v>
      </c>
      <c r="B9" s="320" t="s">
        <v>3131</v>
      </c>
      <c r="C9" s="327" t="s">
        <v>3134</v>
      </c>
      <c r="D9" s="306" t="s">
        <v>105</v>
      </c>
      <c r="E9" s="320" t="s">
        <v>3288</v>
      </c>
      <c r="F9" s="327" t="s">
        <v>3291</v>
      </c>
      <c r="G9" s="306" t="s">
        <v>105</v>
      </c>
      <c r="H9" s="320" t="s">
        <v>4072</v>
      </c>
      <c r="I9" s="327" t="s">
        <v>4075</v>
      </c>
      <c r="J9" s="306" t="s">
        <v>105</v>
      </c>
      <c r="K9" s="320" t="s">
        <v>4277</v>
      </c>
      <c r="L9" s="327" t="s">
        <v>4280</v>
      </c>
      <c r="M9" s="306" t="s">
        <v>105</v>
      </c>
      <c r="N9" s="320" t="s">
        <v>105</v>
      </c>
      <c r="O9" s="327" t="s">
        <v>105</v>
      </c>
      <c r="P9" s="306" t="s">
        <v>105</v>
      </c>
      <c r="R9" s="732" t="s">
        <v>5</v>
      </c>
      <c r="S9" s="231"/>
      <c r="T9" s="781">
        <f>INDEX(PEF_GEST_26!$A$3:$AAA$102,MATCH(B9,PEF_GEST_26!$A$3:$A$102,0),MATCH($T$4,PEF_GEST_26!$A$3:$AAA$3,0))</f>
        <v>4829941.6113167992</v>
      </c>
      <c r="U9" s="782">
        <f>INDEX(PEF_COM_26!$A$3:$AAA$102,MATCH(C9,PEF_COM_26!$A$3:$A$102,0),MATCH($T$4,PEF_COM_26!$A$3:$AAA$3,0))</f>
        <v>0</v>
      </c>
      <c r="V9" s="783">
        <f t="shared" si="0"/>
        <v>4829941.6113167992</v>
      </c>
      <c r="W9" s="781">
        <f>INDEX(PEF_GEST_27!$A$3:$AAA$102,MATCH(E9,PEF_GEST_27!$A$3:$A$102,0),MATCH($T$4,PEF_GEST_27!$A$3:$AAA$3,0))</f>
        <v>5947156.6116160005</v>
      </c>
      <c r="X9" s="782">
        <f>INDEX(PEF_COM_27!$A$3:$AAA$102,MATCH(F9,PEF_COM_27!$A$3:$A$102,0),MATCH($T$4,PEF_COM_27!$A$3:$AAA$3,0))</f>
        <v>0</v>
      </c>
      <c r="Y9" s="783">
        <f t="shared" si="1"/>
        <v>5947156.6116160005</v>
      </c>
      <c r="Z9" s="781">
        <f>INDEX(PEF_GEST_28!$A$3:$AAA$102,MATCH(H9,PEF_GEST_28!$A$3:$A$102,0),MATCH($T$4,PEF_GEST_28!$A$3:$AAA$3,0))</f>
        <v>5947156.6116160005</v>
      </c>
      <c r="AA9" s="782">
        <f>INDEX(PEF_COM_28!$A$3:$AAA$102,MATCH(I9,PEF_COM_28!$A$3:$A$102,0),MATCH($T$4,PEF_COM_28!$A$3:$AAA$3,0))</f>
        <v>0</v>
      </c>
      <c r="AB9" s="783">
        <f t="shared" si="2"/>
        <v>5947156.6116160005</v>
      </c>
      <c r="AC9" s="781">
        <f>INDEX(PEF_GEST_29!$A$3:$AAA$102,MATCH(K9,PEF_GEST_29!$A$3:$A$102,0),MATCH($T$4,PEF_GEST_29!$A$3:$AAA$3,0))</f>
        <v>5947156.6116160005</v>
      </c>
      <c r="AD9" s="782">
        <f>INDEX(PEF_COM_29!$A$3:$AAA$102,MATCH(L9,PEF_COM_29!$A$3:$A$102,0),MATCH($T$4,PEF_COM_29!$A$3:$AAA$3,0))</f>
        <v>0</v>
      </c>
      <c r="AE9" s="783">
        <f t="shared" si="3"/>
        <v>5947156.6116160005</v>
      </c>
      <c r="AF9" s="960"/>
      <c r="AG9" s="961"/>
      <c r="AH9" s="962"/>
      <c r="AJ9" s="1076">
        <f t="shared" si="4"/>
        <v>1117215.0002992013</v>
      </c>
      <c r="BX9" s="51"/>
    </row>
    <row r="10" spans="1:76" ht="11.4" x14ac:dyDescent="0.2">
      <c r="A10" s="313" t="s">
        <v>248</v>
      </c>
      <c r="B10" s="320" t="s">
        <v>2491</v>
      </c>
      <c r="C10" s="327" t="s">
        <v>2492</v>
      </c>
      <c r="D10" s="306" t="s">
        <v>105</v>
      </c>
      <c r="E10" s="320" t="s">
        <v>2494</v>
      </c>
      <c r="F10" s="327" t="s">
        <v>2495</v>
      </c>
      <c r="G10" s="306" t="s">
        <v>105</v>
      </c>
      <c r="H10" s="320" t="s">
        <v>2497</v>
      </c>
      <c r="I10" s="327" t="s">
        <v>2498</v>
      </c>
      <c r="J10" s="306" t="s">
        <v>105</v>
      </c>
      <c r="K10" s="320" t="s">
        <v>2500</v>
      </c>
      <c r="L10" s="327" t="s">
        <v>2501</v>
      </c>
      <c r="M10" s="306" t="s">
        <v>105</v>
      </c>
      <c r="N10" s="320" t="s">
        <v>105</v>
      </c>
      <c r="O10" s="327" t="s">
        <v>105</v>
      </c>
      <c r="P10" s="306" t="s">
        <v>105</v>
      </c>
      <c r="R10" s="732" t="s">
        <v>5438</v>
      </c>
      <c r="S10" s="231"/>
      <c r="T10" s="781">
        <f>INDEX(PEF_GEST_26!$A$3:$AAA$102,MATCH(B10,PEF_GEST_26!$A$3:$A$102,0),MATCH($T$4,PEF_GEST_26!$A$3:$AAA$3,0))</f>
        <v>0</v>
      </c>
      <c r="U10" s="782">
        <f>INDEX(PEF_COM_26!$A$3:$AAA$102,MATCH(C10,PEF_COM_26!$A$3:$A$102,0),MATCH($T$4,PEF_COM_26!$A$3:$AAA$3,0))</f>
        <v>0</v>
      </c>
      <c r="V10" s="783">
        <f t="shared" si="0"/>
        <v>0</v>
      </c>
      <c r="W10" s="781">
        <f>INDEX(PEF_GEST_27!$A$3:$AAA$102,MATCH(E10,PEF_GEST_27!$A$3:$A$102,0),MATCH($T$4,PEF_GEST_27!$A$3:$AAA$3,0))</f>
        <v>0</v>
      </c>
      <c r="X10" s="782">
        <f>INDEX(PEF_COM_27!$A$3:$AAA$102,MATCH(F10,PEF_COM_27!$A$3:$A$102,0),MATCH($T$4,PEF_COM_27!$A$3:$AAA$3,0))</f>
        <v>0</v>
      </c>
      <c r="Y10" s="783">
        <f t="shared" si="1"/>
        <v>0</v>
      </c>
      <c r="Z10" s="781">
        <f>INDEX(PEF_GEST_28!$A$3:$AAA$102,MATCH(H10,PEF_GEST_28!$A$3:$A$102,0),MATCH($T$4,PEF_GEST_28!$A$3:$AAA$3,0))</f>
        <v>0</v>
      </c>
      <c r="AA10" s="782">
        <f>INDEX(PEF_COM_28!$A$3:$AAA$102,MATCH(I10,PEF_COM_28!$A$3:$A$102,0),MATCH($T$4,PEF_COM_28!$A$3:$AAA$3,0))</f>
        <v>0</v>
      </c>
      <c r="AB10" s="783">
        <f t="shared" si="2"/>
        <v>0</v>
      </c>
      <c r="AC10" s="781">
        <f>INDEX(PEF_GEST_29!$A$3:$AAA$102,MATCH(K10,PEF_GEST_29!$A$3:$A$102,0),MATCH($T$4,PEF_GEST_29!$A$3:$AAA$3,0))</f>
        <v>0</v>
      </c>
      <c r="AD10" s="782">
        <f>INDEX(PEF_COM_29!$A$3:$AAA$102,MATCH(L10,PEF_COM_29!$A$3:$A$102,0),MATCH($T$4,PEF_COM_29!$A$3:$AAA$3,0))</f>
        <v>0</v>
      </c>
      <c r="AE10" s="783">
        <f t="shared" si="3"/>
        <v>0</v>
      </c>
      <c r="AF10" s="960"/>
      <c r="AG10" s="961"/>
      <c r="AH10" s="962"/>
      <c r="AJ10" s="1076">
        <f t="shared" si="4"/>
        <v>0</v>
      </c>
      <c r="BX10" s="51"/>
    </row>
    <row r="11" spans="1:76" ht="11.4" x14ac:dyDescent="0.2">
      <c r="A11" s="313" t="s">
        <v>248</v>
      </c>
      <c r="B11" s="320" t="s">
        <v>1044</v>
      </c>
      <c r="C11" s="327" t="s">
        <v>1045</v>
      </c>
      <c r="D11" s="306" t="s">
        <v>105</v>
      </c>
      <c r="E11" s="320" t="s">
        <v>1017</v>
      </c>
      <c r="F11" s="327" t="s">
        <v>1018</v>
      </c>
      <c r="G11" s="306" t="s">
        <v>105</v>
      </c>
      <c r="H11" s="320" t="s">
        <v>2134</v>
      </c>
      <c r="I11" s="327" t="s">
        <v>2135</v>
      </c>
      <c r="J11" s="306" t="s">
        <v>105</v>
      </c>
      <c r="K11" s="320" t="s">
        <v>2143</v>
      </c>
      <c r="L11" s="327" t="s">
        <v>2144</v>
      </c>
      <c r="M11" s="306" t="s">
        <v>105</v>
      </c>
      <c r="N11" s="320" t="s">
        <v>105</v>
      </c>
      <c r="O11" s="327" t="s">
        <v>105</v>
      </c>
      <c r="P11" s="306" t="s">
        <v>105</v>
      </c>
      <c r="R11" s="732" t="s">
        <v>5439</v>
      </c>
      <c r="S11" s="231"/>
      <c r="T11" s="781">
        <f>INDEX(PEF_GEST_26!$A$3:$AAA$102,MATCH(B11,PEF_GEST_26!$A$3:$A$102,0),MATCH($T$4,PEF_GEST_26!$A$3:$AAA$3,0))</f>
        <v>0</v>
      </c>
      <c r="U11" s="782">
        <f>INDEX(PEF_COM_26!$A$3:$AAA$102,MATCH(C11,PEF_COM_26!$A$3:$A$102,0),MATCH($T$4,PEF_COM_26!$A$3:$AAA$3,0))</f>
        <v>0</v>
      </c>
      <c r="V11" s="783">
        <f t="shared" si="0"/>
        <v>0</v>
      </c>
      <c r="W11" s="781">
        <f>INDEX(PEF_GEST_27!$A$3:$AAA$102,MATCH(E11,PEF_GEST_27!$A$3:$A$102,0),MATCH($T$4,PEF_GEST_27!$A$3:$AAA$3,0))</f>
        <v>0</v>
      </c>
      <c r="X11" s="782">
        <f>INDEX(PEF_COM_27!$A$3:$AAA$102,MATCH(F11,PEF_COM_27!$A$3:$A$102,0),MATCH($T$4,PEF_COM_27!$A$3:$AAA$3,0))</f>
        <v>0</v>
      </c>
      <c r="Y11" s="783">
        <f t="shared" si="1"/>
        <v>0</v>
      </c>
      <c r="Z11" s="781">
        <f>INDEX(PEF_GEST_28!$A$3:$AAA$102,MATCH(H11,PEF_GEST_28!$A$3:$A$102,0),MATCH($T$4,PEF_GEST_28!$A$3:$AAA$3,0))</f>
        <v>0</v>
      </c>
      <c r="AA11" s="782">
        <f>INDEX(PEF_COM_28!$A$3:$AAA$102,MATCH(I11,PEF_COM_28!$A$3:$A$102,0),MATCH($T$4,PEF_COM_28!$A$3:$AAA$3,0))</f>
        <v>0</v>
      </c>
      <c r="AB11" s="783">
        <f t="shared" si="2"/>
        <v>0</v>
      </c>
      <c r="AC11" s="781">
        <f>INDEX(PEF_GEST_29!$A$3:$AAA$102,MATCH(K11,PEF_GEST_29!$A$3:$A$102,0),MATCH($T$4,PEF_GEST_29!$A$3:$AAA$3,0))</f>
        <v>0</v>
      </c>
      <c r="AD11" s="782">
        <f>INDEX(PEF_COM_29!$A$3:$AAA$102,MATCH(L11,PEF_COM_29!$A$3:$A$102,0),MATCH($T$4,PEF_COM_29!$A$3:$AAA$3,0))</f>
        <v>0</v>
      </c>
      <c r="AE11" s="783">
        <f t="shared" si="3"/>
        <v>0</v>
      </c>
      <c r="AF11" s="960"/>
      <c r="AG11" s="961"/>
      <c r="AH11" s="962"/>
      <c r="AJ11" s="1076">
        <f t="shared" si="4"/>
        <v>0</v>
      </c>
    </row>
    <row r="12" spans="1:76" ht="11.4" x14ac:dyDescent="0.2">
      <c r="A12" s="313" t="s">
        <v>248</v>
      </c>
      <c r="B12" s="320" t="s">
        <v>1053</v>
      </c>
      <c r="C12" s="327" t="s">
        <v>1054</v>
      </c>
      <c r="D12" s="306" t="s">
        <v>105</v>
      </c>
      <c r="E12" s="320" t="s">
        <v>1026</v>
      </c>
      <c r="F12" s="327" t="s">
        <v>1027</v>
      </c>
      <c r="G12" s="306" t="s">
        <v>105</v>
      </c>
      <c r="H12" s="320" t="s">
        <v>2178</v>
      </c>
      <c r="I12" s="327" t="s">
        <v>2179</v>
      </c>
      <c r="J12" s="306" t="s">
        <v>105</v>
      </c>
      <c r="K12" s="320" t="s">
        <v>2169</v>
      </c>
      <c r="L12" s="327" t="s">
        <v>2170</v>
      </c>
      <c r="M12" s="306" t="s">
        <v>105</v>
      </c>
      <c r="N12" s="320" t="s">
        <v>105</v>
      </c>
      <c r="O12" s="327" t="s">
        <v>105</v>
      </c>
      <c r="P12" s="306" t="s">
        <v>105</v>
      </c>
      <c r="R12" s="732" t="s">
        <v>5440</v>
      </c>
      <c r="S12" s="231"/>
      <c r="T12" s="781">
        <f>INDEX(PEF_GEST_26!$A$3:$AAA$102,MATCH(B12,PEF_GEST_26!$A$3:$A$102,0),MATCH($T$4,PEF_GEST_26!$A$3:$AAA$3,0))</f>
        <v>0</v>
      </c>
      <c r="U12" s="782">
        <f>INDEX(PEF_COM_26!$A$3:$AAA$102,MATCH(C12,PEF_COM_26!$A$3:$A$102,0),MATCH($T$4,PEF_COM_26!$A$3:$AAA$3,0))</f>
        <v>0</v>
      </c>
      <c r="V12" s="783">
        <f t="shared" si="0"/>
        <v>0</v>
      </c>
      <c r="W12" s="781">
        <f>INDEX(PEF_GEST_27!$A$3:$AAA$102,MATCH(E12,PEF_GEST_27!$A$3:$A$102,0),MATCH($T$4,PEF_GEST_27!$A$3:$AAA$3,0))</f>
        <v>0</v>
      </c>
      <c r="X12" s="782">
        <f>INDEX(PEF_COM_27!$A$3:$AAA$102,MATCH(F12,PEF_COM_27!$A$3:$A$102,0),MATCH($T$4,PEF_COM_27!$A$3:$AAA$3,0))</f>
        <v>0</v>
      </c>
      <c r="Y12" s="783">
        <f t="shared" si="1"/>
        <v>0</v>
      </c>
      <c r="Z12" s="781">
        <f>INDEX(PEF_GEST_28!$A$3:$AAA$102,MATCH(H12,PEF_GEST_28!$A$3:$A$102,0),MATCH($T$4,PEF_GEST_28!$A$3:$AAA$3,0))</f>
        <v>0</v>
      </c>
      <c r="AA12" s="782">
        <f>INDEX(PEF_COM_28!$A$3:$AAA$102,MATCH(I12,PEF_COM_28!$A$3:$A$102,0),MATCH($T$4,PEF_COM_28!$A$3:$AAA$3,0))</f>
        <v>0</v>
      </c>
      <c r="AB12" s="783">
        <f t="shared" si="2"/>
        <v>0</v>
      </c>
      <c r="AC12" s="781">
        <f>INDEX(PEF_GEST_29!$A$3:$AAA$102,MATCH(K12,PEF_GEST_29!$A$3:$A$102,0),MATCH($T$4,PEF_GEST_29!$A$3:$AAA$3,0))</f>
        <v>0</v>
      </c>
      <c r="AD12" s="782">
        <f>INDEX(PEF_COM_29!$A$3:$AAA$102,MATCH(L12,PEF_COM_29!$A$3:$A$102,0),MATCH($T$4,PEF_COM_29!$A$3:$AAA$3,0))</f>
        <v>0</v>
      </c>
      <c r="AE12" s="783">
        <f t="shared" si="3"/>
        <v>0</v>
      </c>
      <c r="AF12" s="960"/>
      <c r="AG12" s="961"/>
      <c r="AH12" s="962"/>
      <c r="AJ12" s="1076">
        <f t="shared" si="4"/>
        <v>0</v>
      </c>
    </row>
    <row r="13" spans="1:76" ht="11.4" x14ac:dyDescent="0.2">
      <c r="A13" s="313" t="s">
        <v>248</v>
      </c>
      <c r="B13" s="320" t="s">
        <v>2210</v>
      </c>
      <c r="C13" s="327" t="s">
        <v>2211</v>
      </c>
      <c r="D13" s="306" t="s">
        <v>105</v>
      </c>
      <c r="E13" s="320" t="s">
        <v>2219</v>
      </c>
      <c r="F13" s="327" t="s">
        <v>2220</v>
      </c>
      <c r="G13" s="306" t="s">
        <v>105</v>
      </c>
      <c r="H13" s="320" t="s">
        <v>2228</v>
      </c>
      <c r="I13" s="327" t="s">
        <v>2229</v>
      </c>
      <c r="J13" s="306" t="s">
        <v>105</v>
      </c>
      <c r="K13" s="320" t="s">
        <v>2237</v>
      </c>
      <c r="L13" s="327" t="s">
        <v>2238</v>
      </c>
      <c r="M13" s="306" t="s">
        <v>105</v>
      </c>
      <c r="N13" s="320" t="s">
        <v>105</v>
      </c>
      <c r="O13" s="327" t="s">
        <v>105</v>
      </c>
      <c r="P13" s="306" t="s">
        <v>105</v>
      </c>
      <c r="R13" s="732" t="s">
        <v>5441</v>
      </c>
      <c r="S13" s="231"/>
      <c r="T13" s="781">
        <f>INDEX(PEF_GEST_26!$A$3:$AAA$102,MATCH(B13,PEF_GEST_26!$A$3:$A$102,0),MATCH($T$4,PEF_GEST_26!$A$3:$AAA$3,0))</f>
        <v>0</v>
      </c>
      <c r="U13" s="782">
        <f>INDEX(PEF_COM_26!$A$3:$AAA$102,MATCH(C13,PEF_COM_26!$A$3:$A$102,0),MATCH($T$4,PEF_COM_26!$A$3:$AAA$3,0))</f>
        <v>0</v>
      </c>
      <c r="V13" s="783">
        <f t="shared" si="0"/>
        <v>0</v>
      </c>
      <c r="W13" s="781">
        <f>INDEX(PEF_GEST_27!$A$3:$AAA$102,MATCH(E13,PEF_GEST_27!$A$3:$A$102,0),MATCH($T$4,PEF_GEST_27!$A$3:$AAA$3,0))</f>
        <v>0</v>
      </c>
      <c r="X13" s="782">
        <f>INDEX(PEF_COM_27!$A$3:$AAA$102,MATCH(F13,PEF_COM_27!$A$3:$A$102,0),MATCH($T$4,PEF_COM_27!$A$3:$AAA$3,0))</f>
        <v>0</v>
      </c>
      <c r="Y13" s="783">
        <f t="shared" si="1"/>
        <v>0</v>
      </c>
      <c r="Z13" s="781">
        <f>INDEX(PEF_GEST_28!$A$3:$AAA$102,MATCH(H13,PEF_GEST_28!$A$3:$A$102,0),MATCH($T$4,PEF_GEST_28!$A$3:$AAA$3,0))</f>
        <v>0</v>
      </c>
      <c r="AA13" s="782">
        <f>INDEX(PEF_COM_28!$A$3:$AAA$102,MATCH(I13,PEF_COM_28!$A$3:$A$102,0),MATCH($T$4,PEF_COM_28!$A$3:$AAA$3,0))</f>
        <v>0</v>
      </c>
      <c r="AB13" s="783">
        <f t="shared" si="2"/>
        <v>0</v>
      </c>
      <c r="AC13" s="781">
        <f>INDEX(PEF_GEST_29!$A$3:$AAA$102,MATCH(K13,PEF_GEST_29!$A$3:$A$102,0),MATCH($T$4,PEF_GEST_29!$A$3:$AAA$3,0))</f>
        <v>0</v>
      </c>
      <c r="AD13" s="782">
        <f>INDEX(PEF_COM_29!$A$3:$AAA$102,MATCH(L13,PEF_COM_29!$A$3:$A$102,0),MATCH($T$4,PEF_COM_29!$A$3:$AAA$3,0))</f>
        <v>0</v>
      </c>
      <c r="AE13" s="783">
        <f t="shared" si="3"/>
        <v>0</v>
      </c>
      <c r="AF13" s="960"/>
      <c r="AG13" s="961"/>
      <c r="AH13" s="962"/>
      <c r="AJ13" s="1076">
        <f t="shared" si="4"/>
        <v>0</v>
      </c>
    </row>
    <row r="14" spans="1:76" ht="11.4" x14ac:dyDescent="0.2">
      <c r="A14" s="313" t="s">
        <v>248</v>
      </c>
      <c r="B14" s="320" t="s">
        <v>2282</v>
      </c>
      <c r="C14" s="327" t="s">
        <v>2283</v>
      </c>
      <c r="D14" s="306" t="s">
        <v>105</v>
      </c>
      <c r="E14" s="320" t="s">
        <v>2291</v>
      </c>
      <c r="F14" s="327" t="s">
        <v>2292</v>
      </c>
      <c r="G14" s="306" t="s">
        <v>105</v>
      </c>
      <c r="H14" s="320" t="s">
        <v>2300</v>
      </c>
      <c r="I14" s="327" t="s">
        <v>2301</v>
      </c>
      <c r="J14" s="306" t="s">
        <v>105</v>
      </c>
      <c r="K14" s="320" t="s">
        <v>2309</v>
      </c>
      <c r="L14" s="327" t="s">
        <v>2310</v>
      </c>
      <c r="M14" s="306" t="s">
        <v>105</v>
      </c>
      <c r="N14" s="320" t="s">
        <v>105</v>
      </c>
      <c r="O14" s="327" t="s">
        <v>105</v>
      </c>
      <c r="P14" s="306" t="s">
        <v>105</v>
      </c>
      <c r="R14" s="732" t="s">
        <v>5442</v>
      </c>
      <c r="S14" s="231"/>
      <c r="T14" s="781">
        <f>INDEX(PEF_GEST_26!$A$3:$AAA$102,MATCH(B14,PEF_GEST_26!$A$3:$A$102,0),MATCH($T$4,PEF_GEST_26!$A$3:$AAA$3,0))</f>
        <v>0</v>
      </c>
      <c r="U14" s="782">
        <f>INDEX(PEF_COM_26!$A$3:$AAA$102,MATCH(C14,PEF_COM_26!$A$3:$A$102,0),MATCH($T$4,PEF_COM_26!$A$3:$AAA$3,0))</f>
        <v>0</v>
      </c>
      <c r="V14" s="783">
        <f t="shared" si="0"/>
        <v>0</v>
      </c>
      <c r="W14" s="781">
        <f>INDEX(PEF_GEST_27!$A$3:$AAA$102,MATCH(E14,PEF_GEST_27!$A$3:$A$102,0),MATCH($T$4,PEF_GEST_27!$A$3:$AAA$3,0))</f>
        <v>0</v>
      </c>
      <c r="X14" s="782">
        <f>INDEX(PEF_COM_27!$A$3:$AAA$102,MATCH(F14,PEF_COM_27!$A$3:$A$102,0),MATCH($T$4,PEF_COM_27!$A$3:$AAA$3,0))</f>
        <v>0</v>
      </c>
      <c r="Y14" s="783">
        <f t="shared" si="1"/>
        <v>0</v>
      </c>
      <c r="Z14" s="781">
        <f>INDEX(PEF_GEST_28!$A$3:$AAA$102,MATCH(H14,PEF_GEST_28!$A$3:$A$102,0),MATCH($T$4,PEF_GEST_28!$A$3:$AAA$3,0))</f>
        <v>0</v>
      </c>
      <c r="AA14" s="782">
        <f>INDEX(PEF_COM_28!$A$3:$AAA$102,MATCH(I14,PEF_COM_28!$A$3:$A$102,0),MATCH($T$4,PEF_COM_28!$A$3:$AAA$3,0))</f>
        <v>0</v>
      </c>
      <c r="AB14" s="783">
        <f t="shared" si="2"/>
        <v>0</v>
      </c>
      <c r="AC14" s="781">
        <f>INDEX(PEF_GEST_29!$A$3:$AAA$102,MATCH(K14,PEF_GEST_29!$A$3:$A$102,0),MATCH($T$4,PEF_GEST_29!$A$3:$AAA$3,0))</f>
        <v>0</v>
      </c>
      <c r="AD14" s="782">
        <f>INDEX(PEF_COM_29!$A$3:$AAA$102,MATCH(L14,PEF_COM_29!$A$3:$A$102,0),MATCH($T$4,PEF_COM_29!$A$3:$AAA$3,0))</f>
        <v>0</v>
      </c>
      <c r="AE14" s="783">
        <f t="shared" si="3"/>
        <v>0</v>
      </c>
      <c r="AF14" s="960"/>
      <c r="AG14" s="961"/>
      <c r="AH14" s="962"/>
      <c r="AJ14" s="1076">
        <f t="shared" si="4"/>
        <v>0</v>
      </c>
    </row>
    <row r="15" spans="1:76" ht="11.4" x14ac:dyDescent="0.2">
      <c r="A15" s="313" t="s">
        <v>248</v>
      </c>
      <c r="B15" s="320" t="s">
        <v>1062</v>
      </c>
      <c r="C15" s="327" t="s">
        <v>1063</v>
      </c>
      <c r="D15" s="306" t="s">
        <v>105</v>
      </c>
      <c r="E15" s="320" t="s">
        <v>1035</v>
      </c>
      <c r="F15" s="327" t="s">
        <v>1036</v>
      </c>
      <c r="G15" s="306" t="s">
        <v>105</v>
      </c>
      <c r="H15" s="320" t="s">
        <v>2355</v>
      </c>
      <c r="I15" s="327" t="s">
        <v>2356</v>
      </c>
      <c r="J15" s="306" t="s">
        <v>105</v>
      </c>
      <c r="K15" s="320" t="s">
        <v>2364</v>
      </c>
      <c r="L15" s="327" t="s">
        <v>2365</v>
      </c>
      <c r="M15" s="306" t="s">
        <v>105</v>
      </c>
      <c r="N15" s="320" t="s">
        <v>105</v>
      </c>
      <c r="O15" s="327" t="s">
        <v>105</v>
      </c>
      <c r="P15" s="306" t="s">
        <v>105</v>
      </c>
      <c r="R15" s="732" t="s">
        <v>5443</v>
      </c>
      <c r="S15" s="231"/>
      <c r="T15" s="781">
        <f>INDEX(PEF_GEST_26!$A$3:$AAA$102,MATCH(B15,PEF_GEST_26!$A$3:$A$102,0),MATCH($T$4,PEF_GEST_26!$A$3:$AAA$3,0))</f>
        <v>0</v>
      </c>
      <c r="U15" s="782">
        <f>INDEX(PEF_COM_26!$A$3:$AAA$102,MATCH(C15,PEF_COM_26!$A$3:$A$102,0),MATCH($T$4,PEF_COM_26!$A$3:$AAA$3,0))</f>
        <v>0</v>
      </c>
      <c r="V15" s="783">
        <f t="shared" si="0"/>
        <v>0</v>
      </c>
      <c r="W15" s="781">
        <f>INDEX(PEF_GEST_27!$A$3:$AAA$102,MATCH(E15,PEF_GEST_27!$A$3:$A$102,0),MATCH($T$4,PEF_GEST_27!$A$3:$AAA$3,0))</f>
        <v>0</v>
      </c>
      <c r="X15" s="782">
        <f>INDEX(PEF_COM_27!$A$3:$AAA$102,MATCH(F15,PEF_COM_27!$A$3:$A$102,0),MATCH($T$4,PEF_COM_27!$A$3:$AAA$3,0))</f>
        <v>0</v>
      </c>
      <c r="Y15" s="783">
        <f t="shared" si="1"/>
        <v>0</v>
      </c>
      <c r="Z15" s="781">
        <f>INDEX(PEF_GEST_28!$A$3:$AAA$102,MATCH(H15,PEF_GEST_28!$A$3:$A$102,0),MATCH($T$4,PEF_GEST_28!$A$3:$AAA$3,0))</f>
        <v>0</v>
      </c>
      <c r="AA15" s="782">
        <f>INDEX(PEF_COM_28!$A$3:$AAA$102,MATCH(I15,PEF_COM_28!$A$3:$A$102,0),MATCH($T$4,PEF_COM_28!$A$3:$AAA$3,0))</f>
        <v>0</v>
      </c>
      <c r="AB15" s="783">
        <f t="shared" si="2"/>
        <v>0</v>
      </c>
      <c r="AC15" s="781">
        <f>INDEX(PEF_GEST_29!$A$3:$AAA$102,MATCH(K15,PEF_GEST_29!$A$3:$A$102,0),MATCH($T$4,PEF_GEST_29!$A$3:$AAA$3,0))</f>
        <v>0</v>
      </c>
      <c r="AD15" s="782">
        <f>INDEX(PEF_COM_29!$A$3:$AAA$102,MATCH(L15,PEF_COM_29!$A$3:$A$102,0),MATCH($T$4,PEF_COM_29!$A$3:$AAA$3,0))</f>
        <v>0</v>
      </c>
      <c r="AE15" s="783">
        <f t="shared" si="3"/>
        <v>0</v>
      </c>
      <c r="AF15" s="960"/>
      <c r="AG15" s="961"/>
      <c r="AH15" s="962"/>
      <c r="AJ15" s="1076">
        <f t="shared" si="4"/>
        <v>0</v>
      </c>
    </row>
    <row r="16" spans="1:76" x14ac:dyDescent="0.2">
      <c r="A16" s="313" t="s">
        <v>248</v>
      </c>
      <c r="B16" s="320" t="s">
        <v>968</v>
      </c>
      <c r="C16" s="327" t="s">
        <v>968</v>
      </c>
      <c r="D16" s="306" t="s">
        <v>105</v>
      </c>
      <c r="E16" s="320" t="s">
        <v>983</v>
      </c>
      <c r="F16" s="327" t="s">
        <v>983</v>
      </c>
      <c r="G16" s="306" t="s">
        <v>105</v>
      </c>
      <c r="H16" s="320" t="s">
        <v>1288</v>
      </c>
      <c r="I16" s="327" t="s">
        <v>1288</v>
      </c>
      <c r="J16" s="306" t="s">
        <v>105</v>
      </c>
      <c r="K16" s="320" t="s">
        <v>1289</v>
      </c>
      <c r="L16" s="327" t="s">
        <v>1289</v>
      </c>
      <c r="M16" s="306" t="s">
        <v>105</v>
      </c>
      <c r="N16" s="320" t="s">
        <v>105</v>
      </c>
      <c r="O16" s="327" t="s">
        <v>105</v>
      </c>
      <c r="P16" s="306" t="s">
        <v>105</v>
      </c>
      <c r="R16" s="742" t="s">
        <v>7</v>
      </c>
      <c r="S16" s="231"/>
      <c r="T16" s="841">
        <f>INDEX(PEF_GEST_26!$A$3:$AAA$102,MATCH(B16,PEF_GEST_26!$A$3:$A$102,0),MATCH($T$4,PEF_GEST_26!$A$3:$AAA$3,0))</f>
        <v>0</v>
      </c>
      <c r="U16" s="842">
        <f>INDEX(PEF_COM_26!$A$3:$AAA$102,MATCH(C16,PEF_COM_26!$A$3:$A$102,0),MATCH($T$4,PEF_COM_26!$A$3:$AAA$3,0))</f>
        <v>0</v>
      </c>
      <c r="V16" s="843">
        <f>T16</f>
        <v>0</v>
      </c>
      <c r="W16" s="841">
        <f>INDEX(PEF_GEST_27!$A$3:$AAA$102,MATCH(E16,PEF_GEST_27!$A$3:$A$102,0),MATCH($T$4,PEF_GEST_27!$A$3:$AAA$3,0))</f>
        <v>0</v>
      </c>
      <c r="X16" s="842">
        <f>INDEX(PEF_COM_27!$A$3:$AAA$102,MATCH(F16,PEF_COM_27!$A$3:$A$102,0),MATCH($T$4,PEF_COM_27!$A$3:$AAA$3,0))</f>
        <v>0</v>
      </c>
      <c r="Y16" s="843">
        <f>W16</f>
        <v>0</v>
      </c>
      <c r="Z16" s="841">
        <f>INDEX(PEF_GEST_28!$A$3:$AAA$102,MATCH(H16,PEF_GEST_28!$A$3:$A$102,0),MATCH($T$4,PEF_GEST_28!$A$3:$AAA$3,0))</f>
        <v>0</v>
      </c>
      <c r="AA16" s="842">
        <f>INDEX(PEF_COM_28!$A$3:$AAA$102,MATCH(I16,PEF_COM_28!$A$3:$A$102,0),MATCH($T$4,PEF_COM_28!$A$3:$AAA$3,0))</f>
        <v>0</v>
      </c>
      <c r="AB16" s="843">
        <f>Z16</f>
        <v>0</v>
      </c>
      <c r="AC16" s="841">
        <f>INDEX(PEF_GEST_29!$A$3:$AAA$102,MATCH(K16,PEF_GEST_29!$A$3:$A$102,0),MATCH($T$4,PEF_GEST_29!$A$3:$AAA$3,0))</f>
        <v>0</v>
      </c>
      <c r="AD16" s="842">
        <f>INDEX(PEF_COM_29!$A$3:$AAA$102,MATCH(L16,PEF_COM_29!$A$3:$A$102,0),MATCH($T$4,PEF_COM_29!$A$3:$AAA$3,0))</f>
        <v>0</v>
      </c>
      <c r="AE16" s="843">
        <f>AC16</f>
        <v>0</v>
      </c>
      <c r="AF16" s="963"/>
      <c r="AG16" s="964"/>
      <c r="AH16" s="965"/>
      <c r="AJ16" s="1077"/>
    </row>
    <row r="17" spans="1:76" x14ac:dyDescent="0.2">
      <c r="A17" s="313" t="s">
        <v>248</v>
      </c>
      <c r="B17" s="320" t="s">
        <v>3254</v>
      </c>
      <c r="C17" s="327" t="s">
        <v>5208</v>
      </c>
      <c r="D17" s="306" t="s">
        <v>105</v>
      </c>
      <c r="E17" s="320" t="s">
        <v>5137</v>
      </c>
      <c r="F17" s="327" t="s">
        <v>5660</v>
      </c>
      <c r="G17" s="306" t="s">
        <v>105</v>
      </c>
      <c r="H17" s="320" t="s">
        <v>5528</v>
      </c>
      <c r="I17" s="327" t="s">
        <v>5634</v>
      </c>
      <c r="J17" s="306" t="s">
        <v>105</v>
      </c>
      <c r="K17" s="320" t="s">
        <v>5571</v>
      </c>
      <c r="L17" s="327" t="s">
        <v>5608</v>
      </c>
      <c r="M17" s="306" t="s">
        <v>105</v>
      </c>
      <c r="N17" s="320" t="s">
        <v>105</v>
      </c>
      <c r="O17" s="327" t="s">
        <v>105</v>
      </c>
      <c r="P17" s="306" t="s">
        <v>105</v>
      </c>
      <c r="R17" s="743" t="s">
        <v>6</v>
      </c>
      <c r="S17" s="231"/>
      <c r="T17" s="784">
        <f>INDEX(PEF_GEST_26!$A$3:$AAA$102,MATCH(B17,PEF_GEST_26!$A$3:$A$102,0),MATCH($T$4,PEF_GEST_26!$A$3:$AAA$3,0))</f>
        <v>1002276.5192087999</v>
      </c>
      <c r="U17" s="785">
        <f>INDEX(PEF_COM_26!$A$3:$AAA$102,MATCH(C17,PEF_COM_26!$A$3:$A$102,0),MATCH($T$4,PEF_COM_26!$A$3:$AAA$3,0))</f>
        <v>0</v>
      </c>
      <c r="V17" s="786">
        <f t="shared" si="0"/>
        <v>1002276.5192087999</v>
      </c>
      <c r="W17" s="784">
        <f>INDEX(PEF_GEST_27!$A$3:$AAA$102,MATCH(E17,PEF_GEST_27!$A$3:$A$102,0),MATCH($T$4,PEF_GEST_27!$A$3:$AAA$3,0))</f>
        <v>882043.96798319998</v>
      </c>
      <c r="X17" s="785">
        <f>INDEX(PEF_COM_27!$A$3:$AAA$102,MATCH(F17,PEF_COM_27!$A$3:$A$102,0),MATCH($T$4,PEF_COM_27!$A$3:$AAA$3,0))</f>
        <v>0</v>
      </c>
      <c r="Y17" s="786">
        <f t="shared" si="1"/>
        <v>882043.96798319998</v>
      </c>
      <c r="Z17" s="784">
        <f>INDEX(PEF_GEST_28!$A$3:$AAA$102,MATCH(H17,PEF_GEST_28!$A$3:$A$102,0),MATCH($T$4,PEF_GEST_28!$A$3:$AAA$3,0))</f>
        <v>882043.96798319998</v>
      </c>
      <c r="AA17" s="785">
        <f>INDEX(PEF_COM_28!$A$3:$AAA$102,MATCH(I17,PEF_COM_28!$A$3:$A$102,0),MATCH($T$4,PEF_COM_28!$A$3:$AAA$3,0))</f>
        <v>0</v>
      </c>
      <c r="AB17" s="786">
        <f t="shared" si="2"/>
        <v>882043.96798319998</v>
      </c>
      <c r="AC17" s="784">
        <f>INDEX(PEF_GEST_29!$A$3:$AAA$102,MATCH(K17,PEF_GEST_29!$A$3:$A$102,0),MATCH($T$4,PEF_GEST_29!$A$3:$AAA$3,0))</f>
        <v>882043.96798319998</v>
      </c>
      <c r="AD17" s="785">
        <f>INDEX(PEF_COM_29!$A$3:$AAA$102,MATCH(L17,PEF_COM_29!$A$3:$A$102,0),MATCH($T$4,PEF_COM_29!$A$3:$AAA$3,0))</f>
        <v>0</v>
      </c>
      <c r="AE17" s="786">
        <f t="shared" si="3"/>
        <v>882043.96798319998</v>
      </c>
      <c r="AF17" s="960"/>
      <c r="AG17" s="961"/>
      <c r="AH17" s="962"/>
      <c r="AJ17" s="1078">
        <f t="shared" si="4"/>
        <v>-120232.55122559995</v>
      </c>
    </row>
    <row r="18" spans="1:76" ht="11.4" x14ac:dyDescent="0.2">
      <c r="A18" s="313" t="s">
        <v>248</v>
      </c>
      <c r="B18" s="320" t="s">
        <v>3255</v>
      </c>
      <c r="C18" s="327" t="s">
        <v>5213</v>
      </c>
      <c r="D18" s="306" t="s">
        <v>105</v>
      </c>
      <c r="E18" s="320" t="s">
        <v>5140</v>
      </c>
      <c r="F18" s="327" t="s">
        <v>5661</v>
      </c>
      <c r="G18" s="306" t="s">
        <v>105</v>
      </c>
      <c r="H18" s="320" t="s">
        <v>5529</v>
      </c>
      <c r="I18" s="327" t="s">
        <v>5635</v>
      </c>
      <c r="J18" s="306" t="s">
        <v>105</v>
      </c>
      <c r="K18" s="320" t="s">
        <v>5572</v>
      </c>
      <c r="L18" s="327" t="s">
        <v>5609</v>
      </c>
      <c r="M18" s="306" t="s">
        <v>105</v>
      </c>
      <c r="N18" s="320" t="s">
        <v>105</v>
      </c>
      <c r="O18" s="327" t="s">
        <v>105</v>
      </c>
      <c r="P18" s="306" t="s">
        <v>105</v>
      </c>
      <c r="R18" s="743" t="s">
        <v>101</v>
      </c>
      <c r="S18" s="231"/>
      <c r="T18" s="784">
        <f>INDEX(PEF_GEST_26!$A$3:$AAA$102,MATCH(B18,PEF_GEST_26!$A$3:$A$102,0),MATCH($T$4,PEF_GEST_26!$A$3:$AAA$3,0))</f>
        <v>843040.91620319989</v>
      </c>
      <c r="U18" s="785">
        <f>INDEX(PEF_COM_26!$A$3:$AAA$102,MATCH(C18,PEF_COM_26!$A$3:$A$102,0),MATCH($T$4,PEF_COM_26!$A$3:$AAA$3,0))</f>
        <v>0</v>
      </c>
      <c r="V18" s="786">
        <f t="shared" si="0"/>
        <v>843040.91620319989</v>
      </c>
      <c r="W18" s="784">
        <f>INDEX(PEF_GEST_27!$A$3:$AAA$102,MATCH(E18,PEF_GEST_27!$A$3:$A$102,0),MATCH($T$4,PEF_GEST_27!$A$3:$AAA$3,0))</f>
        <v>802657.26690159983</v>
      </c>
      <c r="X18" s="785">
        <f>INDEX(PEF_COM_27!$A$3:$AAA$102,MATCH(F18,PEF_COM_27!$A$3:$A$102,0),MATCH($T$4,PEF_COM_27!$A$3:$AAA$3,0))</f>
        <v>0</v>
      </c>
      <c r="Y18" s="786">
        <f t="shared" si="1"/>
        <v>802657.26690159983</v>
      </c>
      <c r="Z18" s="784">
        <f>INDEX(PEF_GEST_28!$A$3:$AAA$102,MATCH(H18,PEF_GEST_28!$A$3:$A$102,0),MATCH($T$4,PEF_GEST_28!$A$3:$AAA$3,0))</f>
        <v>802657.26690159983</v>
      </c>
      <c r="AA18" s="785">
        <f>INDEX(PEF_COM_28!$A$3:$AAA$102,MATCH(I18,PEF_COM_28!$A$3:$A$102,0),MATCH($T$4,PEF_COM_28!$A$3:$AAA$3,0))</f>
        <v>0</v>
      </c>
      <c r="AB18" s="786">
        <f t="shared" si="2"/>
        <v>802657.26690159983</v>
      </c>
      <c r="AC18" s="784">
        <f>INDEX(PEF_GEST_29!$A$3:$AAA$102,MATCH(K18,PEF_GEST_29!$A$3:$A$102,0),MATCH($T$4,PEF_GEST_29!$A$3:$AAA$3,0))</f>
        <v>802657.26690159983</v>
      </c>
      <c r="AD18" s="785">
        <f>INDEX(PEF_COM_29!$A$3:$AAA$102,MATCH(L18,PEF_COM_29!$A$3:$A$102,0),MATCH($T$4,PEF_COM_29!$A$3:$AAA$3,0))</f>
        <v>0</v>
      </c>
      <c r="AE18" s="786">
        <f t="shared" si="3"/>
        <v>802657.26690159983</v>
      </c>
      <c r="AF18" s="960"/>
      <c r="AG18" s="961"/>
      <c r="AH18" s="962"/>
      <c r="AJ18" s="1078">
        <f t="shared" si="4"/>
        <v>-40383.64930160006</v>
      </c>
    </row>
    <row r="19" spans="1:76" ht="11.4" x14ac:dyDescent="0.2">
      <c r="A19" s="313" t="s">
        <v>248</v>
      </c>
      <c r="B19" s="320" t="s">
        <v>5267</v>
      </c>
      <c r="C19" s="327" t="s">
        <v>5268</v>
      </c>
      <c r="D19" s="306" t="s">
        <v>105</v>
      </c>
      <c r="E19" s="320" t="s">
        <v>5902</v>
      </c>
      <c r="F19" s="327" t="s">
        <v>5905</v>
      </c>
      <c r="G19" s="306" t="s">
        <v>105</v>
      </c>
      <c r="H19" s="320" t="s">
        <v>5903</v>
      </c>
      <c r="I19" s="327" t="s">
        <v>5906</v>
      </c>
      <c r="J19" s="306" t="s">
        <v>105</v>
      </c>
      <c r="K19" s="320" t="s">
        <v>5904</v>
      </c>
      <c r="L19" s="327" t="s">
        <v>5907</v>
      </c>
      <c r="M19" s="306" t="s">
        <v>105</v>
      </c>
      <c r="N19" s="320" t="s">
        <v>105</v>
      </c>
      <c r="O19" s="327" t="s">
        <v>105</v>
      </c>
      <c r="P19" s="306" t="s">
        <v>105</v>
      </c>
      <c r="R19" s="744" t="s">
        <v>5437</v>
      </c>
      <c r="S19" s="231"/>
      <c r="T19" s="787">
        <f>INDEX(PEF_GEST_26!$A$3:$AAA$102,MATCH(B19,PEF_GEST_26!$A$3:$A$102,0),MATCH($T$4,PEF_GEST_26!$A$3:$AAA$3,0))</f>
        <v>1190309.4102530398</v>
      </c>
      <c r="U19" s="788">
        <f>INDEX(PEF_COM_26!$A$3:$AAA$102,MATCH(C19,PEF_COM_26!$A$3:$A$102,0),MATCH($T$4,PEF_COM_26!$A$3:$AAA$3,0))</f>
        <v>0</v>
      </c>
      <c r="V19" s="789">
        <f t="shared" si="0"/>
        <v>1190309.4102530398</v>
      </c>
      <c r="W19" s="787">
        <f>INDEX(PEF_GEST_27!$A$3:$AAA$102,MATCH(E19,PEF_GEST_27!$A$3:$A$102,0),MATCH($T$4,PEF_GEST_27!$A$3:$AAA$3,0))</f>
        <v>1015271.774748</v>
      </c>
      <c r="X19" s="788">
        <f>INDEX(PEF_COM_27!$A$3:$AAA$102,MATCH(F19,PEF_COM_27!$A$3:$A$102,0),MATCH($T$4,PEF_COM_27!$A$3:$AAA$3,0))</f>
        <v>0</v>
      </c>
      <c r="Y19" s="789">
        <f t="shared" si="1"/>
        <v>1015271.774748</v>
      </c>
      <c r="Z19" s="787">
        <f>INDEX(PEF_GEST_28!$A$3:$AAA$102,MATCH(H19,PEF_GEST_28!$A$3:$A$102,0),MATCH($T$4,PEF_GEST_28!$A$3:$AAA$3,0))</f>
        <v>1015271.774748</v>
      </c>
      <c r="AA19" s="788">
        <f>INDEX(PEF_COM_28!$A$3:$AAA$102,MATCH(I19,PEF_COM_28!$A$3:$A$102,0),MATCH($T$4,PEF_COM_28!$A$3:$AAA$3,0))</f>
        <v>0</v>
      </c>
      <c r="AB19" s="789">
        <f t="shared" si="2"/>
        <v>1015271.774748</v>
      </c>
      <c r="AC19" s="787">
        <f>INDEX(PEF_GEST_29!$A$3:$AAA$102,MATCH(K19,PEF_GEST_29!$A$3:$A$102,0),MATCH($T$4,PEF_GEST_29!$A$3:$AAA$3,0))</f>
        <v>1015271.774748</v>
      </c>
      <c r="AD19" s="788">
        <f>INDEX(PEF_COM_29!$A$3:$AAA$102,MATCH(L19,PEF_COM_29!$A$3:$A$102,0),MATCH($T$4,PEF_COM_29!$A$3:$AAA$3,0))</f>
        <v>0</v>
      </c>
      <c r="AE19" s="789">
        <f t="shared" si="3"/>
        <v>1015271.774748</v>
      </c>
      <c r="AF19" s="966"/>
      <c r="AG19" s="967"/>
      <c r="AH19" s="968"/>
      <c r="AJ19" s="1079">
        <f t="shared" si="4"/>
        <v>-175037.63550503983</v>
      </c>
    </row>
    <row r="20" spans="1:76" ht="11.4" x14ac:dyDescent="0.2">
      <c r="A20" s="313" t="s">
        <v>248</v>
      </c>
      <c r="B20" s="320" t="s">
        <v>3142</v>
      </c>
      <c r="C20" s="327" t="s">
        <v>3150</v>
      </c>
      <c r="D20" s="306" t="s">
        <v>105</v>
      </c>
      <c r="E20" s="320" t="s">
        <v>3299</v>
      </c>
      <c r="F20" s="327" t="s">
        <v>3307</v>
      </c>
      <c r="G20" s="306" t="s">
        <v>105</v>
      </c>
      <c r="H20" s="320" t="s">
        <v>4099</v>
      </c>
      <c r="I20" s="327" t="s">
        <v>4123</v>
      </c>
      <c r="J20" s="306" t="s">
        <v>105</v>
      </c>
      <c r="K20" s="320" t="s">
        <v>4302</v>
      </c>
      <c r="L20" s="327" t="s">
        <v>4324</v>
      </c>
      <c r="M20" s="306" t="s">
        <v>105</v>
      </c>
      <c r="N20" s="320" t="s">
        <v>105</v>
      </c>
      <c r="O20" s="327" t="s">
        <v>105</v>
      </c>
      <c r="P20" s="306" t="s">
        <v>105</v>
      </c>
      <c r="R20" s="734" t="s">
        <v>102</v>
      </c>
      <c r="S20" s="231"/>
      <c r="T20" s="790">
        <f>INDEX(PEF_GEST_26!$A$3:$AAA$102,MATCH(B20,PEF_GEST_26!$A$3:$A$102,0),MATCH($T$4,PEF_GEST_26!$A$3:$AAA$3,0))</f>
        <v>315566.36782700795</v>
      </c>
      <c r="U20" s="791">
        <f>INDEX(PEF_COM_26!$A$3:$AAA$102,MATCH(C20,PEF_COM_26!$A$3:$A$102,0),MATCH($T$4,PEF_COM_26!$A$3:$AAA$3,0))</f>
        <v>0</v>
      </c>
      <c r="V20" s="792">
        <f t="shared" si="0"/>
        <v>315566.36782700795</v>
      </c>
      <c r="W20" s="790">
        <f>INDEX(PEF_GEST_27!$A$3:$AAA$102,MATCH(E20,PEF_GEST_27!$A$3:$A$102,0),MATCH($T$4,PEF_GEST_27!$A$3:$AAA$3,0))</f>
        <v>831700.8566887714</v>
      </c>
      <c r="X20" s="791">
        <f>INDEX(PEF_COM_27!$A$3:$AAA$102,MATCH(F20,PEF_COM_27!$A$3:$A$102,0),MATCH($T$4,PEF_COM_27!$A$3:$AAA$3,0))</f>
        <v>0</v>
      </c>
      <c r="Y20" s="792">
        <f t="shared" si="1"/>
        <v>831700.8566887714</v>
      </c>
      <c r="Z20" s="790">
        <f>INDEX(PEF_GEST_28!$A$3:$AAA$102,MATCH(H20,PEF_GEST_28!$A$3:$A$102,0),MATCH($T$4,PEF_GEST_28!$A$3:$AAA$3,0))</f>
        <v>338035.39975581953</v>
      </c>
      <c r="AA20" s="791">
        <f>INDEX(PEF_COM_28!$A$3:$AAA$102,MATCH(I20,PEF_COM_28!$A$3:$A$102,0),MATCH($T$4,PEF_COM_28!$A$3:$AAA$3,0))</f>
        <v>0</v>
      </c>
      <c r="AB20" s="792">
        <f t="shared" si="2"/>
        <v>338035.39975581953</v>
      </c>
      <c r="AC20" s="790">
        <f>INDEX(PEF_GEST_29!$A$3:$AAA$102,MATCH(K20,PEF_GEST_29!$A$3:$A$102,0),MATCH($T$4,PEF_GEST_29!$A$3:$AAA$3,0))</f>
        <v>0</v>
      </c>
      <c r="AD20" s="791">
        <f>INDEX(PEF_COM_29!$A$3:$AAA$102,MATCH(L20,PEF_COM_29!$A$3:$A$102,0),MATCH($T$4,PEF_COM_29!$A$3:$AAA$3,0))</f>
        <v>0</v>
      </c>
      <c r="AE20" s="792">
        <f t="shared" si="3"/>
        <v>0</v>
      </c>
      <c r="AF20" s="790"/>
      <c r="AG20" s="791"/>
      <c r="AH20" s="792"/>
      <c r="AJ20" s="1080">
        <f t="shared" si="4"/>
        <v>516134.48886176344</v>
      </c>
    </row>
    <row r="21" spans="1:76" ht="11.4" x14ac:dyDescent="0.2">
      <c r="A21" s="313" t="s">
        <v>248</v>
      </c>
      <c r="B21" s="320" t="s">
        <v>6937</v>
      </c>
      <c r="C21" s="327" t="s">
        <v>6945</v>
      </c>
      <c r="D21" s="306" t="s">
        <v>105</v>
      </c>
      <c r="E21" s="320" t="s">
        <v>6939</v>
      </c>
      <c r="F21" s="327" t="s">
        <v>6947</v>
      </c>
      <c r="G21" s="306" t="s">
        <v>105</v>
      </c>
      <c r="H21" s="320" t="s">
        <v>6941</v>
      </c>
      <c r="I21" s="327" t="s">
        <v>6949</v>
      </c>
      <c r="J21" s="306" t="s">
        <v>105</v>
      </c>
      <c r="K21" s="320" t="s">
        <v>6943</v>
      </c>
      <c r="L21" s="327" t="s">
        <v>6951</v>
      </c>
      <c r="M21" s="306" t="s">
        <v>105</v>
      </c>
      <c r="N21" s="320" t="s">
        <v>6809</v>
      </c>
      <c r="O21" s="327" t="s">
        <v>6810</v>
      </c>
      <c r="P21" s="306" t="s">
        <v>105</v>
      </c>
      <c r="R21" s="735" t="s">
        <v>5444</v>
      </c>
      <c r="S21" s="231"/>
      <c r="T21" s="793">
        <f>INDEX(PEF_GEST_26!$A$3:$AAA$102,MATCH(B21,PEF_GEST_26!$A$3:$A$102,0),MATCH($T$4,PEF_GEST_26!$A$3:$AAA$3,0))</f>
        <v>315566.36782700795</v>
      </c>
      <c r="U21" s="794">
        <f>INDEX(PEF_COM_26!$A$3:$AAA$102,MATCH(C21,PEF_COM_26!$A$3:$A$102,0),MATCH($T$4,PEF_COM_26!$A$3:$AAA$3,0))</f>
        <v>0</v>
      </c>
      <c r="V21" s="789">
        <f t="shared" si="0"/>
        <v>315566.36782700795</v>
      </c>
      <c r="W21" s="793">
        <f>INDEX(PEF_GEST_27!$A$3:$AAA$102,MATCH(E21,PEF_GEST_27!$A$3:$A$102,0),MATCH($T$4,PEF_GEST_27!$A$3:$AAA$3,0))</f>
        <v>315566.36782700795</v>
      </c>
      <c r="X21" s="794">
        <f>INDEX(PEF_COM_27!$A$3:$AAA$102,MATCH(F21,PEF_COM_27!$A$3:$A$102,0),MATCH($T$4,PEF_COM_27!$A$3:$AAA$3,0))</f>
        <v>0</v>
      </c>
      <c r="Y21" s="789">
        <f t="shared" si="1"/>
        <v>315566.36782700795</v>
      </c>
      <c r="Z21" s="793">
        <f>INDEX(PEF_GEST_28!$A$3:$AAA$102,MATCH(H21,PEF_GEST_28!$A$3:$A$102,0),MATCH($T$4,PEF_GEST_28!$A$3:$AAA$3,0))</f>
        <v>338035.39975581953</v>
      </c>
      <c r="AA21" s="794">
        <f>INDEX(PEF_COM_28!$A$3:$AAA$102,MATCH(I21,PEF_COM_28!$A$3:$A$102,0),MATCH($T$4,PEF_COM_28!$A$3:$AAA$3,0))</f>
        <v>0</v>
      </c>
      <c r="AB21" s="789">
        <f t="shared" si="2"/>
        <v>338035.39975581953</v>
      </c>
      <c r="AC21" s="793">
        <f>INDEX(PEF_GEST_29!$A$3:$AAA$102,MATCH(K21,PEF_GEST_29!$A$3:$A$102,0),MATCH($T$4,PEF_GEST_29!$A$3:$AAA$3,0))</f>
        <v>0</v>
      </c>
      <c r="AD21" s="794">
        <f>INDEX(PEF_COM_29!$A$3:$AAA$102,MATCH(L21,PEF_COM_29!$A$3:$A$102,0),MATCH($T$4,PEF_COM_29!$A$3:$AAA$3,0))</f>
        <v>0</v>
      </c>
      <c r="AE21" s="789">
        <f t="shared" si="3"/>
        <v>0</v>
      </c>
      <c r="AF21" s="793">
        <f>INDEX(IN_Rimd!$A$3:$AAA$427,MATCH(N21,IN_Rimd!$A$3:$A$427,0),MATCH($T$4,IN_Rimd!$A$3:$AAA$3,0))</f>
        <v>0</v>
      </c>
      <c r="AG21" s="794">
        <f>INDEX(IN_Rimd!$A$3:$AAA$427,MATCH(O21,IN_Rimd!$A$3:$A$427,0),MATCH($T$4,IN_Rimd!$A$3:$AAA$3,0))</f>
        <v>0</v>
      </c>
      <c r="AH21" s="789">
        <f t="shared" ref="AH21" si="5">AF21+AG21</f>
        <v>0</v>
      </c>
      <c r="AJ21" s="1081">
        <f t="shared" si="4"/>
        <v>0</v>
      </c>
    </row>
    <row r="22" spans="1:76" x14ac:dyDescent="0.2">
      <c r="A22" s="332" t="s">
        <v>249</v>
      </c>
      <c r="B22" s="320" t="s">
        <v>105</v>
      </c>
      <c r="C22" s="327" t="s">
        <v>3153</v>
      </c>
      <c r="D22" s="306" t="s">
        <v>105</v>
      </c>
      <c r="E22" s="320" t="s">
        <v>105</v>
      </c>
      <c r="F22" s="327" t="s">
        <v>3310</v>
      </c>
      <c r="G22" s="306" t="s">
        <v>105</v>
      </c>
      <c r="H22" s="320" t="s">
        <v>105</v>
      </c>
      <c r="I22" s="327" t="s">
        <v>4126</v>
      </c>
      <c r="J22" s="306" t="s">
        <v>105</v>
      </c>
      <c r="K22" s="320" t="s">
        <v>105</v>
      </c>
      <c r="L22" s="327" t="s">
        <v>4327</v>
      </c>
      <c r="M22" s="306" t="s">
        <v>105</v>
      </c>
      <c r="N22" s="320" t="s">
        <v>105</v>
      </c>
      <c r="O22" s="327" t="s">
        <v>105</v>
      </c>
      <c r="P22" s="306" t="s">
        <v>105</v>
      </c>
      <c r="Q22" s="51"/>
      <c r="R22" s="732" t="s">
        <v>109</v>
      </c>
      <c r="S22" s="231"/>
      <c r="T22" s="795"/>
      <c r="U22" s="782">
        <f>INDEX(PEF_COM_26!$A$3:$AAA$102,MATCH(C22,PEF_COM_26!$A$3:$A$102,0),MATCH($T$4,PEF_COM_26!$A$3:$AAA$3,0))</f>
        <v>0</v>
      </c>
      <c r="V22" s="783">
        <f t="shared" si="0"/>
        <v>0</v>
      </c>
      <c r="W22" s="795"/>
      <c r="X22" s="782">
        <f>INDEX(PEF_COM_27!$A$3:$AAA$102,MATCH(F22,PEF_COM_27!$A$3:$A$102,0),MATCH($T$4,PEF_COM_27!$A$3:$AAA$3,0))</f>
        <v>0</v>
      </c>
      <c r="Y22" s="783">
        <f t="shared" si="1"/>
        <v>0</v>
      </c>
      <c r="Z22" s="795"/>
      <c r="AA22" s="782">
        <f>INDEX(PEF_COM_28!$A$3:$AAA$102,MATCH(I22,PEF_COM_28!$A$3:$A$102,0),MATCH($T$4,PEF_COM_28!$A$3:$AAA$3,0))</f>
        <v>0</v>
      </c>
      <c r="AB22" s="783">
        <f t="shared" si="2"/>
        <v>0</v>
      </c>
      <c r="AC22" s="795"/>
      <c r="AD22" s="782">
        <f>INDEX(PEF_COM_29!$A$3:$AAA$102,MATCH(L22,PEF_COM_29!$A$3:$A$102,0),MATCH($T$4,PEF_COM_29!$A$3:$AAA$3,0))</f>
        <v>0</v>
      </c>
      <c r="AE22" s="783">
        <f t="shared" si="3"/>
        <v>0</v>
      </c>
      <c r="AF22" s="969"/>
      <c r="AG22" s="958"/>
      <c r="AH22" s="959"/>
      <c r="AJ22" s="1082"/>
      <c r="BQ22" s="51"/>
      <c r="BR22" s="51"/>
      <c r="BS22" s="51"/>
      <c r="BT22" s="51"/>
      <c r="BU22" s="51"/>
      <c r="BV22" s="51"/>
      <c r="BW22" s="51"/>
      <c r="BX22" s="51"/>
    </row>
    <row r="23" spans="1:76" ht="21" thickBot="1" x14ac:dyDescent="0.25">
      <c r="A23" s="314" t="s">
        <v>105</v>
      </c>
      <c r="B23" s="321" t="s">
        <v>105</v>
      </c>
      <c r="C23" s="328" t="s">
        <v>105</v>
      </c>
      <c r="D23" s="309" t="s">
        <v>105</v>
      </c>
      <c r="E23" s="321" t="s">
        <v>105</v>
      </c>
      <c r="F23" s="328" t="s">
        <v>105</v>
      </c>
      <c r="G23" s="309" t="s">
        <v>105</v>
      </c>
      <c r="H23" s="321" t="s">
        <v>105</v>
      </c>
      <c r="I23" s="328" t="s">
        <v>105</v>
      </c>
      <c r="J23" s="309" t="s">
        <v>105</v>
      </c>
      <c r="K23" s="321" t="s">
        <v>105</v>
      </c>
      <c r="L23" s="328" t="s">
        <v>105</v>
      </c>
      <c r="M23" s="309" t="s">
        <v>105</v>
      </c>
      <c r="N23" s="321" t="s">
        <v>105</v>
      </c>
      <c r="O23" s="328" t="s">
        <v>105</v>
      </c>
      <c r="P23" s="309" t="s">
        <v>105</v>
      </c>
      <c r="Q23" s="51"/>
      <c r="R23" s="236" t="s">
        <v>6368</v>
      </c>
      <c r="S23" s="231"/>
      <c r="T23" s="796">
        <f>T6+T7+T8+T9+T10+T11+T12+T13+T15+T14-T19+T20+T22</f>
        <v>9035624.7360059675</v>
      </c>
      <c r="U23" s="797">
        <f>U6+U7+U8+U9+U10+U11+U12+U13+U15+U14-U19+U20+U22</f>
        <v>0</v>
      </c>
      <c r="V23" s="798">
        <f>T23+U23</f>
        <v>9035624.7360059675</v>
      </c>
      <c r="W23" s="796">
        <f t="shared" ref="W23:X23" si="6">W6+W7+W8+W9+W10+W11+W12+W13+W15+W14-W19+W20+W22</f>
        <v>10588004.451898372</v>
      </c>
      <c r="X23" s="797">
        <f t="shared" si="6"/>
        <v>0</v>
      </c>
      <c r="Y23" s="798">
        <f>W23+X23</f>
        <v>10588004.451898372</v>
      </c>
      <c r="Z23" s="796">
        <f t="shared" ref="Z23:AA23" si="7">Z6+Z7+Z8+Z9+Z10+Z11+Z12+Z13+Z15+Z14-Z19+Z20+Z22</f>
        <v>10094338.994965419</v>
      </c>
      <c r="AA23" s="797">
        <f t="shared" si="7"/>
        <v>0</v>
      </c>
      <c r="AB23" s="798">
        <f>Z23+AA23</f>
        <v>10094338.994965419</v>
      </c>
      <c r="AC23" s="796">
        <f t="shared" ref="AC23:AD23" si="8">AC6+AC7+AC8+AC9+AC10+AC11+AC12+AC13+AC15+AC14-AC19+AC20+AC22</f>
        <v>9756303.5952096004</v>
      </c>
      <c r="AD23" s="797">
        <f t="shared" si="8"/>
        <v>0</v>
      </c>
      <c r="AE23" s="798">
        <f>AC23+AD23</f>
        <v>9756303.5952096004</v>
      </c>
      <c r="AF23" s="975"/>
      <c r="AG23" s="976"/>
      <c r="AH23" s="977"/>
      <c r="AJ23" s="797">
        <f t="shared" ref="AJ23:AJ52" si="9">W23-T23</f>
        <v>1552379.7158924043</v>
      </c>
      <c r="BQ23" s="51"/>
      <c r="BR23" s="51"/>
      <c r="BS23" s="51"/>
      <c r="BT23" s="51"/>
      <c r="BU23" s="51"/>
      <c r="BV23" s="51"/>
      <c r="BW23" s="51"/>
      <c r="BX23" s="51"/>
    </row>
    <row r="24" spans="1:76" ht="20.100000000000001" customHeight="1" thickBot="1" x14ac:dyDescent="0.25">
      <c r="A24" s="314" t="s">
        <v>105</v>
      </c>
      <c r="B24" s="321" t="s">
        <v>105</v>
      </c>
      <c r="C24" s="328" t="s">
        <v>105</v>
      </c>
      <c r="D24" s="309" t="s">
        <v>105</v>
      </c>
      <c r="E24" s="321" t="s">
        <v>105</v>
      </c>
      <c r="F24" s="328" t="s">
        <v>105</v>
      </c>
      <c r="G24" s="309" t="s">
        <v>105</v>
      </c>
      <c r="H24" s="321" t="s">
        <v>105</v>
      </c>
      <c r="I24" s="328" t="s">
        <v>105</v>
      </c>
      <c r="J24" s="309" t="s">
        <v>105</v>
      </c>
      <c r="K24" s="321" t="s">
        <v>105</v>
      </c>
      <c r="L24" s="328" t="s">
        <v>105</v>
      </c>
      <c r="M24" s="309" t="s">
        <v>105</v>
      </c>
      <c r="N24" s="321" t="s">
        <v>105</v>
      </c>
      <c r="O24" s="328" t="s">
        <v>105</v>
      </c>
      <c r="P24" s="309" t="s">
        <v>105</v>
      </c>
      <c r="Q24" s="51"/>
      <c r="R24" s="237"/>
      <c r="S24" s="238"/>
      <c r="T24" s="799"/>
      <c r="U24" s="800"/>
      <c r="V24" s="801"/>
      <c r="W24" s="799"/>
      <c r="X24" s="800"/>
      <c r="Y24" s="801"/>
      <c r="Z24" s="799"/>
      <c r="AA24" s="800"/>
      <c r="AB24" s="801"/>
      <c r="AC24" s="799"/>
      <c r="AD24" s="800"/>
      <c r="AE24" s="801"/>
      <c r="AF24" s="970"/>
      <c r="AG24" s="971"/>
      <c r="AH24" s="972"/>
      <c r="BQ24" s="51"/>
      <c r="BR24" s="51"/>
      <c r="BS24" s="51"/>
      <c r="BT24" s="51"/>
      <c r="BU24" s="51"/>
      <c r="BV24" s="51"/>
      <c r="BW24" s="51"/>
      <c r="BX24" s="51"/>
    </row>
    <row r="25" spans="1:76" x14ac:dyDescent="0.2">
      <c r="A25" s="313" t="s">
        <v>248</v>
      </c>
      <c r="B25" s="320" t="s">
        <v>3156</v>
      </c>
      <c r="C25" s="327" t="s">
        <v>3159</v>
      </c>
      <c r="D25" s="306" t="s">
        <v>105</v>
      </c>
      <c r="E25" s="320" t="s">
        <v>3313</v>
      </c>
      <c r="F25" s="327" t="s">
        <v>3316</v>
      </c>
      <c r="G25" s="306" t="s">
        <v>105</v>
      </c>
      <c r="H25" s="320" t="s">
        <v>4129</v>
      </c>
      <c r="I25" s="327" t="s">
        <v>4132</v>
      </c>
      <c r="J25" s="306" t="s">
        <v>105</v>
      </c>
      <c r="K25" s="320" t="s">
        <v>4330</v>
      </c>
      <c r="L25" s="327" t="s">
        <v>4333</v>
      </c>
      <c r="M25" s="306" t="s">
        <v>105</v>
      </c>
      <c r="N25" s="320" t="s">
        <v>105</v>
      </c>
      <c r="O25" s="327" t="s">
        <v>105</v>
      </c>
      <c r="P25" s="306" t="s">
        <v>105</v>
      </c>
      <c r="Q25" s="51"/>
      <c r="R25" s="750" t="s">
        <v>11</v>
      </c>
      <c r="S25" s="231"/>
      <c r="T25" s="802">
        <f>INDEX(PEF_GEST_26!$A$3:$AAA$102,MATCH(B25,PEF_GEST_26!$A$3:$A$102,0),MATCH($T$4,PEF_GEST_26!$A$3:$AAA$3,0))</f>
        <v>2456567.5796376001</v>
      </c>
      <c r="U25" s="803">
        <f>INDEX(PEF_COM_26!$A$3:$AAA$102,MATCH(C25,PEF_COM_26!$A$3:$A$102,0),MATCH($T$4,PEF_COM_26!$A$3:$AAA$3,0))</f>
        <v>0</v>
      </c>
      <c r="V25" s="804">
        <f t="shared" ref="V25:V49" si="10">T25+U25</f>
        <v>2456567.5796376001</v>
      </c>
      <c r="W25" s="802">
        <f>INDEX(PEF_GEST_27!$A$3:$AAA$102,MATCH(E25,PEF_GEST_27!$A$3:$A$102,0),MATCH($T$4,PEF_GEST_27!$A$3:$AAA$3,0))</f>
        <v>2433783.1588399997</v>
      </c>
      <c r="X25" s="803">
        <f>INDEX(PEF_COM_27!$A$3:$AAA$102,MATCH(F25,PEF_COM_27!$A$3:$A$102,0),MATCH($T$4,PEF_COM_27!$A$3:$AAA$3,0))</f>
        <v>0</v>
      </c>
      <c r="Y25" s="804">
        <f t="shared" ref="Y25:Y49" si="11">W25+X25</f>
        <v>2433783.1588399997</v>
      </c>
      <c r="Z25" s="802">
        <f>INDEX(PEF_GEST_28!$A$3:$AAA$102,MATCH(H25,PEF_GEST_28!$A$3:$A$102,0),MATCH($T$4,PEF_GEST_28!$A$3:$AAA$3,0))</f>
        <v>2433783.1588399997</v>
      </c>
      <c r="AA25" s="803">
        <f>INDEX(PEF_COM_28!$A$3:$AAA$102,MATCH(I25,PEF_COM_28!$A$3:$A$102,0),MATCH($T$4,PEF_COM_28!$A$3:$AAA$3,0))</f>
        <v>0</v>
      </c>
      <c r="AB25" s="804">
        <f t="shared" ref="AB25:AB49" si="12">Z25+AA25</f>
        <v>2433783.1588399997</v>
      </c>
      <c r="AC25" s="802">
        <f>INDEX(PEF_GEST_29!$A$3:$AAA$102,MATCH(K25,PEF_GEST_29!$A$3:$A$102,0),MATCH($T$4,PEF_GEST_29!$A$3:$AAA$3,0))</f>
        <v>2433783.1588399997</v>
      </c>
      <c r="AD25" s="803">
        <f>INDEX(PEF_COM_29!$A$3:$AAA$102,MATCH(L25,PEF_COM_29!$A$3:$A$102,0),MATCH($T$4,PEF_COM_29!$A$3:$AAA$3,0))</f>
        <v>0</v>
      </c>
      <c r="AE25" s="804">
        <f t="shared" ref="AE25:AE49" si="13">AC25+AD25</f>
        <v>2433783.1588399997</v>
      </c>
      <c r="AF25" s="978"/>
      <c r="AG25" s="979"/>
      <c r="AH25" s="980"/>
      <c r="AJ25" s="1083">
        <f t="shared" si="9"/>
        <v>-22784.420797600411</v>
      </c>
      <c r="BQ25" s="51"/>
      <c r="BR25" s="51"/>
      <c r="BS25" s="51"/>
      <c r="BT25" s="51"/>
      <c r="BU25" s="51"/>
      <c r="BV25" s="51"/>
      <c r="BW25" s="51"/>
      <c r="BX25" s="51"/>
    </row>
    <row r="26" spans="1:76" x14ac:dyDescent="0.2">
      <c r="A26" s="313" t="s">
        <v>248</v>
      </c>
      <c r="B26" s="320" t="s">
        <v>3162</v>
      </c>
      <c r="C26" s="327" t="s">
        <v>3165</v>
      </c>
      <c r="D26" s="306" t="s">
        <v>105</v>
      </c>
      <c r="E26" s="320" t="s">
        <v>3319</v>
      </c>
      <c r="F26" s="327" t="s">
        <v>3322</v>
      </c>
      <c r="G26" s="306" t="s">
        <v>105</v>
      </c>
      <c r="H26" s="320" t="s">
        <v>4135</v>
      </c>
      <c r="I26" s="327" t="s">
        <v>4138</v>
      </c>
      <c r="J26" s="306" t="s">
        <v>105</v>
      </c>
      <c r="K26" s="320" t="s">
        <v>4336</v>
      </c>
      <c r="L26" s="327" t="s">
        <v>4339</v>
      </c>
      <c r="M26" s="306" t="s">
        <v>105</v>
      </c>
      <c r="N26" s="320" t="s">
        <v>105</v>
      </c>
      <c r="O26" s="327" t="s">
        <v>105</v>
      </c>
      <c r="P26" s="306" t="s">
        <v>105</v>
      </c>
      <c r="Q26" s="51"/>
      <c r="R26" s="743" t="s">
        <v>13</v>
      </c>
      <c r="S26" s="231"/>
      <c r="T26" s="781">
        <f>INDEX(PEF_GEST_26!$A$3:$AAA$102,MATCH(B26,PEF_GEST_26!$A$3:$A$102,0),MATCH($T$4,PEF_GEST_26!$A$3:$AAA$3,0))</f>
        <v>614409.89280000003</v>
      </c>
      <c r="U26" s="782">
        <f>INDEX(PEF_COM_26!$A$3:$AAA$102,MATCH(C26,PEF_COM_26!$A$3:$A$102,0),MATCH($T$4,PEF_COM_26!$A$3:$AAA$3,0))</f>
        <v>0</v>
      </c>
      <c r="V26" s="805">
        <f t="shared" si="10"/>
        <v>614409.89280000003</v>
      </c>
      <c r="W26" s="781">
        <f>INDEX(PEF_GEST_27!$A$3:$AAA$102,MATCH(E26,PEF_GEST_27!$A$3:$A$102,0),MATCH($T$4,PEF_GEST_27!$A$3:$AAA$3,0))</f>
        <v>654540.42896000005</v>
      </c>
      <c r="X26" s="782">
        <f>INDEX(PEF_COM_27!$A$3:$AAA$102,MATCH(F26,PEF_COM_27!$A$3:$A$102,0),MATCH($T$4,PEF_COM_27!$A$3:$AAA$3,0))</f>
        <v>0</v>
      </c>
      <c r="Y26" s="805">
        <f t="shared" si="11"/>
        <v>654540.42896000005</v>
      </c>
      <c r="Z26" s="781">
        <f>INDEX(PEF_GEST_28!$A$3:$AAA$102,MATCH(H26,PEF_GEST_28!$A$3:$A$102,0),MATCH($T$4,PEF_GEST_28!$A$3:$AAA$3,0))</f>
        <v>654540.42896000005</v>
      </c>
      <c r="AA26" s="782">
        <f>INDEX(PEF_COM_28!$A$3:$AAA$102,MATCH(I26,PEF_COM_28!$A$3:$A$102,0),MATCH($T$4,PEF_COM_28!$A$3:$AAA$3,0))</f>
        <v>0</v>
      </c>
      <c r="AB26" s="805">
        <f t="shared" si="12"/>
        <v>654540.42896000005</v>
      </c>
      <c r="AC26" s="781">
        <f>INDEX(PEF_GEST_29!$A$3:$AAA$102,MATCH(K26,PEF_GEST_29!$A$3:$A$102,0),MATCH($T$4,PEF_GEST_29!$A$3:$AAA$3,0))</f>
        <v>654540.42896000005</v>
      </c>
      <c r="AD26" s="782">
        <f>INDEX(PEF_COM_29!$A$3:$AAA$102,MATCH(L26,PEF_COM_29!$A$3:$A$102,0),MATCH($T$4,PEF_COM_29!$A$3:$AAA$3,0))</f>
        <v>0</v>
      </c>
      <c r="AE26" s="805">
        <f t="shared" si="13"/>
        <v>654540.42896000005</v>
      </c>
      <c r="AF26" s="960"/>
      <c r="AG26" s="961"/>
      <c r="AH26" s="973"/>
      <c r="AJ26" s="1080">
        <f t="shared" si="9"/>
        <v>40130.536160000018</v>
      </c>
      <c r="BQ26" s="51"/>
      <c r="BR26" s="51"/>
      <c r="BS26" s="51"/>
      <c r="BT26" s="51"/>
      <c r="BU26" s="51"/>
      <c r="BV26" s="51"/>
      <c r="BW26" s="51"/>
      <c r="BX26" s="51"/>
    </row>
    <row r="27" spans="1:76" x14ac:dyDescent="0.2">
      <c r="A27" s="313" t="s">
        <v>248</v>
      </c>
      <c r="B27" s="320" t="s">
        <v>3168</v>
      </c>
      <c r="C27" s="327" t="s">
        <v>3171</v>
      </c>
      <c r="D27" s="306" t="s">
        <v>105</v>
      </c>
      <c r="E27" s="320" t="s">
        <v>3325</v>
      </c>
      <c r="F27" s="327" t="s">
        <v>3328</v>
      </c>
      <c r="G27" s="306" t="s">
        <v>105</v>
      </c>
      <c r="H27" s="320" t="s">
        <v>4141</v>
      </c>
      <c r="I27" s="327" t="s">
        <v>4144</v>
      </c>
      <c r="J27" s="306" t="s">
        <v>105</v>
      </c>
      <c r="K27" s="320" t="s">
        <v>4342</v>
      </c>
      <c r="L27" s="327" t="s">
        <v>4345</v>
      </c>
      <c r="M27" s="306" t="s">
        <v>105</v>
      </c>
      <c r="N27" s="320" t="s">
        <v>105</v>
      </c>
      <c r="O27" s="327" t="s">
        <v>105</v>
      </c>
      <c r="P27" s="306" t="s">
        <v>105</v>
      </c>
      <c r="Q27" s="51"/>
      <c r="R27" s="743" t="s">
        <v>14</v>
      </c>
      <c r="S27" s="231"/>
      <c r="T27" s="784">
        <f>INDEX(PEF_GEST_26!$A$3:$AAA$102,MATCH(B27,PEF_GEST_26!$A$3:$A$102,0),MATCH($T$4,PEF_GEST_26!$A$3:$AAA$3,0))</f>
        <v>1479766.7333064</v>
      </c>
      <c r="U27" s="785">
        <f>INDEX(PEF_COM_26!$A$3:$AAA$102,MATCH(C27,PEF_COM_26!$A$3:$A$102,0),MATCH($T$4,PEF_COM_26!$A$3:$AAA$3,0))</f>
        <v>0</v>
      </c>
      <c r="V27" s="806">
        <f t="shared" si="10"/>
        <v>1479766.7333064</v>
      </c>
      <c r="W27" s="784">
        <f>INDEX(PEF_GEST_27!$A$3:$AAA$102,MATCH(E27,PEF_GEST_27!$A$3:$A$102,0),MATCH($T$4,PEF_GEST_27!$A$3:$AAA$3,0))</f>
        <v>1851949.6199159999</v>
      </c>
      <c r="X27" s="785">
        <f>INDEX(PEF_COM_27!$A$3:$AAA$102,MATCH(F27,PEF_COM_27!$A$3:$A$102,0),MATCH($T$4,PEF_COM_27!$A$3:$AAA$3,0))</f>
        <v>0</v>
      </c>
      <c r="Y27" s="806">
        <f t="shared" si="11"/>
        <v>1851949.6199159999</v>
      </c>
      <c r="Z27" s="784">
        <f>INDEX(PEF_GEST_28!$A$3:$AAA$102,MATCH(H27,PEF_GEST_28!$A$3:$A$102,0),MATCH($T$4,PEF_GEST_28!$A$3:$AAA$3,0))</f>
        <v>1851949.6199159999</v>
      </c>
      <c r="AA27" s="785">
        <f>INDEX(PEF_COM_28!$A$3:$AAA$102,MATCH(I27,PEF_COM_28!$A$3:$A$102,0),MATCH($T$4,PEF_COM_28!$A$3:$AAA$3,0))</f>
        <v>0</v>
      </c>
      <c r="AB27" s="806">
        <f t="shared" si="12"/>
        <v>1851949.6199159999</v>
      </c>
      <c r="AC27" s="784">
        <f>INDEX(PEF_GEST_29!$A$3:$AAA$102,MATCH(K27,PEF_GEST_29!$A$3:$A$102,0),MATCH($T$4,PEF_GEST_29!$A$3:$AAA$3,0))</f>
        <v>1851949.6199159999</v>
      </c>
      <c r="AD27" s="785">
        <f>INDEX(PEF_COM_29!$A$3:$AAA$102,MATCH(L27,PEF_COM_29!$A$3:$A$102,0),MATCH($T$4,PEF_COM_29!$A$3:$AAA$3,0))</f>
        <v>0</v>
      </c>
      <c r="AE27" s="806">
        <f t="shared" si="13"/>
        <v>1851949.6199159999</v>
      </c>
      <c r="AF27" s="960"/>
      <c r="AG27" s="961"/>
      <c r="AH27" s="973"/>
      <c r="AJ27" s="1078">
        <f t="shared" si="9"/>
        <v>372182.88660959993</v>
      </c>
      <c r="BQ27" s="51"/>
      <c r="BR27" s="51"/>
      <c r="BS27" s="51"/>
      <c r="BT27" s="51"/>
      <c r="BU27" s="51"/>
      <c r="BV27" s="51"/>
      <c r="BW27" s="51"/>
      <c r="BX27" s="51"/>
    </row>
    <row r="28" spans="1:76" x14ac:dyDescent="0.2">
      <c r="A28" s="313" t="s">
        <v>248</v>
      </c>
      <c r="B28" s="320" t="s">
        <v>3174</v>
      </c>
      <c r="C28" s="327" t="s">
        <v>3177</v>
      </c>
      <c r="D28" s="306" t="s">
        <v>105</v>
      </c>
      <c r="E28" s="320" t="s">
        <v>3331</v>
      </c>
      <c r="F28" s="327" t="s">
        <v>3334</v>
      </c>
      <c r="G28" s="306" t="s">
        <v>105</v>
      </c>
      <c r="H28" s="320" t="s">
        <v>4147</v>
      </c>
      <c r="I28" s="327" t="s">
        <v>4150</v>
      </c>
      <c r="J28" s="306" t="s">
        <v>105</v>
      </c>
      <c r="K28" s="320" t="s">
        <v>4348</v>
      </c>
      <c r="L28" s="327" t="s">
        <v>4351</v>
      </c>
      <c r="M28" s="306" t="s">
        <v>105</v>
      </c>
      <c r="N28" s="320" t="s">
        <v>105</v>
      </c>
      <c r="O28" s="327" t="s">
        <v>105</v>
      </c>
      <c r="P28" s="306" t="s">
        <v>105</v>
      </c>
      <c r="Q28" s="51"/>
      <c r="R28" s="743" t="s">
        <v>15</v>
      </c>
      <c r="S28" s="231"/>
      <c r="T28" s="784">
        <f>INDEX(PEF_GEST_26!$A$3:$AAA$102,MATCH(B28,PEF_GEST_26!$A$3:$A$102,0),MATCH($T$4,PEF_GEST_26!$A$3:$AAA$3,0))</f>
        <v>0</v>
      </c>
      <c r="U28" s="785">
        <f>INDEX(PEF_COM_26!$A$3:$AAA$102,MATCH(C28,PEF_COM_26!$A$3:$A$102,0),MATCH($T$4,PEF_COM_26!$A$3:$AAA$3,0))</f>
        <v>0</v>
      </c>
      <c r="V28" s="806">
        <f t="shared" si="10"/>
        <v>0</v>
      </c>
      <c r="W28" s="784">
        <f>INDEX(PEF_GEST_27!$A$3:$AAA$102,MATCH(E28,PEF_GEST_27!$A$3:$A$102,0),MATCH($T$4,PEF_GEST_27!$A$3:$AAA$3,0))</f>
        <v>0</v>
      </c>
      <c r="X28" s="785">
        <f>INDEX(PEF_COM_27!$A$3:$AAA$102,MATCH(F28,PEF_COM_27!$A$3:$A$102,0),MATCH($T$4,PEF_COM_27!$A$3:$AAA$3,0))</f>
        <v>0</v>
      </c>
      <c r="Y28" s="806">
        <f t="shared" si="11"/>
        <v>0</v>
      </c>
      <c r="Z28" s="784">
        <f>INDEX(PEF_GEST_28!$A$3:$AAA$102,MATCH(H28,PEF_GEST_28!$A$3:$A$102,0),MATCH($T$4,PEF_GEST_28!$A$3:$AAA$3,0))</f>
        <v>0</v>
      </c>
      <c r="AA28" s="785">
        <f>INDEX(PEF_COM_28!$A$3:$AAA$102,MATCH(I28,PEF_COM_28!$A$3:$A$102,0),MATCH($T$4,PEF_COM_28!$A$3:$AAA$3,0))</f>
        <v>0</v>
      </c>
      <c r="AB28" s="806">
        <f t="shared" si="12"/>
        <v>0</v>
      </c>
      <c r="AC28" s="784">
        <f>INDEX(PEF_GEST_29!$A$3:$AAA$102,MATCH(K28,PEF_GEST_29!$A$3:$A$102,0),MATCH($T$4,PEF_GEST_29!$A$3:$AAA$3,0))</f>
        <v>0</v>
      </c>
      <c r="AD28" s="785">
        <f>INDEX(PEF_COM_29!$A$3:$AAA$102,MATCH(L28,PEF_COM_29!$A$3:$A$102,0),MATCH($T$4,PEF_COM_29!$A$3:$AAA$3,0))</f>
        <v>0</v>
      </c>
      <c r="AE28" s="806">
        <f t="shared" si="13"/>
        <v>0</v>
      </c>
      <c r="AF28" s="960"/>
      <c r="AG28" s="961"/>
      <c r="AH28" s="973"/>
      <c r="AJ28" s="1078">
        <f t="shared" si="9"/>
        <v>0</v>
      </c>
      <c r="BQ28" s="51"/>
      <c r="BR28" s="51"/>
      <c r="BS28" s="51"/>
      <c r="BT28" s="51"/>
      <c r="BU28" s="51"/>
      <c r="BV28" s="51"/>
      <c r="BW28" s="51"/>
      <c r="BX28" s="51"/>
    </row>
    <row r="29" spans="1:76" ht="11.4" x14ac:dyDescent="0.2">
      <c r="A29" s="313" t="s">
        <v>248</v>
      </c>
      <c r="B29" s="320" t="s">
        <v>3180</v>
      </c>
      <c r="C29" s="327" t="s">
        <v>3183</v>
      </c>
      <c r="D29" s="306" t="s">
        <v>105</v>
      </c>
      <c r="E29" s="320" t="s">
        <v>3337</v>
      </c>
      <c r="F29" s="327" t="s">
        <v>3340</v>
      </c>
      <c r="G29" s="306" t="s">
        <v>105</v>
      </c>
      <c r="H29" s="320" t="s">
        <v>4153</v>
      </c>
      <c r="I29" s="327" t="s">
        <v>4156</v>
      </c>
      <c r="J29" s="306" t="s">
        <v>105</v>
      </c>
      <c r="K29" s="320" t="s">
        <v>4354</v>
      </c>
      <c r="L29" s="327" t="s">
        <v>4357</v>
      </c>
      <c r="M29" s="306" t="s">
        <v>105</v>
      </c>
      <c r="N29" s="320" t="s">
        <v>105</v>
      </c>
      <c r="O29" s="327" t="s">
        <v>105</v>
      </c>
      <c r="P29" s="306" t="s">
        <v>105</v>
      </c>
      <c r="Q29" s="51"/>
      <c r="R29" s="745" t="s">
        <v>16</v>
      </c>
      <c r="S29" s="231"/>
      <c r="T29" s="807">
        <f>INDEX(PEF_GEST_26!$A$3:$AAA$102,MATCH(B29,PEF_GEST_26!$A$3:$A$102,0),MATCH($T$4,PEF_GEST_26!$A$3:$AAA$3,0))</f>
        <v>0</v>
      </c>
      <c r="U29" s="808">
        <f>INDEX(PEF_COM_26!$A$3:$AAA$102,MATCH(C29,PEF_COM_26!$A$3:$A$102,0),MATCH($T$4,PEF_COM_26!$A$3:$AAA$3,0))</f>
        <v>0</v>
      </c>
      <c r="V29" s="809">
        <f t="shared" si="10"/>
        <v>0</v>
      </c>
      <c r="W29" s="807">
        <f>INDEX(PEF_GEST_27!$A$3:$AAA$102,MATCH(E29,PEF_GEST_27!$A$3:$A$102,0),MATCH($T$4,PEF_GEST_27!$A$3:$AAA$3,0))</f>
        <v>0</v>
      </c>
      <c r="X29" s="808">
        <f>INDEX(PEF_COM_27!$A$3:$AAA$102,MATCH(F29,PEF_COM_27!$A$3:$A$102,0),MATCH($T$4,PEF_COM_27!$A$3:$AAA$3,0))</f>
        <v>0</v>
      </c>
      <c r="Y29" s="809">
        <f t="shared" si="11"/>
        <v>0</v>
      </c>
      <c r="Z29" s="807">
        <f>INDEX(PEF_GEST_28!$A$3:$AAA$102,MATCH(H29,PEF_GEST_28!$A$3:$A$102,0),MATCH($T$4,PEF_GEST_28!$A$3:$AAA$3,0))</f>
        <v>0</v>
      </c>
      <c r="AA29" s="808">
        <f>INDEX(PEF_COM_28!$A$3:$AAA$102,MATCH(I29,PEF_COM_28!$A$3:$A$102,0),MATCH($T$4,PEF_COM_28!$A$3:$AAA$3,0))</f>
        <v>0</v>
      </c>
      <c r="AB29" s="809">
        <f t="shared" si="12"/>
        <v>0</v>
      </c>
      <c r="AC29" s="807">
        <f>INDEX(PEF_GEST_29!$A$3:$AAA$102,MATCH(K29,PEF_GEST_29!$A$3:$A$102,0),MATCH($T$4,PEF_GEST_29!$A$3:$AAA$3,0))</f>
        <v>0</v>
      </c>
      <c r="AD29" s="808">
        <f>INDEX(PEF_COM_29!$A$3:$AAA$102,MATCH(L29,PEF_COM_29!$A$3:$A$102,0),MATCH($T$4,PEF_COM_29!$A$3:$AAA$3,0))</f>
        <v>0</v>
      </c>
      <c r="AE29" s="809">
        <f t="shared" si="13"/>
        <v>0</v>
      </c>
      <c r="AF29" s="960"/>
      <c r="AG29" s="961"/>
      <c r="AH29" s="973"/>
      <c r="AJ29" s="1079">
        <f t="shared" si="9"/>
        <v>0</v>
      </c>
      <c r="BQ29" s="51"/>
      <c r="BR29" s="51"/>
      <c r="BS29" s="51"/>
      <c r="BT29" s="51"/>
      <c r="BU29" s="51"/>
      <c r="BV29" s="51"/>
      <c r="BW29" s="51"/>
      <c r="BX29" s="51"/>
    </row>
    <row r="30" spans="1:76" x14ac:dyDescent="0.2">
      <c r="A30" s="314" t="s">
        <v>105</v>
      </c>
      <c r="B30" s="321" t="s">
        <v>105</v>
      </c>
      <c r="C30" s="328" t="s">
        <v>105</v>
      </c>
      <c r="D30" s="309" t="s">
        <v>105</v>
      </c>
      <c r="E30" s="321" t="s">
        <v>105</v>
      </c>
      <c r="F30" s="328" t="s">
        <v>105</v>
      </c>
      <c r="G30" s="309" t="s">
        <v>105</v>
      </c>
      <c r="H30" s="321" t="s">
        <v>105</v>
      </c>
      <c r="I30" s="328" t="s">
        <v>105</v>
      </c>
      <c r="J30" s="309" t="s">
        <v>105</v>
      </c>
      <c r="K30" s="321" t="s">
        <v>105</v>
      </c>
      <c r="L30" s="328" t="s">
        <v>105</v>
      </c>
      <c r="M30" s="309" t="s">
        <v>105</v>
      </c>
      <c r="N30" s="321" t="s">
        <v>105</v>
      </c>
      <c r="O30" s="328" t="s">
        <v>105</v>
      </c>
      <c r="P30" s="309" t="s">
        <v>105</v>
      </c>
      <c r="Q30" s="51"/>
      <c r="R30" s="733" t="s">
        <v>12</v>
      </c>
      <c r="S30" s="231"/>
      <c r="T30" s="810">
        <f>SUM(T26:T29)</f>
        <v>2094176.6261064</v>
      </c>
      <c r="U30" s="811">
        <f>SUM(U26:U29)</f>
        <v>0</v>
      </c>
      <c r="V30" s="812">
        <f t="shared" si="10"/>
        <v>2094176.6261064</v>
      </c>
      <c r="W30" s="810">
        <f t="shared" ref="W30:X30" si="14">SUM(W26:W29)</f>
        <v>2506490.0488760001</v>
      </c>
      <c r="X30" s="811">
        <f t="shared" si="14"/>
        <v>0</v>
      </c>
      <c r="Y30" s="812">
        <f t="shared" si="11"/>
        <v>2506490.0488760001</v>
      </c>
      <c r="Z30" s="810">
        <f t="shared" ref="Z30:AA30" si="15">SUM(Z26:Z29)</f>
        <v>2506490.0488760001</v>
      </c>
      <c r="AA30" s="811">
        <f t="shared" si="15"/>
        <v>0</v>
      </c>
      <c r="AB30" s="812">
        <f t="shared" si="12"/>
        <v>2506490.0488760001</v>
      </c>
      <c r="AC30" s="810">
        <f>SUM(AC26:AC29)</f>
        <v>2506490.0488760001</v>
      </c>
      <c r="AD30" s="811">
        <f>SUM(AD26:AD29)</f>
        <v>0</v>
      </c>
      <c r="AE30" s="812">
        <f t="shared" si="13"/>
        <v>2506490.0488760001</v>
      </c>
      <c r="AF30" s="960"/>
      <c r="AG30" s="961"/>
      <c r="AH30" s="973"/>
      <c r="AJ30" s="1076">
        <f t="shared" si="9"/>
        <v>412313.42276960006</v>
      </c>
      <c r="BQ30" s="51"/>
      <c r="BR30" s="51"/>
      <c r="BS30" s="51"/>
      <c r="BT30" s="51"/>
      <c r="BU30" s="51"/>
      <c r="BV30" s="51"/>
      <c r="BW30" s="51"/>
      <c r="BX30" s="51"/>
    </row>
    <row r="31" spans="1:76" x14ac:dyDescent="0.2">
      <c r="A31" s="313" t="s">
        <v>248</v>
      </c>
      <c r="B31" s="320" t="s">
        <v>3186</v>
      </c>
      <c r="C31" s="327" t="s">
        <v>3189</v>
      </c>
      <c r="D31" s="306" t="s">
        <v>105</v>
      </c>
      <c r="E31" s="320" t="s">
        <v>3343</v>
      </c>
      <c r="F31" s="327" t="s">
        <v>3346</v>
      </c>
      <c r="G31" s="306" t="s">
        <v>105</v>
      </c>
      <c r="H31" s="320" t="s">
        <v>4159</v>
      </c>
      <c r="I31" s="327" t="s">
        <v>4162</v>
      </c>
      <c r="J31" s="306" t="s">
        <v>105</v>
      </c>
      <c r="K31" s="320" t="s">
        <v>4360</v>
      </c>
      <c r="L31" s="327" t="s">
        <v>4363</v>
      </c>
      <c r="M31" s="306" t="s">
        <v>105</v>
      </c>
      <c r="N31" s="320" t="s">
        <v>105</v>
      </c>
      <c r="O31" s="327" t="s">
        <v>105</v>
      </c>
      <c r="P31" s="306" t="s">
        <v>105</v>
      </c>
      <c r="Q31" s="51"/>
      <c r="R31" s="743" t="s">
        <v>18</v>
      </c>
      <c r="S31" s="231"/>
      <c r="T31" s="790">
        <f>INDEX(PEF_GEST_26!$A$3:$AAA$102,MATCH(B31,PEF_GEST_26!$A$3:$A$102,0),MATCH($T$4,PEF_GEST_26!$A$3:$AAA$3,0))</f>
        <v>823551.54593182099</v>
      </c>
      <c r="U31" s="791">
        <f>INDEX(PEF_COM_26!$A$3:$AAA$102,MATCH(C31,PEF_COM_26!$A$3:$A$102,0),MATCH($T$4,PEF_COM_26!$A$3:$AAA$3,0))</f>
        <v>23913.992320676058</v>
      </c>
      <c r="V31" s="806">
        <f t="shared" si="10"/>
        <v>847465.53825249709</v>
      </c>
      <c r="W31" s="790">
        <f>INDEX(PEF_GEST_27!$A$3:$AAA$102,MATCH(E31,PEF_GEST_27!$A$3:$A$102,0),MATCH($T$4,PEF_GEST_27!$A$3:$AAA$3,0))</f>
        <v>814002.5713115395</v>
      </c>
      <c r="X31" s="791">
        <f>INDEX(PEF_COM_27!$A$3:$AAA$102,MATCH(F31,PEF_COM_27!$A$3:$A$102,0),MATCH($T$4,PEF_COM_27!$A$3:$AAA$3,0))</f>
        <v>24185.690890676058</v>
      </c>
      <c r="Y31" s="806">
        <f t="shared" si="11"/>
        <v>838188.26220221561</v>
      </c>
      <c r="Z31" s="790">
        <f>INDEX(PEF_GEST_28!$A$3:$AAA$102,MATCH(H31,PEF_GEST_28!$A$3:$A$102,0),MATCH($T$4,PEF_GEST_28!$A$3:$AAA$3,0))</f>
        <v>680849.52973762178</v>
      </c>
      <c r="AA31" s="791">
        <f>INDEX(PEF_COM_28!$A$3:$AAA$102,MATCH(I31,PEF_COM_28!$A$3:$A$102,0),MATCH($T$4,PEF_COM_28!$A$3:$AAA$3,0))</f>
        <v>21576.013896481796</v>
      </c>
      <c r="AB31" s="806">
        <f t="shared" si="12"/>
        <v>702425.54363410361</v>
      </c>
      <c r="AC31" s="790">
        <f>INDEX(PEF_GEST_29!$A$3:$AAA$102,MATCH(K31,PEF_GEST_29!$A$3:$A$102,0),MATCH($T$4,PEF_GEST_29!$A$3:$AAA$3,0))</f>
        <v>544021.66856343171</v>
      </c>
      <c r="AD31" s="791">
        <f>INDEX(PEF_COM_29!$A$3:$AAA$102,MATCH(L31,PEF_COM_29!$A$3:$A$102,0),MATCH($T$4,PEF_COM_29!$A$3:$AAA$3,0))</f>
        <v>20354.085815461956</v>
      </c>
      <c r="AE31" s="806">
        <f t="shared" si="13"/>
        <v>564375.75437889365</v>
      </c>
      <c r="AF31" s="960"/>
      <c r="AG31" s="961"/>
      <c r="AH31" s="973"/>
      <c r="AJ31" s="1080">
        <f t="shared" si="9"/>
        <v>-9548.9746202814858</v>
      </c>
      <c r="BQ31" s="51"/>
      <c r="BR31" s="51"/>
      <c r="BS31" s="51"/>
      <c r="BT31" s="51"/>
      <c r="BU31" s="51"/>
      <c r="BV31" s="51"/>
      <c r="BW31" s="51"/>
      <c r="BX31" s="51"/>
    </row>
    <row r="32" spans="1:76" x14ac:dyDescent="0.2">
      <c r="A32" s="314" t="s">
        <v>105</v>
      </c>
      <c r="B32" s="321" t="s">
        <v>105</v>
      </c>
      <c r="C32" s="328" t="s">
        <v>105</v>
      </c>
      <c r="D32" s="309" t="s">
        <v>105</v>
      </c>
      <c r="E32" s="321" t="s">
        <v>105</v>
      </c>
      <c r="F32" s="328" t="s">
        <v>105</v>
      </c>
      <c r="G32" s="309" t="s">
        <v>105</v>
      </c>
      <c r="H32" s="321" t="s">
        <v>105</v>
      </c>
      <c r="I32" s="328" t="s">
        <v>105</v>
      </c>
      <c r="J32" s="309" t="s">
        <v>105</v>
      </c>
      <c r="K32" s="321" t="s">
        <v>105</v>
      </c>
      <c r="L32" s="328" t="s">
        <v>105</v>
      </c>
      <c r="M32" s="309" t="s">
        <v>105</v>
      </c>
      <c r="N32" s="321" t="s">
        <v>105</v>
      </c>
      <c r="O32" s="328" t="s">
        <v>105</v>
      </c>
      <c r="P32" s="309" t="s">
        <v>105</v>
      </c>
      <c r="Q32" s="51"/>
      <c r="R32" s="746" t="s">
        <v>19</v>
      </c>
      <c r="S32" s="231"/>
      <c r="T32" s="813">
        <f>SUM(T33:T36)</f>
        <v>928313.04456000007</v>
      </c>
      <c r="U32" s="814">
        <f>SUM(U33:U36)</f>
        <v>0</v>
      </c>
      <c r="V32" s="806">
        <f t="shared" si="10"/>
        <v>928313.04456000007</v>
      </c>
      <c r="W32" s="813">
        <f t="shared" ref="W32:X32" si="16">SUM(W33:W36)</f>
        <v>910110.82799999998</v>
      </c>
      <c r="X32" s="814">
        <f t="shared" si="16"/>
        <v>0</v>
      </c>
      <c r="Y32" s="806">
        <f t="shared" si="11"/>
        <v>910110.82799999998</v>
      </c>
      <c r="Z32" s="813">
        <f t="shared" ref="Z32:AA32" si="17">SUM(Z33:Z36)</f>
        <v>682583</v>
      </c>
      <c r="AA32" s="814">
        <f t="shared" si="17"/>
        <v>0</v>
      </c>
      <c r="AB32" s="806">
        <f t="shared" si="12"/>
        <v>682583</v>
      </c>
      <c r="AC32" s="813">
        <f t="shared" ref="AC32:AD32" si="18">SUM(AC33:AC36)</f>
        <v>455055</v>
      </c>
      <c r="AD32" s="814">
        <f t="shared" si="18"/>
        <v>0</v>
      </c>
      <c r="AE32" s="806">
        <f t="shared" si="13"/>
        <v>455055</v>
      </c>
      <c r="AF32" s="960"/>
      <c r="AG32" s="961"/>
      <c r="AH32" s="973"/>
      <c r="AJ32" s="1084">
        <f t="shared" si="9"/>
        <v>-18202.216560000088</v>
      </c>
      <c r="BQ32" s="51"/>
      <c r="BR32" s="51"/>
      <c r="BS32" s="51"/>
      <c r="BT32" s="51"/>
      <c r="BU32" s="51"/>
      <c r="BV32" s="51"/>
      <c r="BW32" s="51"/>
      <c r="BX32" s="51"/>
    </row>
    <row r="33" spans="1:76" x14ac:dyDescent="0.2">
      <c r="A33" s="313" t="s">
        <v>248</v>
      </c>
      <c r="B33" s="320" t="s">
        <v>3192</v>
      </c>
      <c r="C33" s="327" t="s">
        <v>3207</v>
      </c>
      <c r="D33" s="306" t="s">
        <v>105</v>
      </c>
      <c r="E33" s="320" t="s">
        <v>3349</v>
      </c>
      <c r="F33" s="327" t="s">
        <v>3364</v>
      </c>
      <c r="G33" s="306" t="s">
        <v>105</v>
      </c>
      <c r="H33" s="320" t="s">
        <v>4165</v>
      </c>
      <c r="I33" s="327" t="s">
        <v>4180</v>
      </c>
      <c r="J33" s="306" t="s">
        <v>105</v>
      </c>
      <c r="K33" s="320" t="s">
        <v>4366</v>
      </c>
      <c r="L33" s="327" t="s">
        <v>4381</v>
      </c>
      <c r="M33" s="306" t="s">
        <v>105</v>
      </c>
      <c r="N33" s="320" t="s">
        <v>105</v>
      </c>
      <c r="O33" s="327" t="s">
        <v>105</v>
      </c>
      <c r="P33" s="306" t="s">
        <v>105</v>
      </c>
      <c r="Q33" s="51"/>
      <c r="R33" s="747" t="s">
        <v>20</v>
      </c>
      <c r="S33" s="231"/>
      <c r="T33" s="807">
        <f>INDEX(PEF_GEST_26!$A$3:$AAA$102,MATCH(B33,PEF_GEST_26!$A$3:$A$102,0),MATCH($T$4,PEF_GEST_26!$A$3:$AAA$3,0))</f>
        <v>0</v>
      </c>
      <c r="U33" s="808">
        <f>INDEX(PEF_COM_26!$A$3:$AAA$102,MATCH(C33,PEF_COM_26!$A$3:$A$102,0),MATCH($T$4,PEF_COM_26!$A$3:$AAA$3,0))</f>
        <v>0</v>
      </c>
      <c r="V33" s="809">
        <f t="shared" si="10"/>
        <v>0</v>
      </c>
      <c r="W33" s="807">
        <f>INDEX(PEF_GEST_27!$A$3:$AAA$102,MATCH(E33,PEF_GEST_27!$A$3:$A$102,0),MATCH($T$4,PEF_GEST_27!$A$3:$AAA$3,0))</f>
        <v>0</v>
      </c>
      <c r="X33" s="808">
        <f>INDEX(PEF_COM_27!$A$3:$AAA$102,MATCH(F33,PEF_COM_27!$A$3:$A$102,0),MATCH($T$4,PEF_COM_27!$A$3:$AAA$3,0))</f>
        <v>0</v>
      </c>
      <c r="Y33" s="809">
        <f t="shared" si="11"/>
        <v>0</v>
      </c>
      <c r="Z33" s="807">
        <f>INDEX(PEF_GEST_28!$A$3:$AAA$102,MATCH(H33,PEF_GEST_28!$A$3:$A$102,0),MATCH($T$4,PEF_GEST_28!$A$3:$AAA$3,0))</f>
        <v>0</v>
      </c>
      <c r="AA33" s="808">
        <f>INDEX(PEF_COM_28!$A$3:$AAA$102,MATCH(I33,PEF_COM_28!$A$3:$A$102,0),MATCH($T$4,PEF_COM_28!$A$3:$AAA$3,0))</f>
        <v>0</v>
      </c>
      <c r="AB33" s="809">
        <f t="shared" si="12"/>
        <v>0</v>
      </c>
      <c r="AC33" s="807">
        <f>INDEX(PEF_GEST_29!$A$3:$AAA$102,MATCH(K33,PEF_GEST_29!$A$3:$A$102,0),MATCH($T$4,PEF_GEST_29!$A$3:$AAA$3,0))</f>
        <v>0</v>
      </c>
      <c r="AD33" s="808">
        <f>INDEX(PEF_COM_29!$A$3:$AAA$102,MATCH(L33,PEF_COM_29!$A$3:$A$102,0),MATCH($T$4,PEF_COM_29!$A$3:$AAA$3,0))</f>
        <v>0</v>
      </c>
      <c r="AE33" s="809">
        <f t="shared" si="13"/>
        <v>0</v>
      </c>
      <c r="AF33" s="960"/>
      <c r="AG33" s="961"/>
      <c r="AH33" s="973"/>
      <c r="AJ33" s="1084">
        <f t="shared" si="9"/>
        <v>0</v>
      </c>
      <c r="BQ33" s="51"/>
      <c r="BR33" s="51"/>
      <c r="BS33" s="51"/>
      <c r="BT33" s="51"/>
      <c r="BU33" s="51"/>
      <c r="BV33" s="51"/>
      <c r="BW33" s="51"/>
      <c r="BX33" s="51"/>
    </row>
    <row r="34" spans="1:76" x14ac:dyDescent="0.2">
      <c r="A34" s="313" t="s">
        <v>248</v>
      </c>
      <c r="B34" s="320" t="s">
        <v>3195</v>
      </c>
      <c r="C34" s="327" t="s">
        <v>3210</v>
      </c>
      <c r="D34" s="306" t="s">
        <v>105</v>
      </c>
      <c r="E34" s="320" t="s">
        <v>3352</v>
      </c>
      <c r="F34" s="327" t="s">
        <v>3367</v>
      </c>
      <c r="G34" s="306" t="s">
        <v>105</v>
      </c>
      <c r="H34" s="320" t="s">
        <v>4168</v>
      </c>
      <c r="I34" s="327" t="s">
        <v>4183</v>
      </c>
      <c r="J34" s="306" t="s">
        <v>105</v>
      </c>
      <c r="K34" s="320" t="s">
        <v>4369</v>
      </c>
      <c r="L34" s="327" t="s">
        <v>4384</v>
      </c>
      <c r="M34" s="306" t="s">
        <v>105</v>
      </c>
      <c r="N34" s="320" t="s">
        <v>105</v>
      </c>
      <c r="O34" s="327" t="s">
        <v>105</v>
      </c>
      <c r="P34" s="306" t="s">
        <v>105</v>
      </c>
      <c r="Q34" s="51"/>
      <c r="R34" s="748" t="s">
        <v>21</v>
      </c>
      <c r="S34" s="231"/>
      <c r="T34" s="815">
        <f>INDEX(PEF_GEST_26!$A$3:$AAA$102,MATCH(B34,PEF_GEST_26!$A$3:$A$102,0),MATCH($T$4,PEF_GEST_26!$A$3:$AAA$3,0))</f>
        <v>928313.04456000007</v>
      </c>
      <c r="U34" s="816">
        <f>INDEX(PEF_COM_26!$A$3:$AAA$102,MATCH(C34,PEF_COM_26!$A$3:$A$102,0),MATCH($T$4,PEF_COM_26!$A$3:$AAA$3,0))</f>
        <v>0</v>
      </c>
      <c r="V34" s="817">
        <f t="shared" si="10"/>
        <v>928313.04456000007</v>
      </c>
      <c r="W34" s="815">
        <f>INDEX(PEF_GEST_27!$A$3:$AAA$102,MATCH(E34,PEF_GEST_27!$A$3:$A$102,0),MATCH($T$4,PEF_GEST_27!$A$3:$AAA$3,0))</f>
        <v>910110.82799999998</v>
      </c>
      <c r="X34" s="816">
        <f>INDEX(PEF_COM_27!$A$3:$AAA$102,MATCH(F34,PEF_COM_27!$A$3:$A$102,0),MATCH($T$4,PEF_COM_27!$A$3:$AAA$3,0))</f>
        <v>0</v>
      </c>
      <c r="Y34" s="817">
        <f t="shared" si="11"/>
        <v>910110.82799999998</v>
      </c>
      <c r="Z34" s="815">
        <f>INDEX(PEF_GEST_28!$A$3:$AAA$102,MATCH(H34,PEF_GEST_28!$A$3:$A$102,0),MATCH($T$4,PEF_GEST_28!$A$3:$AAA$3,0))</f>
        <v>682583</v>
      </c>
      <c r="AA34" s="816">
        <f>INDEX(PEF_COM_28!$A$3:$AAA$102,MATCH(I34,PEF_COM_28!$A$3:$A$102,0),MATCH($T$4,PEF_COM_28!$A$3:$AAA$3,0))</f>
        <v>0</v>
      </c>
      <c r="AB34" s="817">
        <f t="shared" si="12"/>
        <v>682583</v>
      </c>
      <c r="AC34" s="815">
        <f>INDEX(PEF_GEST_29!$A$3:$AAA$102,MATCH(K34,PEF_GEST_29!$A$3:$A$102,0),MATCH($T$4,PEF_GEST_29!$A$3:$AAA$3,0))</f>
        <v>455055</v>
      </c>
      <c r="AD34" s="816">
        <f>INDEX(PEF_COM_29!$A$3:$AAA$102,MATCH(L34,PEF_COM_29!$A$3:$A$102,0),MATCH($T$4,PEF_COM_29!$A$3:$AAA$3,0))</f>
        <v>0</v>
      </c>
      <c r="AE34" s="817">
        <f t="shared" si="13"/>
        <v>455055</v>
      </c>
      <c r="AF34" s="960"/>
      <c r="AG34" s="961"/>
      <c r="AH34" s="973"/>
      <c r="AJ34" s="1085">
        <f t="shared" si="9"/>
        <v>-18202.216560000088</v>
      </c>
      <c r="BQ34" s="51"/>
      <c r="BR34" s="51"/>
      <c r="BS34" s="51"/>
      <c r="BT34" s="51"/>
      <c r="BU34" s="51"/>
      <c r="BV34" s="51"/>
      <c r="BW34" s="51"/>
      <c r="BX34" s="51"/>
    </row>
    <row r="35" spans="1:76" x14ac:dyDescent="0.2">
      <c r="A35" s="313" t="s">
        <v>248</v>
      </c>
      <c r="B35" s="320" t="s">
        <v>3198</v>
      </c>
      <c r="C35" s="327" t="s">
        <v>3213</v>
      </c>
      <c r="D35" s="306" t="s">
        <v>105</v>
      </c>
      <c r="E35" s="320" t="s">
        <v>3355</v>
      </c>
      <c r="F35" s="327" t="s">
        <v>3370</v>
      </c>
      <c r="G35" s="306" t="s">
        <v>105</v>
      </c>
      <c r="H35" s="320" t="s">
        <v>4171</v>
      </c>
      <c r="I35" s="327" t="s">
        <v>4186</v>
      </c>
      <c r="J35" s="306" t="s">
        <v>105</v>
      </c>
      <c r="K35" s="320" t="s">
        <v>4372</v>
      </c>
      <c r="L35" s="327" t="s">
        <v>4387</v>
      </c>
      <c r="M35" s="306" t="s">
        <v>105</v>
      </c>
      <c r="N35" s="320" t="s">
        <v>105</v>
      </c>
      <c r="O35" s="327" t="s">
        <v>105</v>
      </c>
      <c r="P35" s="306" t="s">
        <v>105</v>
      </c>
      <c r="Q35" s="51"/>
      <c r="R35" s="748" t="s">
        <v>22</v>
      </c>
      <c r="S35" s="231"/>
      <c r="T35" s="815">
        <f>INDEX(PEF_GEST_26!$A$3:$AAA$102,MATCH(B35,PEF_GEST_26!$A$3:$A$102,0),MATCH($T$4,PEF_GEST_26!$A$3:$AAA$3,0))</f>
        <v>0</v>
      </c>
      <c r="U35" s="816">
        <f>INDEX(PEF_COM_26!$A$3:$AAA$102,MATCH(C35,PEF_COM_26!$A$3:$A$102,0),MATCH($T$4,PEF_COM_26!$A$3:$AAA$3,0))</f>
        <v>0</v>
      </c>
      <c r="V35" s="817">
        <f t="shared" si="10"/>
        <v>0</v>
      </c>
      <c r="W35" s="815">
        <f>INDEX(PEF_GEST_27!$A$3:$AAA$102,MATCH(E35,PEF_GEST_27!$A$3:$A$102,0),MATCH($T$4,PEF_GEST_27!$A$3:$AAA$3,0))</f>
        <v>0</v>
      </c>
      <c r="X35" s="816">
        <f>INDEX(PEF_COM_27!$A$3:$AAA$102,MATCH(F35,PEF_COM_27!$A$3:$A$102,0),MATCH($T$4,PEF_COM_27!$A$3:$AAA$3,0))</f>
        <v>0</v>
      </c>
      <c r="Y35" s="817">
        <f t="shared" si="11"/>
        <v>0</v>
      </c>
      <c r="Z35" s="815">
        <f>INDEX(PEF_GEST_28!$A$3:$AAA$102,MATCH(H35,PEF_GEST_28!$A$3:$A$102,0),MATCH($T$4,PEF_GEST_28!$A$3:$AAA$3,0))</f>
        <v>0</v>
      </c>
      <c r="AA35" s="816">
        <f>INDEX(PEF_COM_28!$A$3:$AAA$102,MATCH(I35,PEF_COM_28!$A$3:$A$102,0),MATCH($T$4,PEF_COM_28!$A$3:$AAA$3,0))</f>
        <v>0</v>
      </c>
      <c r="AB35" s="817">
        <f t="shared" si="12"/>
        <v>0</v>
      </c>
      <c r="AC35" s="815">
        <f>INDEX(PEF_GEST_29!$A$3:$AAA$102,MATCH(K35,PEF_GEST_29!$A$3:$A$102,0),MATCH($T$4,PEF_GEST_29!$A$3:$AAA$3,0))</f>
        <v>0</v>
      </c>
      <c r="AD35" s="816">
        <f>INDEX(PEF_COM_29!$A$3:$AAA$102,MATCH(L35,PEF_COM_29!$A$3:$A$102,0),MATCH($T$4,PEF_COM_29!$A$3:$AAA$3,0))</f>
        <v>0</v>
      </c>
      <c r="AE35" s="817">
        <f t="shared" si="13"/>
        <v>0</v>
      </c>
      <c r="AF35" s="960"/>
      <c r="AG35" s="961"/>
      <c r="AH35" s="973"/>
      <c r="AJ35" s="1085">
        <f t="shared" si="9"/>
        <v>0</v>
      </c>
      <c r="BQ35" s="51"/>
      <c r="BR35" s="51"/>
      <c r="BS35" s="51"/>
      <c r="BT35" s="51"/>
      <c r="BU35" s="51"/>
      <c r="BV35" s="51"/>
      <c r="BW35" s="51"/>
      <c r="BX35" s="51"/>
    </row>
    <row r="36" spans="1:76" x14ac:dyDescent="0.2">
      <c r="A36" s="313" t="s">
        <v>248</v>
      </c>
      <c r="B36" s="320" t="s">
        <v>3201</v>
      </c>
      <c r="C36" s="327" t="s">
        <v>3216</v>
      </c>
      <c r="D36" s="306" t="s">
        <v>105</v>
      </c>
      <c r="E36" s="320" t="s">
        <v>3358</v>
      </c>
      <c r="F36" s="327" t="s">
        <v>3373</v>
      </c>
      <c r="G36" s="306" t="s">
        <v>105</v>
      </c>
      <c r="H36" s="320" t="s">
        <v>4174</v>
      </c>
      <c r="I36" s="327" t="s">
        <v>4189</v>
      </c>
      <c r="J36" s="306" t="s">
        <v>105</v>
      </c>
      <c r="K36" s="320" t="s">
        <v>4375</v>
      </c>
      <c r="L36" s="327" t="s">
        <v>4390</v>
      </c>
      <c r="M36" s="306" t="s">
        <v>105</v>
      </c>
      <c r="N36" s="320" t="s">
        <v>105</v>
      </c>
      <c r="O36" s="327" t="s">
        <v>105</v>
      </c>
      <c r="P36" s="306" t="s">
        <v>105</v>
      </c>
      <c r="Q36" s="51"/>
      <c r="R36" s="749" t="s">
        <v>23</v>
      </c>
      <c r="S36" s="231"/>
      <c r="T36" s="818">
        <f>INDEX(PEF_GEST_26!$A$3:$AAA$102,MATCH(B36,PEF_GEST_26!$A$3:$A$102,0),MATCH($T$4,PEF_GEST_26!$A$3:$AAA$3,0))</f>
        <v>0</v>
      </c>
      <c r="U36" s="819">
        <f>INDEX(PEF_COM_26!$A$3:$AAA$102,MATCH(C36,PEF_COM_26!$A$3:$A$102,0),MATCH($T$4,PEF_COM_26!$A$3:$AAA$3,0))</f>
        <v>0</v>
      </c>
      <c r="V36" s="820">
        <f t="shared" si="10"/>
        <v>0</v>
      </c>
      <c r="W36" s="818">
        <f>INDEX(PEF_GEST_27!$A$3:$AAA$102,MATCH(E36,PEF_GEST_27!$A$3:$A$102,0),MATCH($T$4,PEF_GEST_27!$A$3:$AAA$3,0))</f>
        <v>0</v>
      </c>
      <c r="X36" s="819">
        <f>INDEX(PEF_COM_27!$A$3:$AAA$102,MATCH(F36,PEF_COM_27!$A$3:$A$102,0),MATCH($T$4,PEF_COM_27!$A$3:$AAA$3,0))</f>
        <v>0</v>
      </c>
      <c r="Y36" s="820">
        <f t="shared" si="11"/>
        <v>0</v>
      </c>
      <c r="Z36" s="818">
        <f>INDEX(PEF_GEST_28!$A$3:$AAA$102,MATCH(H36,PEF_GEST_28!$A$3:$A$102,0),MATCH($T$4,PEF_GEST_28!$A$3:$AAA$3,0))</f>
        <v>0</v>
      </c>
      <c r="AA36" s="819">
        <f>INDEX(PEF_COM_28!$A$3:$AAA$102,MATCH(I36,PEF_COM_28!$A$3:$A$102,0),MATCH($T$4,PEF_COM_28!$A$3:$AAA$3,0))</f>
        <v>0</v>
      </c>
      <c r="AB36" s="820">
        <f t="shared" si="12"/>
        <v>0</v>
      </c>
      <c r="AC36" s="818">
        <f>INDEX(PEF_GEST_29!$A$3:$AAA$102,MATCH(K36,PEF_GEST_29!$A$3:$A$102,0),MATCH($T$4,PEF_GEST_29!$A$3:$AAA$3,0))</f>
        <v>0</v>
      </c>
      <c r="AD36" s="819">
        <f>INDEX(PEF_COM_29!$A$3:$AAA$102,MATCH(L36,PEF_COM_29!$A$3:$A$102,0),MATCH($T$4,PEF_COM_29!$A$3:$AAA$3,0))</f>
        <v>0</v>
      </c>
      <c r="AE36" s="820">
        <f t="shared" si="13"/>
        <v>0</v>
      </c>
      <c r="AF36" s="960"/>
      <c r="AG36" s="961"/>
      <c r="AH36" s="973"/>
      <c r="AJ36" s="1086">
        <f t="shared" si="9"/>
        <v>0</v>
      </c>
      <c r="BQ36" s="51"/>
      <c r="BR36" s="51"/>
      <c r="BS36" s="51"/>
      <c r="BT36" s="51"/>
      <c r="BU36" s="51"/>
      <c r="BV36" s="51"/>
      <c r="BW36" s="51"/>
      <c r="BX36" s="51"/>
    </row>
    <row r="37" spans="1:76" x14ac:dyDescent="0.2">
      <c r="A37" s="313" t="s">
        <v>248</v>
      </c>
      <c r="B37" s="320" t="s">
        <v>3222</v>
      </c>
      <c r="C37" s="327" t="s">
        <v>3225</v>
      </c>
      <c r="D37" s="306" t="s">
        <v>105</v>
      </c>
      <c r="E37" s="320" t="s">
        <v>3379</v>
      </c>
      <c r="F37" s="327" t="s">
        <v>3382</v>
      </c>
      <c r="G37" s="306" t="s">
        <v>105</v>
      </c>
      <c r="H37" s="320" t="s">
        <v>4195</v>
      </c>
      <c r="I37" s="327" t="s">
        <v>4198</v>
      </c>
      <c r="J37" s="306" t="s">
        <v>105</v>
      </c>
      <c r="K37" s="320" t="s">
        <v>4396</v>
      </c>
      <c r="L37" s="327" t="s">
        <v>4399</v>
      </c>
      <c r="M37" s="306" t="s">
        <v>105</v>
      </c>
      <c r="N37" s="320" t="s">
        <v>105</v>
      </c>
      <c r="O37" s="327" t="s">
        <v>105</v>
      </c>
      <c r="P37" s="306" t="s">
        <v>105</v>
      </c>
      <c r="Q37" s="51"/>
      <c r="R37" s="743" t="s">
        <v>24</v>
      </c>
      <c r="S37" s="231"/>
      <c r="T37" s="784">
        <f>INDEX(PEF_GEST_26!$A$3:$AAA$102,MATCH(B37,PEF_GEST_26!$A$3:$A$102,0),MATCH($T$4,PEF_GEST_26!$A$3:$AAA$3,0))</f>
        <v>600479.58791425324</v>
      </c>
      <c r="U37" s="785">
        <f>INDEX(PEF_COM_26!$A$3:$AAA$102,MATCH(C37,PEF_COM_26!$A$3:$A$102,0),MATCH($T$4,PEF_COM_26!$A$3:$AAA$3,0))</f>
        <v>30235.202642371227</v>
      </c>
      <c r="V37" s="806">
        <f t="shared" si="10"/>
        <v>630714.79055662442</v>
      </c>
      <c r="W37" s="784">
        <f>INDEX(PEF_GEST_27!$A$3:$AAA$102,MATCH(E37,PEF_GEST_27!$A$3:$A$102,0),MATCH($T$4,PEF_GEST_27!$A$3:$AAA$3,0))</f>
        <v>636502.06287353288</v>
      </c>
      <c r="X37" s="785">
        <f>INDEX(PEF_COM_27!$A$3:$AAA$102,MATCH(F37,PEF_COM_27!$A$3:$A$102,0),MATCH($T$4,PEF_COM_27!$A$3:$AAA$3,0))</f>
        <v>28716.367581554587</v>
      </c>
      <c r="Y37" s="806">
        <f t="shared" si="11"/>
        <v>665218.43045508745</v>
      </c>
      <c r="Z37" s="784">
        <f>INDEX(PEF_GEST_28!$A$3:$AAA$102,MATCH(H37,PEF_GEST_28!$A$3:$A$102,0),MATCH($T$4,PEF_GEST_28!$A$3:$AAA$3,0))</f>
        <v>582336.46389968612</v>
      </c>
      <c r="AA37" s="785">
        <f>INDEX(PEF_COM_28!$A$3:$AAA$102,MATCH(I37,PEF_COM_28!$A$3:$A$102,0),MATCH($T$4,PEF_COM_28!$A$3:$AAA$3,0))</f>
        <v>27047.554910097933</v>
      </c>
      <c r="AB37" s="806">
        <f t="shared" si="12"/>
        <v>609384.01880978409</v>
      </c>
      <c r="AC37" s="784">
        <f>INDEX(PEF_GEST_29!$A$3:$AAA$102,MATCH(K37,PEF_GEST_29!$A$3:$A$102,0),MATCH($T$4,PEF_GEST_29!$A$3:$AAA$3,0))</f>
        <v>537313.33194454387</v>
      </c>
      <c r="AD37" s="785">
        <f>INDEX(PEF_COM_29!$A$3:$AAA$102,MATCH(L37,PEF_COM_29!$A$3:$A$102,0),MATCH($T$4,PEF_COM_29!$A$3:$AAA$3,0))</f>
        <v>25558.809951240684</v>
      </c>
      <c r="AE37" s="806">
        <f t="shared" si="13"/>
        <v>562872.14189578453</v>
      </c>
      <c r="AF37" s="960"/>
      <c r="AG37" s="961"/>
      <c r="AH37" s="973"/>
      <c r="AJ37" s="1086">
        <f t="shared" si="9"/>
        <v>36022.474959279643</v>
      </c>
      <c r="BQ37" s="51"/>
      <c r="BR37" s="51"/>
      <c r="BS37" s="51"/>
      <c r="BT37" s="51"/>
      <c r="BU37" s="51"/>
      <c r="BV37" s="51"/>
      <c r="BW37" s="51"/>
      <c r="BX37" s="51"/>
    </row>
    <row r="38" spans="1:76" ht="11.4" x14ac:dyDescent="0.2">
      <c r="A38" s="313" t="s">
        <v>248</v>
      </c>
      <c r="B38" s="320" t="s">
        <v>3228</v>
      </c>
      <c r="C38" s="327" t="s">
        <v>3231</v>
      </c>
      <c r="D38" s="306" t="s">
        <v>105</v>
      </c>
      <c r="E38" s="320" t="s">
        <v>3385</v>
      </c>
      <c r="F38" s="327" t="s">
        <v>3388</v>
      </c>
      <c r="G38" s="306" t="s">
        <v>105</v>
      </c>
      <c r="H38" s="320" t="s">
        <v>4201</v>
      </c>
      <c r="I38" s="327" t="s">
        <v>4204</v>
      </c>
      <c r="J38" s="306" t="s">
        <v>105</v>
      </c>
      <c r="K38" s="320" t="s">
        <v>4402</v>
      </c>
      <c r="L38" s="327" t="s">
        <v>4405</v>
      </c>
      <c r="M38" s="306" t="s">
        <v>105</v>
      </c>
      <c r="N38" s="320" t="s">
        <v>105</v>
      </c>
      <c r="O38" s="327" t="s">
        <v>105</v>
      </c>
      <c r="P38" s="306" t="s">
        <v>105</v>
      </c>
      <c r="Q38" s="51"/>
      <c r="R38" s="745" t="s">
        <v>25</v>
      </c>
      <c r="S38" s="231"/>
      <c r="T38" s="784">
        <f>INDEX(PEF_GEST_26!$A$3:$AAA$102,MATCH(B38,PEF_GEST_26!$A$3:$A$102,0),MATCH($T$4,PEF_GEST_26!$A$3:$AAA$3,0))</f>
        <v>4787.5776740000001</v>
      </c>
      <c r="U38" s="785">
        <f>INDEX(PEF_COM_26!$A$3:$AAA$102,MATCH(C38,PEF_COM_26!$A$3:$A$102,0),MATCH($T$4,PEF_COM_26!$A$3:$AAA$3,0))</f>
        <v>0</v>
      </c>
      <c r="V38" s="806">
        <f t="shared" si="10"/>
        <v>4787.5776740000001</v>
      </c>
      <c r="W38" s="784">
        <f>INDEX(PEF_GEST_27!$A$3:$AAA$102,MATCH(E38,PEF_GEST_27!$A$3:$A$102,0),MATCH($T$4,PEF_GEST_27!$A$3:$AAA$3,0))</f>
        <v>0</v>
      </c>
      <c r="X38" s="785">
        <f>INDEX(PEF_COM_27!$A$3:$AAA$102,MATCH(F38,PEF_COM_27!$A$3:$A$102,0),MATCH($T$4,PEF_COM_27!$A$3:$AAA$3,0))</f>
        <v>0</v>
      </c>
      <c r="Y38" s="806">
        <f t="shared" si="11"/>
        <v>0</v>
      </c>
      <c r="Z38" s="784">
        <f>INDEX(PEF_GEST_28!$A$3:$AAA$102,MATCH(H38,PEF_GEST_28!$A$3:$A$102,0),MATCH($T$4,PEF_GEST_28!$A$3:$AAA$3,0))</f>
        <v>0</v>
      </c>
      <c r="AA38" s="785">
        <f>INDEX(PEF_COM_28!$A$3:$AAA$102,MATCH(I38,PEF_COM_28!$A$3:$A$102,0),MATCH($T$4,PEF_COM_28!$A$3:$AAA$3,0))</f>
        <v>0</v>
      </c>
      <c r="AB38" s="806">
        <f t="shared" si="12"/>
        <v>0</v>
      </c>
      <c r="AC38" s="784">
        <f>INDEX(PEF_GEST_29!$A$3:$AAA$102,MATCH(K38,PEF_GEST_29!$A$3:$A$102,0),MATCH($T$4,PEF_GEST_29!$A$3:$AAA$3,0))</f>
        <v>0</v>
      </c>
      <c r="AD38" s="785">
        <f>INDEX(PEF_COM_29!$A$3:$AAA$102,MATCH(L38,PEF_COM_29!$A$3:$A$102,0),MATCH($T$4,PEF_COM_29!$A$3:$AAA$3,0))</f>
        <v>0</v>
      </c>
      <c r="AE38" s="806">
        <f t="shared" si="13"/>
        <v>0</v>
      </c>
      <c r="AF38" s="960"/>
      <c r="AG38" s="961"/>
      <c r="AH38" s="973"/>
      <c r="AJ38" s="1078">
        <f t="shared" si="9"/>
        <v>-4787.5776740000001</v>
      </c>
      <c r="BQ38" s="51"/>
      <c r="BR38" s="51"/>
      <c r="BS38" s="51"/>
      <c r="BT38" s="51"/>
      <c r="BU38" s="51"/>
      <c r="BV38" s="51"/>
      <c r="BW38" s="51"/>
      <c r="BX38" s="51"/>
    </row>
    <row r="39" spans="1:76" ht="11.4" x14ac:dyDescent="0.2">
      <c r="A39" s="313" t="s">
        <v>248</v>
      </c>
      <c r="B39" s="320" t="s">
        <v>3234</v>
      </c>
      <c r="C39" s="327" t="s">
        <v>3237</v>
      </c>
      <c r="D39" s="306" t="s">
        <v>105</v>
      </c>
      <c r="E39" s="320" t="s">
        <v>3391</v>
      </c>
      <c r="F39" s="327" t="s">
        <v>3394</v>
      </c>
      <c r="G39" s="306" t="s">
        <v>105</v>
      </c>
      <c r="H39" s="320" t="s">
        <v>4207</v>
      </c>
      <c r="I39" s="327" t="s">
        <v>4210</v>
      </c>
      <c r="J39" s="306" t="s">
        <v>105</v>
      </c>
      <c r="K39" s="320" t="s">
        <v>4408</v>
      </c>
      <c r="L39" s="327" t="s">
        <v>4411</v>
      </c>
      <c r="M39" s="306" t="s">
        <v>105</v>
      </c>
      <c r="N39" s="320" t="s">
        <v>105</v>
      </c>
      <c r="O39" s="327" t="s">
        <v>105</v>
      </c>
      <c r="P39" s="306" t="s">
        <v>105</v>
      </c>
      <c r="Q39" s="51"/>
      <c r="R39" s="745" t="s">
        <v>5474</v>
      </c>
      <c r="S39" s="231"/>
      <c r="T39" s="807">
        <f>INDEX(PEF_GEST_26!$A$3:$AAA$102,MATCH(B39,PEF_GEST_26!$A$3:$A$102,0),MATCH($T$4,PEF_GEST_26!$A$3:$AAA$3,0))</f>
        <v>0</v>
      </c>
      <c r="U39" s="808">
        <f>INDEX(PEF_COM_26!$A$3:$AAA$102,MATCH(C39,PEF_COM_26!$A$3:$A$102,0),MATCH($T$4,PEF_COM_26!$A$3:$AAA$3,0))</f>
        <v>0</v>
      </c>
      <c r="V39" s="817">
        <f t="shared" si="10"/>
        <v>0</v>
      </c>
      <c r="W39" s="807">
        <f>INDEX(PEF_GEST_27!$A$3:$AAA$102,MATCH(E39,PEF_GEST_27!$A$3:$A$102,0),MATCH($T$4,PEF_GEST_27!$A$3:$AAA$3,0))</f>
        <v>0</v>
      </c>
      <c r="X39" s="808">
        <f>INDEX(PEF_COM_27!$A$3:$AAA$102,MATCH(F39,PEF_COM_27!$A$3:$A$102,0),MATCH($T$4,PEF_COM_27!$A$3:$AAA$3,0))</f>
        <v>0</v>
      </c>
      <c r="Y39" s="817">
        <f t="shared" si="11"/>
        <v>0</v>
      </c>
      <c r="Z39" s="807">
        <f>INDEX(PEF_GEST_28!$A$3:$AAA$102,MATCH(H39,PEF_GEST_28!$A$3:$A$102,0),MATCH($T$4,PEF_GEST_28!$A$3:$AAA$3,0))</f>
        <v>0</v>
      </c>
      <c r="AA39" s="808">
        <f>INDEX(PEF_COM_28!$A$3:$AAA$102,MATCH(I39,PEF_COM_28!$A$3:$A$102,0),MATCH($T$4,PEF_COM_28!$A$3:$AAA$3,0))</f>
        <v>0</v>
      </c>
      <c r="AB39" s="817">
        <f t="shared" si="12"/>
        <v>0</v>
      </c>
      <c r="AC39" s="807">
        <f>INDEX(PEF_GEST_29!$A$3:$AAA$102,MATCH(K39,PEF_GEST_29!$A$3:$A$102,0),MATCH($T$4,PEF_GEST_29!$A$3:$AAA$3,0))</f>
        <v>0</v>
      </c>
      <c r="AD39" s="808">
        <f>INDEX(PEF_COM_29!$A$3:$AAA$102,MATCH(L39,PEF_COM_29!$A$3:$A$102,0),MATCH($T$4,PEF_COM_29!$A$3:$AAA$3,0))</f>
        <v>0</v>
      </c>
      <c r="AE39" s="817">
        <f t="shared" si="13"/>
        <v>0</v>
      </c>
      <c r="AF39" s="960"/>
      <c r="AG39" s="961"/>
      <c r="AH39" s="973"/>
      <c r="AJ39" s="1079">
        <f t="shared" si="9"/>
        <v>0</v>
      </c>
      <c r="BQ39" s="51"/>
      <c r="BR39" s="51"/>
      <c r="BS39" s="51"/>
      <c r="BT39" s="51"/>
      <c r="BU39" s="51"/>
      <c r="BV39" s="51"/>
      <c r="BW39" s="51"/>
      <c r="BX39" s="51"/>
    </row>
    <row r="40" spans="1:76" x14ac:dyDescent="0.2">
      <c r="A40" s="314" t="s">
        <v>105</v>
      </c>
      <c r="B40" s="321" t="s">
        <v>105</v>
      </c>
      <c r="C40" s="328" t="s">
        <v>105</v>
      </c>
      <c r="D40" s="309" t="s">
        <v>105</v>
      </c>
      <c r="E40" s="321" t="s">
        <v>105</v>
      </c>
      <c r="F40" s="328" t="s">
        <v>105</v>
      </c>
      <c r="G40" s="309" t="s">
        <v>105</v>
      </c>
      <c r="H40" s="321" t="s">
        <v>105</v>
      </c>
      <c r="I40" s="328" t="s">
        <v>105</v>
      </c>
      <c r="J40" s="309" t="s">
        <v>105</v>
      </c>
      <c r="K40" s="321" t="s">
        <v>105</v>
      </c>
      <c r="L40" s="328" t="s">
        <v>105</v>
      </c>
      <c r="M40" s="309" t="s">
        <v>105</v>
      </c>
      <c r="N40" s="321" t="s">
        <v>105</v>
      </c>
      <c r="O40" s="328" t="s">
        <v>105</v>
      </c>
      <c r="P40" s="309" t="s">
        <v>105</v>
      </c>
      <c r="Q40" s="51"/>
      <c r="R40" s="733" t="s">
        <v>17</v>
      </c>
      <c r="S40" s="231"/>
      <c r="T40" s="821">
        <f>T38+T37+T32+T31+T39</f>
        <v>2357131.7560800742</v>
      </c>
      <c r="U40" s="822">
        <f>U38+U37+U32+U31+U39</f>
        <v>54149.194963047281</v>
      </c>
      <c r="V40" s="823">
        <f t="shared" si="10"/>
        <v>2411280.9510431215</v>
      </c>
      <c r="W40" s="821">
        <f t="shared" ref="W40:X40" si="19">W38+W37+W32+W31+W39</f>
        <v>2360615.4621850722</v>
      </c>
      <c r="X40" s="822">
        <f t="shared" si="19"/>
        <v>52902.058472230645</v>
      </c>
      <c r="Y40" s="823">
        <f t="shared" si="11"/>
        <v>2413517.5206573028</v>
      </c>
      <c r="Z40" s="821">
        <f t="shared" ref="Z40:AA40" si="20">Z38+Z37+Z32+Z31+Z39</f>
        <v>1945768.9936373078</v>
      </c>
      <c r="AA40" s="822">
        <f t="shared" si="20"/>
        <v>48623.568806579729</v>
      </c>
      <c r="AB40" s="823">
        <f t="shared" si="12"/>
        <v>1994392.5624438876</v>
      </c>
      <c r="AC40" s="821">
        <f t="shared" ref="AC40:AD40" si="21">AC38+AC37+AC32+AC31+AC39</f>
        <v>1536390.0005079755</v>
      </c>
      <c r="AD40" s="822">
        <f t="shared" si="21"/>
        <v>45912.895766702641</v>
      </c>
      <c r="AE40" s="823">
        <f t="shared" si="13"/>
        <v>1582302.8962746782</v>
      </c>
      <c r="AF40" s="960"/>
      <c r="AG40" s="961"/>
      <c r="AH40" s="962"/>
      <c r="AJ40" s="1076">
        <f t="shared" si="9"/>
        <v>3483.7061049980111</v>
      </c>
      <c r="BQ40" s="51"/>
      <c r="BR40" s="51"/>
      <c r="BS40" s="51"/>
      <c r="BT40" s="51"/>
      <c r="BU40" s="51"/>
      <c r="BV40" s="51"/>
      <c r="BW40" s="51"/>
      <c r="BX40" s="51"/>
    </row>
    <row r="41" spans="1:76" ht="11.4" x14ac:dyDescent="0.2">
      <c r="A41" s="313" t="s">
        <v>248</v>
      </c>
      <c r="B41" s="320" t="s">
        <v>1047</v>
      </c>
      <c r="C41" s="327" t="s">
        <v>1048</v>
      </c>
      <c r="D41" s="306" t="s">
        <v>105</v>
      </c>
      <c r="E41" s="320" t="s">
        <v>1020</v>
      </c>
      <c r="F41" s="327" t="s">
        <v>1021</v>
      </c>
      <c r="G41" s="306" t="s">
        <v>105</v>
      </c>
      <c r="H41" s="320" t="s">
        <v>2137</v>
      </c>
      <c r="I41" s="327" t="s">
        <v>2138</v>
      </c>
      <c r="J41" s="306" t="s">
        <v>105</v>
      </c>
      <c r="K41" s="320" t="s">
        <v>2146</v>
      </c>
      <c r="L41" s="327" t="s">
        <v>2147</v>
      </c>
      <c r="M41" s="306" t="s">
        <v>105</v>
      </c>
      <c r="N41" s="320" t="s">
        <v>105</v>
      </c>
      <c r="O41" s="327" t="s">
        <v>105</v>
      </c>
      <c r="P41" s="306" t="s">
        <v>105</v>
      </c>
      <c r="R41" s="732" t="s">
        <v>5447</v>
      </c>
      <c r="S41" s="231"/>
      <c r="T41" s="781">
        <f>INDEX(PEF_GEST_26!$A$3:$AAA$102,MATCH(B41,PEF_GEST_26!$A$3:$A$102,0),MATCH($T$4,PEF_GEST_26!$A$3:$AAA$3,0))</f>
        <v>0</v>
      </c>
      <c r="U41" s="782">
        <f>INDEX(PEF_COM_26!$A$3:$AAA$102,MATCH(C41,PEF_COM_26!$A$3:$A$102,0),MATCH($T$4,PEF_COM_26!$A$3:$AAA$3,0))</f>
        <v>0</v>
      </c>
      <c r="V41" s="805">
        <f t="shared" si="10"/>
        <v>0</v>
      </c>
      <c r="W41" s="781">
        <f>INDEX(PEF_GEST_27!$A$3:$AAA$102,MATCH(E41,PEF_GEST_27!$A$3:$A$102,0),MATCH($T$4,PEF_GEST_27!$A$3:$AAA$3,0))</f>
        <v>0</v>
      </c>
      <c r="X41" s="782">
        <f>INDEX(PEF_COM_27!$A$3:$AAA$102,MATCH(F41,PEF_COM_27!$A$3:$A$102,0),MATCH($T$4,PEF_COM_27!$A$3:$AAA$3,0))</f>
        <v>0</v>
      </c>
      <c r="Y41" s="805">
        <f t="shared" si="11"/>
        <v>0</v>
      </c>
      <c r="Z41" s="781">
        <f>INDEX(PEF_GEST_28!$A$3:$AAA$102,MATCH(H41,PEF_GEST_28!$A$3:$A$102,0),MATCH($T$4,PEF_GEST_28!$A$3:$AAA$3,0))</f>
        <v>0</v>
      </c>
      <c r="AA41" s="782">
        <f>INDEX(PEF_COM_28!$A$3:$AAA$102,MATCH(I41,PEF_COM_28!$A$3:$A$102,0),MATCH($T$4,PEF_COM_28!$A$3:$AAA$3,0))</f>
        <v>0</v>
      </c>
      <c r="AB41" s="805">
        <f t="shared" si="12"/>
        <v>0</v>
      </c>
      <c r="AC41" s="781">
        <f>INDEX(PEF_GEST_29!$A$3:$AAA$102,MATCH(K41,PEF_GEST_29!$A$3:$A$102,0),MATCH($T$4,PEF_GEST_29!$A$3:$AAA$3,0))</f>
        <v>0</v>
      </c>
      <c r="AD41" s="782">
        <f>INDEX(PEF_COM_29!$A$3:$AAA$102,MATCH(L41,PEF_COM_29!$A$3:$A$102,0),MATCH($T$4,PEF_COM_29!$A$3:$AAA$3,0))</f>
        <v>0</v>
      </c>
      <c r="AE41" s="805">
        <f t="shared" si="13"/>
        <v>0</v>
      </c>
      <c r="AF41" s="960"/>
      <c r="AG41" s="961"/>
      <c r="AH41" s="973"/>
      <c r="AJ41" s="1076">
        <f t="shared" si="9"/>
        <v>0</v>
      </c>
    </row>
    <row r="42" spans="1:76" ht="11.4" x14ac:dyDescent="0.2">
      <c r="A42" s="313" t="s">
        <v>248</v>
      </c>
      <c r="B42" s="320" t="s">
        <v>1056</v>
      </c>
      <c r="C42" s="327" t="s">
        <v>1057</v>
      </c>
      <c r="D42" s="306" t="s">
        <v>105</v>
      </c>
      <c r="E42" s="320" t="s">
        <v>1029</v>
      </c>
      <c r="F42" s="327" t="s">
        <v>1030</v>
      </c>
      <c r="G42" s="306" t="s">
        <v>105</v>
      </c>
      <c r="H42" s="320" t="s">
        <v>2181</v>
      </c>
      <c r="I42" s="327" t="s">
        <v>2182</v>
      </c>
      <c r="J42" s="306" t="s">
        <v>105</v>
      </c>
      <c r="K42" s="320" t="s">
        <v>2172</v>
      </c>
      <c r="L42" s="327" t="s">
        <v>2173</v>
      </c>
      <c r="M42" s="306" t="s">
        <v>105</v>
      </c>
      <c r="N42" s="320" t="s">
        <v>105</v>
      </c>
      <c r="O42" s="327" t="s">
        <v>105</v>
      </c>
      <c r="P42" s="306" t="s">
        <v>105</v>
      </c>
      <c r="R42" s="732" t="s">
        <v>5448</v>
      </c>
      <c r="S42" s="231"/>
      <c r="T42" s="781">
        <f>INDEX(PEF_GEST_26!$A$3:$AAA$102,MATCH(B42,PEF_GEST_26!$A$3:$A$102,0),MATCH($T$4,PEF_GEST_26!$A$3:$AAA$3,0))</f>
        <v>0</v>
      </c>
      <c r="U42" s="782">
        <f>INDEX(PEF_COM_26!$A$3:$AAA$102,MATCH(C42,PEF_COM_26!$A$3:$A$102,0),MATCH($T$4,PEF_COM_26!$A$3:$AAA$3,0))</f>
        <v>0</v>
      </c>
      <c r="V42" s="805">
        <f t="shared" si="10"/>
        <v>0</v>
      </c>
      <c r="W42" s="781">
        <f>INDEX(PEF_GEST_27!$A$3:$AAA$102,MATCH(E42,PEF_GEST_27!$A$3:$A$102,0),MATCH($T$4,PEF_GEST_27!$A$3:$AAA$3,0))</f>
        <v>0</v>
      </c>
      <c r="X42" s="782">
        <f>INDEX(PEF_COM_27!$A$3:$AAA$102,MATCH(F42,PEF_COM_27!$A$3:$A$102,0),MATCH($T$4,PEF_COM_27!$A$3:$AAA$3,0))</f>
        <v>0</v>
      </c>
      <c r="Y42" s="805">
        <f t="shared" si="11"/>
        <v>0</v>
      </c>
      <c r="Z42" s="781">
        <f>INDEX(PEF_GEST_28!$A$3:$AAA$102,MATCH(H42,PEF_GEST_28!$A$3:$A$102,0),MATCH($T$4,PEF_GEST_28!$A$3:$AAA$3,0))</f>
        <v>0</v>
      </c>
      <c r="AA42" s="782">
        <f>INDEX(PEF_COM_28!$A$3:$AAA$102,MATCH(I42,PEF_COM_28!$A$3:$A$102,0),MATCH($T$4,PEF_COM_28!$A$3:$AAA$3,0))</f>
        <v>0</v>
      </c>
      <c r="AB42" s="805">
        <f t="shared" si="12"/>
        <v>0</v>
      </c>
      <c r="AC42" s="781">
        <f>INDEX(PEF_GEST_29!$A$3:$AAA$102,MATCH(K42,PEF_GEST_29!$A$3:$A$102,0),MATCH($T$4,PEF_GEST_29!$A$3:$AAA$3,0))</f>
        <v>0</v>
      </c>
      <c r="AD42" s="782">
        <f>INDEX(PEF_COM_29!$A$3:$AAA$102,MATCH(L42,PEF_COM_29!$A$3:$A$102,0),MATCH($T$4,PEF_COM_29!$A$3:$AAA$3,0))</f>
        <v>0</v>
      </c>
      <c r="AE42" s="805">
        <f t="shared" si="13"/>
        <v>0</v>
      </c>
      <c r="AF42" s="960"/>
      <c r="AG42" s="961"/>
      <c r="AH42" s="973"/>
      <c r="AJ42" s="1076">
        <f t="shared" si="9"/>
        <v>0</v>
      </c>
    </row>
    <row r="43" spans="1:76" ht="11.4" x14ac:dyDescent="0.2">
      <c r="A43" s="313" t="s">
        <v>248</v>
      </c>
      <c r="B43" s="320" t="s">
        <v>2213</v>
      </c>
      <c r="C43" s="327" t="s">
        <v>2214</v>
      </c>
      <c r="D43" s="306" t="s">
        <v>105</v>
      </c>
      <c r="E43" s="320" t="s">
        <v>2222</v>
      </c>
      <c r="F43" s="327" t="s">
        <v>2223</v>
      </c>
      <c r="G43" s="306" t="s">
        <v>105</v>
      </c>
      <c r="H43" s="320" t="s">
        <v>2231</v>
      </c>
      <c r="I43" s="327" t="s">
        <v>2232</v>
      </c>
      <c r="J43" s="306" t="s">
        <v>105</v>
      </c>
      <c r="K43" s="320" t="s">
        <v>2240</v>
      </c>
      <c r="L43" s="327" t="s">
        <v>2241</v>
      </c>
      <c r="M43" s="306" t="s">
        <v>105</v>
      </c>
      <c r="N43" s="320" t="s">
        <v>105</v>
      </c>
      <c r="O43" s="327" t="s">
        <v>105</v>
      </c>
      <c r="P43" s="306" t="s">
        <v>105</v>
      </c>
      <c r="R43" s="732" t="s">
        <v>6410</v>
      </c>
      <c r="S43" s="231"/>
      <c r="T43" s="781">
        <f>INDEX(PEF_GEST_26!$A$3:$AAA$102,MATCH(B43,PEF_GEST_26!$A$3:$A$102,0),MATCH($T$4,PEF_GEST_26!$A$3:$AAA$3,0))</f>
        <v>534862</v>
      </c>
      <c r="U43" s="782">
        <f>INDEX(PEF_COM_26!$A$3:$AAA$102,MATCH(C43,PEF_COM_26!$A$3:$A$102,0),MATCH($T$4,PEF_COM_26!$A$3:$AAA$3,0))</f>
        <v>0</v>
      </c>
      <c r="V43" s="805">
        <f t="shared" si="10"/>
        <v>534862</v>
      </c>
      <c r="W43" s="781">
        <f>INDEX(PEF_GEST_27!$A$3:$AAA$102,MATCH(E43,PEF_GEST_27!$A$3:$A$102,0),MATCH($T$4,PEF_GEST_27!$A$3:$AAA$3,0))</f>
        <v>0</v>
      </c>
      <c r="X43" s="782">
        <f>INDEX(PEF_COM_27!$A$3:$AAA$102,MATCH(F43,PEF_COM_27!$A$3:$A$102,0),MATCH($T$4,PEF_COM_27!$A$3:$AAA$3,0))</f>
        <v>0</v>
      </c>
      <c r="Y43" s="805">
        <f t="shared" si="11"/>
        <v>0</v>
      </c>
      <c r="Z43" s="781">
        <f>INDEX(PEF_GEST_28!$A$3:$AAA$102,MATCH(H43,PEF_GEST_28!$A$3:$A$102,0),MATCH($T$4,PEF_GEST_28!$A$3:$AAA$3,0))</f>
        <v>0</v>
      </c>
      <c r="AA43" s="782">
        <f>INDEX(PEF_COM_28!$A$3:$AAA$102,MATCH(I43,PEF_COM_28!$A$3:$A$102,0),MATCH($T$4,PEF_COM_28!$A$3:$AAA$3,0))</f>
        <v>0</v>
      </c>
      <c r="AB43" s="805">
        <f t="shared" si="12"/>
        <v>0</v>
      </c>
      <c r="AC43" s="781">
        <f>INDEX(PEF_GEST_29!$A$3:$AAA$102,MATCH(K43,PEF_GEST_29!$A$3:$A$102,0),MATCH($T$4,PEF_GEST_29!$A$3:$AAA$3,0))</f>
        <v>0</v>
      </c>
      <c r="AD43" s="782">
        <f>INDEX(PEF_COM_29!$A$3:$AAA$102,MATCH(L43,PEF_COM_29!$A$3:$A$102,0),MATCH($T$4,PEF_COM_29!$A$3:$AAA$3,0))</f>
        <v>0</v>
      </c>
      <c r="AE43" s="805">
        <f t="shared" si="13"/>
        <v>0</v>
      </c>
      <c r="AF43" s="960"/>
      <c r="AG43" s="961"/>
      <c r="AH43" s="973"/>
      <c r="AJ43" s="1076">
        <f t="shared" si="9"/>
        <v>-534862</v>
      </c>
    </row>
    <row r="44" spans="1:76" ht="11.4" x14ac:dyDescent="0.2">
      <c r="A44" s="313" t="s">
        <v>248</v>
      </c>
      <c r="B44" s="320" t="s">
        <v>2285</v>
      </c>
      <c r="C44" s="327" t="s">
        <v>2286</v>
      </c>
      <c r="D44" s="306" t="s">
        <v>105</v>
      </c>
      <c r="E44" s="320" t="s">
        <v>2294</v>
      </c>
      <c r="F44" s="327" t="s">
        <v>2295</v>
      </c>
      <c r="G44" s="306" t="s">
        <v>105</v>
      </c>
      <c r="H44" s="320" t="s">
        <v>2303</v>
      </c>
      <c r="I44" s="327" t="s">
        <v>2304</v>
      </c>
      <c r="J44" s="306" t="s">
        <v>105</v>
      </c>
      <c r="K44" s="320" t="s">
        <v>2312</v>
      </c>
      <c r="L44" s="327" t="s">
        <v>2313</v>
      </c>
      <c r="M44" s="306" t="s">
        <v>105</v>
      </c>
      <c r="N44" s="320" t="s">
        <v>105</v>
      </c>
      <c r="O44" s="327" t="s">
        <v>105</v>
      </c>
      <c r="P44" s="306" t="s">
        <v>105</v>
      </c>
      <c r="R44" s="732" t="s">
        <v>6411</v>
      </c>
      <c r="S44" s="231"/>
      <c r="T44" s="781">
        <f>INDEX(PEF_GEST_26!$A$3:$AAA$102,MATCH(B44,PEF_GEST_26!$A$3:$A$102,0),MATCH($T$4,PEF_GEST_26!$A$3:$AAA$3,0))</f>
        <v>0</v>
      </c>
      <c r="U44" s="782">
        <f>INDEX(PEF_COM_26!$A$3:$AAA$102,MATCH(C44,PEF_COM_26!$A$3:$A$102,0),MATCH($T$4,PEF_COM_26!$A$3:$AAA$3,0))</f>
        <v>0</v>
      </c>
      <c r="V44" s="805">
        <f t="shared" si="10"/>
        <v>0</v>
      </c>
      <c r="W44" s="781">
        <f>INDEX(PEF_GEST_27!$A$3:$AAA$102,MATCH(E44,PEF_GEST_27!$A$3:$A$102,0),MATCH($T$4,PEF_GEST_27!$A$3:$AAA$3,0))</f>
        <v>0</v>
      </c>
      <c r="X44" s="782">
        <f>INDEX(PEF_COM_27!$A$3:$AAA$102,MATCH(F44,PEF_COM_27!$A$3:$A$102,0),MATCH($T$4,PEF_COM_27!$A$3:$AAA$3,0))</f>
        <v>0</v>
      </c>
      <c r="Y44" s="805">
        <f t="shared" si="11"/>
        <v>0</v>
      </c>
      <c r="Z44" s="781">
        <f>INDEX(PEF_GEST_28!$A$3:$AAA$102,MATCH(H44,PEF_GEST_28!$A$3:$A$102,0),MATCH($T$4,PEF_GEST_28!$A$3:$AAA$3,0))</f>
        <v>0</v>
      </c>
      <c r="AA44" s="782">
        <f>INDEX(PEF_COM_28!$A$3:$AAA$102,MATCH(I44,PEF_COM_28!$A$3:$A$102,0),MATCH($T$4,PEF_COM_28!$A$3:$AAA$3,0))</f>
        <v>0</v>
      </c>
      <c r="AB44" s="805">
        <f t="shared" si="12"/>
        <v>0</v>
      </c>
      <c r="AC44" s="781">
        <f>INDEX(PEF_GEST_29!$A$3:$AAA$102,MATCH(K44,PEF_GEST_29!$A$3:$A$102,0),MATCH($T$4,PEF_GEST_29!$A$3:$AAA$3,0))</f>
        <v>0</v>
      </c>
      <c r="AD44" s="782">
        <f>INDEX(PEF_COM_29!$A$3:$AAA$102,MATCH(L44,PEF_COM_29!$A$3:$A$102,0),MATCH($T$4,PEF_COM_29!$A$3:$AAA$3,0))</f>
        <v>0</v>
      </c>
      <c r="AE44" s="805">
        <f t="shared" si="13"/>
        <v>0</v>
      </c>
      <c r="AF44" s="960"/>
      <c r="AG44" s="961"/>
      <c r="AH44" s="973"/>
      <c r="AJ44" s="1076">
        <f t="shared" si="9"/>
        <v>0</v>
      </c>
    </row>
    <row r="45" spans="1:76" ht="11.4" x14ac:dyDescent="0.2">
      <c r="A45" s="313" t="s">
        <v>248</v>
      </c>
      <c r="B45" s="320" t="s">
        <v>1065</v>
      </c>
      <c r="C45" s="327" t="s">
        <v>1066</v>
      </c>
      <c r="D45" s="306" t="s">
        <v>105</v>
      </c>
      <c r="E45" s="320" t="s">
        <v>1038</v>
      </c>
      <c r="F45" s="327" t="s">
        <v>1039</v>
      </c>
      <c r="G45" s="306" t="s">
        <v>105</v>
      </c>
      <c r="H45" s="320" t="s">
        <v>2358</v>
      </c>
      <c r="I45" s="327" t="s">
        <v>2359</v>
      </c>
      <c r="J45" s="306" t="s">
        <v>105</v>
      </c>
      <c r="K45" s="320" t="s">
        <v>2367</v>
      </c>
      <c r="L45" s="327" t="s">
        <v>2368</v>
      </c>
      <c r="M45" s="306" t="s">
        <v>105</v>
      </c>
      <c r="N45" s="320" t="s">
        <v>105</v>
      </c>
      <c r="O45" s="327" t="s">
        <v>105</v>
      </c>
      <c r="P45" s="306" t="s">
        <v>105</v>
      </c>
      <c r="Q45" s="51"/>
      <c r="R45" s="732" t="s">
        <v>5449</v>
      </c>
      <c r="S45" s="231"/>
      <c r="T45" s="824">
        <f>INDEX(PEF_GEST_26!$A$3:$AAA$102,MATCH(B45,PEF_GEST_26!$A$3:$A$102,0),MATCH($T$4,PEF_GEST_26!$A$3:$AAA$3,0))</f>
        <v>0</v>
      </c>
      <c r="U45" s="825">
        <f>INDEX(PEF_COM_26!$A$3:$AAA$102,MATCH(C45,PEF_COM_26!$A$3:$A$102,0),MATCH($T$4,PEF_COM_26!$A$3:$AAA$3,0))</f>
        <v>0</v>
      </c>
      <c r="V45" s="805">
        <f t="shared" si="10"/>
        <v>0</v>
      </c>
      <c r="W45" s="824">
        <f>INDEX(PEF_GEST_27!$A$3:$AAA$102,MATCH(E45,PEF_GEST_27!$A$3:$A$102,0),MATCH($T$4,PEF_GEST_27!$A$3:$AAA$3,0))</f>
        <v>0</v>
      </c>
      <c r="X45" s="825">
        <f>INDEX(PEF_COM_27!$A$3:$AAA$102,MATCH(F45,PEF_COM_27!$A$3:$A$102,0),MATCH($T$4,PEF_COM_27!$A$3:$AAA$3,0))</f>
        <v>0</v>
      </c>
      <c r="Y45" s="805">
        <f t="shared" si="11"/>
        <v>0</v>
      </c>
      <c r="Z45" s="824">
        <f>INDEX(PEF_GEST_28!$A$3:$AAA$102,MATCH(H45,PEF_GEST_28!$A$3:$A$102,0),MATCH($T$4,PEF_GEST_28!$A$3:$AAA$3,0))</f>
        <v>0</v>
      </c>
      <c r="AA45" s="825">
        <f>INDEX(PEF_COM_28!$A$3:$AAA$102,MATCH(I45,PEF_COM_28!$A$3:$A$102,0),MATCH($T$4,PEF_COM_28!$A$3:$AAA$3,0))</f>
        <v>0</v>
      </c>
      <c r="AB45" s="805">
        <f t="shared" si="12"/>
        <v>0</v>
      </c>
      <c r="AC45" s="824">
        <f>INDEX(PEF_GEST_29!$A$3:$AAA$102,MATCH(K45,PEF_GEST_29!$A$3:$A$102,0),MATCH($T$4,PEF_GEST_29!$A$3:$AAA$3,0))</f>
        <v>0</v>
      </c>
      <c r="AD45" s="825">
        <f>INDEX(PEF_COM_29!$A$3:$AAA$102,MATCH(L45,PEF_COM_29!$A$3:$A$102,0),MATCH($T$4,PEF_COM_29!$A$3:$AAA$3,0))</f>
        <v>0</v>
      </c>
      <c r="AE45" s="805">
        <f t="shared" si="13"/>
        <v>0</v>
      </c>
      <c r="AF45" s="966"/>
      <c r="AG45" s="967"/>
      <c r="AH45" s="974"/>
      <c r="AJ45" s="1076">
        <f t="shared" si="9"/>
        <v>0</v>
      </c>
      <c r="BQ45" s="51"/>
      <c r="BR45" s="51"/>
      <c r="BS45" s="51"/>
      <c r="BT45" s="51"/>
      <c r="BU45" s="51"/>
      <c r="BV45" s="51"/>
      <c r="BW45" s="51"/>
      <c r="BX45" s="51"/>
    </row>
    <row r="46" spans="1:76" ht="11.4" x14ac:dyDescent="0.2">
      <c r="A46" s="313" t="s">
        <v>248</v>
      </c>
      <c r="B46" s="320" t="s">
        <v>3243</v>
      </c>
      <c r="C46" s="327" t="s">
        <v>3249</v>
      </c>
      <c r="D46" s="306" t="s">
        <v>105</v>
      </c>
      <c r="E46" s="320" t="s">
        <v>3400</v>
      </c>
      <c r="F46" s="327" t="s">
        <v>3406</v>
      </c>
      <c r="G46" s="306" t="s">
        <v>105</v>
      </c>
      <c r="H46" s="320" t="s">
        <v>4230</v>
      </c>
      <c r="I46" s="327" t="s">
        <v>4250</v>
      </c>
      <c r="J46" s="306" t="s">
        <v>105</v>
      </c>
      <c r="K46" s="320" t="s">
        <v>4429</v>
      </c>
      <c r="L46" s="327" t="s">
        <v>4447</v>
      </c>
      <c r="M46" s="306" t="s">
        <v>105</v>
      </c>
      <c r="N46" s="320" t="s">
        <v>105</v>
      </c>
      <c r="O46" s="327" t="s">
        <v>105</v>
      </c>
      <c r="P46" s="306" t="s">
        <v>105</v>
      </c>
      <c r="Q46" s="51"/>
      <c r="R46" s="734" t="s">
        <v>26</v>
      </c>
      <c r="S46" s="231"/>
      <c r="T46" s="790">
        <f>INDEX(PEF_GEST_26!$A$3:$AAA$102,MATCH(B46,PEF_GEST_26!$A$3:$A$102,0),MATCH($T$4,PEF_GEST_26!$A$3:$AAA$3,0))</f>
        <v>223989.91151016203</v>
      </c>
      <c r="U46" s="791">
        <f>INDEX(PEF_COM_26!$A$3:$AAA$102,MATCH(C46,PEF_COM_26!$A$3:$A$102,0),MATCH($T$4,PEF_COM_26!$A$3:$AAA$3,0))</f>
        <v>0</v>
      </c>
      <c r="V46" s="826">
        <f t="shared" si="10"/>
        <v>223989.91151016203</v>
      </c>
      <c r="W46" s="790">
        <f>INDEX(PEF_GEST_27!$A$3:$AAA$102,MATCH(E46,PEF_GEST_27!$A$3:$A$102,0),MATCH($T$4,PEF_GEST_27!$A$3:$AAA$3,0))</f>
        <v>601543.91975124355</v>
      </c>
      <c r="X46" s="791">
        <f>INDEX(PEF_COM_27!$A$3:$AAA$102,MATCH(F46,PEF_COM_27!$A$3:$A$102,0),MATCH($T$4,PEF_COM_27!$A$3:$AAA$3,0))</f>
        <v>0</v>
      </c>
      <c r="Y46" s="826">
        <f t="shared" si="11"/>
        <v>601543.91975124355</v>
      </c>
      <c r="Z46" s="790">
        <f>INDEX(PEF_GEST_28!$A$3:$AAA$102,MATCH(H46,PEF_GEST_28!$A$3:$A$102,0),MATCH($T$4,PEF_GEST_28!$A$3:$AAA$3,0))</f>
        <v>321686.84789391904</v>
      </c>
      <c r="AA46" s="791">
        <f>INDEX(PEF_COM_28!$A$3:$AAA$102,MATCH(I46,PEF_COM_28!$A$3:$A$102,0),MATCH($T$4,PEF_COM_28!$A$3:$AAA$3,0))</f>
        <v>0</v>
      </c>
      <c r="AB46" s="826">
        <f t="shared" si="12"/>
        <v>321686.84789391904</v>
      </c>
      <c r="AC46" s="790">
        <f>INDEX(PEF_GEST_29!$A$3:$AAA$102,MATCH(K46,PEF_GEST_29!$A$3:$A$102,0),MATCH($T$4,PEF_GEST_29!$A$3:$AAA$3,0))</f>
        <v>0</v>
      </c>
      <c r="AD46" s="791">
        <f>INDEX(PEF_COM_29!$A$3:$AAA$102,MATCH(L46,PEF_COM_29!$A$3:$A$102,0),MATCH($T$4,PEF_COM_29!$A$3:$AAA$3,0))</f>
        <v>0</v>
      </c>
      <c r="AE46" s="826">
        <f t="shared" si="13"/>
        <v>0</v>
      </c>
      <c r="AF46" s="790"/>
      <c r="AG46" s="791"/>
      <c r="AH46" s="826"/>
      <c r="AJ46" s="1080">
        <f t="shared" si="9"/>
        <v>377554.00824108149</v>
      </c>
      <c r="BQ46" s="51"/>
      <c r="BR46" s="51"/>
      <c r="BS46" s="51"/>
      <c r="BT46" s="51"/>
      <c r="BU46" s="51"/>
      <c r="BV46" s="51"/>
      <c r="BW46" s="51"/>
      <c r="BX46" s="51"/>
    </row>
    <row r="47" spans="1:76" ht="11.4" x14ac:dyDescent="0.2">
      <c r="A47" s="313" t="s">
        <v>248</v>
      </c>
      <c r="B47" s="320" t="s">
        <v>6938</v>
      </c>
      <c r="C47" s="327" t="s">
        <v>6946</v>
      </c>
      <c r="D47" s="306" t="s">
        <v>105</v>
      </c>
      <c r="E47" s="320" t="s">
        <v>6940</v>
      </c>
      <c r="F47" s="327" t="s">
        <v>6948</v>
      </c>
      <c r="G47" s="306" t="s">
        <v>105</v>
      </c>
      <c r="H47" s="320" t="s">
        <v>6942</v>
      </c>
      <c r="I47" s="327" t="s">
        <v>6950</v>
      </c>
      <c r="J47" s="306" t="s">
        <v>105</v>
      </c>
      <c r="K47" s="320" t="s">
        <v>6944</v>
      </c>
      <c r="L47" s="327" t="s">
        <v>6952</v>
      </c>
      <c r="M47" s="306" t="s">
        <v>105</v>
      </c>
      <c r="N47" s="320" t="s">
        <v>6811</v>
      </c>
      <c r="O47" s="327" t="s">
        <v>6812</v>
      </c>
      <c r="P47" s="306" t="s">
        <v>105</v>
      </c>
      <c r="Q47" s="51"/>
      <c r="R47" s="735" t="s">
        <v>5450</v>
      </c>
      <c r="S47" s="231"/>
      <c r="T47" s="827">
        <f>INDEX(PEF_GEST_26!$A$3:$AAA$102,MATCH(B47,PEF_GEST_26!$A$3:$A$102,0),MATCH($T$4,PEF_GEST_26!$A$3:$AAA$3,0))</f>
        <v>224284.56583160121</v>
      </c>
      <c r="U47" s="794">
        <f>INDEX(PEF_COM_26!$A$3:$AAA$102,MATCH(C47,PEF_COM_26!$A$3:$A$102,0),MATCH($T$4,PEF_COM_26!$A$3:$AAA$3,0))</f>
        <v>0</v>
      </c>
      <c r="V47" s="828">
        <f t="shared" si="10"/>
        <v>224284.56583160121</v>
      </c>
      <c r="W47" s="827">
        <f>INDEX(PEF_GEST_27!$A$3:$AAA$102,MATCH(E47,PEF_GEST_27!$A$3:$A$102,0),MATCH($T$4,PEF_GEST_27!$A$3:$AAA$3,0))</f>
        <v>224284.56583160121</v>
      </c>
      <c r="X47" s="794">
        <f>INDEX(PEF_COM_27!$A$3:$AAA$102,MATCH(F47,PEF_COM_27!$A$3:$A$102,0),MATCH($T$4,PEF_COM_27!$A$3:$AAA$3,0))</f>
        <v>0</v>
      </c>
      <c r="Y47" s="828">
        <f t="shared" si="11"/>
        <v>224284.56583160121</v>
      </c>
      <c r="Z47" s="827">
        <f>INDEX(PEF_GEST_28!$A$3:$AAA$102,MATCH(H47,PEF_GEST_28!$A$3:$A$102,0),MATCH($T$4,PEF_GEST_28!$A$3:$AAA$3,0))</f>
        <v>321686.84789391904</v>
      </c>
      <c r="AA47" s="794">
        <f>INDEX(PEF_COM_28!$A$3:$AAA$102,MATCH(I47,PEF_COM_28!$A$3:$A$102,0),MATCH($T$4,PEF_COM_28!$A$3:$AAA$3,0))</f>
        <v>0</v>
      </c>
      <c r="AB47" s="828">
        <f t="shared" si="12"/>
        <v>321686.84789391904</v>
      </c>
      <c r="AC47" s="827">
        <f>INDEX(PEF_GEST_29!$A$3:$AAA$102,MATCH(K47,PEF_GEST_29!$A$3:$A$102,0),MATCH($T$4,PEF_GEST_29!$A$3:$AAA$3,0))</f>
        <v>0</v>
      </c>
      <c r="AD47" s="794">
        <f>INDEX(PEF_COM_29!$A$3:$AAA$102,MATCH(L47,PEF_COM_29!$A$3:$A$102,0),MATCH($T$4,PEF_COM_29!$A$3:$AAA$3,0))</f>
        <v>0</v>
      </c>
      <c r="AE47" s="828">
        <f t="shared" si="13"/>
        <v>0</v>
      </c>
      <c r="AF47" s="793">
        <f>INDEX(IN_Rimd!$A$3:$AAA$427,MATCH(N47,IN_Rimd!$A$3:$A$427,0),MATCH($T$4,IN_Rimd!$A$3:$AAA$3,0))</f>
        <v>0</v>
      </c>
      <c r="AG47" s="794">
        <f>INDEX(IN_Rimd!$A$3:$AAA$427,MATCH(O47,IN_Rimd!$A$3:$A$427,0),MATCH($T$4,IN_Rimd!$A$3:$AAA$3,0))</f>
        <v>0</v>
      </c>
      <c r="AH47" s="828">
        <f t="shared" ref="AH47" si="22">AF47+AG47</f>
        <v>0</v>
      </c>
      <c r="AJ47" s="1079">
        <f t="shared" si="9"/>
        <v>0</v>
      </c>
      <c r="BQ47" s="51"/>
      <c r="BR47" s="51"/>
      <c r="BS47" s="51"/>
      <c r="BT47" s="51"/>
      <c r="BU47" s="51"/>
      <c r="BV47" s="51"/>
      <c r="BW47" s="51"/>
      <c r="BX47" s="51"/>
    </row>
    <row r="48" spans="1:76" x14ac:dyDescent="0.2">
      <c r="A48" s="332" t="s">
        <v>249</v>
      </c>
      <c r="B48" s="320" t="s">
        <v>105</v>
      </c>
      <c r="C48" s="327" t="s">
        <v>3252</v>
      </c>
      <c r="D48" s="306" t="s">
        <v>105</v>
      </c>
      <c r="E48" s="320" t="s">
        <v>105</v>
      </c>
      <c r="F48" s="327" t="s">
        <v>3409</v>
      </c>
      <c r="G48" s="306" t="s">
        <v>105</v>
      </c>
      <c r="H48" s="320" t="s">
        <v>105</v>
      </c>
      <c r="I48" s="327" t="s">
        <v>4253</v>
      </c>
      <c r="J48" s="306" t="s">
        <v>105</v>
      </c>
      <c r="K48" s="320" t="s">
        <v>105</v>
      </c>
      <c r="L48" s="327" t="s">
        <v>4450</v>
      </c>
      <c r="M48" s="306" t="s">
        <v>105</v>
      </c>
      <c r="N48" s="320" t="s">
        <v>105</v>
      </c>
      <c r="O48" s="327" t="s">
        <v>105</v>
      </c>
      <c r="P48" s="306" t="s">
        <v>105</v>
      </c>
      <c r="Q48" s="51"/>
      <c r="R48" s="732" t="s">
        <v>10</v>
      </c>
      <c r="S48" s="231"/>
      <c r="T48" s="829"/>
      <c r="U48" s="830">
        <f>INDEX(PEF_COM_26!$A$3:$AAA$102,MATCH(C48,PEF_COM_26!$A$3:$A$102,0),MATCH($T$4,PEF_COM_26!$A$3:$AAA$3,0))</f>
        <v>0</v>
      </c>
      <c r="V48" s="805">
        <f t="shared" si="10"/>
        <v>0</v>
      </c>
      <c r="W48" s="829"/>
      <c r="X48" s="830">
        <f>INDEX(PEF_COM_27!$A$3:$AAA$102,MATCH(F48,PEF_COM_27!$A$3:$A$102,0),MATCH($T$4,PEF_COM_27!$A$3:$AAA$3,0))</f>
        <v>0</v>
      </c>
      <c r="Y48" s="823">
        <f t="shared" si="11"/>
        <v>0</v>
      </c>
      <c r="Z48" s="829"/>
      <c r="AA48" s="830">
        <f>INDEX(PEF_COM_28!$A$3:$AAA$102,MATCH(I48,PEF_COM_28!$A$3:$A$102,0),MATCH($T$4,PEF_COM_28!$A$3:$AAA$3,0))</f>
        <v>0</v>
      </c>
      <c r="AB48" s="823">
        <f t="shared" si="12"/>
        <v>0</v>
      </c>
      <c r="AC48" s="829"/>
      <c r="AD48" s="830">
        <f>INDEX(PEF_COM_29!$A$3:$AAA$102,MATCH(L48,PEF_COM_29!$A$3:$A$102,0),MATCH($T$4,PEF_COM_29!$A$3:$AAA$3,0))</f>
        <v>0</v>
      </c>
      <c r="AE48" s="823">
        <f t="shared" si="13"/>
        <v>0</v>
      </c>
      <c r="AF48" s="981"/>
      <c r="AG48" s="982"/>
      <c r="AH48" s="959"/>
      <c r="AJ48" s="1076">
        <f t="shared" si="9"/>
        <v>0</v>
      </c>
      <c r="BQ48" s="51"/>
      <c r="BR48" s="51"/>
      <c r="BS48" s="51"/>
      <c r="BT48" s="51"/>
      <c r="BU48" s="51"/>
      <c r="BV48" s="51"/>
      <c r="BW48" s="51"/>
      <c r="BX48" s="51"/>
    </row>
    <row r="49" spans="1:76" ht="21" thickBot="1" x14ac:dyDescent="0.25">
      <c r="A49" s="314" t="s">
        <v>105</v>
      </c>
      <c r="B49" s="321" t="s">
        <v>105</v>
      </c>
      <c r="C49" s="328" t="s">
        <v>105</v>
      </c>
      <c r="D49" s="309" t="s">
        <v>105</v>
      </c>
      <c r="E49" s="321" t="s">
        <v>105</v>
      </c>
      <c r="F49" s="328" t="s">
        <v>105</v>
      </c>
      <c r="G49" s="309" t="s">
        <v>105</v>
      </c>
      <c r="H49" s="321" t="s">
        <v>105</v>
      </c>
      <c r="I49" s="328" t="s">
        <v>105</v>
      </c>
      <c r="J49" s="309" t="s">
        <v>105</v>
      </c>
      <c r="K49" s="321" t="s">
        <v>105</v>
      </c>
      <c r="L49" s="328" t="s">
        <v>105</v>
      </c>
      <c r="M49" s="309" t="s">
        <v>105</v>
      </c>
      <c r="N49" s="321" t="s">
        <v>105</v>
      </c>
      <c r="O49" s="328" t="s">
        <v>105</v>
      </c>
      <c r="P49" s="309" t="s">
        <v>105</v>
      </c>
      <c r="Q49" s="51"/>
      <c r="R49" s="236" t="s">
        <v>6369</v>
      </c>
      <c r="S49" s="231"/>
      <c r="T49" s="796">
        <f>T25+T30+T40+T41+T42+T43+T45+T44+T46+T48</f>
        <v>7666727.8733342364</v>
      </c>
      <c r="U49" s="797">
        <f>U25+U30+U40+U41+U42+U43+U45+U44+U46+U48</f>
        <v>54149.194963047281</v>
      </c>
      <c r="V49" s="831">
        <f t="shared" si="10"/>
        <v>7720877.0682972837</v>
      </c>
      <c r="W49" s="832">
        <f t="shared" ref="W49:X49" si="23">W25+W30+W40+W41+W42+W43+W45+W44+W46+W48</f>
        <v>7902432.5896523148</v>
      </c>
      <c r="X49" s="833">
        <f t="shared" si="23"/>
        <v>52902.058472230645</v>
      </c>
      <c r="Y49" s="834">
        <f t="shared" si="11"/>
        <v>7955334.6481245458</v>
      </c>
      <c r="Z49" s="832">
        <f t="shared" ref="Z49:AA49" si="24">Z25+Z30+Z40+Z41+Z42+Z43+Z45+Z44+Z46+Z48</f>
        <v>7207729.0492472257</v>
      </c>
      <c r="AA49" s="833">
        <f t="shared" si="24"/>
        <v>48623.568806579729</v>
      </c>
      <c r="AB49" s="834">
        <f t="shared" si="12"/>
        <v>7256352.6180538051</v>
      </c>
      <c r="AC49" s="832">
        <f t="shared" ref="AC49:AD49" si="25">AC25+AC30+AC40+AC41+AC42+AC43+AC45+AC44+AC46+AC48</f>
        <v>6476663.2082239743</v>
      </c>
      <c r="AD49" s="833">
        <f t="shared" si="25"/>
        <v>45912.895766702641</v>
      </c>
      <c r="AE49" s="834">
        <f t="shared" si="13"/>
        <v>6522576.1039906768</v>
      </c>
      <c r="AF49" s="975"/>
      <c r="AG49" s="976"/>
      <c r="AH49" s="983"/>
      <c r="AJ49" s="797">
        <f t="shared" si="9"/>
        <v>235704.71631807834</v>
      </c>
      <c r="BQ49" s="51"/>
      <c r="BR49" s="51"/>
      <c r="BS49" s="51"/>
      <c r="BT49" s="51"/>
      <c r="BU49" s="51"/>
      <c r="BV49" s="51"/>
      <c r="BW49" s="51"/>
      <c r="BX49" s="51"/>
    </row>
    <row r="50" spans="1:76" s="226" customFormat="1" ht="8.25" customHeight="1" thickBot="1" x14ac:dyDescent="0.25">
      <c r="A50" s="314" t="s">
        <v>105</v>
      </c>
      <c r="B50" s="321" t="s">
        <v>105</v>
      </c>
      <c r="C50" s="328" t="s">
        <v>105</v>
      </c>
      <c r="D50" s="309" t="s">
        <v>105</v>
      </c>
      <c r="E50" s="321" t="s">
        <v>105</v>
      </c>
      <c r="F50" s="328" t="s">
        <v>105</v>
      </c>
      <c r="G50" s="309" t="s">
        <v>105</v>
      </c>
      <c r="H50" s="321" t="s">
        <v>105</v>
      </c>
      <c r="I50" s="328" t="s">
        <v>105</v>
      </c>
      <c r="J50" s="309" t="s">
        <v>105</v>
      </c>
      <c r="K50" s="321" t="s">
        <v>105</v>
      </c>
      <c r="L50" s="328" t="s">
        <v>105</v>
      </c>
      <c r="M50" s="309" t="s">
        <v>105</v>
      </c>
      <c r="N50" s="321" t="s">
        <v>105</v>
      </c>
      <c r="O50" s="328" t="s">
        <v>105</v>
      </c>
      <c r="P50" s="309" t="s">
        <v>105</v>
      </c>
      <c r="R50" s="240"/>
      <c r="S50" s="231"/>
      <c r="T50" s="835"/>
      <c r="U50" s="836"/>
      <c r="V50" s="837"/>
      <c r="W50" s="835"/>
      <c r="X50" s="836"/>
      <c r="Y50" s="837"/>
      <c r="Z50" s="835"/>
      <c r="AA50" s="836"/>
      <c r="AB50" s="837"/>
      <c r="AC50" s="835"/>
      <c r="AD50" s="836"/>
      <c r="AE50" s="837"/>
      <c r="AF50" s="299"/>
      <c r="AG50" s="264"/>
      <c r="AH50" s="273"/>
    </row>
    <row r="51" spans="1:76" ht="20.100000000000001" customHeight="1" x14ac:dyDescent="0.2">
      <c r="A51" s="313" t="s">
        <v>248</v>
      </c>
      <c r="B51" s="320" t="s">
        <v>3261</v>
      </c>
      <c r="C51" s="327" t="s">
        <v>5263</v>
      </c>
      <c r="D51" s="306" t="s">
        <v>105</v>
      </c>
      <c r="E51" s="320" t="s">
        <v>5504</v>
      </c>
      <c r="F51" s="327" t="s">
        <v>5665</v>
      </c>
      <c r="G51" s="306" t="s">
        <v>105</v>
      </c>
      <c r="H51" s="320" t="s">
        <v>5535</v>
      </c>
      <c r="I51" s="327" t="s">
        <v>5639</v>
      </c>
      <c r="J51" s="306" t="s">
        <v>105</v>
      </c>
      <c r="K51" s="320" t="s">
        <v>5578</v>
      </c>
      <c r="L51" s="327" t="s">
        <v>5613</v>
      </c>
      <c r="M51" s="306" t="s">
        <v>105</v>
      </c>
      <c r="N51" s="320" t="s">
        <v>105</v>
      </c>
      <c r="O51" s="327" t="s">
        <v>105</v>
      </c>
      <c r="P51" s="306" t="s">
        <v>105</v>
      </c>
      <c r="Q51" s="51"/>
      <c r="R51" s="242" t="s">
        <v>110</v>
      </c>
      <c r="S51" s="231"/>
      <c r="T51" s="838">
        <f>INDEX(PEF_GEST_26!$A$3:$AAA$102,MATCH(B51,PEF_GEST_26!$A$3:$A$102,0),MATCH($T$4,PEF_GEST_26!$A$3:$AAA$3,0))</f>
        <v>16702352.609340202</v>
      </c>
      <c r="U51" s="839">
        <f>INDEX(PEF_COM_26!$A$3:$AAA$102,MATCH(C51,PEF_COM_26!$A$3:$A$102,0),MATCH($T$4,PEF_COM_26!$A$3:$AAA$3,0))</f>
        <v>54149.194963047281</v>
      </c>
      <c r="V51" s="840">
        <f t="shared" ref="V51" si="26">T51+U51</f>
        <v>16756501.804303249</v>
      </c>
      <c r="W51" s="838">
        <f>INDEX(PEF_GEST_27!$A$3:$AAA$102,MATCH(E51,PEF_GEST_27!$A$3:$A$102,0),MATCH($T$4,PEF_GEST_27!$A$3:$AAA$3,0))</f>
        <v>18490437.041550688</v>
      </c>
      <c r="X51" s="839">
        <f>INDEX(PEF_COM_27!$A$3:$AAA$102,MATCH(F51,PEF_COM_27!$A$3:$A$102,0),MATCH($T$4,PEF_COM_27!$A$3:$AAA$3,0))</f>
        <v>52902.058472230645</v>
      </c>
      <c r="Y51" s="840">
        <f t="shared" ref="Y51" si="27">W51+X51</f>
        <v>18543339.100022919</v>
      </c>
      <c r="Z51" s="838">
        <f>INDEX(PEF_GEST_28!$A$3:$AAA$102,MATCH(H51,PEF_GEST_28!$A$3:$A$102,0),MATCH($T$4,PEF_GEST_28!$A$3:$AAA$3,0))</f>
        <v>17302068.044212647</v>
      </c>
      <c r="AA51" s="839">
        <f>INDEX(PEF_COM_28!$A$3:$AAA$102,MATCH(I51,PEF_COM_28!$A$3:$A$102,0),MATCH($T$4,PEF_COM_28!$A$3:$AAA$3,0))</f>
        <v>48623.568806579729</v>
      </c>
      <c r="AB51" s="840">
        <f t="shared" ref="AB51" si="28">Z51+AA51</f>
        <v>17350691.613019228</v>
      </c>
      <c r="AC51" s="838">
        <f>INDEX(PEF_GEST_29!$A$3:$AAA$102,MATCH(K51,PEF_GEST_29!$A$3:$A$102,0),MATCH($T$4,PEF_GEST_29!$A$3:$AAA$3,0))</f>
        <v>16232966.803433575</v>
      </c>
      <c r="AD51" s="839">
        <f>INDEX(PEF_COM_29!$A$3:$AAA$102,MATCH(L51,PEF_COM_29!$A$3:$A$102,0),MATCH($T$4,PEF_COM_29!$A$3:$AAA$3,0))</f>
        <v>45912.895766702641</v>
      </c>
      <c r="AE51" s="840">
        <f t="shared" ref="AE51" si="29">AC51+AD51</f>
        <v>16278879.699200278</v>
      </c>
      <c r="AF51" s="275"/>
      <c r="AH51" s="280"/>
      <c r="AJ51" s="1087">
        <f t="shared" si="9"/>
        <v>1788084.4322104864</v>
      </c>
      <c r="BQ51" s="51"/>
      <c r="BR51" s="51"/>
      <c r="BS51" s="51"/>
      <c r="BT51" s="51"/>
      <c r="BU51" s="51"/>
      <c r="BV51" s="51"/>
      <c r="BW51" s="51"/>
      <c r="BX51" s="51"/>
    </row>
    <row r="52" spans="1:76" ht="20.100000000000001" customHeight="1" thickBot="1" x14ac:dyDescent="0.25">
      <c r="A52" s="314" t="s">
        <v>105</v>
      </c>
      <c r="B52" s="321" t="s">
        <v>105</v>
      </c>
      <c r="C52" s="328" t="s">
        <v>105</v>
      </c>
      <c r="D52" s="309" t="s">
        <v>105</v>
      </c>
      <c r="E52" s="321" t="s">
        <v>105</v>
      </c>
      <c r="F52" s="328" t="s">
        <v>105</v>
      </c>
      <c r="G52" s="309" t="s">
        <v>105</v>
      </c>
      <c r="H52" s="321" t="s">
        <v>105</v>
      </c>
      <c r="I52" s="328" t="s">
        <v>105</v>
      </c>
      <c r="J52" s="309" t="s">
        <v>105</v>
      </c>
      <c r="K52" s="321" t="s">
        <v>105</v>
      </c>
      <c r="L52" s="328" t="s">
        <v>105</v>
      </c>
      <c r="M52" s="309" t="s">
        <v>105</v>
      </c>
      <c r="N52" s="321" t="s">
        <v>105</v>
      </c>
      <c r="O52" s="328" t="s">
        <v>105</v>
      </c>
      <c r="P52" s="309" t="s">
        <v>105</v>
      </c>
      <c r="Q52" s="51"/>
      <c r="R52" s="243" t="s">
        <v>111</v>
      </c>
      <c r="S52" s="231"/>
      <c r="T52" s="796">
        <f t="shared" ref="T52:AE52" si="30">+T23+T49</f>
        <v>16702352.609340204</v>
      </c>
      <c r="U52" s="797">
        <f t="shared" si="30"/>
        <v>54149.194963047281</v>
      </c>
      <c r="V52" s="798">
        <f t="shared" si="30"/>
        <v>16756501.804303251</v>
      </c>
      <c r="W52" s="796">
        <f t="shared" si="30"/>
        <v>18490437.041550688</v>
      </c>
      <c r="X52" s="797">
        <f t="shared" si="30"/>
        <v>52902.058472230645</v>
      </c>
      <c r="Y52" s="798">
        <f t="shared" si="30"/>
        <v>18543339.100022919</v>
      </c>
      <c r="Z52" s="796">
        <f t="shared" si="30"/>
        <v>17302068.044212647</v>
      </c>
      <c r="AA52" s="797">
        <f t="shared" si="30"/>
        <v>48623.568806579729</v>
      </c>
      <c r="AB52" s="798">
        <f t="shared" si="30"/>
        <v>17350691.613019224</v>
      </c>
      <c r="AC52" s="796">
        <f t="shared" si="30"/>
        <v>16232966.803433575</v>
      </c>
      <c r="AD52" s="797">
        <f t="shared" si="30"/>
        <v>45912.895766702641</v>
      </c>
      <c r="AE52" s="798">
        <f t="shared" si="30"/>
        <v>16278879.699200276</v>
      </c>
      <c r="AF52" s="275"/>
      <c r="AH52" s="280"/>
      <c r="AJ52" s="797">
        <f t="shared" si="9"/>
        <v>1788084.4322104845</v>
      </c>
      <c r="BQ52" s="51"/>
      <c r="BR52" s="51"/>
      <c r="BS52" s="51"/>
      <c r="BT52" s="51"/>
      <c r="BU52" s="51"/>
      <c r="BV52" s="51"/>
      <c r="BW52" s="51"/>
      <c r="BX52" s="51"/>
    </row>
    <row r="53" spans="1:76" s="226" customFormat="1" ht="20.100000000000001" customHeight="1" thickBot="1" x14ac:dyDescent="0.25">
      <c r="A53" s="314" t="s">
        <v>105</v>
      </c>
      <c r="B53" s="321" t="s">
        <v>105</v>
      </c>
      <c r="C53" s="328" t="s">
        <v>105</v>
      </c>
      <c r="D53" s="309" t="s">
        <v>105</v>
      </c>
      <c r="E53" s="321" t="s">
        <v>105</v>
      </c>
      <c r="F53" s="328" t="s">
        <v>105</v>
      </c>
      <c r="G53" s="309" t="s">
        <v>105</v>
      </c>
      <c r="H53" s="321" t="s">
        <v>105</v>
      </c>
      <c r="I53" s="328" t="s">
        <v>105</v>
      </c>
      <c r="J53" s="309" t="s">
        <v>105</v>
      </c>
      <c r="K53" s="321" t="s">
        <v>105</v>
      </c>
      <c r="L53" s="328" t="s">
        <v>105</v>
      </c>
      <c r="M53" s="309" t="s">
        <v>105</v>
      </c>
      <c r="N53" s="321" t="s">
        <v>105</v>
      </c>
      <c r="O53" s="328" t="s">
        <v>105</v>
      </c>
      <c r="P53" s="309" t="s">
        <v>105</v>
      </c>
      <c r="R53" s="861"/>
      <c r="S53" s="231"/>
      <c r="T53" s="862"/>
      <c r="U53" s="863"/>
      <c r="V53" s="864"/>
      <c r="W53" s="865"/>
      <c r="X53" s="863"/>
      <c r="Y53" s="864"/>
      <c r="Z53" s="865"/>
      <c r="AA53" s="863"/>
      <c r="AB53" s="864"/>
      <c r="AC53" s="865"/>
      <c r="AD53" s="863"/>
      <c r="AE53" s="864"/>
      <c r="AF53" s="771"/>
      <c r="AG53" s="772"/>
      <c r="AH53" s="773"/>
    </row>
    <row r="54" spans="1:76" s="226" customFormat="1" x14ac:dyDescent="0.2">
      <c r="A54" s="305"/>
      <c r="B54" s="324"/>
      <c r="C54" s="331"/>
      <c r="D54" s="305"/>
      <c r="E54" s="324"/>
      <c r="F54" s="331"/>
      <c r="G54" s="305"/>
      <c r="H54" s="324"/>
      <c r="I54" s="331"/>
      <c r="J54" s="305"/>
      <c r="K54" s="324"/>
      <c r="L54" s="331"/>
      <c r="M54" s="305"/>
      <c r="N54" s="990"/>
      <c r="O54" s="991"/>
      <c r="P54" s="992"/>
    </row>
    <row r="55" spans="1:76" s="226" customFormat="1" x14ac:dyDescent="0.2">
      <c r="A55" s="305"/>
      <c r="B55" s="324"/>
      <c r="C55" s="331"/>
      <c r="D55" s="305"/>
      <c r="E55" s="324"/>
      <c r="F55" s="331"/>
      <c r="G55" s="305"/>
      <c r="H55" s="324"/>
      <c r="I55" s="331"/>
      <c r="J55" s="305"/>
      <c r="K55" s="324"/>
      <c r="L55" s="331"/>
      <c r="M55" s="305"/>
      <c r="N55" s="319"/>
      <c r="O55" s="326"/>
      <c r="P55" s="85"/>
    </row>
    <row r="56" spans="1:76" s="226" customFormat="1" x14ac:dyDescent="0.2">
      <c r="A56" s="305"/>
      <c r="B56" s="324"/>
      <c r="C56" s="331"/>
      <c r="D56" s="305"/>
      <c r="E56" s="324"/>
      <c r="F56" s="331"/>
      <c r="G56" s="305"/>
      <c r="H56" s="324"/>
      <c r="I56" s="331"/>
      <c r="J56" s="305"/>
      <c r="K56" s="324"/>
      <c r="L56" s="331"/>
      <c r="M56" s="305"/>
      <c r="N56" s="319"/>
      <c r="O56" s="326"/>
      <c r="P56" s="85"/>
    </row>
    <row r="57" spans="1:76" s="226" customFormat="1" x14ac:dyDescent="0.2">
      <c r="A57" s="305"/>
      <c r="B57" s="324"/>
      <c r="C57" s="331"/>
      <c r="D57" s="305"/>
      <c r="E57" s="324"/>
      <c r="F57" s="331"/>
      <c r="G57" s="305"/>
      <c r="H57" s="324"/>
      <c r="I57" s="331"/>
      <c r="J57" s="305"/>
      <c r="K57" s="324"/>
      <c r="L57" s="331"/>
      <c r="M57" s="305"/>
      <c r="N57" s="319"/>
      <c r="O57" s="326"/>
      <c r="P57" s="85"/>
    </row>
    <row r="58" spans="1:76" s="226" customFormat="1" x14ac:dyDescent="0.2">
      <c r="A58" s="305"/>
      <c r="B58" s="324"/>
      <c r="C58" s="331"/>
      <c r="D58" s="305"/>
      <c r="E58" s="324"/>
      <c r="F58" s="331"/>
      <c r="G58" s="305"/>
      <c r="H58" s="324"/>
      <c r="I58" s="331"/>
      <c r="J58" s="305"/>
      <c r="K58" s="324"/>
      <c r="L58" s="331"/>
      <c r="M58" s="305"/>
      <c r="N58" s="319"/>
      <c r="O58" s="326"/>
      <c r="P58" s="85"/>
    </row>
    <row r="59" spans="1:76" s="226" customFormat="1" x14ac:dyDescent="0.2">
      <c r="A59" s="305"/>
      <c r="B59" s="324"/>
      <c r="C59" s="331"/>
      <c r="D59" s="305"/>
      <c r="E59" s="324"/>
      <c r="F59" s="331"/>
      <c r="G59" s="305"/>
      <c r="H59" s="324"/>
      <c r="I59" s="331"/>
      <c r="J59" s="305"/>
      <c r="K59" s="324"/>
      <c r="L59" s="331"/>
      <c r="M59" s="305"/>
      <c r="N59" s="319"/>
      <c r="O59" s="326"/>
      <c r="P59" s="85"/>
    </row>
    <row r="60" spans="1:76" s="226" customFormat="1" x14ac:dyDescent="0.2">
      <c r="A60" s="305"/>
      <c r="B60" s="324"/>
      <c r="C60" s="331"/>
      <c r="D60" s="305"/>
      <c r="E60" s="324"/>
      <c r="F60" s="331"/>
      <c r="G60" s="305"/>
      <c r="H60" s="324"/>
      <c r="I60" s="331"/>
      <c r="J60" s="305"/>
      <c r="K60" s="324"/>
      <c r="L60" s="331"/>
      <c r="M60" s="305"/>
      <c r="N60" s="319"/>
      <c r="O60" s="326"/>
      <c r="P60" s="85"/>
    </row>
    <row r="61" spans="1:76" s="226" customFormat="1" x14ac:dyDescent="0.2">
      <c r="A61" s="305"/>
      <c r="B61" s="324"/>
      <c r="C61" s="331"/>
      <c r="D61" s="305"/>
      <c r="E61" s="324"/>
      <c r="F61" s="331"/>
      <c r="G61" s="305"/>
      <c r="H61" s="324"/>
      <c r="I61" s="331"/>
      <c r="J61" s="305"/>
      <c r="K61" s="324"/>
      <c r="L61" s="331"/>
      <c r="M61" s="305"/>
      <c r="N61" s="319"/>
      <c r="O61" s="326"/>
      <c r="P61" s="85"/>
    </row>
    <row r="62" spans="1:76" s="226" customFormat="1" x14ac:dyDescent="0.2">
      <c r="A62" s="305"/>
      <c r="B62" s="324"/>
      <c r="C62" s="331"/>
      <c r="D62" s="305"/>
      <c r="E62" s="324"/>
      <c r="F62" s="331"/>
      <c r="G62" s="305"/>
      <c r="H62" s="324"/>
      <c r="I62" s="331"/>
      <c r="J62" s="305"/>
      <c r="K62" s="324"/>
      <c r="L62" s="331"/>
      <c r="M62" s="305"/>
      <c r="N62" s="319"/>
      <c r="O62" s="326"/>
      <c r="P62" s="85"/>
    </row>
    <row r="63" spans="1:76" s="226" customFormat="1" x14ac:dyDescent="0.2">
      <c r="A63" s="305"/>
      <c r="B63" s="324"/>
      <c r="C63" s="331"/>
      <c r="D63" s="305"/>
      <c r="E63" s="324"/>
      <c r="F63" s="331"/>
      <c r="G63" s="305"/>
      <c r="H63" s="324"/>
      <c r="I63" s="331"/>
      <c r="J63" s="305"/>
      <c r="K63" s="324"/>
      <c r="L63" s="331"/>
      <c r="M63" s="305"/>
      <c r="N63" s="319"/>
      <c r="O63" s="326"/>
      <c r="P63" s="85"/>
    </row>
    <row r="64" spans="1:76" s="226" customFormat="1" x14ac:dyDescent="0.2">
      <c r="A64" s="305"/>
      <c r="B64" s="324"/>
      <c r="C64" s="331"/>
      <c r="D64" s="305"/>
      <c r="E64" s="324"/>
      <c r="F64" s="331"/>
      <c r="G64" s="305"/>
      <c r="H64" s="324"/>
      <c r="I64" s="331"/>
      <c r="J64" s="305"/>
      <c r="K64" s="324"/>
      <c r="L64" s="331"/>
      <c r="M64" s="305"/>
      <c r="N64" s="319"/>
      <c r="O64" s="326"/>
      <c r="P64" s="85"/>
    </row>
    <row r="65" spans="1:16" s="226" customFormat="1" x14ac:dyDescent="0.2">
      <c r="A65" s="305"/>
      <c r="B65" s="324"/>
      <c r="C65" s="331"/>
      <c r="D65" s="305"/>
      <c r="E65" s="324"/>
      <c r="F65" s="331"/>
      <c r="G65" s="305"/>
      <c r="H65" s="324"/>
      <c r="I65" s="331"/>
      <c r="J65" s="305"/>
      <c r="K65" s="324"/>
      <c r="L65" s="331"/>
      <c r="M65" s="305"/>
      <c r="N65" s="319"/>
      <c r="O65" s="326"/>
      <c r="P65" s="85"/>
    </row>
    <row r="66" spans="1:16" s="226" customFormat="1" x14ac:dyDescent="0.2">
      <c r="A66" s="305"/>
      <c r="B66" s="324"/>
      <c r="C66" s="331"/>
      <c r="D66" s="305"/>
      <c r="E66" s="324"/>
      <c r="F66" s="331"/>
      <c r="G66" s="305"/>
      <c r="H66" s="324"/>
      <c r="I66" s="331"/>
      <c r="J66" s="305"/>
      <c r="K66" s="324"/>
      <c r="L66" s="331"/>
      <c r="M66" s="305"/>
      <c r="N66" s="319"/>
      <c r="O66" s="326"/>
      <c r="P66" s="85"/>
    </row>
    <row r="67" spans="1:16" s="226" customFormat="1" x14ac:dyDescent="0.2">
      <c r="A67" s="305"/>
      <c r="B67" s="324"/>
      <c r="C67" s="331"/>
      <c r="D67" s="305"/>
      <c r="E67" s="324"/>
      <c r="F67" s="331"/>
      <c r="G67" s="305"/>
      <c r="H67" s="324"/>
      <c r="I67" s="331"/>
      <c r="J67" s="305"/>
      <c r="K67" s="324"/>
      <c r="L67" s="331"/>
      <c r="M67" s="305"/>
      <c r="N67" s="319"/>
      <c r="O67" s="326"/>
      <c r="P67" s="85"/>
    </row>
    <row r="68" spans="1:16" s="226" customFormat="1" x14ac:dyDescent="0.2">
      <c r="A68" s="305"/>
      <c r="B68" s="324"/>
      <c r="C68" s="331"/>
      <c r="D68" s="305"/>
      <c r="E68" s="324"/>
      <c r="F68" s="331"/>
      <c r="G68" s="305"/>
      <c r="H68" s="324"/>
      <c r="I68" s="331"/>
      <c r="J68" s="305"/>
      <c r="K68" s="324"/>
      <c r="L68" s="331"/>
      <c r="M68" s="305"/>
      <c r="N68" s="319"/>
      <c r="O68" s="326"/>
      <c r="P68" s="85"/>
    </row>
    <row r="69" spans="1:16" s="226" customFormat="1" x14ac:dyDescent="0.2">
      <c r="A69" s="305"/>
      <c r="B69" s="324"/>
      <c r="C69" s="331"/>
      <c r="D69" s="305"/>
      <c r="E69" s="324"/>
      <c r="F69" s="331"/>
      <c r="G69" s="305"/>
      <c r="H69" s="324"/>
      <c r="I69" s="331"/>
      <c r="J69" s="305"/>
      <c r="K69" s="324"/>
      <c r="L69" s="331"/>
      <c r="M69" s="305"/>
      <c r="N69" s="319"/>
      <c r="O69" s="326"/>
      <c r="P69" s="85"/>
    </row>
    <row r="70" spans="1:16" s="226" customFormat="1" x14ac:dyDescent="0.2">
      <c r="A70" s="305"/>
      <c r="B70" s="324"/>
      <c r="C70" s="331"/>
      <c r="D70" s="305"/>
      <c r="E70" s="324"/>
      <c r="F70" s="331"/>
      <c r="G70" s="305"/>
      <c r="H70" s="324"/>
      <c r="I70" s="331"/>
      <c r="J70" s="305"/>
      <c r="K70" s="324"/>
      <c r="L70" s="331"/>
      <c r="M70" s="305"/>
      <c r="N70" s="319"/>
      <c r="O70" s="326"/>
      <c r="P70" s="85"/>
    </row>
    <row r="71" spans="1:16" s="226" customFormat="1" x14ac:dyDescent="0.2">
      <c r="A71" s="305"/>
      <c r="B71" s="324"/>
      <c r="C71" s="331"/>
      <c r="D71" s="305"/>
      <c r="E71" s="324"/>
      <c r="F71" s="331"/>
      <c r="G71" s="305"/>
      <c r="H71" s="324"/>
      <c r="I71" s="331"/>
      <c r="J71" s="305"/>
      <c r="K71" s="324"/>
      <c r="L71" s="331"/>
      <c r="M71" s="305"/>
      <c r="N71" s="319"/>
      <c r="O71" s="326"/>
      <c r="P71" s="85"/>
    </row>
    <row r="72" spans="1:16" s="226" customFormat="1" x14ac:dyDescent="0.2">
      <c r="A72" s="305"/>
      <c r="B72" s="324"/>
      <c r="C72" s="331"/>
      <c r="D72" s="305"/>
      <c r="E72" s="324"/>
      <c r="F72" s="331"/>
      <c r="G72" s="305"/>
      <c r="H72" s="324"/>
      <c r="I72" s="331"/>
      <c r="J72" s="305"/>
      <c r="K72" s="324"/>
      <c r="L72" s="331"/>
      <c r="M72" s="305"/>
      <c r="N72" s="319"/>
      <c r="O72" s="326"/>
      <c r="P72" s="85"/>
    </row>
    <row r="73" spans="1:16" s="226" customFormat="1" x14ac:dyDescent="0.2">
      <c r="A73" s="305"/>
      <c r="B73" s="324"/>
      <c r="C73" s="331"/>
      <c r="D73" s="305"/>
      <c r="E73" s="324"/>
      <c r="F73" s="331"/>
      <c r="G73" s="305"/>
      <c r="H73" s="324"/>
      <c r="I73" s="331"/>
      <c r="J73" s="305"/>
      <c r="K73" s="324"/>
      <c r="L73" s="331"/>
      <c r="M73" s="305"/>
      <c r="N73" s="319"/>
      <c r="O73" s="326"/>
      <c r="P73" s="85"/>
    </row>
    <row r="74" spans="1:16" s="226" customFormat="1" x14ac:dyDescent="0.2">
      <c r="A74" s="305"/>
      <c r="B74" s="324"/>
      <c r="C74" s="331"/>
      <c r="D74" s="305"/>
      <c r="E74" s="324"/>
      <c r="F74" s="331"/>
      <c r="G74" s="305"/>
      <c r="H74" s="324"/>
      <c r="I74" s="331"/>
      <c r="J74" s="305"/>
      <c r="K74" s="324"/>
      <c r="L74" s="331"/>
      <c r="M74" s="305"/>
      <c r="N74" s="319"/>
      <c r="O74" s="326"/>
      <c r="P74" s="85"/>
    </row>
    <row r="75" spans="1:16" s="226" customFormat="1" x14ac:dyDescent="0.2">
      <c r="A75" s="305"/>
      <c r="B75" s="324"/>
      <c r="C75" s="331"/>
      <c r="D75" s="305"/>
      <c r="E75" s="324"/>
      <c r="F75" s="331"/>
      <c r="G75" s="305"/>
      <c r="H75" s="324"/>
      <c r="I75" s="331"/>
      <c r="J75" s="305"/>
      <c r="K75" s="324"/>
      <c r="L75" s="331"/>
      <c r="M75" s="305"/>
      <c r="N75" s="319"/>
      <c r="O75" s="326"/>
      <c r="P75" s="85"/>
    </row>
    <row r="76" spans="1:16" s="226" customFormat="1" x14ac:dyDescent="0.2">
      <c r="A76" s="305"/>
      <c r="B76" s="324"/>
      <c r="C76" s="331"/>
      <c r="D76" s="305"/>
      <c r="E76" s="324"/>
      <c r="F76" s="331"/>
      <c r="G76" s="305"/>
      <c r="H76" s="324"/>
      <c r="I76" s="331"/>
      <c r="J76" s="305"/>
      <c r="K76" s="324"/>
      <c r="L76" s="331"/>
      <c r="M76" s="305"/>
      <c r="N76" s="319"/>
      <c r="O76" s="326"/>
      <c r="P76" s="85"/>
    </row>
    <row r="77" spans="1:16" s="226" customFormat="1" x14ac:dyDescent="0.2">
      <c r="A77" s="305"/>
      <c r="B77" s="324"/>
      <c r="C77" s="331"/>
      <c r="D77" s="305"/>
      <c r="E77" s="324"/>
      <c r="F77" s="331"/>
      <c r="G77" s="305"/>
      <c r="H77" s="324"/>
      <c r="I77" s="331"/>
      <c r="J77" s="305"/>
      <c r="K77" s="324"/>
      <c r="L77" s="331"/>
      <c r="M77" s="305"/>
      <c r="N77" s="319"/>
      <c r="O77" s="326"/>
      <c r="P77" s="85"/>
    </row>
    <row r="78" spans="1:16" s="226" customFormat="1" x14ac:dyDescent="0.2">
      <c r="A78" s="305"/>
      <c r="B78" s="324"/>
      <c r="C78" s="331"/>
      <c r="D78" s="305"/>
      <c r="E78" s="324"/>
      <c r="F78" s="331"/>
      <c r="G78" s="305"/>
      <c r="H78" s="324"/>
      <c r="I78" s="331"/>
      <c r="J78" s="305"/>
      <c r="K78" s="324"/>
      <c r="L78" s="331"/>
      <c r="M78" s="305"/>
      <c r="N78" s="319"/>
      <c r="O78" s="326"/>
      <c r="P78" s="85"/>
    </row>
    <row r="79" spans="1:16" s="226" customFormat="1" x14ac:dyDescent="0.2">
      <c r="A79" s="305"/>
      <c r="B79" s="324"/>
      <c r="C79" s="331"/>
      <c r="D79" s="305"/>
      <c r="E79" s="324"/>
      <c r="F79" s="331"/>
      <c r="G79" s="305"/>
      <c r="H79" s="324"/>
      <c r="I79" s="331"/>
      <c r="J79" s="305"/>
      <c r="K79" s="324"/>
      <c r="L79" s="331"/>
      <c r="M79" s="305"/>
      <c r="N79" s="319"/>
      <c r="O79" s="326"/>
      <c r="P79" s="85"/>
    </row>
    <row r="80" spans="1:16" s="226" customFormat="1" x14ac:dyDescent="0.2">
      <c r="A80" s="305"/>
      <c r="B80" s="324"/>
      <c r="C80" s="331"/>
      <c r="D80" s="305"/>
      <c r="E80" s="324"/>
      <c r="F80" s="331"/>
      <c r="G80" s="305"/>
      <c r="H80" s="324"/>
      <c r="I80" s="331"/>
      <c r="J80" s="305"/>
      <c r="K80" s="324"/>
      <c r="L80" s="331"/>
      <c r="M80" s="305"/>
      <c r="N80" s="319"/>
      <c r="O80" s="326"/>
      <c r="P80" s="85"/>
    </row>
    <row r="81" spans="1:16" s="226" customFormat="1" x14ac:dyDescent="0.2">
      <c r="A81" s="305"/>
      <c r="B81" s="324"/>
      <c r="C81" s="331"/>
      <c r="D81" s="305"/>
      <c r="E81" s="324"/>
      <c r="F81" s="331"/>
      <c r="G81" s="305"/>
      <c r="H81" s="324"/>
      <c r="I81" s="331"/>
      <c r="J81" s="305"/>
      <c r="K81" s="324"/>
      <c r="L81" s="331"/>
      <c r="M81" s="305"/>
      <c r="N81" s="319"/>
      <c r="O81" s="326"/>
      <c r="P81" s="85"/>
    </row>
    <row r="82" spans="1:16" s="226" customFormat="1" x14ac:dyDescent="0.2">
      <c r="A82" s="305"/>
      <c r="B82" s="324"/>
      <c r="C82" s="331"/>
      <c r="D82" s="305"/>
      <c r="E82" s="324"/>
      <c r="F82" s="331"/>
      <c r="G82" s="305"/>
      <c r="H82" s="324"/>
      <c r="I82" s="331"/>
      <c r="J82" s="305"/>
      <c r="K82" s="324"/>
      <c r="L82" s="331"/>
      <c r="M82" s="305"/>
      <c r="N82" s="319"/>
      <c r="O82" s="326"/>
      <c r="P82" s="85"/>
    </row>
    <row r="83" spans="1:16" s="226" customFormat="1" x14ac:dyDescent="0.2">
      <c r="A83" s="305"/>
      <c r="B83" s="324"/>
      <c r="C83" s="331"/>
      <c r="D83" s="305"/>
      <c r="E83" s="324"/>
      <c r="F83" s="331"/>
      <c r="G83" s="305"/>
      <c r="H83" s="324"/>
      <c r="I83" s="331"/>
      <c r="J83" s="305"/>
      <c r="K83" s="324"/>
      <c r="L83" s="331"/>
      <c r="M83" s="305"/>
      <c r="N83" s="319"/>
      <c r="O83" s="326"/>
      <c r="P83" s="85"/>
    </row>
    <row r="84" spans="1:16" s="226" customFormat="1" x14ac:dyDescent="0.2">
      <c r="A84" s="305"/>
      <c r="B84" s="324"/>
      <c r="C84" s="331"/>
      <c r="D84" s="305"/>
      <c r="E84" s="324"/>
      <c r="F84" s="331"/>
      <c r="G84" s="305"/>
      <c r="H84" s="324"/>
      <c r="I84" s="331"/>
      <c r="J84" s="305"/>
      <c r="K84" s="324"/>
      <c r="L84" s="331"/>
      <c r="M84" s="305"/>
      <c r="N84" s="319"/>
      <c r="O84" s="326"/>
      <c r="P84" s="85"/>
    </row>
    <row r="85" spans="1:16" s="226" customFormat="1" x14ac:dyDescent="0.2">
      <c r="A85" s="305"/>
      <c r="B85" s="324"/>
      <c r="C85" s="331"/>
      <c r="D85" s="305"/>
      <c r="E85" s="324"/>
      <c r="F85" s="331"/>
      <c r="G85" s="305"/>
      <c r="H85" s="324"/>
      <c r="I85" s="331"/>
      <c r="J85" s="305"/>
      <c r="K85" s="324"/>
      <c r="L85" s="331"/>
      <c r="M85" s="305"/>
      <c r="N85" s="319"/>
      <c r="O85" s="326"/>
      <c r="P85" s="85"/>
    </row>
    <row r="86" spans="1:16" s="226" customFormat="1" x14ac:dyDescent="0.2">
      <c r="A86" s="305"/>
      <c r="B86" s="324"/>
      <c r="C86" s="331"/>
      <c r="D86" s="305"/>
      <c r="E86" s="324"/>
      <c r="F86" s="331"/>
      <c r="G86" s="305"/>
      <c r="H86" s="324"/>
      <c r="I86" s="331"/>
      <c r="J86" s="305"/>
      <c r="K86" s="324"/>
      <c r="L86" s="331"/>
      <c r="M86" s="305"/>
      <c r="N86" s="319"/>
      <c r="O86" s="326"/>
      <c r="P86" s="85"/>
    </row>
    <row r="87" spans="1:16" s="226" customFormat="1" x14ac:dyDescent="0.2">
      <c r="A87" s="305"/>
      <c r="B87" s="324"/>
      <c r="C87" s="331"/>
      <c r="D87" s="305"/>
      <c r="E87" s="324"/>
      <c r="F87" s="331"/>
      <c r="G87" s="305"/>
      <c r="H87" s="324"/>
      <c r="I87" s="331"/>
      <c r="J87" s="305"/>
      <c r="K87" s="324"/>
      <c r="L87" s="331"/>
      <c r="M87" s="305"/>
      <c r="N87" s="319"/>
      <c r="O87" s="326"/>
      <c r="P87" s="85"/>
    </row>
    <row r="88" spans="1:16" s="226" customFormat="1" x14ac:dyDescent="0.2">
      <c r="A88" s="305"/>
      <c r="B88" s="324"/>
      <c r="C88" s="331"/>
      <c r="D88" s="305"/>
      <c r="E88" s="324"/>
      <c r="F88" s="331"/>
      <c r="G88" s="305"/>
      <c r="H88" s="324"/>
      <c r="I88" s="331"/>
      <c r="J88" s="305"/>
      <c r="K88" s="324"/>
      <c r="L88" s="331"/>
      <c r="M88" s="305"/>
      <c r="N88" s="319"/>
      <c r="O88" s="326"/>
      <c r="P88" s="85"/>
    </row>
    <row r="89" spans="1:16" s="226" customFormat="1" x14ac:dyDescent="0.2">
      <c r="A89" s="305"/>
      <c r="B89" s="324"/>
      <c r="C89" s="331"/>
      <c r="D89" s="305"/>
      <c r="E89" s="324"/>
      <c r="F89" s="331"/>
      <c r="G89" s="305"/>
      <c r="H89" s="324"/>
      <c r="I89" s="331"/>
      <c r="J89" s="305"/>
      <c r="K89" s="324"/>
      <c r="L89" s="331"/>
      <c r="M89" s="305"/>
      <c r="N89" s="319"/>
      <c r="O89" s="326"/>
      <c r="P89" s="85"/>
    </row>
    <row r="90" spans="1:16" s="226" customFormat="1" x14ac:dyDescent="0.2">
      <c r="A90" s="305"/>
      <c r="B90" s="324"/>
      <c r="C90" s="331"/>
      <c r="D90" s="305"/>
      <c r="E90" s="324"/>
      <c r="F90" s="331"/>
      <c r="G90" s="305"/>
      <c r="H90" s="324"/>
      <c r="I90" s="331"/>
      <c r="J90" s="305"/>
      <c r="K90" s="324"/>
      <c r="L90" s="331"/>
      <c r="M90" s="305"/>
      <c r="N90" s="319"/>
      <c r="O90" s="326"/>
      <c r="P90" s="85"/>
    </row>
    <row r="91" spans="1:16" s="226" customFormat="1" x14ac:dyDescent="0.2">
      <c r="A91" s="305"/>
      <c r="B91" s="324"/>
      <c r="C91" s="331"/>
      <c r="D91" s="305"/>
      <c r="E91" s="324"/>
      <c r="F91" s="331"/>
      <c r="G91" s="305"/>
      <c r="H91" s="324"/>
      <c r="I91" s="331"/>
      <c r="J91" s="305"/>
      <c r="K91" s="324"/>
      <c r="L91" s="331"/>
      <c r="M91" s="305"/>
      <c r="N91" s="319"/>
      <c r="O91" s="326"/>
      <c r="P91" s="85"/>
    </row>
    <row r="92" spans="1:16" s="226" customFormat="1" x14ac:dyDescent="0.2">
      <c r="A92" s="305"/>
      <c r="B92" s="324"/>
      <c r="C92" s="331"/>
      <c r="D92" s="305"/>
      <c r="E92" s="324"/>
      <c r="F92" s="331"/>
      <c r="G92" s="305"/>
      <c r="H92" s="324"/>
      <c r="I92" s="331"/>
      <c r="J92" s="305"/>
      <c r="K92" s="324"/>
      <c r="L92" s="331"/>
      <c r="M92" s="305"/>
      <c r="N92" s="319"/>
      <c r="O92" s="326"/>
      <c r="P92" s="85"/>
    </row>
    <row r="93" spans="1:16" s="226" customFormat="1" x14ac:dyDescent="0.2">
      <c r="A93" s="305"/>
      <c r="B93" s="324"/>
      <c r="C93" s="331"/>
      <c r="D93" s="305"/>
      <c r="E93" s="324"/>
      <c r="F93" s="331"/>
      <c r="G93" s="305"/>
      <c r="H93" s="324"/>
      <c r="I93" s="331"/>
      <c r="J93" s="305"/>
      <c r="K93" s="324"/>
      <c r="L93" s="331"/>
      <c r="M93" s="305"/>
      <c r="N93" s="319"/>
      <c r="O93" s="326"/>
      <c r="P93" s="85"/>
    </row>
    <row r="94" spans="1:16" s="226" customFormat="1" x14ac:dyDescent="0.2">
      <c r="A94" s="305"/>
      <c r="B94" s="324"/>
      <c r="C94" s="331"/>
      <c r="D94" s="305"/>
      <c r="E94" s="324"/>
      <c r="F94" s="331"/>
      <c r="G94" s="305"/>
      <c r="H94" s="324"/>
      <c r="I94" s="331"/>
      <c r="J94" s="305"/>
      <c r="K94" s="324"/>
      <c r="L94" s="331"/>
      <c r="M94" s="305"/>
      <c r="N94" s="319"/>
      <c r="O94" s="326"/>
      <c r="P94" s="85"/>
    </row>
    <row r="95" spans="1:16" s="226" customFormat="1" x14ac:dyDescent="0.2">
      <c r="A95" s="305"/>
      <c r="B95" s="324"/>
      <c r="C95" s="331"/>
      <c r="D95" s="305"/>
      <c r="E95" s="324"/>
      <c r="F95" s="331"/>
      <c r="G95" s="305"/>
      <c r="H95" s="324"/>
      <c r="I95" s="331"/>
      <c r="J95" s="305"/>
      <c r="K95" s="324"/>
      <c r="L95" s="331"/>
      <c r="M95" s="305"/>
      <c r="N95" s="319"/>
      <c r="O95" s="326"/>
      <c r="P95" s="85"/>
    </row>
    <row r="96" spans="1:16" s="226" customFormat="1" x14ac:dyDescent="0.2">
      <c r="A96" s="305"/>
      <c r="B96" s="324"/>
      <c r="C96" s="331"/>
      <c r="D96" s="305"/>
      <c r="E96" s="324"/>
      <c r="F96" s="331"/>
      <c r="G96" s="305"/>
      <c r="H96" s="324"/>
      <c r="I96" s="331"/>
      <c r="J96" s="305"/>
      <c r="K96" s="324"/>
      <c r="L96" s="331"/>
      <c r="M96" s="305"/>
      <c r="N96" s="319"/>
      <c r="O96" s="326"/>
      <c r="P96" s="85"/>
    </row>
    <row r="97" spans="1:16" s="226" customFormat="1" x14ac:dyDescent="0.2">
      <c r="A97" s="305"/>
      <c r="B97" s="324"/>
      <c r="C97" s="331"/>
      <c r="D97" s="305"/>
      <c r="E97" s="324"/>
      <c r="F97" s="331"/>
      <c r="G97" s="305"/>
      <c r="H97" s="324"/>
      <c r="I97" s="331"/>
      <c r="J97" s="305"/>
      <c r="K97" s="324"/>
      <c r="L97" s="331"/>
      <c r="M97" s="305"/>
      <c r="N97" s="319"/>
      <c r="O97" s="326"/>
      <c r="P97" s="85"/>
    </row>
    <row r="98" spans="1:16" s="226" customFormat="1" x14ac:dyDescent="0.2">
      <c r="A98" s="305"/>
      <c r="B98" s="324"/>
      <c r="C98" s="331"/>
      <c r="D98" s="305"/>
      <c r="E98" s="324"/>
      <c r="F98" s="331"/>
      <c r="G98" s="305"/>
      <c r="H98" s="324"/>
      <c r="I98" s="331"/>
      <c r="J98" s="305"/>
      <c r="K98" s="324"/>
      <c r="L98" s="331"/>
      <c r="M98" s="305"/>
      <c r="N98" s="319"/>
      <c r="O98" s="326"/>
      <c r="P98" s="85"/>
    </row>
    <row r="99" spans="1:16" s="226" customFormat="1" x14ac:dyDescent="0.2">
      <c r="A99" s="305"/>
      <c r="B99" s="324"/>
      <c r="C99" s="331"/>
      <c r="D99" s="305"/>
      <c r="E99" s="324"/>
      <c r="F99" s="331"/>
      <c r="G99" s="305"/>
      <c r="H99" s="324"/>
      <c r="I99" s="331"/>
      <c r="J99" s="305"/>
      <c r="K99" s="324"/>
      <c r="L99" s="331"/>
      <c r="M99" s="305"/>
      <c r="N99" s="319"/>
      <c r="O99" s="326"/>
      <c r="P99" s="85"/>
    </row>
    <row r="100" spans="1:16" s="226" customFormat="1" x14ac:dyDescent="0.2">
      <c r="A100" s="305"/>
      <c r="B100" s="324"/>
      <c r="C100" s="331"/>
      <c r="D100" s="305"/>
      <c r="E100" s="324"/>
      <c r="F100" s="331"/>
      <c r="G100" s="305"/>
      <c r="H100" s="324"/>
      <c r="I100" s="331"/>
      <c r="J100" s="305"/>
      <c r="K100" s="324"/>
      <c r="L100" s="331"/>
      <c r="M100" s="305"/>
      <c r="N100" s="319"/>
      <c r="O100" s="326"/>
      <c r="P100" s="85"/>
    </row>
    <row r="101" spans="1:16" s="226" customFormat="1" x14ac:dyDescent="0.2">
      <c r="A101" s="305"/>
      <c r="B101" s="324"/>
      <c r="C101" s="331"/>
      <c r="D101" s="305"/>
      <c r="E101" s="324"/>
      <c r="F101" s="331"/>
      <c r="G101" s="305"/>
      <c r="H101" s="324"/>
      <c r="I101" s="331"/>
      <c r="J101" s="305"/>
      <c r="K101" s="324"/>
      <c r="L101" s="331"/>
      <c r="M101" s="305"/>
      <c r="N101" s="319"/>
      <c r="O101" s="326"/>
      <c r="P101" s="85"/>
    </row>
    <row r="102" spans="1:16" s="226" customFormat="1" x14ac:dyDescent="0.2">
      <c r="A102" s="305"/>
      <c r="B102" s="324"/>
      <c r="C102" s="331"/>
      <c r="D102" s="305"/>
      <c r="E102" s="324"/>
      <c r="F102" s="331"/>
      <c r="G102" s="305"/>
      <c r="H102" s="324"/>
      <c r="I102" s="331"/>
      <c r="J102" s="305"/>
      <c r="K102" s="324"/>
      <c r="L102" s="331"/>
      <c r="M102" s="305"/>
      <c r="N102" s="319"/>
      <c r="O102" s="326"/>
      <c r="P102" s="85"/>
    </row>
    <row r="103" spans="1:16" s="226" customFormat="1" x14ac:dyDescent="0.2">
      <c r="A103" s="305"/>
      <c r="B103" s="324"/>
      <c r="C103" s="331"/>
      <c r="D103" s="305"/>
      <c r="E103" s="324"/>
      <c r="F103" s="331"/>
      <c r="G103" s="305"/>
      <c r="H103" s="324"/>
      <c r="I103" s="331"/>
      <c r="J103" s="305"/>
      <c r="K103" s="324"/>
      <c r="L103" s="331"/>
      <c r="M103" s="305"/>
      <c r="N103" s="319"/>
      <c r="O103" s="326"/>
      <c r="P103" s="85"/>
    </row>
    <row r="104" spans="1:16" s="226" customFormat="1" x14ac:dyDescent="0.2">
      <c r="A104" s="305"/>
      <c r="B104" s="324"/>
      <c r="C104" s="331"/>
      <c r="D104" s="305"/>
      <c r="E104" s="324"/>
      <c r="F104" s="331"/>
      <c r="G104" s="305"/>
      <c r="H104" s="324"/>
      <c r="I104" s="331"/>
      <c r="J104" s="305"/>
      <c r="K104" s="324"/>
      <c r="L104" s="331"/>
      <c r="M104" s="305"/>
      <c r="N104" s="319"/>
      <c r="O104" s="326"/>
      <c r="P104" s="85"/>
    </row>
    <row r="105" spans="1:16" s="226" customFormat="1" x14ac:dyDescent="0.2">
      <c r="A105" s="305"/>
      <c r="B105" s="324"/>
      <c r="C105" s="331"/>
      <c r="D105" s="305"/>
      <c r="E105" s="324"/>
      <c r="F105" s="331"/>
      <c r="G105" s="305"/>
      <c r="H105" s="324"/>
      <c r="I105" s="331"/>
      <c r="J105" s="305"/>
      <c r="K105" s="324"/>
      <c r="L105" s="331"/>
      <c r="M105" s="305"/>
      <c r="N105" s="319"/>
      <c r="O105" s="326"/>
      <c r="P105" s="85"/>
    </row>
    <row r="106" spans="1:16" s="226" customFormat="1" x14ac:dyDescent="0.2">
      <c r="A106" s="305"/>
      <c r="B106" s="324"/>
      <c r="C106" s="331"/>
      <c r="D106" s="305"/>
      <c r="E106" s="324"/>
      <c r="F106" s="331"/>
      <c r="G106" s="305"/>
      <c r="H106" s="324"/>
      <c r="I106" s="331"/>
      <c r="J106" s="305"/>
      <c r="K106" s="324"/>
      <c r="L106" s="331"/>
      <c r="M106" s="305"/>
      <c r="N106" s="319"/>
      <c r="O106" s="326"/>
      <c r="P106" s="85"/>
    </row>
    <row r="107" spans="1:16" s="226" customFormat="1" x14ac:dyDescent="0.2">
      <c r="A107" s="305"/>
      <c r="B107" s="324"/>
      <c r="C107" s="331"/>
      <c r="D107" s="305"/>
      <c r="E107" s="324"/>
      <c r="F107" s="331"/>
      <c r="G107" s="305"/>
      <c r="H107" s="324"/>
      <c r="I107" s="331"/>
      <c r="J107" s="305"/>
      <c r="K107" s="324"/>
      <c r="L107" s="331"/>
      <c r="M107" s="305"/>
      <c r="N107" s="319"/>
      <c r="O107" s="326"/>
      <c r="P107" s="85"/>
    </row>
    <row r="108" spans="1:16" s="226" customFormat="1" x14ac:dyDescent="0.2">
      <c r="A108" s="305"/>
      <c r="B108" s="324"/>
      <c r="C108" s="331"/>
      <c r="D108" s="305"/>
      <c r="E108" s="324"/>
      <c r="F108" s="331"/>
      <c r="G108" s="305"/>
      <c r="H108" s="324"/>
      <c r="I108" s="331"/>
      <c r="J108" s="305"/>
      <c r="K108" s="324"/>
      <c r="L108" s="331"/>
      <c r="M108" s="305"/>
      <c r="N108" s="319"/>
      <c r="O108" s="326"/>
      <c r="P108" s="85"/>
    </row>
    <row r="109" spans="1:16" s="226" customFormat="1" x14ac:dyDescent="0.2">
      <c r="A109" s="305"/>
      <c r="B109" s="324"/>
      <c r="C109" s="331"/>
      <c r="D109" s="305"/>
      <c r="E109" s="324"/>
      <c r="F109" s="331"/>
      <c r="G109" s="305"/>
      <c r="H109" s="324"/>
      <c r="I109" s="331"/>
      <c r="J109" s="305"/>
      <c r="K109" s="324"/>
      <c r="L109" s="331"/>
      <c r="M109" s="305"/>
      <c r="N109" s="319"/>
      <c r="O109" s="326"/>
      <c r="P109" s="85"/>
    </row>
    <row r="110" spans="1:16" s="226" customFormat="1" x14ac:dyDescent="0.2">
      <c r="A110" s="305"/>
      <c r="B110" s="324"/>
      <c r="C110" s="331"/>
      <c r="D110" s="305"/>
      <c r="E110" s="324"/>
      <c r="F110" s="331"/>
      <c r="G110" s="305"/>
      <c r="H110" s="324"/>
      <c r="I110" s="331"/>
      <c r="J110" s="305"/>
      <c r="K110" s="324"/>
      <c r="L110" s="331"/>
      <c r="M110" s="305"/>
      <c r="N110" s="319"/>
      <c r="O110" s="326"/>
      <c r="P110" s="85"/>
    </row>
    <row r="111" spans="1:16" s="226" customFormat="1" x14ac:dyDescent="0.2">
      <c r="A111" s="305"/>
      <c r="B111" s="324"/>
      <c r="C111" s="331"/>
      <c r="D111" s="305"/>
      <c r="E111" s="324"/>
      <c r="F111" s="331"/>
      <c r="G111" s="305"/>
      <c r="H111" s="324"/>
      <c r="I111" s="331"/>
      <c r="J111" s="305"/>
      <c r="K111" s="324"/>
      <c r="L111" s="331"/>
      <c r="M111" s="305"/>
      <c r="N111" s="319"/>
      <c r="O111" s="326"/>
      <c r="P111" s="85"/>
    </row>
    <row r="112" spans="1:16" s="226" customFormat="1" x14ac:dyDescent="0.2">
      <c r="A112" s="305"/>
      <c r="B112" s="324"/>
      <c r="C112" s="331"/>
      <c r="D112" s="305"/>
      <c r="E112" s="324"/>
      <c r="F112" s="331"/>
      <c r="G112" s="305"/>
      <c r="H112" s="324"/>
      <c r="I112" s="331"/>
      <c r="J112" s="305"/>
      <c r="K112" s="324"/>
      <c r="L112" s="331"/>
      <c r="M112" s="305"/>
      <c r="N112" s="319"/>
      <c r="O112" s="326"/>
      <c r="P112" s="85"/>
    </row>
    <row r="113" spans="1:16" s="226" customFormat="1" x14ac:dyDescent="0.2">
      <c r="A113" s="305"/>
      <c r="B113" s="324"/>
      <c r="C113" s="331"/>
      <c r="D113" s="305"/>
      <c r="E113" s="324"/>
      <c r="F113" s="331"/>
      <c r="G113" s="305"/>
      <c r="H113" s="324"/>
      <c r="I113" s="331"/>
      <c r="J113" s="305"/>
      <c r="K113" s="324"/>
      <c r="L113" s="331"/>
      <c r="M113" s="305"/>
      <c r="N113" s="319"/>
      <c r="O113" s="326"/>
      <c r="P113" s="85"/>
    </row>
    <row r="114" spans="1:16" s="226" customFormat="1" x14ac:dyDescent="0.2">
      <c r="A114" s="305"/>
      <c r="B114" s="324"/>
      <c r="C114" s="331"/>
      <c r="D114" s="305"/>
      <c r="E114" s="324"/>
      <c r="F114" s="331"/>
      <c r="G114" s="305"/>
      <c r="H114" s="324"/>
      <c r="I114" s="331"/>
      <c r="J114" s="305"/>
      <c r="K114" s="324"/>
      <c r="L114" s="331"/>
      <c r="M114" s="305"/>
      <c r="N114" s="319"/>
      <c r="O114" s="326"/>
      <c r="P114" s="85"/>
    </row>
    <row r="115" spans="1:16" s="226" customFormat="1" x14ac:dyDescent="0.2">
      <c r="A115" s="305"/>
      <c r="B115" s="324"/>
      <c r="C115" s="331"/>
      <c r="D115" s="305"/>
      <c r="E115" s="324"/>
      <c r="F115" s="331"/>
      <c r="G115" s="305"/>
      <c r="H115" s="324"/>
      <c r="I115" s="331"/>
      <c r="J115" s="305"/>
      <c r="K115" s="324"/>
      <c r="L115" s="331"/>
      <c r="M115" s="305"/>
      <c r="N115" s="319"/>
      <c r="O115" s="326"/>
      <c r="P115" s="85"/>
    </row>
    <row r="116" spans="1:16" s="226" customFormat="1" x14ac:dyDescent="0.2">
      <c r="A116" s="305"/>
      <c r="B116" s="324"/>
      <c r="C116" s="331"/>
      <c r="D116" s="305"/>
      <c r="E116" s="324"/>
      <c r="F116" s="331"/>
      <c r="G116" s="305"/>
      <c r="H116" s="324"/>
      <c r="I116" s="331"/>
      <c r="J116" s="305"/>
      <c r="K116" s="324"/>
      <c r="L116" s="331"/>
      <c r="M116" s="305"/>
      <c r="N116" s="319"/>
      <c r="O116" s="326"/>
      <c r="P116" s="85"/>
    </row>
    <row r="117" spans="1:16" s="226" customFormat="1" x14ac:dyDescent="0.2">
      <c r="A117" s="305"/>
      <c r="B117" s="324"/>
      <c r="C117" s="331"/>
      <c r="D117" s="305"/>
      <c r="E117" s="324"/>
      <c r="F117" s="331"/>
      <c r="G117" s="305"/>
      <c r="H117" s="324"/>
      <c r="I117" s="331"/>
      <c r="J117" s="305"/>
      <c r="K117" s="324"/>
      <c r="L117" s="331"/>
      <c r="M117" s="305"/>
      <c r="N117" s="319"/>
      <c r="O117" s="326"/>
      <c r="P117" s="85"/>
    </row>
    <row r="118" spans="1:16" s="226" customFormat="1" x14ac:dyDescent="0.2">
      <c r="A118" s="305"/>
      <c r="B118" s="324"/>
      <c r="C118" s="331"/>
      <c r="D118" s="305"/>
      <c r="E118" s="324"/>
      <c r="F118" s="331"/>
      <c r="G118" s="305"/>
      <c r="H118" s="324"/>
      <c r="I118" s="331"/>
      <c r="J118" s="305"/>
      <c r="K118" s="324"/>
      <c r="L118" s="331"/>
      <c r="M118" s="305"/>
      <c r="N118" s="319"/>
      <c r="O118" s="326"/>
      <c r="P118" s="85"/>
    </row>
    <row r="119" spans="1:16" s="226" customFormat="1" x14ac:dyDescent="0.2">
      <c r="A119" s="305"/>
      <c r="B119" s="324"/>
      <c r="C119" s="331"/>
      <c r="D119" s="305"/>
      <c r="E119" s="324"/>
      <c r="F119" s="331"/>
      <c r="G119" s="305"/>
      <c r="H119" s="324"/>
      <c r="I119" s="331"/>
      <c r="J119" s="305"/>
      <c r="K119" s="324"/>
      <c r="L119" s="331"/>
      <c r="M119" s="305"/>
      <c r="N119" s="319"/>
      <c r="O119" s="326"/>
      <c r="P119" s="85"/>
    </row>
    <row r="120" spans="1:16" s="226" customFormat="1" x14ac:dyDescent="0.2">
      <c r="A120" s="305"/>
      <c r="B120" s="324"/>
      <c r="C120" s="331"/>
      <c r="D120" s="305"/>
      <c r="E120" s="324"/>
      <c r="F120" s="331"/>
      <c r="G120" s="305"/>
      <c r="H120" s="324"/>
      <c r="I120" s="331"/>
      <c r="J120" s="305"/>
      <c r="K120" s="324"/>
      <c r="L120" s="331"/>
      <c r="M120" s="305"/>
      <c r="N120" s="319"/>
      <c r="O120" s="326"/>
      <c r="P120" s="85"/>
    </row>
    <row r="121" spans="1:16" s="226" customFormat="1" x14ac:dyDescent="0.2">
      <c r="A121" s="305"/>
      <c r="B121" s="324"/>
      <c r="C121" s="331"/>
      <c r="D121" s="305"/>
      <c r="E121" s="324"/>
      <c r="F121" s="331"/>
      <c r="G121" s="305"/>
      <c r="H121" s="324"/>
      <c r="I121" s="331"/>
      <c r="J121" s="305"/>
      <c r="K121" s="324"/>
      <c r="L121" s="331"/>
      <c r="M121" s="305"/>
      <c r="N121" s="319"/>
      <c r="O121" s="326"/>
      <c r="P121" s="85"/>
    </row>
    <row r="122" spans="1:16" s="226" customFormat="1" x14ac:dyDescent="0.2">
      <c r="A122" s="305"/>
      <c r="B122" s="324"/>
      <c r="C122" s="331"/>
      <c r="D122" s="305"/>
      <c r="E122" s="324"/>
      <c r="F122" s="331"/>
      <c r="G122" s="305"/>
      <c r="H122" s="324"/>
      <c r="I122" s="331"/>
      <c r="J122" s="305"/>
      <c r="K122" s="324"/>
      <c r="L122" s="331"/>
      <c r="M122" s="305"/>
      <c r="N122" s="319"/>
      <c r="O122" s="326"/>
      <c r="P122" s="85"/>
    </row>
    <row r="123" spans="1:16" s="226" customFormat="1" x14ac:dyDescent="0.2">
      <c r="A123" s="305"/>
      <c r="B123" s="324"/>
      <c r="C123" s="331"/>
      <c r="D123" s="305"/>
      <c r="E123" s="324"/>
      <c r="F123" s="331"/>
      <c r="G123" s="305"/>
      <c r="H123" s="324"/>
      <c r="I123" s="331"/>
      <c r="J123" s="305"/>
      <c r="K123" s="324"/>
      <c r="L123" s="331"/>
      <c r="M123" s="305"/>
      <c r="N123" s="319"/>
      <c r="O123" s="326"/>
      <c r="P123" s="85"/>
    </row>
    <row r="124" spans="1:16" s="226" customFormat="1" x14ac:dyDescent="0.2">
      <c r="A124" s="305"/>
      <c r="B124" s="324"/>
      <c r="C124" s="331"/>
      <c r="D124" s="305"/>
      <c r="E124" s="324"/>
      <c r="F124" s="331"/>
      <c r="G124" s="305"/>
      <c r="H124" s="324"/>
      <c r="I124" s="331"/>
      <c r="J124" s="305"/>
      <c r="K124" s="324"/>
      <c r="L124" s="331"/>
      <c r="M124" s="305"/>
      <c r="N124" s="319"/>
      <c r="O124" s="326"/>
      <c r="P124" s="85"/>
    </row>
    <row r="125" spans="1:16" s="226" customFormat="1" x14ac:dyDescent="0.2">
      <c r="A125" s="305"/>
      <c r="B125" s="324"/>
      <c r="C125" s="331"/>
      <c r="D125" s="305"/>
      <c r="E125" s="324"/>
      <c r="F125" s="331"/>
      <c r="G125" s="305"/>
      <c r="H125" s="324"/>
      <c r="I125" s="331"/>
      <c r="J125" s="305"/>
      <c r="K125" s="324"/>
      <c r="L125" s="331"/>
      <c r="M125" s="305"/>
      <c r="N125" s="319"/>
      <c r="O125" s="326"/>
      <c r="P125" s="85"/>
    </row>
    <row r="126" spans="1:16" s="226" customFormat="1" x14ac:dyDescent="0.2">
      <c r="A126" s="305"/>
      <c r="B126" s="324"/>
      <c r="C126" s="331"/>
      <c r="D126" s="305"/>
      <c r="E126" s="324"/>
      <c r="F126" s="331"/>
      <c r="G126" s="305"/>
      <c r="H126" s="324"/>
      <c r="I126" s="331"/>
      <c r="J126" s="305"/>
      <c r="K126" s="324"/>
      <c r="L126" s="331"/>
      <c r="M126" s="305"/>
      <c r="N126" s="319"/>
      <c r="O126" s="326"/>
      <c r="P126" s="85"/>
    </row>
    <row r="127" spans="1:16" s="226" customFormat="1" x14ac:dyDescent="0.2">
      <c r="A127" s="305"/>
      <c r="B127" s="324"/>
      <c r="C127" s="331"/>
      <c r="D127" s="305"/>
      <c r="E127" s="324"/>
      <c r="F127" s="331"/>
      <c r="G127" s="305"/>
      <c r="H127" s="324"/>
      <c r="I127" s="331"/>
      <c r="J127" s="305"/>
      <c r="K127" s="324"/>
      <c r="L127" s="331"/>
      <c r="M127" s="305"/>
      <c r="N127" s="319"/>
      <c r="O127" s="326"/>
      <c r="P127" s="85"/>
    </row>
    <row r="128" spans="1:16" s="226" customFormat="1" x14ac:dyDescent="0.2">
      <c r="A128" s="305"/>
      <c r="B128" s="324"/>
      <c r="C128" s="331"/>
      <c r="D128" s="305"/>
      <c r="E128" s="324"/>
      <c r="F128" s="331"/>
      <c r="G128" s="305"/>
      <c r="H128" s="324"/>
      <c r="I128" s="331"/>
      <c r="J128" s="305"/>
      <c r="K128" s="324"/>
      <c r="L128" s="331"/>
      <c r="M128" s="305"/>
      <c r="N128" s="319"/>
      <c r="O128" s="326"/>
      <c r="P128" s="85"/>
    </row>
    <row r="129" spans="1:16" s="226" customFormat="1" x14ac:dyDescent="0.2">
      <c r="A129" s="305"/>
      <c r="B129" s="324"/>
      <c r="C129" s="331"/>
      <c r="D129" s="305"/>
      <c r="E129" s="324"/>
      <c r="F129" s="331"/>
      <c r="G129" s="305"/>
      <c r="H129" s="324"/>
      <c r="I129" s="331"/>
      <c r="J129" s="305"/>
      <c r="K129" s="324"/>
      <c r="L129" s="331"/>
      <c r="M129" s="305"/>
      <c r="N129" s="319"/>
      <c r="O129" s="326"/>
      <c r="P129" s="85"/>
    </row>
    <row r="130" spans="1:16" s="226" customFormat="1" x14ac:dyDescent="0.2">
      <c r="A130" s="305"/>
      <c r="B130" s="324"/>
      <c r="C130" s="331"/>
      <c r="D130" s="305"/>
      <c r="E130" s="324"/>
      <c r="F130" s="331"/>
      <c r="G130" s="305"/>
      <c r="H130" s="324"/>
      <c r="I130" s="331"/>
      <c r="J130" s="305"/>
      <c r="K130" s="324"/>
      <c r="L130" s="331"/>
      <c r="M130" s="305"/>
      <c r="N130" s="324"/>
      <c r="O130" s="331"/>
      <c r="P130" s="305"/>
    </row>
    <row r="131" spans="1:16" s="226" customFormat="1" x14ac:dyDescent="0.2">
      <c r="A131" s="305"/>
      <c r="B131" s="324"/>
      <c r="C131" s="331"/>
      <c r="D131" s="305"/>
      <c r="E131" s="324"/>
      <c r="F131" s="331"/>
      <c r="G131" s="305"/>
      <c r="H131" s="324"/>
      <c r="I131" s="331"/>
      <c r="J131" s="305"/>
      <c r="K131" s="324"/>
      <c r="L131" s="331"/>
      <c r="M131" s="305"/>
      <c r="N131" s="324"/>
      <c r="O131" s="331"/>
      <c r="P131" s="305"/>
    </row>
    <row r="132" spans="1:16" s="226" customFormat="1" x14ac:dyDescent="0.2">
      <c r="A132" s="305"/>
      <c r="B132" s="324"/>
      <c r="C132" s="331"/>
      <c r="D132" s="305"/>
      <c r="E132" s="324"/>
      <c r="F132" s="331"/>
      <c r="G132" s="305"/>
      <c r="H132" s="324"/>
      <c r="I132" s="331"/>
      <c r="J132" s="305"/>
      <c r="K132" s="324"/>
      <c r="L132" s="331"/>
      <c r="M132" s="305"/>
      <c r="N132" s="324"/>
      <c r="O132" s="331"/>
      <c r="P132" s="305"/>
    </row>
    <row r="133" spans="1:16" s="226" customFormat="1" x14ac:dyDescent="0.2">
      <c r="A133" s="305"/>
      <c r="B133" s="324"/>
      <c r="C133" s="331"/>
      <c r="D133" s="305"/>
      <c r="E133" s="324"/>
      <c r="F133" s="331"/>
      <c r="G133" s="305"/>
      <c r="H133" s="324"/>
      <c r="I133" s="331"/>
      <c r="J133" s="305"/>
      <c r="K133" s="324"/>
      <c r="L133" s="331"/>
      <c r="M133" s="305"/>
      <c r="N133" s="324"/>
      <c r="O133" s="331"/>
      <c r="P133" s="305"/>
    </row>
    <row r="134" spans="1:16" s="226" customFormat="1" x14ac:dyDescent="0.2">
      <c r="A134" s="305"/>
      <c r="B134" s="324"/>
      <c r="C134" s="331"/>
      <c r="D134" s="305"/>
      <c r="E134" s="324"/>
      <c r="F134" s="331"/>
      <c r="G134" s="305"/>
      <c r="H134" s="324"/>
      <c r="I134" s="331"/>
      <c r="J134" s="305"/>
      <c r="K134" s="324"/>
      <c r="L134" s="331"/>
      <c r="M134" s="305"/>
      <c r="N134" s="324"/>
      <c r="O134" s="331"/>
      <c r="P134" s="305"/>
    </row>
    <row r="135" spans="1:16" s="226" customFormat="1" x14ac:dyDescent="0.2">
      <c r="A135" s="305"/>
      <c r="B135" s="324"/>
      <c r="C135" s="331"/>
      <c r="D135" s="305"/>
      <c r="E135" s="324"/>
      <c r="F135" s="331"/>
      <c r="G135" s="305"/>
      <c r="H135" s="324"/>
      <c r="I135" s="331"/>
      <c r="J135" s="305"/>
      <c r="K135" s="324"/>
      <c r="L135" s="331"/>
      <c r="M135" s="305"/>
      <c r="N135" s="324"/>
      <c r="O135" s="331"/>
      <c r="P135" s="305"/>
    </row>
    <row r="136" spans="1:16" s="226" customFormat="1" x14ac:dyDescent="0.2">
      <c r="A136" s="305"/>
      <c r="B136" s="324"/>
      <c r="C136" s="331"/>
      <c r="D136" s="305"/>
      <c r="E136" s="324"/>
      <c r="F136" s="331"/>
      <c r="G136" s="305"/>
      <c r="H136" s="324"/>
      <c r="I136" s="331"/>
      <c r="J136" s="305"/>
      <c r="K136" s="324"/>
      <c r="L136" s="331"/>
      <c r="M136" s="305"/>
      <c r="N136" s="324"/>
      <c r="O136" s="331"/>
      <c r="P136" s="305"/>
    </row>
    <row r="137" spans="1:16" s="226" customFormat="1" x14ac:dyDescent="0.2">
      <c r="A137" s="305"/>
      <c r="B137" s="324"/>
      <c r="C137" s="331"/>
      <c r="D137" s="305"/>
      <c r="E137" s="324"/>
      <c r="F137" s="331"/>
      <c r="G137" s="305"/>
      <c r="H137" s="324"/>
      <c r="I137" s="331"/>
      <c r="J137" s="305"/>
      <c r="K137" s="324"/>
      <c r="L137" s="331"/>
      <c r="M137" s="305"/>
      <c r="N137" s="324"/>
      <c r="O137" s="331"/>
      <c r="P137" s="305"/>
    </row>
    <row r="138" spans="1:16" s="226" customFormat="1" x14ac:dyDescent="0.2">
      <c r="A138" s="305"/>
      <c r="B138" s="324"/>
      <c r="C138" s="331"/>
      <c r="D138" s="305"/>
      <c r="E138" s="324"/>
      <c r="F138" s="331"/>
      <c r="G138" s="305"/>
      <c r="H138" s="324"/>
      <c r="I138" s="331"/>
      <c r="J138" s="305"/>
      <c r="K138" s="324"/>
      <c r="L138" s="331"/>
      <c r="M138" s="305"/>
      <c r="N138" s="324"/>
      <c r="O138" s="331"/>
      <c r="P138" s="305"/>
    </row>
    <row r="139" spans="1:16" s="226" customFormat="1" x14ac:dyDescent="0.2">
      <c r="A139" s="305"/>
      <c r="B139" s="324"/>
      <c r="C139" s="331"/>
      <c r="D139" s="305"/>
      <c r="E139" s="324"/>
      <c r="F139" s="331"/>
      <c r="G139" s="305"/>
      <c r="H139" s="324"/>
      <c r="I139" s="331"/>
      <c r="J139" s="305"/>
      <c r="K139" s="324"/>
      <c r="L139" s="331"/>
      <c r="M139" s="305"/>
      <c r="N139" s="324"/>
      <c r="O139" s="331"/>
      <c r="P139" s="305"/>
    </row>
    <row r="140" spans="1:16" s="226" customFormat="1" x14ac:dyDescent="0.2">
      <c r="A140" s="305"/>
      <c r="B140" s="324"/>
      <c r="C140" s="331"/>
      <c r="D140" s="305"/>
      <c r="E140" s="324"/>
      <c r="F140" s="331"/>
      <c r="G140" s="305"/>
      <c r="H140" s="324"/>
      <c r="I140" s="331"/>
      <c r="J140" s="305"/>
      <c r="K140" s="324"/>
      <c r="L140" s="331"/>
      <c r="M140" s="305"/>
      <c r="N140" s="324"/>
      <c r="O140" s="331"/>
      <c r="P140" s="305"/>
    </row>
    <row r="141" spans="1:16" s="226" customFormat="1" x14ac:dyDescent="0.2">
      <c r="A141" s="305"/>
      <c r="B141" s="324"/>
      <c r="C141" s="331"/>
      <c r="D141" s="305"/>
      <c r="E141" s="324"/>
      <c r="F141" s="331"/>
      <c r="G141" s="305"/>
      <c r="H141" s="324"/>
      <c r="I141" s="331"/>
      <c r="J141" s="305"/>
      <c r="K141" s="324"/>
      <c r="L141" s="331"/>
      <c r="M141" s="305"/>
      <c r="N141" s="324"/>
      <c r="O141" s="331"/>
      <c r="P141" s="305"/>
    </row>
    <row r="142" spans="1:16" s="226" customFormat="1" x14ac:dyDescent="0.2">
      <c r="A142" s="305"/>
      <c r="B142" s="324"/>
      <c r="C142" s="331"/>
      <c r="D142" s="305"/>
      <c r="E142" s="324"/>
      <c r="F142" s="331"/>
      <c r="G142" s="305"/>
      <c r="H142" s="324"/>
      <c r="I142" s="331"/>
      <c r="J142" s="305"/>
      <c r="K142" s="324"/>
      <c r="L142" s="331"/>
      <c r="M142" s="305"/>
      <c r="N142" s="324"/>
      <c r="O142" s="331"/>
      <c r="P142" s="305"/>
    </row>
    <row r="143" spans="1:16" s="226" customFormat="1" x14ac:dyDescent="0.2">
      <c r="A143" s="305"/>
      <c r="B143" s="324"/>
      <c r="C143" s="331"/>
      <c r="D143" s="305"/>
      <c r="E143" s="324"/>
      <c r="F143" s="331"/>
      <c r="G143" s="305"/>
      <c r="H143" s="324"/>
      <c r="I143" s="331"/>
      <c r="J143" s="305"/>
      <c r="K143" s="324"/>
      <c r="L143" s="331"/>
      <c r="M143" s="305"/>
      <c r="N143" s="324"/>
      <c r="O143" s="331"/>
      <c r="P143" s="305"/>
    </row>
    <row r="144" spans="1:16" s="226" customFormat="1" x14ac:dyDescent="0.2">
      <c r="A144" s="305"/>
      <c r="B144" s="324"/>
      <c r="C144" s="331"/>
      <c r="D144" s="305"/>
      <c r="E144" s="324"/>
      <c r="F144" s="331"/>
      <c r="G144" s="305"/>
      <c r="H144" s="324"/>
      <c r="I144" s="331"/>
      <c r="J144" s="305"/>
      <c r="K144" s="324"/>
      <c r="L144" s="331"/>
      <c r="M144" s="305"/>
      <c r="N144" s="324"/>
      <c r="O144" s="331"/>
      <c r="P144" s="305"/>
    </row>
    <row r="145" spans="1:16" s="226" customFormat="1" x14ac:dyDescent="0.2">
      <c r="A145" s="305"/>
      <c r="B145" s="324"/>
      <c r="C145" s="331"/>
      <c r="D145" s="305"/>
      <c r="E145" s="324"/>
      <c r="F145" s="331"/>
      <c r="G145" s="305"/>
      <c r="H145" s="324"/>
      <c r="I145" s="331"/>
      <c r="J145" s="305"/>
      <c r="K145" s="324"/>
      <c r="L145" s="331"/>
      <c r="M145" s="305"/>
      <c r="N145" s="324"/>
      <c r="O145" s="331"/>
      <c r="P145" s="305"/>
    </row>
    <row r="146" spans="1:16" s="226" customFormat="1" x14ac:dyDescent="0.2">
      <c r="A146" s="305"/>
      <c r="B146" s="324"/>
      <c r="C146" s="331"/>
      <c r="D146" s="305"/>
      <c r="E146" s="324"/>
      <c r="F146" s="331"/>
      <c r="G146" s="305"/>
      <c r="H146" s="324"/>
      <c r="I146" s="331"/>
      <c r="J146" s="305"/>
      <c r="K146" s="324"/>
      <c r="L146" s="331"/>
      <c r="M146" s="305"/>
      <c r="N146" s="324"/>
      <c r="O146" s="331"/>
      <c r="P146" s="305"/>
    </row>
    <row r="147" spans="1:16" s="226" customFormat="1" x14ac:dyDescent="0.2">
      <c r="A147" s="305"/>
      <c r="B147" s="324"/>
      <c r="C147" s="331"/>
      <c r="D147" s="305"/>
      <c r="E147" s="324"/>
      <c r="F147" s="331"/>
      <c r="G147" s="305"/>
      <c r="H147" s="324"/>
      <c r="I147" s="331"/>
      <c r="J147" s="305"/>
      <c r="K147" s="324"/>
      <c r="L147" s="331"/>
      <c r="M147" s="305"/>
      <c r="N147" s="324"/>
      <c r="O147" s="331"/>
      <c r="P147" s="305"/>
    </row>
    <row r="148" spans="1:16" s="226" customFormat="1" x14ac:dyDescent="0.2">
      <c r="A148" s="305"/>
      <c r="B148" s="324"/>
      <c r="C148" s="331"/>
      <c r="D148" s="305"/>
      <c r="E148" s="324"/>
      <c r="F148" s="331"/>
      <c r="G148" s="305"/>
      <c r="H148" s="324"/>
      <c r="I148" s="331"/>
      <c r="J148" s="305"/>
      <c r="K148" s="324"/>
      <c r="L148" s="331"/>
      <c r="M148" s="305"/>
      <c r="N148" s="324"/>
      <c r="O148" s="331"/>
      <c r="P148" s="305"/>
    </row>
    <row r="149" spans="1:16" s="226" customFormat="1" x14ac:dyDescent="0.2">
      <c r="A149" s="305"/>
      <c r="B149" s="324"/>
      <c r="C149" s="331"/>
      <c r="D149" s="305"/>
      <c r="E149" s="324"/>
      <c r="F149" s="331"/>
      <c r="G149" s="305"/>
      <c r="H149" s="324"/>
      <c r="I149" s="331"/>
      <c r="J149" s="305"/>
      <c r="K149" s="324"/>
      <c r="L149" s="331"/>
      <c r="M149" s="305"/>
      <c r="N149" s="324"/>
      <c r="O149" s="331"/>
      <c r="P149" s="305"/>
    </row>
    <row r="150" spans="1:16" s="226" customFormat="1" x14ac:dyDescent="0.2">
      <c r="A150" s="305"/>
      <c r="B150" s="324"/>
      <c r="C150" s="331"/>
      <c r="D150" s="305"/>
      <c r="E150" s="324"/>
      <c r="F150" s="331"/>
      <c r="G150" s="305"/>
      <c r="H150" s="324"/>
      <c r="I150" s="331"/>
      <c r="J150" s="305"/>
      <c r="K150" s="324"/>
      <c r="L150" s="331"/>
      <c r="M150" s="305"/>
      <c r="N150" s="324"/>
      <c r="O150" s="331"/>
      <c r="P150" s="305"/>
    </row>
    <row r="151" spans="1:16" s="226" customFormat="1" x14ac:dyDescent="0.2">
      <c r="A151" s="305"/>
      <c r="B151" s="324"/>
      <c r="C151" s="331"/>
      <c r="D151" s="305"/>
      <c r="E151" s="324"/>
      <c r="F151" s="331"/>
      <c r="G151" s="305"/>
      <c r="H151" s="324"/>
      <c r="I151" s="331"/>
      <c r="J151" s="305"/>
      <c r="K151" s="324"/>
      <c r="L151" s="331"/>
      <c r="M151" s="305"/>
      <c r="N151" s="324"/>
      <c r="O151" s="331"/>
      <c r="P151" s="305"/>
    </row>
    <row r="152" spans="1:16" s="226" customFormat="1" x14ac:dyDescent="0.2">
      <c r="A152" s="305"/>
      <c r="B152" s="324"/>
      <c r="C152" s="331"/>
      <c r="D152" s="305"/>
      <c r="E152" s="324"/>
      <c r="F152" s="331"/>
      <c r="G152" s="305"/>
      <c r="H152" s="324"/>
      <c r="I152" s="331"/>
      <c r="J152" s="305"/>
      <c r="K152" s="324"/>
      <c r="L152" s="331"/>
      <c r="M152" s="305"/>
      <c r="N152" s="324"/>
      <c r="O152" s="331"/>
      <c r="P152" s="305"/>
    </row>
    <row r="153" spans="1:16" s="226" customFormat="1" x14ac:dyDescent="0.2">
      <c r="A153" s="305"/>
      <c r="B153" s="324"/>
      <c r="C153" s="331"/>
      <c r="D153" s="305"/>
      <c r="E153" s="324"/>
      <c r="F153" s="331"/>
      <c r="G153" s="305"/>
      <c r="H153" s="324"/>
      <c r="I153" s="331"/>
      <c r="J153" s="305"/>
      <c r="K153" s="324"/>
      <c r="L153" s="331"/>
      <c r="M153" s="305"/>
      <c r="N153" s="324"/>
      <c r="O153" s="331"/>
      <c r="P153" s="305"/>
    </row>
    <row r="154" spans="1:16" s="226" customFormat="1" x14ac:dyDescent="0.2">
      <c r="A154" s="305"/>
      <c r="B154" s="324"/>
      <c r="C154" s="331"/>
      <c r="D154" s="305"/>
      <c r="E154" s="324"/>
      <c r="F154" s="331"/>
      <c r="G154" s="305"/>
      <c r="H154" s="324"/>
      <c r="I154" s="331"/>
      <c r="J154" s="305"/>
      <c r="K154" s="324"/>
      <c r="L154" s="331"/>
      <c r="M154" s="305"/>
      <c r="N154" s="324"/>
      <c r="O154" s="331"/>
      <c r="P154" s="305"/>
    </row>
    <row r="155" spans="1:16" s="226" customFormat="1" x14ac:dyDescent="0.2">
      <c r="A155" s="305"/>
      <c r="B155" s="324"/>
      <c r="C155" s="331"/>
      <c r="D155" s="305"/>
      <c r="E155" s="324"/>
      <c r="F155" s="331"/>
      <c r="G155" s="305"/>
      <c r="H155" s="324"/>
      <c r="I155" s="331"/>
      <c r="J155" s="305"/>
      <c r="K155" s="324"/>
      <c r="L155" s="331"/>
      <c r="M155" s="305"/>
      <c r="N155" s="324"/>
      <c r="O155" s="331"/>
      <c r="P155" s="305"/>
    </row>
    <row r="156" spans="1:16" s="226" customFormat="1" x14ac:dyDescent="0.2">
      <c r="A156" s="305"/>
      <c r="B156" s="324"/>
      <c r="C156" s="331"/>
      <c r="D156" s="305"/>
      <c r="E156" s="324"/>
      <c r="F156" s="331"/>
      <c r="G156" s="305"/>
      <c r="H156" s="324"/>
      <c r="I156" s="331"/>
      <c r="J156" s="305"/>
      <c r="K156" s="324"/>
      <c r="L156" s="331"/>
      <c r="M156" s="305"/>
      <c r="N156" s="324"/>
      <c r="O156" s="331"/>
      <c r="P156" s="305"/>
    </row>
    <row r="157" spans="1:16" s="226" customFormat="1" x14ac:dyDescent="0.2">
      <c r="A157" s="305"/>
      <c r="B157" s="324"/>
      <c r="C157" s="331"/>
      <c r="D157" s="305"/>
      <c r="E157" s="324"/>
      <c r="F157" s="331"/>
      <c r="G157" s="305"/>
      <c r="H157" s="324"/>
      <c r="I157" s="331"/>
      <c r="J157" s="305"/>
      <c r="K157" s="324"/>
      <c r="L157" s="331"/>
      <c r="M157" s="305"/>
      <c r="N157" s="324"/>
      <c r="O157" s="331"/>
      <c r="P157" s="305"/>
    </row>
    <row r="158" spans="1:16" s="226" customFormat="1" x14ac:dyDescent="0.2">
      <c r="A158" s="305"/>
      <c r="B158" s="324"/>
      <c r="C158" s="331"/>
      <c r="D158" s="305"/>
      <c r="E158" s="324"/>
      <c r="F158" s="331"/>
      <c r="G158" s="305"/>
      <c r="H158" s="324"/>
      <c r="I158" s="331"/>
      <c r="J158" s="305"/>
      <c r="K158" s="324"/>
      <c r="L158" s="331"/>
      <c r="M158" s="305"/>
      <c r="N158" s="324"/>
      <c r="O158" s="331"/>
      <c r="P158" s="305"/>
    </row>
    <row r="159" spans="1:16" s="226" customFormat="1" x14ac:dyDescent="0.2">
      <c r="A159" s="305"/>
      <c r="B159" s="324"/>
      <c r="C159" s="331"/>
      <c r="D159" s="305"/>
      <c r="E159" s="324"/>
      <c r="F159" s="331"/>
      <c r="G159" s="305"/>
      <c r="H159" s="324"/>
      <c r="I159" s="331"/>
      <c r="J159" s="305"/>
      <c r="K159" s="324"/>
      <c r="L159" s="331"/>
      <c r="M159" s="305"/>
      <c r="N159" s="324"/>
      <c r="O159" s="331"/>
      <c r="P159" s="305"/>
    </row>
    <row r="160" spans="1:16" s="226" customFormat="1" x14ac:dyDescent="0.2">
      <c r="A160" s="305"/>
      <c r="B160" s="324"/>
      <c r="C160" s="331"/>
      <c r="D160" s="305"/>
      <c r="E160" s="324"/>
      <c r="F160" s="331"/>
      <c r="G160" s="305"/>
      <c r="H160" s="324"/>
      <c r="I160" s="331"/>
      <c r="J160" s="305"/>
      <c r="K160" s="324"/>
      <c r="L160" s="331"/>
      <c r="M160" s="305"/>
      <c r="N160" s="324"/>
      <c r="O160" s="331"/>
      <c r="P160" s="305"/>
    </row>
    <row r="161" spans="1:16" s="226" customFormat="1" x14ac:dyDescent="0.2">
      <c r="A161" s="305"/>
      <c r="B161" s="324"/>
      <c r="C161" s="331"/>
      <c r="D161" s="305"/>
      <c r="E161" s="324"/>
      <c r="F161" s="331"/>
      <c r="G161" s="305"/>
      <c r="H161" s="324"/>
      <c r="I161" s="331"/>
      <c r="J161" s="305"/>
      <c r="K161" s="324"/>
      <c r="L161" s="331"/>
      <c r="M161" s="305"/>
      <c r="N161" s="324"/>
      <c r="O161" s="331"/>
      <c r="P161" s="305"/>
    </row>
    <row r="162" spans="1:16" s="226" customFormat="1" x14ac:dyDescent="0.2">
      <c r="A162" s="305"/>
      <c r="B162" s="324"/>
      <c r="C162" s="331"/>
      <c r="D162" s="305"/>
      <c r="E162" s="324"/>
      <c r="F162" s="331"/>
      <c r="G162" s="305"/>
      <c r="H162" s="324"/>
      <c r="I162" s="331"/>
      <c r="J162" s="305"/>
      <c r="K162" s="324"/>
      <c r="L162" s="331"/>
      <c r="M162" s="305"/>
      <c r="N162" s="324"/>
      <c r="O162" s="331"/>
      <c r="P162" s="305"/>
    </row>
    <row r="163" spans="1:16" s="226" customFormat="1" x14ac:dyDescent="0.2">
      <c r="A163" s="305"/>
      <c r="B163" s="324"/>
      <c r="C163" s="331"/>
      <c r="D163" s="305"/>
      <c r="E163" s="324"/>
      <c r="F163" s="331"/>
      <c r="G163" s="305"/>
      <c r="H163" s="324"/>
      <c r="I163" s="331"/>
      <c r="J163" s="305"/>
      <c r="K163" s="324"/>
      <c r="L163" s="331"/>
      <c r="M163" s="305"/>
      <c r="N163" s="324"/>
      <c r="O163" s="331"/>
      <c r="P163" s="305"/>
    </row>
    <row r="164" spans="1:16" s="226" customFormat="1" x14ac:dyDescent="0.2">
      <c r="A164" s="305"/>
      <c r="B164" s="324"/>
      <c r="C164" s="331"/>
      <c r="D164" s="305"/>
      <c r="E164" s="324"/>
      <c r="F164" s="331"/>
      <c r="G164" s="305"/>
      <c r="H164" s="324"/>
      <c r="I164" s="331"/>
      <c r="J164" s="305"/>
      <c r="K164" s="324"/>
      <c r="L164" s="331"/>
      <c r="M164" s="305"/>
      <c r="N164" s="324"/>
      <c r="O164" s="331"/>
      <c r="P164" s="305"/>
    </row>
    <row r="165" spans="1:16" s="226" customFormat="1" x14ac:dyDescent="0.2">
      <c r="A165" s="305"/>
      <c r="B165" s="324"/>
      <c r="C165" s="331"/>
      <c r="D165" s="305"/>
      <c r="E165" s="324"/>
      <c r="F165" s="331"/>
      <c r="G165" s="305"/>
      <c r="H165" s="324"/>
      <c r="I165" s="331"/>
      <c r="J165" s="305"/>
      <c r="K165" s="324"/>
      <c r="L165" s="331"/>
      <c r="M165" s="305"/>
      <c r="N165" s="324"/>
      <c r="O165" s="331"/>
      <c r="P165" s="305"/>
    </row>
    <row r="166" spans="1:16" s="226" customFormat="1" x14ac:dyDescent="0.2">
      <c r="A166" s="305"/>
      <c r="B166" s="324"/>
      <c r="C166" s="331"/>
      <c r="D166" s="305"/>
      <c r="E166" s="324"/>
      <c r="F166" s="331"/>
      <c r="G166" s="305"/>
      <c r="H166" s="324"/>
      <c r="I166" s="331"/>
      <c r="J166" s="305"/>
      <c r="K166" s="324"/>
      <c r="L166" s="331"/>
      <c r="M166" s="305"/>
      <c r="N166" s="324"/>
      <c r="O166" s="331"/>
      <c r="P166" s="305"/>
    </row>
    <row r="167" spans="1:16" s="226" customFormat="1" x14ac:dyDescent="0.2">
      <c r="A167" s="305"/>
      <c r="B167" s="324"/>
      <c r="C167" s="331"/>
      <c r="D167" s="305"/>
      <c r="E167" s="324"/>
      <c r="F167" s="331"/>
      <c r="G167" s="305"/>
      <c r="H167" s="324"/>
      <c r="I167" s="331"/>
      <c r="J167" s="305"/>
      <c r="K167" s="324"/>
      <c r="L167" s="331"/>
      <c r="M167" s="305"/>
      <c r="N167" s="324"/>
      <c r="O167" s="331"/>
      <c r="P167" s="305"/>
    </row>
    <row r="168" spans="1:16" s="226" customFormat="1" x14ac:dyDescent="0.2">
      <c r="A168" s="305"/>
      <c r="B168" s="324"/>
      <c r="C168" s="331"/>
      <c r="D168" s="305"/>
      <c r="E168" s="324"/>
      <c r="F168" s="331"/>
      <c r="G168" s="305"/>
      <c r="H168" s="324"/>
      <c r="I168" s="331"/>
      <c r="J168" s="305"/>
      <c r="K168" s="324"/>
      <c r="L168" s="331"/>
      <c r="M168" s="305"/>
      <c r="N168" s="324"/>
      <c r="O168" s="331"/>
      <c r="P168" s="305"/>
    </row>
    <row r="169" spans="1:16" s="226" customFormat="1" x14ac:dyDescent="0.2">
      <c r="A169" s="305"/>
      <c r="B169" s="324"/>
      <c r="C169" s="331"/>
      <c r="D169" s="305"/>
      <c r="E169" s="324"/>
      <c r="F169" s="331"/>
      <c r="G169" s="305"/>
      <c r="H169" s="324"/>
      <c r="I169" s="331"/>
      <c r="J169" s="305"/>
      <c r="K169" s="324"/>
      <c r="L169" s="331"/>
      <c r="M169" s="305"/>
      <c r="N169" s="324"/>
      <c r="O169" s="331"/>
      <c r="P169" s="305"/>
    </row>
    <row r="170" spans="1:16" s="226" customFormat="1" x14ac:dyDescent="0.2">
      <c r="A170" s="305"/>
      <c r="B170" s="324"/>
      <c r="C170" s="331"/>
      <c r="D170" s="305"/>
      <c r="E170" s="324"/>
      <c r="F170" s="331"/>
      <c r="G170" s="305"/>
      <c r="H170" s="324"/>
      <c r="I170" s="331"/>
      <c r="J170" s="305"/>
      <c r="K170" s="324"/>
      <c r="L170" s="331"/>
      <c r="M170" s="305"/>
      <c r="N170" s="324"/>
      <c r="O170" s="331"/>
      <c r="P170" s="305"/>
    </row>
    <row r="171" spans="1:16" s="226" customFormat="1" x14ac:dyDescent="0.2">
      <c r="A171" s="305"/>
      <c r="B171" s="324"/>
      <c r="C171" s="331"/>
      <c r="D171" s="305"/>
      <c r="E171" s="324"/>
      <c r="F171" s="331"/>
      <c r="G171" s="305"/>
      <c r="H171" s="324"/>
      <c r="I171" s="331"/>
      <c r="J171" s="305"/>
      <c r="K171" s="324"/>
      <c r="L171" s="331"/>
      <c r="M171" s="305"/>
      <c r="N171" s="324"/>
      <c r="O171" s="331"/>
      <c r="P171" s="305"/>
    </row>
    <row r="172" spans="1:16" s="226" customFormat="1" x14ac:dyDescent="0.2">
      <c r="A172" s="305"/>
      <c r="B172" s="324"/>
      <c r="C172" s="331"/>
      <c r="D172" s="305"/>
      <c r="E172" s="324"/>
      <c r="F172" s="331"/>
      <c r="G172" s="305"/>
      <c r="H172" s="324"/>
      <c r="I172" s="331"/>
      <c r="J172" s="305"/>
      <c r="K172" s="324"/>
      <c r="L172" s="331"/>
      <c r="M172" s="305"/>
      <c r="N172" s="324"/>
      <c r="O172" s="331"/>
      <c r="P172" s="305"/>
    </row>
    <row r="173" spans="1:16" s="226" customFormat="1" x14ac:dyDescent="0.2">
      <c r="A173" s="305"/>
      <c r="B173" s="324"/>
      <c r="C173" s="331"/>
      <c r="D173" s="305"/>
      <c r="E173" s="324"/>
      <c r="F173" s="331"/>
      <c r="G173" s="305"/>
      <c r="H173" s="324"/>
      <c r="I173" s="331"/>
      <c r="J173" s="305"/>
      <c r="K173" s="324"/>
      <c r="L173" s="331"/>
      <c r="M173" s="305"/>
      <c r="N173" s="324"/>
      <c r="O173" s="331"/>
      <c r="P173" s="305"/>
    </row>
    <row r="174" spans="1:16" s="226" customFormat="1" x14ac:dyDescent="0.2">
      <c r="A174" s="305"/>
      <c r="B174" s="324"/>
      <c r="C174" s="331"/>
      <c r="D174" s="305"/>
      <c r="E174" s="324"/>
      <c r="F174" s="331"/>
      <c r="G174" s="305"/>
      <c r="H174" s="324"/>
      <c r="I174" s="331"/>
      <c r="J174" s="305"/>
      <c r="K174" s="324"/>
      <c r="L174" s="331"/>
      <c r="M174" s="305"/>
      <c r="N174" s="324"/>
      <c r="O174" s="331"/>
      <c r="P174" s="305"/>
    </row>
    <row r="175" spans="1:16" s="226" customFormat="1" x14ac:dyDescent="0.2">
      <c r="A175" s="305"/>
      <c r="B175" s="324"/>
      <c r="C175" s="331"/>
      <c r="D175" s="305"/>
      <c r="E175" s="324"/>
      <c r="F175" s="331"/>
      <c r="G175" s="305"/>
      <c r="H175" s="324"/>
      <c r="I175" s="331"/>
      <c r="J175" s="305"/>
      <c r="K175" s="324"/>
      <c r="L175" s="331"/>
      <c r="M175" s="305"/>
      <c r="N175" s="324"/>
      <c r="O175" s="331"/>
      <c r="P175" s="305"/>
    </row>
    <row r="176" spans="1:16" s="226" customFormat="1" x14ac:dyDescent="0.2">
      <c r="A176" s="305"/>
      <c r="B176" s="324"/>
      <c r="C176" s="331"/>
      <c r="D176" s="305"/>
      <c r="E176" s="324"/>
      <c r="F176" s="331"/>
      <c r="G176" s="305"/>
      <c r="H176" s="324"/>
      <c r="I176" s="331"/>
      <c r="J176" s="305"/>
      <c r="K176" s="324"/>
      <c r="L176" s="331"/>
      <c r="M176" s="305"/>
      <c r="N176" s="324"/>
      <c r="O176" s="331"/>
      <c r="P176" s="305"/>
    </row>
    <row r="177" spans="1:16" s="226" customFormat="1" x14ac:dyDescent="0.2">
      <c r="A177" s="305"/>
      <c r="B177" s="324"/>
      <c r="C177" s="331"/>
      <c r="D177" s="305"/>
      <c r="E177" s="324"/>
      <c r="F177" s="331"/>
      <c r="G177" s="305"/>
      <c r="H177" s="324"/>
      <c r="I177" s="331"/>
      <c r="J177" s="305"/>
      <c r="K177" s="324"/>
      <c r="L177" s="331"/>
      <c r="M177" s="305"/>
      <c r="N177" s="324"/>
      <c r="O177" s="331"/>
      <c r="P177" s="305"/>
    </row>
    <row r="178" spans="1:16" s="226" customFormat="1" x14ac:dyDescent="0.2">
      <c r="A178" s="305"/>
      <c r="B178" s="324"/>
      <c r="C178" s="331"/>
      <c r="D178" s="305"/>
      <c r="E178" s="324"/>
      <c r="F178" s="331"/>
      <c r="G178" s="305"/>
      <c r="H178" s="324"/>
      <c r="I178" s="331"/>
      <c r="J178" s="305"/>
      <c r="K178" s="324"/>
      <c r="L178" s="331"/>
      <c r="M178" s="305"/>
      <c r="N178" s="324"/>
      <c r="O178" s="331"/>
      <c r="P178" s="305"/>
    </row>
    <row r="179" spans="1:16" s="226" customFormat="1" x14ac:dyDescent="0.2">
      <c r="A179" s="305"/>
      <c r="B179" s="324"/>
      <c r="C179" s="331"/>
      <c r="D179" s="305"/>
      <c r="E179" s="324"/>
      <c r="F179" s="331"/>
      <c r="G179" s="305"/>
      <c r="H179" s="324"/>
      <c r="I179" s="331"/>
      <c r="J179" s="305"/>
      <c r="K179" s="324"/>
      <c r="L179" s="331"/>
      <c r="M179" s="305"/>
      <c r="N179" s="324"/>
      <c r="O179" s="331"/>
      <c r="P179" s="305"/>
    </row>
    <row r="180" spans="1:16" s="226" customFormat="1" x14ac:dyDescent="0.2">
      <c r="A180" s="305"/>
      <c r="B180" s="324"/>
      <c r="C180" s="331"/>
      <c r="D180" s="305"/>
      <c r="E180" s="324"/>
      <c r="F180" s="331"/>
      <c r="G180" s="305"/>
      <c r="H180" s="324"/>
      <c r="I180" s="331"/>
      <c r="J180" s="305"/>
      <c r="K180" s="324"/>
      <c r="L180" s="331"/>
      <c r="M180" s="305"/>
      <c r="N180" s="324"/>
      <c r="O180" s="331"/>
      <c r="P180" s="305"/>
    </row>
    <row r="181" spans="1:16" s="226" customFormat="1" x14ac:dyDescent="0.2">
      <c r="A181" s="305"/>
      <c r="B181" s="324"/>
      <c r="C181" s="331"/>
      <c r="D181" s="305"/>
      <c r="E181" s="324"/>
      <c r="F181" s="331"/>
      <c r="G181" s="305"/>
      <c r="H181" s="324"/>
      <c r="I181" s="331"/>
      <c r="J181" s="305"/>
      <c r="K181" s="324"/>
      <c r="L181" s="331"/>
      <c r="M181" s="305"/>
      <c r="N181" s="324"/>
      <c r="O181" s="331"/>
      <c r="P181" s="305"/>
    </row>
    <row r="182" spans="1:16" s="226" customFormat="1" x14ac:dyDescent="0.2">
      <c r="A182" s="305"/>
      <c r="B182" s="324"/>
      <c r="C182" s="331"/>
      <c r="D182" s="305"/>
      <c r="E182" s="324"/>
      <c r="F182" s="331"/>
      <c r="G182" s="305"/>
      <c r="H182" s="324"/>
      <c r="I182" s="331"/>
      <c r="J182" s="305"/>
      <c r="K182" s="324"/>
      <c r="L182" s="331"/>
      <c r="M182" s="305"/>
      <c r="N182" s="324"/>
      <c r="O182" s="331"/>
      <c r="P182" s="305"/>
    </row>
    <row r="183" spans="1:16" s="226" customFormat="1" x14ac:dyDescent="0.2">
      <c r="A183" s="305"/>
      <c r="B183" s="324"/>
      <c r="C183" s="331"/>
      <c r="D183" s="305"/>
      <c r="E183" s="324"/>
      <c r="F183" s="331"/>
      <c r="G183" s="305"/>
      <c r="H183" s="324"/>
      <c r="I183" s="331"/>
      <c r="J183" s="305"/>
      <c r="K183" s="324"/>
      <c r="L183" s="331"/>
      <c r="M183" s="305"/>
      <c r="N183" s="324"/>
      <c r="O183" s="331"/>
      <c r="P183" s="305"/>
    </row>
    <row r="184" spans="1:16" s="226" customFormat="1" x14ac:dyDescent="0.2">
      <c r="A184" s="305"/>
      <c r="B184" s="324"/>
      <c r="C184" s="331"/>
      <c r="D184" s="305"/>
      <c r="E184" s="324"/>
      <c r="F184" s="331"/>
      <c r="G184" s="305"/>
      <c r="H184" s="324"/>
      <c r="I184" s="331"/>
      <c r="J184" s="305"/>
      <c r="K184" s="324"/>
      <c r="L184" s="331"/>
      <c r="M184" s="305"/>
      <c r="N184" s="324"/>
      <c r="O184" s="331"/>
      <c r="P184" s="305"/>
    </row>
    <row r="185" spans="1:16" s="226" customFormat="1" x14ac:dyDescent="0.2">
      <c r="A185" s="305"/>
      <c r="B185" s="324"/>
      <c r="C185" s="331"/>
      <c r="D185" s="305"/>
      <c r="E185" s="324"/>
      <c r="F185" s="331"/>
      <c r="G185" s="305"/>
      <c r="H185" s="324"/>
      <c r="I185" s="331"/>
      <c r="J185" s="305"/>
      <c r="K185" s="324"/>
      <c r="L185" s="331"/>
      <c r="M185" s="305"/>
      <c r="N185" s="324"/>
      <c r="O185" s="331"/>
      <c r="P185" s="305"/>
    </row>
    <row r="186" spans="1:16" s="226" customFormat="1" x14ac:dyDescent="0.2">
      <c r="A186" s="305"/>
      <c r="B186" s="324"/>
      <c r="C186" s="331"/>
      <c r="D186" s="305"/>
      <c r="E186" s="324"/>
      <c r="F186" s="331"/>
      <c r="G186" s="305"/>
      <c r="H186" s="324"/>
      <c r="I186" s="331"/>
      <c r="J186" s="305"/>
      <c r="K186" s="324"/>
      <c r="L186" s="331"/>
      <c r="M186" s="305"/>
      <c r="N186" s="324"/>
      <c r="O186" s="331"/>
      <c r="P186" s="305"/>
    </row>
    <row r="187" spans="1:16" s="226" customFormat="1" x14ac:dyDescent="0.2">
      <c r="A187" s="305"/>
      <c r="B187" s="324"/>
      <c r="C187" s="331"/>
      <c r="D187" s="305"/>
      <c r="E187" s="324"/>
      <c r="F187" s="331"/>
      <c r="G187" s="305"/>
      <c r="H187" s="324"/>
      <c r="I187" s="331"/>
      <c r="J187" s="305"/>
      <c r="K187" s="324"/>
      <c r="L187" s="331"/>
      <c r="M187" s="305"/>
      <c r="N187" s="324"/>
      <c r="O187" s="331"/>
      <c r="P187" s="305"/>
    </row>
    <row r="188" spans="1:16" s="226" customFormat="1" x14ac:dyDescent="0.2">
      <c r="A188" s="305"/>
      <c r="B188" s="324"/>
      <c r="C188" s="331"/>
      <c r="D188" s="305"/>
      <c r="E188" s="324"/>
      <c r="F188" s="331"/>
      <c r="G188" s="305"/>
      <c r="H188" s="324"/>
      <c r="I188" s="331"/>
      <c r="J188" s="305"/>
      <c r="K188" s="324"/>
      <c r="L188" s="331"/>
      <c r="M188" s="305"/>
      <c r="N188" s="324"/>
      <c r="O188" s="331"/>
      <c r="P188" s="305"/>
    </row>
    <row r="189" spans="1:16" s="226" customFormat="1" x14ac:dyDescent="0.2">
      <c r="A189" s="305"/>
      <c r="B189" s="324"/>
      <c r="C189" s="331"/>
      <c r="D189" s="305"/>
      <c r="E189" s="324"/>
      <c r="F189" s="331"/>
      <c r="G189" s="305"/>
      <c r="H189" s="324"/>
      <c r="I189" s="331"/>
      <c r="J189" s="305"/>
      <c r="K189" s="324"/>
      <c r="L189" s="331"/>
      <c r="M189" s="305"/>
      <c r="N189" s="324"/>
      <c r="O189" s="331"/>
      <c r="P189" s="305"/>
    </row>
    <row r="190" spans="1:16" s="226" customFormat="1" x14ac:dyDescent="0.2">
      <c r="A190" s="305"/>
      <c r="B190" s="324"/>
      <c r="C190" s="331"/>
      <c r="D190" s="305"/>
      <c r="E190" s="324"/>
      <c r="F190" s="331"/>
      <c r="G190" s="305"/>
      <c r="H190" s="324"/>
      <c r="I190" s="331"/>
      <c r="J190" s="305"/>
      <c r="K190" s="324"/>
      <c r="L190" s="331"/>
      <c r="M190" s="305"/>
      <c r="N190" s="324"/>
      <c r="O190" s="331"/>
      <c r="P190" s="305"/>
    </row>
    <row r="191" spans="1:16" s="226" customFormat="1" x14ac:dyDescent="0.2">
      <c r="A191" s="305"/>
      <c r="B191" s="324"/>
      <c r="C191" s="331"/>
      <c r="D191" s="305"/>
      <c r="E191" s="324"/>
      <c r="F191" s="331"/>
      <c r="G191" s="305"/>
      <c r="H191" s="324"/>
      <c r="I191" s="331"/>
      <c r="J191" s="305"/>
      <c r="K191" s="324"/>
      <c r="L191" s="331"/>
      <c r="M191" s="305"/>
      <c r="N191" s="324"/>
      <c r="O191" s="331"/>
      <c r="P191" s="305"/>
    </row>
    <row r="192" spans="1:16" s="226" customFormat="1" x14ac:dyDescent="0.2">
      <c r="A192" s="305"/>
      <c r="B192" s="324"/>
      <c r="C192" s="331"/>
      <c r="D192" s="305"/>
      <c r="E192" s="324"/>
      <c r="F192" s="331"/>
      <c r="G192" s="305"/>
      <c r="H192" s="324"/>
      <c r="I192" s="331"/>
      <c r="J192" s="305"/>
      <c r="K192" s="324"/>
      <c r="L192" s="331"/>
      <c r="M192" s="305"/>
      <c r="N192" s="324"/>
      <c r="O192" s="331"/>
      <c r="P192" s="305"/>
    </row>
    <row r="193" spans="1:16" s="226" customFormat="1" x14ac:dyDescent="0.2">
      <c r="A193" s="305"/>
      <c r="B193" s="324"/>
      <c r="C193" s="331"/>
      <c r="D193" s="305"/>
      <c r="E193" s="324"/>
      <c r="F193" s="331"/>
      <c r="G193" s="305"/>
      <c r="H193" s="324"/>
      <c r="I193" s="331"/>
      <c r="J193" s="305"/>
      <c r="K193" s="324"/>
      <c r="L193" s="331"/>
      <c r="M193" s="305"/>
      <c r="N193" s="324"/>
      <c r="O193" s="331"/>
      <c r="P193" s="305"/>
    </row>
    <row r="194" spans="1:16" s="226" customFormat="1" x14ac:dyDescent="0.2">
      <c r="A194" s="305"/>
      <c r="B194" s="324"/>
      <c r="C194" s="331"/>
      <c r="D194" s="305"/>
      <c r="E194" s="324"/>
      <c r="F194" s="331"/>
      <c r="G194" s="305"/>
      <c r="H194" s="324"/>
      <c r="I194" s="331"/>
      <c r="J194" s="305"/>
      <c r="K194" s="324"/>
      <c r="L194" s="331"/>
      <c r="M194" s="305"/>
      <c r="N194" s="324"/>
      <c r="O194" s="331"/>
      <c r="P194" s="305"/>
    </row>
    <row r="195" spans="1:16" s="226" customFormat="1" x14ac:dyDescent="0.2">
      <c r="A195" s="305"/>
      <c r="B195" s="324"/>
      <c r="C195" s="331"/>
      <c r="D195" s="305"/>
      <c r="E195" s="324"/>
      <c r="F195" s="331"/>
      <c r="G195" s="305"/>
      <c r="H195" s="324"/>
      <c r="I195" s="331"/>
      <c r="J195" s="305"/>
      <c r="K195" s="324"/>
      <c r="L195" s="331"/>
      <c r="M195" s="305"/>
      <c r="N195" s="324"/>
      <c r="O195" s="331"/>
      <c r="P195" s="305"/>
    </row>
    <row r="196" spans="1:16" s="226" customFormat="1" x14ac:dyDescent="0.2">
      <c r="A196" s="305"/>
      <c r="B196" s="324"/>
      <c r="C196" s="331"/>
      <c r="D196" s="305"/>
      <c r="E196" s="324"/>
      <c r="F196" s="331"/>
      <c r="G196" s="305"/>
      <c r="H196" s="324"/>
      <c r="I196" s="331"/>
      <c r="J196" s="305"/>
      <c r="K196" s="324"/>
      <c r="L196" s="331"/>
      <c r="M196" s="305"/>
      <c r="N196" s="324"/>
      <c r="O196" s="331"/>
      <c r="P196" s="305"/>
    </row>
    <row r="197" spans="1:16" s="226" customFormat="1" x14ac:dyDescent="0.2">
      <c r="A197" s="305"/>
      <c r="B197" s="324"/>
      <c r="C197" s="331"/>
      <c r="D197" s="305"/>
      <c r="E197" s="324"/>
      <c r="F197" s="331"/>
      <c r="G197" s="305"/>
      <c r="H197" s="324"/>
      <c r="I197" s="331"/>
      <c r="J197" s="305"/>
      <c r="K197" s="324"/>
      <c r="L197" s="331"/>
      <c r="M197" s="305"/>
      <c r="N197" s="324"/>
      <c r="O197" s="331"/>
      <c r="P197" s="305"/>
    </row>
    <row r="198" spans="1:16" s="226" customFormat="1" x14ac:dyDescent="0.2">
      <c r="A198" s="305"/>
      <c r="B198" s="324"/>
      <c r="C198" s="331"/>
      <c r="D198" s="305"/>
      <c r="E198" s="324"/>
      <c r="F198" s="331"/>
      <c r="G198" s="305"/>
      <c r="H198" s="324"/>
      <c r="I198" s="331"/>
      <c r="J198" s="305"/>
      <c r="K198" s="324"/>
      <c r="L198" s="331"/>
      <c r="M198" s="305"/>
      <c r="N198" s="324"/>
      <c r="O198" s="331"/>
      <c r="P198" s="305"/>
    </row>
    <row r="199" spans="1:16" s="226" customFormat="1" x14ac:dyDescent="0.2">
      <c r="A199" s="305"/>
      <c r="B199" s="324"/>
      <c r="C199" s="331"/>
      <c r="D199" s="305"/>
      <c r="E199" s="324"/>
      <c r="F199" s="331"/>
      <c r="G199" s="305"/>
      <c r="H199" s="324"/>
      <c r="I199" s="331"/>
      <c r="J199" s="305"/>
      <c r="K199" s="324"/>
      <c r="L199" s="331"/>
      <c r="M199" s="305"/>
      <c r="N199" s="324"/>
      <c r="O199" s="331"/>
      <c r="P199" s="305"/>
    </row>
    <row r="200" spans="1:16" s="226" customFormat="1" x14ac:dyDescent="0.2">
      <c r="A200" s="305"/>
      <c r="B200" s="324"/>
      <c r="C200" s="331"/>
      <c r="D200" s="305"/>
      <c r="E200" s="324"/>
      <c r="F200" s="331"/>
      <c r="G200" s="305"/>
      <c r="H200" s="324"/>
      <c r="I200" s="331"/>
      <c r="J200" s="305"/>
      <c r="K200" s="324"/>
      <c r="L200" s="331"/>
      <c r="M200" s="305"/>
      <c r="N200" s="324"/>
      <c r="O200" s="331"/>
      <c r="P200" s="305"/>
    </row>
    <row r="201" spans="1:16" s="226" customFormat="1" x14ac:dyDescent="0.2">
      <c r="A201" s="305"/>
      <c r="B201" s="324"/>
      <c r="C201" s="331"/>
      <c r="D201" s="305"/>
      <c r="E201" s="324"/>
      <c r="F201" s="331"/>
      <c r="G201" s="305"/>
      <c r="H201" s="324"/>
      <c r="I201" s="331"/>
      <c r="J201" s="305"/>
      <c r="K201" s="324"/>
      <c r="L201" s="331"/>
      <c r="M201" s="305"/>
      <c r="N201" s="324"/>
      <c r="O201" s="331"/>
      <c r="P201" s="305"/>
    </row>
    <row r="202" spans="1:16" s="226" customFormat="1" x14ac:dyDescent="0.2">
      <c r="A202" s="305"/>
      <c r="B202" s="324"/>
      <c r="C202" s="331"/>
      <c r="D202" s="305"/>
      <c r="E202" s="324"/>
      <c r="F202" s="331"/>
      <c r="G202" s="305"/>
      <c r="H202" s="324"/>
      <c r="I202" s="331"/>
      <c r="J202" s="305"/>
      <c r="K202" s="324"/>
      <c r="L202" s="331"/>
      <c r="M202" s="305"/>
      <c r="N202" s="324"/>
      <c r="O202" s="331"/>
      <c r="P202" s="305"/>
    </row>
    <row r="203" spans="1:16" s="226" customFormat="1" x14ac:dyDescent="0.2">
      <c r="A203" s="305"/>
      <c r="B203" s="324"/>
      <c r="C203" s="331"/>
      <c r="D203" s="305"/>
      <c r="E203" s="324"/>
      <c r="F203" s="331"/>
      <c r="G203" s="305"/>
      <c r="H203" s="324"/>
      <c r="I203" s="331"/>
      <c r="J203" s="305"/>
      <c r="K203" s="324"/>
      <c r="L203" s="331"/>
      <c r="M203" s="305"/>
      <c r="N203" s="324"/>
      <c r="O203" s="331"/>
      <c r="P203" s="305"/>
    </row>
    <row r="204" spans="1:16" s="226" customFormat="1" x14ac:dyDescent="0.2">
      <c r="A204" s="305"/>
      <c r="B204" s="324"/>
      <c r="C204" s="331"/>
      <c r="D204" s="305"/>
      <c r="E204" s="324"/>
      <c r="F204" s="331"/>
      <c r="G204" s="305"/>
      <c r="H204" s="324"/>
      <c r="I204" s="331"/>
      <c r="J204" s="305"/>
      <c r="K204" s="324"/>
      <c r="L204" s="331"/>
      <c r="M204" s="305"/>
      <c r="N204" s="324"/>
      <c r="O204" s="331"/>
      <c r="P204" s="305"/>
    </row>
    <row r="205" spans="1:16" s="226" customFormat="1" x14ac:dyDescent="0.2">
      <c r="A205" s="305"/>
      <c r="B205" s="324"/>
      <c r="C205" s="331"/>
      <c r="D205" s="305"/>
      <c r="E205" s="324"/>
      <c r="F205" s="331"/>
      <c r="G205" s="305"/>
      <c r="H205" s="324"/>
      <c r="I205" s="331"/>
      <c r="J205" s="305"/>
      <c r="K205" s="324"/>
      <c r="L205" s="331"/>
      <c r="M205" s="305"/>
      <c r="N205" s="324"/>
      <c r="O205" s="331"/>
      <c r="P205" s="305"/>
    </row>
    <row r="206" spans="1:16" s="226" customFormat="1" x14ac:dyDescent="0.2">
      <c r="A206" s="305"/>
      <c r="B206" s="324"/>
      <c r="C206" s="331"/>
      <c r="D206" s="305"/>
      <c r="E206" s="324"/>
      <c r="F206" s="331"/>
      <c r="G206" s="305"/>
      <c r="H206" s="324"/>
      <c r="I206" s="331"/>
      <c r="J206" s="305"/>
      <c r="K206" s="324"/>
      <c r="L206" s="331"/>
      <c r="M206" s="305"/>
      <c r="N206" s="324"/>
      <c r="O206" s="331"/>
      <c r="P206" s="305"/>
    </row>
    <row r="207" spans="1:16" s="226" customFormat="1" x14ac:dyDescent="0.2">
      <c r="A207" s="305"/>
      <c r="B207" s="324"/>
      <c r="C207" s="331"/>
      <c r="D207" s="305"/>
      <c r="E207" s="324"/>
      <c r="F207" s="331"/>
      <c r="G207" s="305"/>
      <c r="H207" s="324"/>
      <c r="I207" s="331"/>
      <c r="J207" s="305"/>
      <c r="K207" s="324"/>
      <c r="L207" s="331"/>
      <c r="M207" s="305"/>
      <c r="N207" s="324"/>
      <c r="O207" s="331"/>
      <c r="P207" s="305"/>
    </row>
    <row r="208" spans="1:16" s="226" customFormat="1" x14ac:dyDescent="0.2">
      <c r="A208" s="305"/>
      <c r="B208" s="324"/>
      <c r="C208" s="331"/>
      <c r="D208" s="305"/>
      <c r="E208" s="324"/>
      <c r="F208" s="331"/>
      <c r="G208" s="305"/>
      <c r="H208" s="324"/>
      <c r="I208" s="331"/>
      <c r="J208" s="305"/>
      <c r="K208" s="324"/>
      <c r="L208" s="331"/>
      <c r="M208" s="305"/>
      <c r="N208" s="324"/>
      <c r="O208" s="331"/>
      <c r="P208" s="305"/>
    </row>
    <row r="209" spans="1:16" s="226" customFormat="1" x14ac:dyDescent="0.2">
      <c r="A209" s="305"/>
      <c r="B209" s="324"/>
      <c r="C209" s="331"/>
      <c r="D209" s="305"/>
      <c r="E209" s="324"/>
      <c r="F209" s="331"/>
      <c r="G209" s="305"/>
      <c r="H209" s="324"/>
      <c r="I209" s="331"/>
      <c r="J209" s="305"/>
      <c r="K209" s="324"/>
      <c r="L209" s="331"/>
      <c r="M209" s="305"/>
      <c r="N209" s="324"/>
      <c r="O209" s="331"/>
      <c r="P209" s="305"/>
    </row>
    <row r="210" spans="1:16" s="226" customFormat="1" x14ac:dyDescent="0.2">
      <c r="A210" s="305"/>
      <c r="B210" s="324"/>
      <c r="C210" s="331"/>
      <c r="D210" s="305"/>
      <c r="E210" s="324"/>
      <c r="F210" s="331"/>
      <c r="G210" s="305"/>
      <c r="H210" s="324"/>
      <c r="I210" s="331"/>
      <c r="J210" s="305"/>
      <c r="K210" s="324"/>
      <c r="L210" s="331"/>
      <c r="M210" s="305"/>
      <c r="N210" s="324"/>
      <c r="O210" s="331"/>
      <c r="P210" s="305"/>
    </row>
    <row r="211" spans="1:16" s="226" customFormat="1" x14ac:dyDescent="0.2">
      <c r="A211" s="305"/>
      <c r="B211" s="324"/>
      <c r="C211" s="331"/>
      <c r="D211" s="305"/>
      <c r="E211" s="324"/>
      <c r="F211" s="331"/>
      <c r="G211" s="305"/>
      <c r="H211" s="324"/>
      <c r="I211" s="331"/>
      <c r="J211" s="305"/>
      <c r="K211" s="324"/>
      <c r="L211" s="331"/>
      <c r="M211" s="305"/>
      <c r="N211" s="324"/>
      <c r="O211" s="331"/>
      <c r="P211" s="305"/>
    </row>
    <row r="212" spans="1:16" s="226" customFormat="1" x14ac:dyDescent="0.2">
      <c r="A212" s="305"/>
      <c r="B212" s="324"/>
      <c r="C212" s="331"/>
      <c r="D212" s="305"/>
      <c r="E212" s="324"/>
      <c r="F212" s="331"/>
      <c r="G212" s="305"/>
      <c r="H212" s="324"/>
      <c r="I212" s="331"/>
      <c r="J212" s="305"/>
      <c r="K212" s="324"/>
      <c r="L212" s="331"/>
      <c r="M212" s="305"/>
      <c r="N212" s="324"/>
      <c r="O212" s="331"/>
      <c r="P212" s="305"/>
    </row>
    <row r="213" spans="1:16" s="226" customFormat="1" x14ac:dyDescent="0.2">
      <c r="A213" s="305"/>
      <c r="B213" s="324"/>
      <c r="C213" s="331"/>
      <c r="D213" s="305"/>
      <c r="E213" s="324"/>
      <c r="F213" s="331"/>
      <c r="G213" s="305"/>
      <c r="H213" s="324"/>
      <c r="I213" s="331"/>
      <c r="J213" s="305"/>
      <c r="K213" s="324"/>
      <c r="L213" s="331"/>
      <c r="M213" s="305"/>
      <c r="N213" s="324"/>
      <c r="O213" s="331"/>
      <c r="P213" s="305"/>
    </row>
    <row r="214" spans="1:16" s="226" customFormat="1" x14ac:dyDescent="0.2">
      <c r="A214" s="305"/>
      <c r="B214" s="324"/>
      <c r="C214" s="331"/>
      <c r="D214" s="305"/>
      <c r="E214" s="324"/>
      <c r="F214" s="331"/>
      <c r="G214" s="305"/>
      <c r="H214" s="324"/>
      <c r="I214" s="331"/>
      <c r="J214" s="305"/>
      <c r="K214" s="324"/>
      <c r="L214" s="331"/>
      <c r="M214" s="305"/>
      <c r="N214" s="324"/>
      <c r="O214" s="331"/>
      <c r="P214" s="305"/>
    </row>
    <row r="215" spans="1:16" s="226" customFormat="1" x14ac:dyDescent="0.2">
      <c r="A215" s="305"/>
      <c r="B215" s="324"/>
      <c r="C215" s="331"/>
      <c r="D215" s="305"/>
      <c r="E215" s="324"/>
      <c r="F215" s="331"/>
      <c r="G215" s="305"/>
      <c r="H215" s="324"/>
      <c r="I215" s="331"/>
      <c r="J215" s="305"/>
      <c r="K215" s="324"/>
      <c r="L215" s="331"/>
      <c r="M215" s="305"/>
      <c r="N215" s="324"/>
      <c r="O215" s="331"/>
      <c r="P215" s="305"/>
    </row>
    <row r="216" spans="1:16" s="226" customFormat="1" x14ac:dyDescent="0.2">
      <c r="A216" s="305"/>
      <c r="B216" s="324"/>
      <c r="C216" s="331"/>
      <c r="D216" s="305"/>
      <c r="E216" s="324"/>
      <c r="F216" s="331"/>
      <c r="G216" s="305"/>
      <c r="H216" s="324"/>
      <c r="I216" s="331"/>
      <c r="J216" s="305"/>
      <c r="K216" s="324"/>
      <c r="L216" s="331"/>
      <c r="M216" s="305"/>
      <c r="N216" s="324"/>
      <c r="O216" s="331"/>
      <c r="P216" s="305"/>
    </row>
    <row r="217" spans="1:16" s="226" customFormat="1" x14ac:dyDescent="0.2">
      <c r="A217" s="305"/>
      <c r="B217" s="324"/>
      <c r="C217" s="331"/>
      <c r="D217" s="305"/>
      <c r="E217" s="324"/>
      <c r="F217" s="331"/>
      <c r="G217" s="305"/>
      <c r="H217" s="324"/>
      <c r="I217" s="331"/>
      <c r="J217" s="305"/>
      <c r="K217" s="324"/>
      <c r="L217" s="331"/>
      <c r="M217" s="305"/>
      <c r="N217" s="324"/>
      <c r="O217" s="331"/>
      <c r="P217" s="305"/>
    </row>
    <row r="218" spans="1:16" s="226" customFormat="1" x14ac:dyDescent="0.2">
      <c r="A218" s="305"/>
      <c r="B218" s="324"/>
      <c r="C218" s="331"/>
      <c r="D218" s="305"/>
      <c r="E218" s="324"/>
      <c r="F218" s="331"/>
      <c r="G218" s="305"/>
      <c r="H218" s="324"/>
      <c r="I218" s="331"/>
      <c r="J218" s="305"/>
      <c r="K218" s="324"/>
      <c r="L218" s="331"/>
      <c r="M218" s="305"/>
      <c r="N218" s="324"/>
      <c r="O218" s="331"/>
      <c r="P218" s="305"/>
    </row>
    <row r="219" spans="1:16" s="226" customFormat="1" x14ac:dyDescent="0.2">
      <c r="A219" s="305"/>
      <c r="B219" s="324"/>
      <c r="C219" s="331"/>
      <c r="D219" s="305"/>
      <c r="E219" s="324"/>
      <c r="F219" s="331"/>
      <c r="G219" s="305"/>
      <c r="H219" s="324"/>
      <c r="I219" s="331"/>
      <c r="J219" s="305"/>
      <c r="K219" s="324"/>
      <c r="L219" s="331"/>
      <c r="M219" s="305"/>
      <c r="N219" s="324"/>
      <c r="O219" s="331"/>
      <c r="P219" s="305"/>
    </row>
    <row r="220" spans="1:16" s="226" customFormat="1" x14ac:dyDescent="0.2">
      <c r="A220" s="305"/>
      <c r="B220" s="324"/>
      <c r="C220" s="331"/>
      <c r="D220" s="305"/>
      <c r="E220" s="324"/>
      <c r="F220" s="331"/>
      <c r="G220" s="305"/>
      <c r="H220" s="324"/>
      <c r="I220" s="331"/>
      <c r="J220" s="305"/>
      <c r="K220" s="324"/>
      <c r="L220" s="331"/>
      <c r="M220" s="305"/>
      <c r="N220" s="324"/>
      <c r="O220" s="331"/>
      <c r="P220" s="305"/>
    </row>
    <row r="221" spans="1:16" s="226" customFormat="1" x14ac:dyDescent="0.2">
      <c r="A221" s="305"/>
      <c r="B221" s="324"/>
      <c r="C221" s="331"/>
      <c r="D221" s="305"/>
      <c r="E221" s="324"/>
      <c r="F221" s="331"/>
      <c r="G221" s="305"/>
      <c r="H221" s="324"/>
      <c r="I221" s="331"/>
      <c r="J221" s="305"/>
      <c r="K221" s="324"/>
      <c r="L221" s="331"/>
      <c r="M221" s="305"/>
      <c r="N221" s="324"/>
      <c r="O221" s="331"/>
      <c r="P221" s="305"/>
    </row>
    <row r="222" spans="1:16" s="226" customFormat="1" x14ac:dyDescent="0.2">
      <c r="A222" s="305"/>
      <c r="B222" s="324"/>
      <c r="C222" s="331"/>
      <c r="D222" s="305"/>
      <c r="E222" s="324"/>
      <c r="F222" s="331"/>
      <c r="G222" s="305"/>
      <c r="H222" s="324"/>
      <c r="I222" s="331"/>
      <c r="J222" s="305"/>
      <c r="K222" s="324"/>
      <c r="L222" s="331"/>
      <c r="M222" s="305"/>
      <c r="N222" s="324"/>
      <c r="O222" s="331"/>
      <c r="P222" s="305"/>
    </row>
    <row r="223" spans="1:16" s="226" customFormat="1" x14ac:dyDescent="0.2">
      <c r="A223" s="305"/>
      <c r="B223" s="324"/>
      <c r="C223" s="331"/>
      <c r="D223" s="305"/>
      <c r="E223" s="324"/>
      <c r="F223" s="331"/>
      <c r="G223" s="305"/>
      <c r="H223" s="324"/>
      <c r="I223" s="331"/>
      <c r="J223" s="305"/>
      <c r="K223" s="324"/>
      <c r="L223" s="331"/>
      <c r="M223" s="305"/>
      <c r="N223" s="324"/>
      <c r="O223" s="331"/>
      <c r="P223" s="305"/>
    </row>
    <row r="224" spans="1:16" s="226" customFormat="1" x14ac:dyDescent="0.2">
      <c r="A224" s="305"/>
      <c r="B224" s="324"/>
      <c r="C224" s="331"/>
      <c r="D224" s="305"/>
      <c r="E224" s="324"/>
      <c r="F224" s="331"/>
      <c r="G224" s="305"/>
      <c r="H224" s="324"/>
      <c r="I224" s="331"/>
      <c r="J224" s="305"/>
      <c r="K224" s="324"/>
      <c r="L224" s="331"/>
      <c r="M224" s="305"/>
      <c r="N224" s="324"/>
      <c r="O224" s="331"/>
      <c r="P224" s="305"/>
    </row>
    <row r="225" spans="1:16" s="226" customFormat="1" x14ac:dyDescent="0.2">
      <c r="A225" s="305"/>
      <c r="B225" s="324"/>
      <c r="C225" s="331"/>
      <c r="D225" s="305"/>
      <c r="E225" s="324"/>
      <c r="F225" s="331"/>
      <c r="G225" s="305"/>
      <c r="H225" s="324"/>
      <c r="I225" s="331"/>
      <c r="J225" s="305"/>
      <c r="K225" s="324"/>
      <c r="L225" s="331"/>
      <c r="M225" s="305"/>
      <c r="N225" s="324"/>
      <c r="O225" s="331"/>
      <c r="P225" s="305"/>
    </row>
    <row r="226" spans="1:16" s="226" customFormat="1" x14ac:dyDescent="0.2">
      <c r="A226" s="305"/>
      <c r="B226" s="324"/>
      <c r="C226" s="331"/>
      <c r="D226" s="305"/>
      <c r="E226" s="324"/>
      <c r="F226" s="331"/>
      <c r="G226" s="305"/>
      <c r="H226" s="324"/>
      <c r="I226" s="331"/>
      <c r="J226" s="305"/>
      <c r="K226" s="324"/>
      <c r="L226" s="331"/>
      <c r="M226" s="305"/>
      <c r="N226" s="324"/>
      <c r="O226" s="331"/>
      <c r="P226" s="305"/>
    </row>
    <row r="227" spans="1:16" s="226" customFormat="1" x14ac:dyDescent="0.2">
      <c r="A227" s="305"/>
      <c r="B227" s="324"/>
      <c r="C227" s="331"/>
      <c r="D227" s="305"/>
      <c r="E227" s="324"/>
      <c r="F227" s="331"/>
      <c r="G227" s="305"/>
      <c r="H227" s="324"/>
      <c r="I227" s="331"/>
      <c r="J227" s="305"/>
      <c r="K227" s="324"/>
      <c r="L227" s="331"/>
      <c r="M227" s="305"/>
      <c r="N227" s="324"/>
      <c r="O227" s="331"/>
      <c r="P227" s="305"/>
    </row>
    <row r="228" spans="1:16" s="226" customFormat="1" x14ac:dyDescent="0.2">
      <c r="A228" s="305"/>
      <c r="B228" s="324"/>
      <c r="C228" s="331"/>
      <c r="D228" s="305"/>
      <c r="E228" s="324"/>
      <c r="F228" s="331"/>
      <c r="G228" s="305"/>
      <c r="H228" s="324"/>
      <c r="I228" s="331"/>
      <c r="J228" s="305"/>
      <c r="K228" s="324"/>
      <c r="L228" s="331"/>
      <c r="M228" s="305"/>
      <c r="N228" s="324"/>
      <c r="O228" s="331"/>
      <c r="P228" s="305"/>
    </row>
    <row r="229" spans="1:16" s="226" customFormat="1" x14ac:dyDescent="0.2">
      <c r="A229" s="305"/>
      <c r="B229" s="324"/>
      <c r="C229" s="331"/>
      <c r="D229" s="305"/>
      <c r="E229" s="324"/>
      <c r="F229" s="331"/>
      <c r="G229" s="305"/>
      <c r="H229" s="324"/>
      <c r="I229" s="331"/>
      <c r="J229" s="305"/>
      <c r="K229" s="324"/>
      <c r="L229" s="331"/>
      <c r="M229" s="305"/>
      <c r="N229" s="324"/>
      <c r="O229" s="331"/>
      <c r="P229" s="305"/>
    </row>
    <row r="230" spans="1:16" s="226" customFormat="1" x14ac:dyDescent="0.2">
      <c r="A230" s="305"/>
      <c r="B230" s="324"/>
      <c r="C230" s="331"/>
      <c r="D230" s="305"/>
      <c r="E230" s="324"/>
      <c r="F230" s="331"/>
      <c r="G230" s="305"/>
      <c r="H230" s="324"/>
      <c r="I230" s="331"/>
      <c r="J230" s="305"/>
      <c r="K230" s="324"/>
      <c r="L230" s="331"/>
      <c r="M230" s="305"/>
      <c r="N230" s="324"/>
      <c r="O230" s="331"/>
      <c r="P230" s="305"/>
    </row>
    <row r="231" spans="1:16" s="226" customFormat="1" x14ac:dyDescent="0.2">
      <c r="A231" s="305"/>
      <c r="B231" s="324"/>
      <c r="C231" s="331"/>
      <c r="D231" s="305"/>
      <c r="E231" s="324"/>
      <c r="F231" s="331"/>
      <c r="G231" s="305"/>
      <c r="H231" s="324"/>
      <c r="I231" s="331"/>
      <c r="J231" s="305"/>
      <c r="K231" s="324"/>
      <c r="L231" s="331"/>
      <c r="M231" s="305"/>
      <c r="N231" s="324"/>
      <c r="O231" s="331"/>
      <c r="P231" s="305"/>
    </row>
    <row r="232" spans="1:16" s="226" customFormat="1" x14ac:dyDescent="0.2">
      <c r="A232" s="305"/>
      <c r="B232" s="324"/>
      <c r="C232" s="331"/>
      <c r="D232" s="305"/>
      <c r="E232" s="324"/>
      <c r="F232" s="331"/>
      <c r="G232" s="305"/>
      <c r="H232" s="324"/>
      <c r="I232" s="331"/>
      <c r="J232" s="305"/>
      <c r="K232" s="324"/>
      <c r="L232" s="331"/>
      <c r="M232" s="305"/>
      <c r="N232" s="324"/>
      <c r="O232" s="331"/>
      <c r="P232" s="305"/>
    </row>
    <row r="233" spans="1:16" s="226" customFormat="1" x14ac:dyDescent="0.2">
      <c r="A233" s="305"/>
      <c r="B233" s="324"/>
      <c r="C233" s="331"/>
      <c r="D233" s="305"/>
      <c r="E233" s="324"/>
      <c r="F233" s="331"/>
      <c r="G233" s="305"/>
      <c r="H233" s="324"/>
      <c r="I233" s="331"/>
      <c r="J233" s="305"/>
      <c r="K233" s="324"/>
      <c r="L233" s="331"/>
      <c r="M233" s="305"/>
      <c r="N233" s="324"/>
      <c r="O233" s="331"/>
      <c r="P233" s="305"/>
    </row>
    <row r="234" spans="1:16" s="226" customFormat="1" x14ac:dyDescent="0.2">
      <c r="A234" s="305"/>
      <c r="B234" s="324"/>
      <c r="C234" s="331"/>
      <c r="D234" s="305"/>
      <c r="E234" s="324"/>
      <c r="F234" s="331"/>
      <c r="G234" s="305"/>
      <c r="H234" s="324"/>
      <c r="I234" s="331"/>
      <c r="J234" s="305"/>
      <c r="K234" s="324"/>
      <c r="L234" s="331"/>
      <c r="M234" s="305"/>
      <c r="N234" s="324"/>
      <c r="O234" s="331"/>
      <c r="P234" s="305"/>
    </row>
    <row r="235" spans="1:16" s="226" customFormat="1" x14ac:dyDescent="0.2">
      <c r="A235" s="305"/>
      <c r="B235" s="324"/>
      <c r="C235" s="331"/>
      <c r="D235" s="305"/>
      <c r="E235" s="324"/>
      <c r="F235" s="331"/>
      <c r="G235" s="305"/>
      <c r="H235" s="324"/>
      <c r="I235" s="331"/>
      <c r="J235" s="305"/>
      <c r="K235" s="324"/>
      <c r="L235" s="331"/>
      <c r="M235" s="305"/>
      <c r="N235" s="324"/>
      <c r="O235" s="331"/>
      <c r="P235" s="305"/>
    </row>
    <row r="236" spans="1:16" s="226" customFormat="1" x14ac:dyDescent="0.2">
      <c r="A236" s="305"/>
      <c r="B236" s="324"/>
      <c r="C236" s="331"/>
      <c r="D236" s="305"/>
      <c r="E236" s="324"/>
      <c r="F236" s="331"/>
      <c r="G236" s="305"/>
      <c r="H236" s="324"/>
      <c r="I236" s="331"/>
      <c r="J236" s="305"/>
      <c r="K236" s="324"/>
      <c r="L236" s="331"/>
      <c r="M236" s="305"/>
      <c r="N236" s="324"/>
      <c r="O236" s="331"/>
      <c r="P236" s="305"/>
    </row>
    <row r="237" spans="1:16" s="226" customFormat="1" x14ac:dyDescent="0.2">
      <c r="A237" s="305"/>
      <c r="B237" s="324"/>
      <c r="C237" s="331"/>
      <c r="D237" s="305"/>
      <c r="E237" s="324"/>
      <c r="F237" s="331"/>
      <c r="G237" s="305"/>
      <c r="H237" s="324"/>
      <c r="I237" s="331"/>
      <c r="J237" s="305"/>
      <c r="K237" s="324"/>
      <c r="L237" s="331"/>
      <c r="M237" s="305"/>
      <c r="N237" s="324"/>
      <c r="O237" s="331"/>
      <c r="P237" s="305"/>
    </row>
    <row r="238" spans="1:16" s="226" customFormat="1" x14ac:dyDescent="0.2">
      <c r="A238" s="305"/>
      <c r="B238" s="324"/>
      <c r="C238" s="331"/>
      <c r="D238" s="305"/>
      <c r="E238" s="324"/>
      <c r="F238" s="331"/>
      <c r="G238" s="305"/>
      <c r="H238" s="324"/>
      <c r="I238" s="331"/>
      <c r="J238" s="305"/>
      <c r="K238" s="324"/>
      <c r="L238" s="331"/>
      <c r="M238" s="305"/>
      <c r="N238" s="324"/>
      <c r="O238" s="331"/>
      <c r="P238" s="305"/>
    </row>
    <row r="239" spans="1:16" s="226" customFormat="1" x14ac:dyDescent="0.2">
      <c r="A239" s="305"/>
      <c r="B239" s="324"/>
      <c r="C239" s="331"/>
      <c r="D239" s="305"/>
      <c r="E239" s="324"/>
      <c r="F239" s="331"/>
      <c r="G239" s="305"/>
      <c r="H239" s="324"/>
      <c r="I239" s="331"/>
      <c r="J239" s="305"/>
      <c r="K239" s="324"/>
      <c r="L239" s="331"/>
      <c r="M239" s="305"/>
      <c r="N239" s="324"/>
      <c r="O239" s="331"/>
      <c r="P239" s="305"/>
    </row>
    <row r="240" spans="1:16" s="226" customFormat="1" x14ac:dyDescent="0.2">
      <c r="A240" s="305"/>
      <c r="B240" s="324"/>
      <c r="C240" s="331"/>
      <c r="D240" s="305"/>
      <c r="E240" s="324"/>
      <c r="F240" s="331"/>
      <c r="G240" s="305"/>
      <c r="H240" s="324"/>
      <c r="I240" s="331"/>
      <c r="J240" s="305"/>
      <c r="K240" s="324"/>
      <c r="L240" s="331"/>
      <c r="M240" s="305"/>
      <c r="N240" s="324"/>
      <c r="O240" s="331"/>
      <c r="P240" s="305"/>
    </row>
    <row r="241" spans="1:16" s="226" customFormat="1" x14ac:dyDescent="0.2">
      <c r="A241" s="305"/>
      <c r="B241" s="324"/>
      <c r="C241" s="331"/>
      <c r="D241" s="305"/>
      <c r="E241" s="324"/>
      <c r="F241" s="331"/>
      <c r="G241" s="305"/>
      <c r="H241" s="324"/>
      <c r="I241" s="331"/>
      <c r="J241" s="305"/>
      <c r="K241" s="324"/>
      <c r="L241" s="331"/>
      <c r="M241" s="305"/>
      <c r="N241" s="324"/>
      <c r="O241" s="331"/>
      <c r="P241" s="305"/>
    </row>
    <row r="242" spans="1:16" s="226" customFormat="1" x14ac:dyDescent="0.2">
      <c r="A242" s="305"/>
      <c r="B242" s="324"/>
      <c r="C242" s="331"/>
      <c r="D242" s="305"/>
      <c r="E242" s="324"/>
      <c r="F242" s="331"/>
      <c r="G242" s="305"/>
      <c r="H242" s="324"/>
      <c r="I242" s="331"/>
      <c r="J242" s="305"/>
      <c r="K242" s="324"/>
      <c r="L242" s="331"/>
      <c r="M242" s="305"/>
      <c r="N242" s="324"/>
      <c r="O242" s="331"/>
      <c r="P242" s="305"/>
    </row>
    <row r="243" spans="1:16" s="226" customFormat="1" x14ac:dyDescent="0.2">
      <c r="A243" s="305"/>
      <c r="B243" s="324"/>
      <c r="C243" s="331"/>
      <c r="D243" s="305"/>
      <c r="E243" s="324"/>
      <c r="F243" s="331"/>
      <c r="G243" s="305"/>
      <c r="H243" s="324"/>
      <c r="I243" s="331"/>
      <c r="J243" s="305"/>
      <c r="K243" s="324"/>
      <c r="L243" s="331"/>
      <c r="M243" s="305"/>
      <c r="N243" s="324"/>
      <c r="O243" s="331"/>
      <c r="P243" s="305"/>
    </row>
    <row r="244" spans="1:16" s="226" customFormat="1" x14ac:dyDescent="0.2">
      <c r="A244" s="305"/>
      <c r="B244" s="324"/>
      <c r="C244" s="331"/>
      <c r="D244" s="305"/>
      <c r="E244" s="324"/>
      <c r="F244" s="331"/>
      <c r="G244" s="305"/>
      <c r="H244" s="324"/>
      <c r="I244" s="331"/>
      <c r="J244" s="305"/>
      <c r="K244" s="324"/>
      <c r="L244" s="331"/>
      <c r="M244" s="305"/>
      <c r="N244" s="324"/>
      <c r="O244" s="331"/>
      <c r="P244" s="305"/>
    </row>
    <row r="245" spans="1:16" s="226" customFormat="1" x14ac:dyDescent="0.2">
      <c r="A245" s="305"/>
      <c r="B245" s="324"/>
      <c r="C245" s="331"/>
      <c r="D245" s="305"/>
      <c r="E245" s="324"/>
      <c r="F245" s="331"/>
      <c r="G245" s="305"/>
      <c r="H245" s="324"/>
      <c r="I245" s="331"/>
      <c r="J245" s="305"/>
      <c r="K245" s="324"/>
      <c r="L245" s="331"/>
      <c r="M245" s="305"/>
      <c r="N245" s="324"/>
      <c r="O245" s="331"/>
      <c r="P245" s="305"/>
    </row>
    <row r="246" spans="1:16" s="226" customFormat="1" x14ac:dyDescent="0.2">
      <c r="A246" s="305"/>
      <c r="B246" s="324"/>
      <c r="C246" s="331"/>
      <c r="D246" s="305"/>
      <c r="E246" s="324"/>
      <c r="F246" s="331"/>
      <c r="G246" s="305"/>
      <c r="H246" s="324"/>
      <c r="I246" s="331"/>
      <c r="J246" s="305"/>
      <c r="K246" s="324"/>
      <c r="L246" s="331"/>
      <c r="M246" s="305"/>
      <c r="N246" s="324"/>
      <c r="O246" s="331"/>
      <c r="P246" s="305"/>
    </row>
    <row r="247" spans="1:16" s="226" customFormat="1" x14ac:dyDescent="0.2">
      <c r="A247" s="305"/>
      <c r="B247" s="324"/>
      <c r="C247" s="331"/>
      <c r="D247" s="305"/>
      <c r="E247" s="324"/>
      <c r="F247" s="331"/>
      <c r="G247" s="305"/>
      <c r="H247" s="324"/>
      <c r="I247" s="331"/>
      <c r="J247" s="305"/>
      <c r="K247" s="324"/>
      <c r="L247" s="331"/>
      <c r="M247" s="305"/>
      <c r="N247" s="324"/>
      <c r="O247" s="331"/>
      <c r="P247" s="305"/>
    </row>
    <row r="248" spans="1:16" s="226" customFormat="1" x14ac:dyDescent="0.2">
      <c r="A248" s="305"/>
      <c r="B248" s="324"/>
      <c r="C248" s="331"/>
      <c r="D248" s="305"/>
      <c r="E248" s="324"/>
      <c r="F248" s="331"/>
      <c r="G248" s="305"/>
      <c r="H248" s="324"/>
      <c r="I248" s="331"/>
      <c r="J248" s="305"/>
      <c r="K248" s="324"/>
      <c r="L248" s="331"/>
      <c r="M248" s="305"/>
      <c r="N248" s="324"/>
      <c r="O248" s="331"/>
      <c r="P248" s="305"/>
    </row>
    <row r="249" spans="1:16" s="226" customFormat="1" x14ac:dyDescent="0.2">
      <c r="A249" s="305"/>
      <c r="B249" s="324"/>
      <c r="C249" s="331"/>
      <c r="D249" s="305"/>
      <c r="E249" s="324"/>
      <c r="F249" s="331"/>
      <c r="G249" s="305"/>
      <c r="H249" s="324"/>
      <c r="I249" s="331"/>
      <c r="J249" s="305"/>
      <c r="K249" s="324"/>
      <c r="L249" s="331"/>
      <c r="M249" s="305"/>
      <c r="N249" s="324"/>
      <c r="O249" s="331"/>
      <c r="P249" s="305"/>
    </row>
    <row r="250" spans="1:16" s="226" customFormat="1" x14ac:dyDescent="0.2">
      <c r="A250" s="305"/>
      <c r="B250" s="324"/>
      <c r="C250" s="331"/>
      <c r="D250" s="305"/>
      <c r="E250" s="324"/>
      <c r="F250" s="331"/>
      <c r="G250" s="305"/>
      <c r="H250" s="324"/>
      <c r="I250" s="331"/>
      <c r="J250" s="305"/>
      <c r="K250" s="324"/>
      <c r="L250" s="331"/>
      <c r="M250" s="305"/>
      <c r="N250" s="324"/>
      <c r="O250" s="331"/>
      <c r="P250" s="305"/>
    </row>
    <row r="251" spans="1:16" s="226" customFormat="1" x14ac:dyDescent="0.2">
      <c r="A251" s="305"/>
      <c r="B251" s="324"/>
      <c r="C251" s="331"/>
      <c r="D251" s="305"/>
      <c r="E251" s="324"/>
      <c r="F251" s="331"/>
      <c r="G251" s="305"/>
      <c r="H251" s="324"/>
      <c r="I251" s="331"/>
      <c r="J251" s="305"/>
      <c r="K251" s="324"/>
      <c r="L251" s="331"/>
      <c r="M251" s="305"/>
      <c r="N251" s="324"/>
      <c r="O251" s="331"/>
      <c r="P251" s="305"/>
    </row>
    <row r="252" spans="1:16" s="226" customFormat="1" x14ac:dyDescent="0.2">
      <c r="A252" s="305"/>
      <c r="B252" s="324"/>
      <c r="C252" s="331"/>
      <c r="D252" s="305"/>
      <c r="E252" s="324"/>
      <c r="F252" s="331"/>
      <c r="G252" s="305"/>
      <c r="H252" s="324"/>
      <c r="I252" s="331"/>
      <c r="J252" s="305"/>
      <c r="K252" s="324"/>
      <c r="L252" s="331"/>
      <c r="M252" s="305"/>
      <c r="N252" s="324"/>
      <c r="O252" s="331"/>
      <c r="P252" s="305"/>
    </row>
    <row r="253" spans="1:16" s="226" customFormat="1" x14ac:dyDescent="0.2">
      <c r="A253" s="305"/>
      <c r="B253" s="324"/>
      <c r="C253" s="331"/>
      <c r="D253" s="305"/>
      <c r="E253" s="324"/>
      <c r="F253" s="331"/>
      <c r="G253" s="305"/>
      <c r="H253" s="324"/>
      <c r="I253" s="331"/>
      <c r="J253" s="305"/>
      <c r="K253" s="324"/>
      <c r="L253" s="331"/>
      <c r="M253" s="305"/>
      <c r="N253" s="324"/>
      <c r="O253" s="331"/>
      <c r="P253" s="305"/>
    </row>
    <row r="254" spans="1:16" s="226" customFormat="1" x14ac:dyDescent="0.2">
      <c r="A254" s="305"/>
      <c r="B254" s="324"/>
      <c r="C254" s="331"/>
      <c r="D254" s="305"/>
      <c r="E254" s="324"/>
      <c r="F254" s="331"/>
      <c r="G254" s="305"/>
      <c r="H254" s="324"/>
      <c r="I254" s="331"/>
      <c r="J254" s="305"/>
      <c r="K254" s="324"/>
      <c r="L254" s="331"/>
      <c r="M254" s="305"/>
      <c r="N254" s="324"/>
      <c r="O254" s="331"/>
      <c r="P254" s="305"/>
    </row>
    <row r="255" spans="1:16" s="226" customFormat="1" x14ac:dyDescent="0.2">
      <c r="A255" s="305"/>
      <c r="B255" s="324"/>
      <c r="C255" s="331"/>
      <c r="D255" s="305"/>
      <c r="E255" s="324"/>
      <c r="F255" s="331"/>
      <c r="G255" s="305"/>
      <c r="H255" s="324"/>
      <c r="I255" s="331"/>
      <c r="J255" s="305"/>
      <c r="K255" s="324"/>
      <c r="L255" s="331"/>
      <c r="M255" s="305"/>
      <c r="N255" s="324"/>
      <c r="O255" s="331"/>
      <c r="P255" s="305"/>
    </row>
    <row r="256" spans="1:16" s="226" customFormat="1" x14ac:dyDescent="0.2">
      <c r="A256" s="305"/>
      <c r="B256" s="324"/>
      <c r="C256" s="331"/>
      <c r="D256" s="305"/>
      <c r="E256" s="324"/>
      <c r="F256" s="331"/>
      <c r="G256" s="305"/>
      <c r="H256" s="324"/>
      <c r="I256" s="331"/>
      <c r="J256" s="305"/>
      <c r="K256" s="324"/>
      <c r="L256" s="331"/>
      <c r="M256" s="305"/>
      <c r="N256" s="324"/>
      <c r="O256" s="331"/>
      <c r="P256" s="305"/>
    </row>
    <row r="257" spans="1:16" s="226" customFormat="1" x14ac:dyDescent="0.2">
      <c r="A257" s="305"/>
      <c r="B257" s="324"/>
      <c r="C257" s="331"/>
      <c r="D257" s="305"/>
      <c r="E257" s="324"/>
      <c r="F257" s="331"/>
      <c r="G257" s="305"/>
      <c r="H257" s="324"/>
      <c r="I257" s="331"/>
      <c r="J257" s="305"/>
      <c r="K257" s="324"/>
      <c r="L257" s="331"/>
      <c r="M257" s="305"/>
      <c r="N257" s="324"/>
      <c r="O257" s="331"/>
      <c r="P257" s="305"/>
    </row>
    <row r="258" spans="1:16" s="226" customFormat="1" x14ac:dyDescent="0.2">
      <c r="A258" s="305"/>
      <c r="B258" s="324"/>
      <c r="C258" s="331"/>
      <c r="D258" s="305"/>
      <c r="E258" s="324"/>
      <c r="F258" s="331"/>
      <c r="G258" s="305"/>
      <c r="H258" s="324"/>
      <c r="I258" s="331"/>
      <c r="J258" s="305"/>
      <c r="K258" s="324"/>
      <c r="L258" s="331"/>
      <c r="M258" s="305"/>
      <c r="N258" s="324"/>
      <c r="O258" s="331"/>
      <c r="P258" s="305"/>
    </row>
    <row r="259" spans="1:16" s="226" customFormat="1" x14ac:dyDescent="0.2">
      <c r="A259" s="305"/>
      <c r="B259" s="324"/>
      <c r="C259" s="331"/>
      <c r="D259" s="305"/>
      <c r="E259" s="324"/>
      <c r="F259" s="331"/>
      <c r="G259" s="305"/>
      <c r="H259" s="324"/>
      <c r="I259" s="331"/>
      <c r="J259" s="305"/>
      <c r="K259" s="324"/>
      <c r="L259" s="331"/>
      <c r="M259" s="305"/>
      <c r="N259" s="324"/>
      <c r="O259" s="331"/>
      <c r="P259" s="305"/>
    </row>
    <row r="260" spans="1:16" s="226" customFormat="1" x14ac:dyDescent="0.2">
      <c r="A260" s="305"/>
      <c r="B260" s="324"/>
      <c r="C260" s="331"/>
      <c r="D260" s="305"/>
      <c r="E260" s="324"/>
      <c r="F260" s="331"/>
      <c r="G260" s="305"/>
      <c r="H260" s="324"/>
      <c r="I260" s="331"/>
      <c r="J260" s="305"/>
      <c r="K260" s="324"/>
      <c r="L260" s="331"/>
      <c r="M260" s="305"/>
      <c r="N260" s="324"/>
      <c r="O260" s="331"/>
      <c r="P260" s="305"/>
    </row>
    <row r="261" spans="1:16" s="226" customFormat="1" x14ac:dyDescent="0.2">
      <c r="A261" s="305"/>
      <c r="B261" s="324"/>
      <c r="C261" s="331"/>
      <c r="D261" s="305"/>
      <c r="E261" s="324"/>
      <c r="F261" s="331"/>
      <c r="G261" s="305"/>
      <c r="H261" s="324"/>
      <c r="I261" s="331"/>
      <c r="J261" s="305"/>
      <c r="K261" s="324"/>
      <c r="L261" s="331"/>
      <c r="M261" s="305"/>
      <c r="N261" s="324"/>
      <c r="O261" s="331"/>
      <c r="P261" s="305"/>
    </row>
    <row r="262" spans="1:16" s="226" customFormat="1" x14ac:dyDescent="0.2">
      <c r="A262" s="305"/>
      <c r="B262" s="324"/>
      <c r="C262" s="331"/>
      <c r="D262" s="305"/>
      <c r="E262" s="324"/>
      <c r="F262" s="331"/>
      <c r="G262" s="305"/>
      <c r="H262" s="324"/>
      <c r="I262" s="331"/>
      <c r="J262" s="305"/>
      <c r="K262" s="324"/>
      <c r="L262" s="331"/>
      <c r="M262" s="305"/>
      <c r="N262" s="324"/>
      <c r="O262" s="331"/>
      <c r="P262" s="305"/>
    </row>
    <row r="263" spans="1:16" s="226" customFormat="1" x14ac:dyDescent="0.2">
      <c r="A263" s="305"/>
      <c r="B263" s="324"/>
      <c r="C263" s="331"/>
      <c r="D263" s="305"/>
      <c r="E263" s="324"/>
      <c r="F263" s="331"/>
      <c r="G263" s="305"/>
      <c r="H263" s="324"/>
      <c r="I263" s="331"/>
      <c r="J263" s="305"/>
      <c r="K263" s="324"/>
      <c r="L263" s="331"/>
      <c r="M263" s="305"/>
      <c r="N263" s="324"/>
      <c r="O263" s="331"/>
      <c r="P263" s="305"/>
    </row>
    <row r="264" spans="1:16" s="226" customFormat="1" x14ac:dyDescent="0.2">
      <c r="A264" s="305"/>
      <c r="B264" s="324"/>
      <c r="C264" s="331"/>
      <c r="D264" s="305"/>
      <c r="E264" s="324"/>
      <c r="F264" s="331"/>
      <c r="G264" s="305"/>
      <c r="H264" s="324"/>
      <c r="I264" s="331"/>
      <c r="J264" s="305"/>
      <c r="K264" s="324"/>
      <c r="L264" s="331"/>
      <c r="M264" s="305"/>
      <c r="N264" s="324"/>
      <c r="O264" s="331"/>
      <c r="P264" s="305"/>
    </row>
    <row r="265" spans="1:16" s="226" customFormat="1" x14ac:dyDescent="0.2">
      <c r="A265" s="305"/>
      <c r="B265" s="324"/>
      <c r="C265" s="331"/>
      <c r="D265" s="305"/>
      <c r="E265" s="324"/>
      <c r="F265" s="331"/>
      <c r="G265" s="305"/>
      <c r="H265" s="324"/>
      <c r="I265" s="331"/>
      <c r="J265" s="305"/>
      <c r="K265" s="324"/>
      <c r="L265" s="331"/>
      <c r="M265" s="305"/>
      <c r="N265" s="324"/>
      <c r="O265" s="331"/>
      <c r="P265" s="305"/>
    </row>
    <row r="266" spans="1:16" s="226" customFormat="1" x14ac:dyDescent="0.2">
      <c r="A266" s="305"/>
      <c r="B266" s="324"/>
      <c r="C266" s="331"/>
      <c r="D266" s="305"/>
      <c r="E266" s="324"/>
      <c r="F266" s="331"/>
      <c r="G266" s="305"/>
      <c r="H266" s="324"/>
      <c r="I266" s="331"/>
      <c r="J266" s="305"/>
      <c r="K266" s="324"/>
      <c r="L266" s="331"/>
      <c r="M266" s="305"/>
      <c r="N266" s="324"/>
      <c r="O266" s="331"/>
      <c r="P266" s="305"/>
    </row>
    <row r="267" spans="1:16" s="226" customFormat="1" x14ac:dyDescent="0.2">
      <c r="A267" s="305"/>
      <c r="B267" s="324"/>
      <c r="C267" s="331"/>
      <c r="D267" s="305"/>
      <c r="E267" s="324"/>
      <c r="F267" s="331"/>
      <c r="G267" s="305"/>
      <c r="H267" s="324"/>
      <c r="I267" s="331"/>
      <c r="J267" s="305"/>
      <c r="K267" s="324"/>
      <c r="L267" s="331"/>
      <c r="M267" s="305"/>
      <c r="N267" s="324"/>
      <c r="O267" s="331"/>
      <c r="P267" s="305"/>
    </row>
    <row r="268" spans="1:16" s="226" customFormat="1" x14ac:dyDescent="0.2">
      <c r="A268" s="305"/>
      <c r="B268" s="324"/>
      <c r="C268" s="331"/>
      <c r="D268" s="305"/>
      <c r="E268" s="324"/>
      <c r="F268" s="331"/>
      <c r="G268" s="305"/>
      <c r="H268" s="324"/>
      <c r="I268" s="331"/>
      <c r="J268" s="305"/>
      <c r="K268" s="324"/>
      <c r="L268" s="331"/>
      <c r="M268" s="305"/>
      <c r="N268" s="324"/>
      <c r="O268" s="331"/>
      <c r="P268" s="305"/>
    </row>
    <row r="269" spans="1:16" s="226" customFormat="1" x14ac:dyDescent="0.2">
      <c r="A269" s="305"/>
      <c r="B269" s="324"/>
      <c r="C269" s="331"/>
      <c r="D269" s="305"/>
      <c r="E269" s="324"/>
      <c r="F269" s="331"/>
      <c r="G269" s="305"/>
      <c r="H269" s="324"/>
      <c r="I269" s="331"/>
      <c r="J269" s="305"/>
      <c r="K269" s="324"/>
      <c r="L269" s="331"/>
      <c r="M269" s="305"/>
      <c r="N269" s="324"/>
      <c r="O269" s="331"/>
      <c r="P269" s="305"/>
    </row>
    <row r="270" spans="1:16" s="226" customFormat="1" x14ac:dyDescent="0.2">
      <c r="A270" s="305"/>
      <c r="B270" s="324"/>
      <c r="C270" s="331"/>
      <c r="D270" s="305"/>
      <c r="E270" s="324"/>
      <c r="F270" s="331"/>
      <c r="G270" s="305"/>
      <c r="H270" s="324"/>
      <c r="I270" s="331"/>
      <c r="J270" s="305"/>
      <c r="K270" s="324"/>
      <c r="L270" s="331"/>
      <c r="M270" s="305"/>
      <c r="N270" s="324"/>
      <c r="O270" s="331"/>
      <c r="P270" s="305"/>
    </row>
    <row r="271" spans="1:16" s="226" customFormat="1" x14ac:dyDescent="0.2">
      <c r="A271" s="305"/>
      <c r="B271" s="324"/>
      <c r="C271" s="331"/>
      <c r="D271" s="305"/>
      <c r="E271" s="324"/>
      <c r="F271" s="331"/>
      <c r="G271" s="305"/>
      <c r="H271" s="324"/>
      <c r="I271" s="331"/>
      <c r="J271" s="305"/>
      <c r="K271" s="324"/>
      <c r="L271" s="331"/>
      <c r="M271" s="305"/>
      <c r="N271" s="324"/>
      <c r="O271" s="331"/>
      <c r="P271" s="305"/>
    </row>
    <row r="272" spans="1:16" s="226" customFormat="1" x14ac:dyDescent="0.2">
      <c r="A272" s="305"/>
      <c r="B272" s="324"/>
      <c r="C272" s="331"/>
      <c r="D272" s="305"/>
      <c r="E272" s="324"/>
      <c r="F272" s="331"/>
      <c r="G272" s="305"/>
      <c r="H272" s="324"/>
      <c r="I272" s="331"/>
      <c r="J272" s="305"/>
      <c r="K272" s="324"/>
      <c r="L272" s="331"/>
      <c r="M272" s="305"/>
      <c r="N272" s="324"/>
      <c r="O272" s="331"/>
      <c r="P272" s="305"/>
    </row>
    <row r="273" spans="1:16" s="226" customFormat="1" x14ac:dyDescent="0.2">
      <c r="A273" s="305"/>
      <c r="B273" s="324"/>
      <c r="C273" s="331"/>
      <c r="D273" s="305"/>
      <c r="E273" s="324"/>
      <c r="F273" s="331"/>
      <c r="G273" s="305"/>
      <c r="H273" s="324"/>
      <c r="I273" s="331"/>
      <c r="J273" s="305"/>
      <c r="K273" s="324"/>
      <c r="L273" s="331"/>
      <c r="M273" s="305"/>
      <c r="N273" s="324"/>
      <c r="O273" s="331"/>
      <c r="P273" s="305"/>
    </row>
    <row r="274" spans="1:16" s="226" customFormat="1" x14ac:dyDescent="0.2">
      <c r="A274" s="305"/>
      <c r="B274" s="324"/>
      <c r="C274" s="331"/>
      <c r="D274" s="305"/>
      <c r="E274" s="324"/>
      <c r="F274" s="331"/>
      <c r="G274" s="305"/>
      <c r="H274" s="324"/>
      <c r="I274" s="331"/>
      <c r="J274" s="305"/>
      <c r="K274" s="324"/>
      <c r="L274" s="331"/>
      <c r="M274" s="305"/>
      <c r="N274" s="324"/>
      <c r="O274" s="331"/>
      <c r="P274" s="305"/>
    </row>
    <row r="275" spans="1:16" s="226" customFormat="1" x14ac:dyDescent="0.2">
      <c r="A275" s="305"/>
      <c r="B275" s="324"/>
      <c r="C275" s="331"/>
      <c r="D275" s="305"/>
      <c r="E275" s="324"/>
      <c r="F275" s="331"/>
      <c r="G275" s="305"/>
      <c r="H275" s="324"/>
      <c r="I275" s="331"/>
      <c r="J275" s="305"/>
      <c r="K275" s="324"/>
      <c r="L275" s="331"/>
      <c r="M275" s="305"/>
      <c r="N275" s="324"/>
      <c r="O275" s="331"/>
      <c r="P275" s="305"/>
    </row>
    <row r="276" spans="1:16" s="226" customFormat="1" x14ac:dyDescent="0.2">
      <c r="A276" s="305"/>
      <c r="B276" s="324"/>
      <c r="C276" s="331"/>
      <c r="D276" s="305"/>
      <c r="E276" s="324"/>
      <c r="F276" s="331"/>
      <c r="G276" s="305"/>
      <c r="H276" s="324"/>
      <c r="I276" s="331"/>
      <c r="J276" s="305"/>
      <c r="K276" s="324"/>
      <c r="L276" s="331"/>
      <c r="M276" s="305"/>
      <c r="N276" s="324"/>
      <c r="O276" s="331"/>
      <c r="P276" s="305"/>
    </row>
    <row r="277" spans="1:16" s="226" customFormat="1" x14ac:dyDescent="0.2">
      <c r="A277" s="305"/>
      <c r="B277" s="324"/>
      <c r="C277" s="331"/>
      <c r="D277" s="305"/>
      <c r="E277" s="324"/>
      <c r="F277" s="331"/>
      <c r="G277" s="305"/>
      <c r="H277" s="324"/>
      <c r="I277" s="331"/>
      <c r="J277" s="305"/>
      <c r="K277" s="324"/>
      <c r="L277" s="331"/>
      <c r="M277" s="305"/>
      <c r="N277" s="324"/>
      <c r="O277" s="331"/>
      <c r="P277" s="305"/>
    </row>
    <row r="278" spans="1:16" s="226" customFormat="1" x14ac:dyDescent="0.2">
      <c r="A278" s="305"/>
      <c r="B278" s="324"/>
      <c r="C278" s="331"/>
      <c r="D278" s="305"/>
      <c r="E278" s="324"/>
      <c r="F278" s="331"/>
      <c r="G278" s="305"/>
      <c r="H278" s="324"/>
      <c r="I278" s="331"/>
      <c r="J278" s="305"/>
      <c r="K278" s="324"/>
      <c r="L278" s="331"/>
      <c r="M278" s="305"/>
      <c r="N278" s="324"/>
      <c r="O278" s="331"/>
      <c r="P278" s="305"/>
    </row>
    <row r="279" spans="1:16" s="226" customFormat="1" x14ac:dyDescent="0.2">
      <c r="A279" s="305"/>
      <c r="B279" s="324"/>
      <c r="C279" s="331"/>
      <c r="D279" s="305"/>
      <c r="E279" s="324"/>
      <c r="F279" s="331"/>
      <c r="G279" s="305"/>
      <c r="H279" s="324"/>
      <c r="I279" s="331"/>
      <c r="J279" s="305"/>
      <c r="K279" s="324"/>
      <c r="L279" s="331"/>
      <c r="M279" s="305"/>
      <c r="N279" s="324"/>
      <c r="O279" s="331"/>
      <c r="P279" s="305"/>
    </row>
    <row r="280" spans="1:16" s="226" customFormat="1" x14ac:dyDescent="0.2">
      <c r="A280" s="305"/>
      <c r="B280" s="324"/>
      <c r="C280" s="331"/>
      <c r="D280" s="305"/>
      <c r="E280" s="324"/>
      <c r="F280" s="331"/>
      <c r="G280" s="305"/>
      <c r="H280" s="324"/>
      <c r="I280" s="331"/>
      <c r="J280" s="305"/>
      <c r="K280" s="324"/>
      <c r="L280" s="331"/>
      <c r="M280" s="305"/>
      <c r="N280" s="324"/>
      <c r="O280" s="331"/>
      <c r="P280" s="305"/>
    </row>
    <row r="281" spans="1:16" s="226" customFormat="1" x14ac:dyDescent="0.2">
      <c r="A281" s="305"/>
      <c r="B281" s="324"/>
      <c r="C281" s="331"/>
      <c r="D281" s="305"/>
      <c r="E281" s="324"/>
      <c r="F281" s="331"/>
      <c r="G281" s="305"/>
      <c r="H281" s="324"/>
      <c r="I281" s="331"/>
      <c r="J281" s="305"/>
      <c r="K281" s="324"/>
      <c r="L281" s="331"/>
      <c r="M281" s="305"/>
      <c r="N281" s="324"/>
      <c r="O281" s="331"/>
      <c r="P281" s="305"/>
    </row>
    <row r="282" spans="1:16" s="226" customFormat="1" x14ac:dyDescent="0.2">
      <c r="A282" s="305"/>
      <c r="B282" s="324"/>
      <c r="C282" s="331"/>
      <c r="D282" s="305"/>
      <c r="E282" s="324"/>
      <c r="F282" s="331"/>
      <c r="G282" s="305"/>
      <c r="H282" s="324"/>
      <c r="I282" s="331"/>
      <c r="J282" s="305"/>
      <c r="K282" s="324"/>
      <c r="L282" s="331"/>
      <c r="M282" s="305"/>
      <c r="N282" s="324"/>
      <c r="O282" s="331"/>
      <c r="P282" s="305"/>
    </row>
    <row r="283" spans="1:16" s="226" customFormat="1" x14ac:dyDescent="0.2">
      <c r="A283" s="305"/>
      <c r="B283" s="324"/>
      <c r="C283" s="331"/>
      <c r="D283" s="305"/>
      <c r="E283" s="324"/>
      <c r="F283" s="331"/>
      <c r="G283" s="305"/>
      <c r="H283" s="324"/>
      <c r="I283" s="331"/>
      <c r="J283" s="305"/>
      <c r="K283" s="324"/>
      <c r="L283" s="331"/>
      <c r="M283" s="305"/>
      <c r="N283" s="324"/>
      <c r="O283" s="331"/>
      <c r="P283" s="305"/>
    </row>
    <row r="284" spans="1:16" s="226" customFormat="1" x14ac:dyDescent="0.2">
      <c r="A284" s="305"/>
      <c r="B284" s="324"/>
      <c r="C284" s="331"/>
      <c r="D284" s="305"/>
      <c r="E284" s="324"/>
      <c r="F284" s="331"/>
      <c r="G284" s="305"/>
      <c r="H284" s="324"/>
      <c r="I284" s="331"/>
      <c r="J284" s="305"/>
      <c r="K284" s="324"/>
      <c r="L284" s="331"/>
      <c r="M284" s="305"/>
      <c r="N284" s="324"/>
      <c r="O284" s="331"/>
      <c r="P284" s="305"/>
    </row>
    <row r="285" spans="1:16" s="226" customFormat="1" x14ac:dyDescent="0.2">
      <c r="A285" s="305"/>
      <c r="B285" s="324"/>
      <c r="C285" s="331"/>
      <c r="D285" s="305"/>
      <c r="E285" s="324"/>
      <c r="F285" s="331"/>
      <c r="G285" s="305"/>
      <c r="H285" s="324"/>
      <c r="I285" s="331"/>
      <c r="J285" s="305"/>
      <c r="K285" s="324"/>
      <c r="L285" s="331"/>
      <c r="M285" s="305"/>
      <c r="N285" s="324"/>
      <c r="O285" s="331"/>
      <c r="P285" s="305"/>
    </row>
    <row r="286" spans="1:16" s="226" customFormat="1" x14ac:dyDescent="0.2">
      <c r="A286" s="305"/>
      <c r="B286" s="324"/>
      <c r="C286" s="331"/>
      <c r="D286" s="305"/>
      <c r="E286" s="324"/>
      <c r="F286" s="331"/>
      <c r="G286" s="305"/>
      <c r="H286" s="324"/>
      <c r="I286" s="331"/>
      <c r="J286" s="305"/>
      <c r="K286" s="324"/>
      <c r="L286" s="331"/>
      <c r="M286" s="305"/>
      <c r="N286" s="324"/>
      <c r="O286" s="331"/>
      <c r="P286" s="305"/>
    </row>
    <row r="287" spans="1:16" s="226" customFormat="1" x14ac:dyDescent="0.2">
      <c r="A287" s="305"/>
      <c r="B287" s="324"/>
      <c r="C287" s="331"/>
      <c r="D287" s="305"/>
      <c r="E287" s="324"/>
      <c r="F287" s="331"/>
      <c r="G287" s="305"/>
      <c r="H287" s="324"/>
      <c r="I287" s="331"/>
      <c r="J287" s="305"/>
      <c r="K287" s="324"/>
      <c r="L287" s="331"/>
      <c r="M287" s="305"/>
      <c r="N287" s="324"/>
      <c r="O287" s="331"/>
      <c r="P287" s="305"/>
    </row>
    <row r="288" spans="1:16" s="226" customFormat="1" x14ac:dyDescent="0.2">
      <c r="A288" s="305"/>
      <c r="B288" s="324"/>
      <c r="C288" s="331"/>
      <c r="D288" s="305"/>
      <c r="E288" s="324"/>
      <c r="F288" s="331"/>
      <c r="G288" s="305"/>
      <c r="H288" s="324"/>
      <c r="I288" s="331"/>
      <c r="J288" s="305"/>
      <c r="K288" s="324"/>
      <c r="L288" s="331"/>
      <c r="M288" s="305"/>
      <c r="N288" s="324"/>
      <c r="O288" s="331"/>
      <c r="P288" s="305"/>
    </row>
    <row r="289" spans="1:16" s="226" customFormat="1" x14ac:dyDescent="0.2">
      <c r="A289" s="305"/>
      <c r="B289" s="324"/>
      <c r="C289" s="331"/>
      <c r="D289" s="305"/>
      <c r="E289" s="324"/>
      <c r="F289" s="331"/>
      <c r="G289" s="305"/>
      <c r="H289" s="324"/>
      <c r="I289" s="331"/>
      <c r="J289" s="305"/>
      <c r="K289" s="324"/>
      <c r="L289" s="331"/>
      <c r="M289" s="305"/>
      <c r="N289" s="324"/>
      <c r="O289" s="331"/>
      <c r="P289" s="305"/>
    </row>
    <row r="290" spans="1:16" s="226" customFormat="1" x14ac:dyDescent="0.2">
      <c r="A290" s="305"/>
      <c r="B290" s="324"/>
      <c r="C290" s="331"/>
      <c r="D290" s="305"/>
      <c r="E290" s="324"/>
      <c r="F290" s="331"/>
      <c r="G290" s="305"/>
      <c r="H290" s="324"/>
      <c r="I290" s="331"/>
      <c r="J290" s="305"/>
      <c r="K290" s="324"/>
      <c r="L290" s="331"/>
      <c r="M290" s="305"/>
      <c r="N290" s="324"/>
      <c r="O290" s="331"/>
      <c r="P290" s="305"/>
    </row>
    <row r="291" spans="1:16" s="226" customFormat="1" x14ac:dyDescent="0.2">
      <c r="A291" s="305"/>
      <c r="B291" s="324"/>
      <c r="C291" s="331"/>
      <c r="D291" s="305"/>
      <c r="E291" s="324"/>
      <c r="F291" s="331"/>
      <c r="G291" s="305"/>
      <c r="H291" s="324"/>
      <c r="I291" s="331"/>
      <c r="J291" s="305"/>
      <c r="K291" s="324"/>
      <c r="L291" s="331"/>
      <c r="M291" s="305"/>
      <c r="N291" s="324"/>
      <c r="O291" s="331"/>
      <c r="P291" s="305"/>
    </row>
    <row r="292" spans="1:16" s="226" customFormat="1" x14ac:dyDescent="0.2">
      <c r="A292" s="305"/>
      <c r="B292" s="324"/>
      <c r="C292" s="331"/>
      <c r="D292" s="305"/>
      <c r="E292" s="324"/>
      <c r="F292" s="331"/>
      <c r="G292" s="305"/>
      <c r="H292" s="324"/>
      <c r="I292" s="331"/>
      <c r="J292" s="305"/>
      <c r="K292" s="324"/>
      <c r="L292" s="331"/>
      <c r="M292" s="305"/>
      <c r="N292" s="324"/>
      <c r="O292" s="331"/>
      <c r="P292" s="305"/>
    </row>
    <row r="293" spans="1:16" s="226" customFormat="1" x14ac:dyDescent="0.2">
      <c r="A293" s="305"/>
      <c r="B293" s="324"/>
      <c r="C293" s="331"/>
      <c r="D293" s="305"/>
      <c r="E293" s="324"/>
      <c r="F293" s="331"/>
      <c r="G293" s="305"/>
      <c r="H293" s="324"/>
      <c r="I293" s="331"/>
      <c r="J293" s="305"/>
      <c r="K293" s="324"/>
      <c r="L293" s="331"/>
      <c r="M293" s="305"/>
      <c r="N293" s="324"/>
      <c r="O293" s="331"/>
      <c r="P293" s="305"/>
    </row>
    <row r="294" spans="1:16" s="226" customFormat="1" x14ac:dyDescent="0.2">
      <c r="A294" s="305"/>
      <c r="B294" s="324"/>
      <c r="C294" s="331"/>
      <c r="D294" s="305"/>
      <c r="E294" s="324"/>
      <c r="F294" s="331"/>
      <c r="G294" s="305"/>
      <c r="H294" s="324"/>
      <c r="I294" s="331"/>
      <c r="J294" s="305"/>
      <c r="K294" s="324"/>
      <c r="L294" s="331"/>
      <c r="M294" s="305"/>
      <c r="N294" s="324"/>
      <c r="O294" s="331"/>
      <c r="P294" s="305"/>
    </row>
    <row r="295" spans="1:16" s="226" customFormat="1" x14ac:dyDescent="0.2">
      <c r="A295" s="305"/>
      <c r="B295" s="324"/>
      <c r="C295" s="331"/>
      <c r="D295" s="305"/>
      <c r="E295" s="324"/>
      <c r="F295" s="331"/>
      <c r="G295" s="305"/>
      <c r="H295" s="324"/>
      <c r="I295" s="331"/>
      <c r="J295" s="305"/>
      <c r="K295" s="324"/>
      <c r="L295" s="331"/>
      <c r="M295" s="305"/>
      <c r="N295" s="324"/>
      <c r="O295" s="331"/>
      <c r="P295" s="305"/>
    </row>
    <row r="296" spans="1:16" s="226" customFormat="1" x14ac:dyDescent="0.2">
      <c r="A296" s="305"/>
      <c r="B296" s="324"/>
      <c r="C296" s="331"/>
      <c r="D296" s="305"/>
      <c r="E296" s="324"/>
      <c r="F296" s="331"/>
      <c r="G296" s="305"/>
      <c r="H296" s="324"/>
      <c r="I296" s="331"/>
      <c r="J296" s="305"/>
      <c r="K296" s="324"/>
      <c r="L296" s="331"/>
      <c r="M296" s="305"/>
      <c r="N296" s="324"/>
      <c r="O296" s="331"/>
      <c r="P296" s="305"/>
    </row>
    <row r="297" spans="1:16" s="226" customFormat="1" x14ac:dyDescent="0.2">
      <c r="A297" s="305"/>
      <c r="B297" s="324"/>
      <c r="C297" s="331"/>
      <c r="D297" s="305"/>
      <c r="E297" s="324"/>
      <c r="F297" s="331"/>
      <c r="G297" s="305"/>
      <c r="H297" s="324"/>
      <c r="I297" s="331"/>
      <c r="J297" s="305"/>
      <c r="K297" s="324"/>
      <c r="L297" s="331"/>
      <c r="M297" s="305"/>
      <c r="N297" s="324"/>
      <c r="O297" s="331"/>
      <c r="P297" s="305"/>
    </row>
    <row r="298" spans="1:16" s="226" customFormat="1" x14ac:dyDescent="0.2">
      <c r="A298" s="305"/>
      <c r="B298" s="324"/>
      <c r="C298" s="331"/>
      <c r="D298" s="305"/>
      <c r="E298" s="324"/>
      <c r="F298" s="331"/>
      <c r="G298" s="305"/>
      <c r="H298" s="324"/>
      <c r="I298" s="331"/>
      <c r="J298" s="305"/>
      <c r="K298" s="324"/>
      <c r="L298" s="331"/>
      <c r="M298" s="305"/>
      <c r="N298" s="324"/>
      <c r="O298" s="331"/>
      <c r="P298" s="305"/>
    </row>
    <row r="299" spans="1:16" s="226" customFormat="1" x14ac:dyDescent="0.2">
      <c r="A299" s="305"/>
      <c r="B299" s="324"/>
      <c r="C299" s="331"/>
      <c r="D299" s="305"/>
      <c r="E299" s="324"/>
      <c r="F299" s="331"/>
      <c r="G299" s="305"/>
      <c r="H299" s="324"/>
      <c r="I299" s="331"/>
      <c r="J299" s="305"/>
      <c r="K299" s="324"/>
      <c r="L299" s="331"/>
      <c r="M299" s="305"/>
      <c r="N299" s="324"/>
      <c r="O299" s="331"/>
      <c r="P299" s="305"/>
    </row>
    <row r="300" spans="1:16" s="226" customFormat="1" x14ac:dyDescent="0.2">
      <c r="A300" s="305"/>
      <c r="B300" s="324"/>
      <c r="C300" s="331"/>
      <c r="D300" s="305"/>
      <c r="E300" s="324"/>
      <c r="F300" s="331"/>
      <c r="G300" s="305"/>
      <c r="H300" s="324"/>
      <c r="I300" s="331"/>
      <c r="J300" s="305"/>
      <c r="K300" s="324"/>
      <c r="L300" s="331"/>
      <c r="M300" s="305"/>
      <c r="N300" s="324"/>
      <c r="O300" s="331"/>
      <c r="P300" s="305"/>
    </row>
    <row r="301" spans="1:16" s="226" customFormat="1" x14ac:dyDescent="0.2">
      <c r="A301" s="305"/>
      <c r="B301" s="324"/>
      <c r="C301" s="331"/>
      <c r="D301" s="305"/>
      <c r="E301" s="324"/>
      <c r="F301" s="331"/>
      <c r="G301" s="305"/>
      <c r="H301" s="324"/>
      <c r="I301" s="331"/>
      <c r="J301" s="305"/>
      <c r="K301" s="324"/>
      <c r="L301" s="331"/>
      <c r="M301" s="305"/>
      <c r="N301" s="324"/>
      <c r="O301" s="331"/>
      <c r="P301" s="305"/>
    </row>
    <row r="302" spans="1:16" s="226" customFormat="1" x14ac:dyDescent="0.2">
      <c r="A302" s="305"/>
      <c r="B302" s="324"/>
      <c r="C302" s="331"/>
      <c r="D302" s="305"/>
      <c r="E302" s="324"/>
      <c r="F302" s="331"/>
      <c r="G302" s="305"/>
      <c r="H302" s="324"/>
      <c r="I302" s="331"/>
      <c r="J302" s="305"/>
      <c r="K302" s="324"/>
      <c r="L302" s="331"/>
      <c r="M302" s="305"/>
      <c r="N302" s="324"/>
      <c r="O302" s="331"/>
      <c r="P302" s="305"/>
    </row>
    <row r="303" spans="1:16" s="226" customFormat="1" x14ac:dyDescent="0.2">
      <c r="A303" s="305"/>
      <c r="B303" s="324"/>
      <c r="C303" s="331"/>
      <c r="D303" s="305"/>
      <c r="E303" s="324"/>
      <c r="F303" s="331"/>
      <c r="G303" s="305"/>
      <c r="H303" s="324"/>
      <c r="I303" s="331"/>
      <c r="J303" s="305"/>
      <c r="K303" s="324"/>
      <c r="L303" s="331"/>
      <c r="M303" s="305"/>
      <c r="N303" s="324"/>
      <c r="O303" s="331"/>
      <c r="P303" s="305"/>
    </row>
    <row r="304" spans="1:16" s="226" customFormat="1" x14ac:dyDescent="0.2">
      <c r="A304" s="305"/>
      <c r="B304" s="324"/>
      <c r="C304" s="331"/>
      <c r="D304" s="305"/>
      <c r="E304" s="324"/>
      <c r="F304" s="331"/>
      <c r="G304" s="305"/>
      <c r="H304" s="324"/>
      <c r="I304" s="331"/>
      <c r="J304" s="305"/>
      <c r="K304" s="324"/>
      <c r="L304" s="331"/>
      <c r="M304" s="305"/>
      <c r="N304" s="324"/>
      <c r="O304" s="331"/>
      <c r="P304" s="305"/>
    </row>
    <row r="305" spans="1:16" s="226" customFormat="1" x14ac:dyDescent="0.2">
      <c r="A305" s="305"/>
      <c r="B305" s="324"/>
      <c r="C305" s="331"/>
      <c r="D305" s="305"/>
      <c r="E305" s="324"/>
      <c r="F305" s="331"/>
      <c r="G305" s="305"/>
      <c r="H305" s="324"/>
      <c r="I305" s="331"/>
      <c r="J305" s="305"/>
      <c r="K305" s="324"/>
      <c r="L305" s="331"/>
      <c r="M305" s="305"/>
      <c r="N305" s="324"/>
      <c r="O305" s="331"/>
      <c r="P305" s="305"/>
    </row>
    <row r="306" spans="1:16" s="226" customFormat="1" x14ac:dyDescent="0.2">
      <c r="A306" s="305"/>
      <c r="B306" s="324"/>
      <c r="C306" s="331"/>
      <c r="D306" s="305"/>
      <c r="E306" s="324"/>
      <c r="F306" s="331"/>
      <c r="G306" s="305"/>
      <c r="H306" s="324"/>
      <c r="I306" s="331"/>
      <c r="J306" s="305"/>
      <c r="K306" s="324"/>
      <c r="L306" s="331"/>
      <c r="M306" s="305"/>
      <c r="N306" s="324"/>
      <c r="O306" s="331"/>
      <c r="P306" s="305"/>
    </row>
    <row r="307" spans="1:16" s="226" customFormat="1" x14ac:dyDescent="0.2">
      <c r="A307" s="305"/>
      <c r="B307" s="324"/>
      <c r="C307" s="331"/>
      <c r="D307" s="305"/>
      <c r="E307" s="324"/>
      <c r="F307" s="331"/>
      <c r="G307" s="305"/>
      <c r="H307" s="324"/>
      <c r="I307" s="331"/>
      <c r="J307" s="305"/>
      <c r="K307" s="324"/>
      <c r="L307" s="331"/>
      <c r="M307" s="305"/>
      <c r="N307" s="324"/>
      <c r="O307" s="331"/>
      <c r="P307" s="305"/>
    </row>
    <row r="308" spans="1:16" s="226" customFormat="1" x14ac:dyDescent="0.2">
      <c r="A308" s="305"/>
      <c r="B308" s="324"/>
      <c r="C308" s="331"/>
      <c r="D308" s="305"/>
      <c r="E308" s="324"/>
      <c r="F308" s="331"/>
      <c r="G308" s="305"/>
      <c r="H308" s="324"/>
      <c r="I308" s="331"/>
      <c r="J308" s="305"/>
      <c r="K308" s="324"/>
      <c r="L308" s="331"/>
      <c r="M308" s="305"/>
      <c r="N308" s="324"/>
      <c r="O308" s="331"/>
      <c r="P308" s="305"/>
    </row>
    <row r="309" spans="1:16" s="226" customFormat="1" x14ac:dyDescent="0.2">
      <c r="A309" s="305"/>
      <c r="B309" s="324"/>
      <c r="C309" s="331"/>
      <c r="D309" s="305"/>
      <c r="E309" s="324"/>
      <c r="F309" s="331"/>
      <c r="G309" s="305"/>
      <c r="H309" s="324"/>
      <c r="I309" s="331"/>
      <c r="J309" s="305"/>
      <c r="K309" s="324"/>
      <c r="L309" s="331"/>
      <c r="M309" s="305"/>
      <c r="N309" s="324"/>
      <c r="O309" s="331"/>
      <c r="P309" s="305"/>
    </row>
    <row r="310" spans="1:16" s="226" customFormat="1" x14ac:dyDescent="0.2">
      <c r="A310" s="305"/>
      <c r="B310" s="324"/>
      <c r="C310" s="331"/>
      <c r="D310" s="305"/>
      <c r="E310" s="324"/>
      <c r="F310" s="331"/>
      <c r="G310" s="305"/>
      <c r="H310" s="324"/>
      <c r="I310" s="331"/>
      <c r="J310" s="305"/>
      <c r="K310" s="324"/>
      <c r="L310" s="331"/>
      <c r="M310" s="305"/>
      <c r="N310" s="324"/>
      <c r="O310" s="331"/>
      <c r="P310" s="305"/>
    </row>
    <row r="311" spans="1:16" s="226" customFormat="1" x14ac:dyDescent="0.2">
      <c r="A311" s="305"/>
      <c r="B311" s="324"/>
      <c r="C311" s="331"/>
      <c r="D311" s="305"/>
      <c r="E311" s="324"/>
      <c r="F311" s="331"/>
      <c r="G311" s="305"/>
      <c r="H311" s="324"/>
      <c r="I311" s="331"/>
      <c r="J311" s="305"/>
      <c r="K311" s="324"/>
      <c r="L311" s="331"/>
      <c r="M311" s="305"/>
      <c r="N311" s="324"/>
      <c r="O311" s="331"/>
      <c r="P311" s="305"/>
    </row>
    <row r="312" spans="1:16" s="226" customFormat="1" x14ac:dyDescent="0.2">
      <c r="A312" s="305"/>
      <c r="B312" s="324"/>
      <c r="C312" s="331"/>
      <c r="D312" s="305"/>
      <c r="E312" s="324"/>
      <c r="F312" s="331"/>
      <c r="G312" s="305"/>
      <c r="H312" s="324"/>
      <c r="I312" s="331"/>
      <c r="J312" s="305"/>
      <c r="K312" s="324"/>
      <c r="L312" s="331"/>
      <c r="M312" s="305"/>
      <c r="N312" s="324"/>
      <c r="O312" s="331"/>
      <c r="P312" s="305"/>
    </row>
    <row r="313" spans="1:16" s="226" customFormat="1" x14ac:dyDescent="0.2">
      <c r="A313" s="305"/>
      <c r="B313" s="324"/>
      <c r="C313" s="331"/>
      <c r="D313" s="305"/>
      <c r="E313" s="324"/>
      <c r="F313" s="331"/>
      <c r="G313" s="305"/>
      <c r="H313" s="324"/>
      <c r="I313" s="331"/>
      <c r="J313" s="305"/>
      <c r="K313" s="324"/>
      <c r="L313" s="331"/>
      <c r="M313" s="305"/>
      <c r="N313" s="324"/>
      <c r="O313" s="331"/>
      <c r="P313" s="305"/>
    </row>
    <row r="314" spans="1:16" s="226" customFormat="1" x14ac:dyDescent="0.2">
      <c r="A314" s="305"/>
      <c r="B314" s="324"/>
      <c r="C314" s="331"/>
      <c r="D314" s="305"/>
      <c r="E314" s="324"/>
      <c r="F314" s="331"/>
      <c r="G314" s="305"/>
      <c r="H314" s="324"/>
      <c r="I314" s="331"/>
      <c r="J314" s="305"/>
      <c r="K314" s="324"/>
      <c r="L314" s="331"/>
      <c r="M314" s="305"/>
      <c r="N314" s="324"/>
      <c r="O314" s="331"/>
      <c r="P314" s="305"/>
    </row>
    <row r="315" spans="1:16" s="226" customFormat="1" x14ac:dyDescent="0.2">
      <c r="A315" s="305"/>
      <c r="B315" s="324"/>
      <c r="C315" s="331"/>
      <c r="D315" s="305"/>
      <c r="E315" s="324"/>
      <c r="F315" s="331"/>
      <c r="G315" s="305"/>
      <c r="H315" s="324"/>
      <c r="I315" s="331"/>
      <c r="J315" s="305"/>
      <c r="K315" s="324"/>
      <c r="L315" s="331"/>
      <c r="M315" s="305"/>
      <c r="N315" s="324"/>
      <c r="O315" s="331"/>
      <c r="P315" s="305"/>
    </row>
    <row r="316" spans="1:16" s="226" customFormat="1" x14ac:dyDescent="0.2">
      <c r="A316" s="305"/>
      <c r="B316" s="324"/>
      <c r="C316" s="331"/>
      <c r="D316" s="305"/>
      <c r="E316" s="324"/>
      <c r="F316" s="331"/>
      <c r="G316" s="305"/>
      <c r="H316" s="324"/>
      <c r="I316" s="331"/>
      <c r="J316" s="305"/>
      <c r="K316" s="324"/>
      <c r="L316" s="331"/>
      <c r="M316" s="305"/>
      <c r="N316" s="324"/>
      <c r="O316" s="331"/>
      <c r="P316" s="305"/>
    </row>
    <row r="317" spans="1:16" s="226" customFormat="1" x14ac:dyDescent="0.2">
      <c r="A317" s="305"/>
      <c r="B317" s="324"/>
      <c r="C317" s="331"/>
      <c r="D317" s="305"/>
      <c r="E317" s="324"/>
      <c r="F317" s="331"/>
      <c r="G317" s="305"/>
      <c r="H317" s="324"/>
      <c r="I317" s="331"/>
      <c r="J317" s="305"/>
      <c r="K317" s="324"/>
      <c r="L317" s="331"/>
      <c r="M317" s="305"/>
      <c r="N317" s="324"/>
      <c r="O317" s="331"/>
      <c r="P317" s="305"/>
    </row>
    <row r="318" spans="1:16" s="226" customFormat="1" x14ac:dyDescent="0.2">
      <c r="A318" s="305"/>
      <c r="B318" s="324"/>
      <c r="C318" s="331"/>
      <c r="D318" s="305"/>
      <c r="E318" s="324"/>
      <c r="F318" s="331"/>
      <c r="G318" s="305"/>
      <c r="H318" s="324"/>
      <c r="I318" s="331"/>
      <c r="J318" s="305"/>
      <c r="K318" s="324"/>
      <c r="L318" s="331"/>
      <c r="M318" s="305"/>
      <c r="N318" s="324"/>
      <c r="O318" s="331"/>
      <c r="P318" s="305"/>
    </row>
    <row r="319" spans="1:16" s="226" customFormat="1" x14ac:dyDescent="0.2">
      <c r="A319" s="305"/>
      <c r="B319" s="324"/>
      <c r="C319" s="331"/>
      <c r="D319" s="305"/>
      <c r="E319" s="324"/>
      <c r="F319" s="331"/>
      <c r="G319" s="305"/>
      <c r="H319" s="324"/>
      <c r="I319" s="331"/>
      <c r="J319" s="305"/>
      <c r="K319" s="324"/>
      <c r="L319" s="331"/>
      <c r="M319" s="305"/>
      <c r="N319" s="324"/>
      <c r="O319" s="331"/>
      <c r="P319" s="305"/>
    </row>
    <row r="320" spans="1:16" s="226" customFormat="1" x14ac:dyDescent="0.2">
      <c r="A320" s="305"/>
      <c r="B320" s="324"/>
      <c r="C320" s="331"/>
      <c r="D320" s="305"/>
      <c r="E320" s="324"/>
      <c r="F320" s="331"/>
      <c r="G320" s="305"/>
      <c r="H320" s="324"/>
      <c r="I320" s="331"/>
      <c r="J320" s="305"/>
      <c r="K320" s="324"/>
      <c r="L320" s="331"/>
      <c r="M320" s="305"/>
      <c r="N320" s="324"/>
      <c r="O320" s="331"/>
      <c r="P320" s="305"/>
    </row>
    <row r="321" spans="1:16" s="226" customFormat="1" x14ac:dyDescent="0.2">
      <c r="A321" s="305"/>
      <c r="B321" s="324"/>
      <c r="C321" s="331"/>
      <c r="D321" s="305"/>
      <c r="E321" s="324"/>
      <c r="F321" s="331"/>
      <c r="G321" s="305"/>
      <c r="H321" s="324"/>
      <c r="I321" s="331"/>
      <c r="J321" s="305"/>
      <c r="K321" s="324"/>
      <c r="L321" s="331"/>
      <c r="M321" s="305"/>
      <c r="N321" s="324"/>
      <c r="O321" s="331"/>
      <c r="P321" s="305"/>
    </row>
    <row r="322" spans="1:16" s="226" customFormat="1" x14ac:dyDescent="0.2">
      <c r="A322" s="305"/>
      <c r="B322" s="324"/>
      <c r="C322" s="331"/>
      <c r="D322" s="305"/>
      <c r="E322" s="324"/>
      <c r="F322" s="331"/>
      <c r="G322" s="305"/>
      <c r="H322" s="324"/>
      <c r="I322" s="331"/>
      <c r="J322" s="305"/>
      <c r="K322" s="324"/>
      <c r="L322" s="331"/>
      <c r="M322" s="305"/>
      <c r="N322" s="324"/>
      <c r="O322" s="331"/>
      <c r="P322" s="305"/>
    </row>
    <row r="323" spans="1:16" s="226" customFormat="1" x14ac:dyDescent="0.2">
      <c r="A323" s="305"/>
      <c r="B323" s="324"/>
      <c r="C323" s="331"/>
      <c r="D323" s="305"/>
      <c r="E323" s="324"/>
      <c r="F323" s="331"/>
      <c r="G323" s="305"/>
      <c r="H323" s="324"/>
      <c r="I323" s="331"/>
      <c r="J323" s="305"/>
      <c r="K323" s="324"/>
      <c r="L323" s="331"/>
      <c r="M323" s="305"/>
      <c r="N323" s="324"/>
      <c r="O323" s="331"/>
      <c r="P323" s="305"/>
    </row>
    <row r="324" spans="1:16" s="226" customFormat="1" x14ac:dyDescent="0.2">
      <c r="A324" s="305"/>
      <c r="B324" s="324"/>
      <c r="C324" s="331"/>
      <c r="D324" s="305"/>
      <c r="E324" s="324"/>
      <c r="F324" s="331"/>
      <c r="G324" s="305"/>
      <c r="H324" s="324"/>
      <c r="I324" s="331"/>
      <c r="J324" s="305"/>
      <c r="K324" s="324"/>
      <c r="L324" s="331"/>
      <c r="M324" s="305"/>
      <c r="N324" s="324"/>
      <c r="O324" s="331"/>
      <c r="P324" s="305"/>
    </row>
    <row r="325" spans="1:16" s="226" customFormat="1" x14ac:dyDescent="0.2">
      <c r="A325" s="305"/>
      <c r="B325" s="324"/>
      <c r="C325" s="331"/>
      <c r="D325" s="305"/>
      <c r="E325" s="324"/>
      <c r="F325" s="331"/>
      <c r="G325" s="305"/>
      <c r="H325" s="324"/>
      <c r="I325" s="331"/>
      <c r="J325" s="305"/>
      <c r="K325" s="324"/>
      <c r="L325" s="331"/>
      <c r="M325" s="305"/>
      <c r="N325" s="324"/>
      <c r="O325" s="331"/>
      <c r="P325" s="305"/>
    </row>
    <row r="326" spans="1:16" s="226" customFormat="1" x14ac:dyDescent="0.2">
      <c r="A326" s="305"/>
      <c r="B326" s="324"/>
      <c r="C326" s="331"/>
      <c r="D326" s="305"/>
      <c r="E326" s="324"/>
      <c r="F326" s="331"/>
      <c r="G326" s="305"/>
      <c r="H326" s="324"/>
      <c r="I326" s="331"/>
      <c r="J326" s="305"/>
      <c r="K326" s="324"/>
      <c r="L326" s="331"/>
      <c r="M326" s="305"/>
      <c r="N326" s="324"/>
      <c r="O326" s="331"/>
      <c r="P326" s="305"/>
    </row>
    <row r="327" spans="1:16" s="226" customFormat="1" x14ac:dyDescent="0.2">
      <c r="A327" s="305"/>
      <c r="B327" s="324"/>
      <c r="C327" s="331"/>
      <c r="D327" s="305"/>
      <c r="E327" s="324"/>
      <c r="F327" s="331"/>
      <c r="G327" s="305"/>
      <c r="H327" s="324"/>
      <c r="I327" s="331"/>
      <c r="J327" s="305"/>
      <c r="K327" s="324"/>
      <c r="L327" s="331"/>
      <c r="M327" s="305"/>
      <c r="N327" s="324"/>
      <c r="O327" s="331"/>
      <c r="P327" s="305"/>
    </row>
    <row r="328" spans="1:16" s="226" customFormat="1" x14ac:dyDescent="0.2">
      <c r="A328" s="305"/>
      <c r="B328" s="324"/>
      <c r="C328" s="331"/>
      <c r="D328" s="305"/>
      <c r="E328" s="324"/>
      <c r="F328" s="331"/>
      <c r="G328" s="305"/>
      <c r="H328" s="324"/>
      <c r="I328" s="331"/>
      <c r="J328" s="305"/>
      <c r="K328" s="324"/>
      <c r="L328" s="331"/>
      <c r="M328" s="305"/>
      <c r="N328" s="324"/>
      <c r="O328" s="331"/>
      <c r="P328" s="305"/>
    </row>
    <row r="329" spans="1:16" s="226" customFormat="1" x14ac:dyDescent="0.2">
      <c r="A329" s="305"/>
      <c r="B329" s="324"/>
      <c r="C329" s="331"/>
      <c r="D329" s="305"/>
      <c r="E329" s="324"/>
      <c r="F329" s="331"/>
      <c r="G329" s="305"/>
      <c r="H329" s="324"/>
      <c r="I329" s="331"/>
      <c r="J329" s="305"/>
      <c r="K329" s="324"/>
      <c r="L329" s="331"/>
      <c r="M329" s="305"/>
      <c r="N329" s="324"/>
      <c r="O329" s="331"/>
      <c r="P329" s="305"/>
    </row>
    <row r="330" spans="1:16" s="226" customFormat="1" x14ac:dyDescent="0.2">
      <c r="A330" s="305"/>
      <c r="B330" s="324"/>
      <c r="C330" s="331"/>
      <c r="D330" s="305"/>
      <c r="E330" s="324"/>
      <c r="F330" s="331"/>
      <c r="G330" s="305"/>
      <c r="H330" s="324"/>
      <c r="I330" s="331"/>
      <c r="J330" s="305"/>
      <c r="K330" s="324"/>
      <c r="L330" s="331"/>
      <c r="M330" s="305"/>
      <c r="N330" s="324"/>
      <c r="O330" s="331"/>
      <c r="P330" s="305"/>
    </row>
    <row r="331" spans="1:16" s="226" customFormat="1" x14ac:dyDescent="0.2">
      <c r="A331" s="305"/>
      <c r="B331" s="324"/>
      <c r="C331" s="331"/>
      <c r="D331" s="305"/>
      <c r="E331" s="324"/>
      <c r="F331" s="331"/>
      <c r="G331" s="305"/>
      <c r="H331" s="324"/>
      <c r="I331" s="331"/>
      <c r="J331" s="305"/>
      <c r="K331" s="324"/>
      <c r="L331" s="331"/>
      <c r="M331" s="305"/>
      <c r="N331" s="324"/>
      <c r="O331" s="331"/>
      <c r="P331" s="305"/>
    </row>
    <row r="332" spans="1:16" s="226" customFormat="1" x14ac:dyDescent="0.2">
      <c r="A332" s="305"/>
      <c r="B332" s="324"/>
      <c r="C332" s="331"/>
      <c r="D332" s="305"/>
      <c r="E332" s="324"/>
      <c r="F332" s="331"/>
      <c r="G332" s="305"/>
      <c r="H332" s="324"/>
      <c r="I332" s="331"/>
      <c r="J332" s="305"/>
      <c r="K332" s="324"/>
      <c r="L332" s="331"/>
      <c r="M332" s="305"/>
      <c r="N332" s="324"/>
      <c r="O332" s="331"/>
      <c r="P332" s="305"/>
    </row>
    <row r="333" spans="1:16" s="226" customFormat="1" x14ac:dyDescent="0.2">
      <c r="A333" s="305"/>
      <c r="B333" s="324"/>
      <c r="C333" s="331"/>
      <c r="D333" s="305"/>
      <c r="E333" s="324"/>
      <c r="F333" s="331"/>
      <c r="G333" s="305"/>
      <c r="H333" s="324"/>
      <c r="I333" s="331"/>
      <c r="J333" s="305"/>
      <c r="K333" s="324"/>
      <c r="L333" s="331"/>
      <c r="M333" s="305"/>
      <c r="N333" s="324"/>
      <c r="O333" s="331"/>
      <c r="P333" s="305"/>
    </row>
    <row r="334" spans="1:16" s="226" customFormat="1" x14ac:dyDescent="0.2">
      <c r="A334" s="305"/>
      <c r="B334" s="324"/>
      <c r="C334" s="331"/>
      <c r="D334" s="305"/>
      <c r="E334" s="324"/>
      <c r="F334" s="331"/>
      <c r="G334" s="305"/>
      <c r="H334" s="324"/>
      <c r="I334" s="331"/>
      <c r="J334" s="305"/>
      <c r="K334" s="324"/>
      <c r="L334" s="331"/>
      <c r="M334" s="305"/>
      <c r="N334" s="324"/>
      <c r="O334" s="331"/>
      <c r="P334" s="305"/>
    </row>
    <row r="335" spans="1:16" s="226" customFormat="1" x14ac:dyDescent="0.2">
      <c r="A335" s="305"/>
      <c r="B335" s="324"/>
      <c r="C335" s="331"/>
      <c r="D335" s="305"/>
      <c r="E335" s="324"/>
      <c r="F335" s="331"/>
      <c r="G335" s="305"/>
      <c r="H335" s="324"/>
      <c r="I335" s="331"/>
      <c r="J335" s="305"/>
      <c r="K335" s="324"/>
      <c r="L335" s="331"/>
      <c r="M335" s="305"/>
      <c r="N335" s="324"/>
      <c r="O335" s="331"/>
      <c r="P335" s="305"/>
    </row>
    <row r="336" spans="1:16" s="226" customFormat="1" x14ac:dyDescent="0.2">
      <c r="A336" s="305"/>
      <c r="B336" s="324"/>
      <c r="C336" s="331"/>
      <c r="D336" s="305"/>
      <c r="E336" s="324"/>
      <c r="F336" s="331"/>
      <c r="G336" s="305"/>
      <c r="H336" s="324"/>
      <c r="I336" s="331"/>
      <c r="J336" s="305"/>
      <c r="K336" s="324"/>
      <c r="L336" s="331"/>
      <c r="M336" s="305"/>
      <c r="N336" s="324"/>
      <c r="O336" s="331"/>
      <c r="P336" s="305"/>
    </row>
    <row r="337" spans="1:16" s="226" customFormat="1" x14ac:dyDescent="0.2">
      <c r="A337" s="305"/>
      <c r="B337" s="324"/>
      <c r="C337" s="331"/>
      <c r="D337" s="305"/>
      <c r="E337" s="324"/>
      <c r="F337" s="331"/>
      <c r="G337" s="305"/>
      <c r="H337" s="324"/>
      <c r="I337" s="331"/>
      <c r="J337" s="305"/>
      <c r="K337" s="324"/>
      <c r="L337" s="331"/>
      <c r="M337" s="305"/>
      <c r="N337" s="324"/>
      <c r="O337" s="331"/>
      <c r="P337" s="305"/>
    </row>
    <row r="338" spans="1:16" s="226" customFormat="1" x14ac:dyDescent="0.2">
      <c r="A338" s="305"/>
      <c r="B338" s="324"/>
      <c r="C338" s="331"/>
      <c r="D338" s="305"/>
      <c r="E338" s="324"/>
      <c r="F338" s="331"/>
      <c r="G338" s="305"/>
      <c r="H338" s="324"/>
      <c r="I338" s="331"/>
      <c r="J338" s="305"/>
      <c r="K338" s="324"/>
      <c r="L338" s="331"/>
      <c r="M338" s="305"/>
      <c r="N338" s="324"/>
      <c r="O338" s="331"/>
      <c r="P338" s="305"/>
    </row>
    <row r="339" spans="1:16" s="226" customFormat="1" x14ac:dyDescent="0.2">
      <c r="A339" s="305"/>
      <c r="B339" s="324"/>
      <c r="C339" s="331"/>
      <c r="D339" s="305"/>
      <c r="E339" s="324"/>
      <c r="F339" s="331"/>
      <c r="G339" s="305"/>
      <c r="H339" s="324"/>
      <c r="I339" s="331"/>
      <c r="J339" s="305"/>
      <c r="K339" s="324"/>
      <c r="L339" s="331"/>
      <c r="M339" s="305"/>
      <c r="N339" s="324"/>
      <c r="O339" s="331"/>
      <c r="P339" s="305"/>
    </row>
    <row r="340" spans="1:16" s="226" customFormat="1" x14ac:dyDescent="0.2">
      <c r="A340" s="305"/>
      <c r="B340" s="324"/>
      <c r="C340" s="331"/>
      <c r="D340" s="305"/>
      <c r="E340" s="324"/>
      <c r="F340" s="331"/>
      <c r="G340" s="305"/>
      <c r="H340" s="324"/>
      <c r="I340" s="331"/>
      <c r="J340" s="305"/>
      <c r="K340" s="324"/>
      <c r="L340" s="331"/>
      <c r="M340" s="305"/>
      <c r="N340" s="324"/>
      <c r="O340" s="331"/>
      <c r="P340" s="305"/>
    </row>
    <row r="341" spans="1:16" s="226" customFormat="1" x14ac:dyDescent="0.2">
      <c r="A341" s="305"/>
      <c r="B341" s="324"/>
      <c r="C341" s="331"/>
      <c r="D341" s="305"/>
      <c r="E341" s="324"/>
      <c r="F341" s="331"/>
      <c r="G341" s="305"/>
      <c r="H341" s="324"/>
      <c r="I341" s="331"/>
      <c r="J341" s="305"/>
      <c r="K341" s="324"/>
      <c r="L341" s="331"/>
      <c r="M341" s="305"/>
      <c r="N341" s="324"/>
      <c r="O341" s="331"/>
      <c r="P341" s="305"/>
    </row>
    <row r="342" spans="1:16" s="226" customFormat="1" x14ac:dyDescent="0.2">
      <c r="A342" s="305"/>
      <c r="B342" s="324"/>
      <c r="C342" s="331"/>
      <c r="D342" s="305"/>
      <c r="E342" s="324"/>
      <c r="F342" s="331"/>
      <c r="G342" s="305"/>
      <c r="H342" s="324"/>
      <c r="I342" s="331"/>
      <c r="J342" s="305"/>
      <c r="K342" s="324"/>
      <c r="L342" s="331"/>
      <c r="M342" s="305"/>
      <c r="N342" s="324"/>
      <c r="O342" s="331"/>
      <c r="P342" s="305"/>
    </row>
    <row r="343" spans="1:16" s="226" customFormat="1" x14ac:dyDescent="0.2">
      <c r="A343" s="305"/>
      <c r="B343" s="324"/>
      <c r="C343" s="331"/>
      <c r="D343" s="305"/>
      <c r="E343" s="324"/>
      <c r="F343" s="331"/>
      <c r="G343" s="305"/>
      <c r="H343" s="324"/>
      <c r="I343" s="331"/>
      <c r="J343" s="305"/>
      <c r="K343" s="324"/>
      <c r="L343" s="331"/>
      <c r="M343" s="305"/>
      <c r="N343" s="324"/>
      <c r="O343" s="331"/>
      <c r="P343" s="305"/>
    </row>
    <row r="344" spans="1:16" s="226" customFormat="1" x14ac:dyDescent="0.2">
      <c r="A344" s="305"/>
      <c r="B344" s="324"/>
      <c r="C344" s="331"/>
      <c r="D344" s="305"/>
      <c r="E344" s="324"/>
      <c r="F344" s="331"/>
      <c r="G344" s="305"/>
      <c r="H344" s="324"/>
      <c r="I344" s="331"/>
      <c r="J344" s="305"/>
      <c r="K344" s="324"/>
      <c r="L344" s="331"/>
      <c r="M344" s="305"/>
      <c r="N344" s="324"/>
      <c r="O344" s="331"/>
      <c r="P344" s="305"/>
    </row>
    <row r="345" spans="1:16" s="226" customFormat="1" x14ac:dyDescent="0.2">
      <c r="A345" s="305"/>
      <c r="B345" s="324"/>
      <c r="C345" s="331"/>
      <c r="D345" s="305"/>
      <c r="E345" s="324"/>
      <c r="F345" s="331"/>
      <c r="G345" s="305"/>
      <c r="H345" s="324"/>
      <c r="I345" s="331"/>
      <c r="J345" s="305"/>
      <c r="K345" s="324"/>
      <c r="L345" s="331"/>
      <c r="M345" s="305"/>
      <c r="N345" s="324"/>
      <c r="O345" s="331"/>
      <c r="P345" s="305"/>
    </row>
    <row r="346" spans="1:16" s="226" customFormat="1" x14ac:dyDescent="0.2">
      <c r="A346" s="305"/>
      <c r="B346" s="324"/>
      <c r="C346" s="331"/>
      <c r="D346" s="305"/>
      <c r="E346" s="324"/>
      <c r="F346" s="331"/>
      <c r="G346" s="305"/>
      <c r="H346" s="324"/>
      <c r="I346" s="331"/>
      <c r="J346" s="305"/>
      <c r="K346" s="324"/>
      <c r="L346" s="331"/>
      <c r="M346" s="305"/>
      <c r="N346" s="324"/>
      <c r="O346" s="331"/>
      <c r="P346" s="305"/>
    </row>
    <row r="347" spans="1:16" s="226" customFormat="1" x14ac:dyDescent="0.2">
      <c r="A347" s="305"/>
      <c r="B347" s="324"/>
      <c r="C347" s="331"/>
      <c r="D347" s="305"/>
      <c r="E347" s="324"/>
      <c r="F347" s="331"/>
      <c r="G347" s="305"/>
      <c r="H347" s="324"/>
      <c r="I347" s="331"/>
      <c r="J347" s="305"/>
      <c r="K347" s="324"/>
      <c r="L347" s="331"/>
      <c r="M347" s="305"/>
      <c r="N347" s="324"/>
      <c r="O347" s="331"/>
      <c r="P347" s="305"/>
    </row>
    <row r="348" spans="1:16" s="226" customFormat="1" x14ac:dyDescent="0.2">
      <c r="A348" s="305"/>
      <c r="B348" s="324"/>
      <c r="C348" s="331"/>
      <c r="D348" s="305"/>
      <c r="E348" s="324"/>
      <c r="F348" s="331"/>
      <c r="G348" s="305"/>
      <c r="H348" s="324"/>
      <c r="I348" s="331"/>
      <c r="J348" s="305"/>
      <c r="K348" s="324"/>
      <c r="L348" s="331"/>
      <c r="M348" s="305"/>
      <c r="N348" s="324"/>
      <c r="O348" s="331"/>
      <c r="P348" s="305"/>
    </row>
    <row r="349" spans="1:16" s="226" customFormat="1" x14ac:dyDescent="0.2">
      <c r="A349" s="305"/>
      <c r="B349" s="324"/>
      <c r="C349" s="331"/>
      <c r="D349" s="305"/>
      <c r="E349" s="324"/>
      <c r="F349" s="331"/>
      <c r="G349" s="305"/>
      <c r="H349" s="324"/>
      <c r="I349" s="331"/>
      <c r="J349" s="305"/>
      <c r="K349" s="324"/>
      <c r="L349" s="331"/>
      <c r="M349" s="305"/>
      <c r="N349" s="324"/>
      <c r="O349" s="331"/>
      <c r="P349" s="305"/>
    </row>
    <row r="350" spans="1:16" s="226" customFormat="1" x14ac:dyDescent="0.2">
      <c r="A350" s="305"/>
      <c r="B350" s="324"/>
      <c r="C350" s="331"/>
      <c r="D350" s="305"/>
      <c r="E350" s="324"/>
      <c r="F350" s="331"/>
      <c r="G350" s="305"/>
      <c r="H350" s="324"/>
      <c r="I350" s="331"/>
      <c r="J350" s="305"/>
      <c r="K350" s="324"/>
      <c r="L350" s="331"/>
      <c r="M350" s="305"/>
      <c r="N350" s="324"/>
      <c r="O350" s="331"/>
      <c r="P350" s="305"/>
    </row>
    <row r="351" spans="1:16" s="226" customFormat="1" x14ac:dyDescent="0.2">
      <c r="A351" s="305"/>
      <c r="B351" s="324"/>
      <c r="C351" s="331"/>
      <c r="D351" s="305"/>
      <c r="E351" s="324"/>
      <c r="F351" s="331"/>
      <c r="G351" s="305"/>
      <c r="H351" s="324"/>
      <c r="I351" s="331"/>
      <c r="J351" s="305"/>
      <c r="K351" s="324"/>
      <c r="L351" s="331"/>
      <c r="M351" s="305"/>
      <c r="N351" s="324"/>
      <c r="O351" s="331"/>
      <c r="P351" s="305"/>
    </row>
    <row r="352" spans="1:16" s="226" customFormat="1" x14ac:dyDescent="0.2">
      <c r="A352" s="305"/>
      <c r="B352" s="324"/>
      <c r="C352" s="331"/>
      <c r="D352" s="305"/>
      <c r="E352" s="324"/>
      <c r="F352" s="331"/>
      <c r="G352" s="305"/>
      <c r="H352" s="324"/>
      <c r="I352" s="331"/>
      <c r="J352" s="305"/>
      <c r="K352" s="324"/>
      <c r="L352" s="331"/>
      <c r="M352" s="305"/>
      <c r="N352" s="324"/>
      <c r="O352" s="331"/>
      <c r="P352" s="305"/>
    </row>
    <row r="353" spans="1:16" s="226" customFormat="1" x14ac:dyDescent="0.2">
      <c r="A353" s="305"/>
      <c r="B353" s="324"/>
      <c r="C353" s="331"/>
      <c r="D353" s="305"/>
      <c r="E353" s="324"/>
      <c r="F353" s="331"/>
      <c r="G353" s="305"/>
      <c r="H353" s="324"/>
      <c r="I353" s="331"/>
      <c r="J353" s="305"/>
      <c r="K353" s="324"/>
      <c r="L353" s="331"/>
      <c r="M353" s="305"/>
      <c r="N353" s="324"/>
      <c r="O353" s="331"/>
      <c r="P353" s="305"/>
    </row>
    <row r="354" spans="1:16" s="226" customFormat="1" x14ac:dyDescent="0.2">
      <c r="A354" s="305"/>
      <c r="B354" s="324"/>
      <c r="C354" s="331"/>
      <c r="D354" s="305"/>
      <c r="E354" s="324"/>
      <c r="F354" s="331"/>
      <c r="G354" s="305"/>
      <c r="H354" s="324"/>
      <c r="I354" s="331"/>
      <c r="J354" s="305"/>
      <c r="K354" s="324"/>
      <c r="L354" s="331"/>
      <c r="M354" s="305"/>
      <c r="N354" s="324"/>
      <c r="O354" s="331"/>
      <c r="P354" s="305"/>
    </row>
    <row r="355" spans="1:16" s="226" customFormat="1" x14ac:dyDescent="0.2">
      <c r="A355" s="305"/>
      <c r="B355" s="324"/>
      <c r="C355" s="331"/>
      <c r="D355" s="305"/>
      <c r="E355" s="324"/>
      <c r="F355" s="331"/>
      <c r="G355" s="305"/>
      <c r="H355" s="324"/>
      <c r="I355" s="331"/>
      <c r="J355" s="305"/>
      <c r="K355" s="324"/>
      <c r="L355" s="331"/>
      <c r="M355" s="305"/>
      <c r="N355" s="324"/>
      <c r="O355" s="331"/>
      <c r="P355" s="305"/>
    </row>
    <row r="356" spans="1:16" s="226" customFormat="1" x14ac:dyDescent="0.2">
      <c r="A356" s="305"/>
      <c r="B356" s="324"/>
      <c r="C356" s="331"/>
      <c r="D356" s="305"/>
      <c r="E356" s="324"/>
      <c r="F356" s="331"/>
      <c r="G356" s="305"/>
      <c r="H356" s="324"/>
      <c r="I356" s="331"/>
      <c r="J356" s="305"/>
      <c r="K356" s="324"/>
      <c r="L356" s="331"/>
      <c r="M356" s="305"/>
      <c r="N356" s="324"/>
      <c r="O356" s="331"/>
      <c r="P356" s="305"/>
    </row>
    <row r="357" spans="1:16" s="226" customFormat="1" x14ac:dyDescent="0.2">
      <c r="A357" s="305"/>
      <c r="B357" s="324"/>
      <c r="C357" s="331"/>
      <c r="D357" s="305"/>
      <c r="E357" s="324"/>
      <c r="F357" s="331"/>
      <c r="G357" s="305"/>
      <c r="H357" s="324"/>
      <c r="I357" s="331"/>
      <c r="J357" s="305"/>
      <c r="K357" s="324"/>
      <c r="L357" s="331"/>
      <c r="M357" s="305"/>
      <c r="N357" s="324"/>
      <c r="O357" s="331"/>
      <c r="P357" s="305"/>
    </row>
    <row r="358" spans="1:16" s="226" customFormat="1" x14ac:dyDescent="0.2">
      <c r="A358" s="305"/>
      <c r="B358" s="324"/>
      <c r="C358" s="331"/>
      <c r="D358" s="305"/>
      <c r="E358" s="324"/>
      <c r="F358" s="331"/>
      <c r="G358" s="305"/>
      <c r="H358" s="324"/>
      <c r="I358" s="331"/>
      <c r="J358" s="305"/>
      <c r="K358" s="324"/>
      <c r="L358" s="331"/>
      <c r="M358" s="305"/>
      <c r="N358" s="324"/>
      <c r="O358" s="331"/>
      <c r="P358" s="305"/>
    </row>
    <row r="359" spans="1:16" s="226" customFormat="1" x14ac:dyDescent="0.2">
      <c r="A359" s="305"/>
      <c r="B359" s="324"/>
      <c r="C359" s="331"/>
      <c r="D359" s="305"/>
      <c r="E359" s="324"/>
      <c r="F359" s="331"/>
      <c r="G359" s="305"/>
      <c r="H359" s="324"/>
      <c r="I359" s="331"/>
      <c r="J359" s="305"/>
      <c r="K359" s="324"/>
      <c r="L359" s="331"/>
      <c r="M359" s="305"/>
      <c r="N359" s="324"/>
      <c r="O359" s="331"/>
      <c r="P359" s="305"/>
    </row>
    <row r="360" spans="1:16" s="226" customFormat="1" x14ac:dyDescent="0.2">
      <c r="A360" s="305"/>
      <c r="B360" s="324"/>
      <c r="C360" s="331"/>
      <c r="D360" s="305"/>
      <c r="E360" s="324"/>
      <c r="F360" s="331"/>
      <c r="G360" s="305"/>
      <c r="H360" s="324"/>
      <c r="I360" s="331"/>
      <c r="J360" s="305"/>
      <c r="K360" s="324"/>
      <c r="L360" s="331"/>
      <c r="M360" s="305"/>
      <c r="N360" s="324"/>
      <c r="O360" s="331"/>
      <c r="P360" s="305"/>
    </row>
    <row r="361" spans="1:16" s="226" customFormat="1" x14ac:dyDescent="0.2">
      <c r="A361" s="305"/>
      <c r="B361" s="324"/>
      <c r="C361" s="331"/>
      <c r="D361" s="305"/>
      <c r="E361" s="324"/>
      <c r="F361" s="331"/>
      <c r="G361" s="305"/>
      <c r="H361" s="324"/>
      <c r="I361" s="331"/>
      <c r="J361" s="305"/>
      <c r="K361" s="324"/>
      <c r="L361" s="331"/>
      <c r="M361" s="305"/>
      <c r="N361" s="324"/>
      <c r="O361" s="331"/>
      <c r="P361" s="305"/>
    </row>
    <row r="362" spans="1:16" s="226" customFormat="1" x14ac:dyDescent="0.2">
      <c r="A362" s="305"/>
      <c r="B362" s="324"/>
      <c r="C362" s="331"/>
      <c r="D362" s="305"/>
      <c r="E362" s="324"/>
      <c r="F362" s="331"/>
      <c r="G362" s="305"/>
      <c r="H362" s="324"/>
      <c r="I362" s="331"/>
      <c r="J362" s="305"/>
      <c r="K362" s="324"/>
      <c r="L362" s="331"/>
      <c r="M362" s="305"/>
      <c r="N362" s="324"/>
      <c r="O362" s="331"/>
      <c r="P362" s="305"/>
    </row>
    <row r="363" spans="1:16" s="226" customFormat="1" x14ac:dyDescent="0.2">
      <c r="A363" s="305"/>
      <c r="B363" s="324"/>
      <c r="C363" s="331"/>
      <c r="D363" s="305"/>
      <c r="E363" s="324"/>
      <c r="F363" s="331"/>
      <c r="G363" s="305"/>
      <c r="H363" s="324"/>
      <c r="I363" s="331"/>
      <c r="J363" s="305"/>
      <c r="K363" s="324"/>
      <c r="L363" s="331"/>
      <c r="M363" s="305"/>
      <c r="N363" s="324"/>
      <c r="O363" s="331"/>
      <c r="P363" s="305"/>
    </row>
    <row r="364" spans="1:16" s="226" customFormat="1" x14ac:dyDescent="0.2">
      <c r="A364" s="305"/>
      <c r="B364" s="324"/>
      <c r="C364" s="331"/>
      <c r="D364" s="305"/>
      <c r="E364" s="324"/>
      <c r="F364" s="331"/>
      <c r="G364" s="305"/>
      <c r="H364" s="324"/>
      <c r="I364" s="331"/>
      <c r="J364" s="305"/>
      <c r="K364" s="324"/>
      <c r="L364" s="331"/>
      <c r="M364" s="305"/>
      <c r="N364" s="324"/>
      <c r="O364" s="331"/>
      <c r="P364" s="305"/>
    </row>
    <row r="365" spans="1:16" s="226" customFormat="1" x14ac:dyDescent="0.2">
      <c r="A365" s="305"/>
      <c r="B365" s="324"/>
      <c r="C365" s="331"/>
      <c r="D365" s="305"/>
      <c r="E365" s="324"/>
      <c r="F365" s="331"/>
      <c r="G365" s="305"/>
      <c r="H365" s="324"/>
      <c r="I365" s="331"/>
      <c r="J365" s="305"/>
      <c r="K365" s="324"/>
      <c r="L365" s="331"/>
      <c r="M365" s="305"/>
      <c r="N365" s="324"/>
      <c r="O365" s="331"/>
      <c r="P365" s="305"/>
    </row>
    <row r="366" spans="1:16" s="226" customFormat="1" x14ac:dyDescent="0.2">
      <c r="A366" s="305"/>
      <c r="B366" s="324"/>
      <c r="C366" s="331"/>
      <c r="D366" s="305"/>
      <c r="E366" s="324"/>
      <c r="F366" s="331"/>
      <c r="G366" s="305"/>
      <c r="H366" s="324"/>
      <c r="I366" s="331"/>
      <c r="J366" s="305"/>
      <c r="K366" s="324"/>
      <c r="L366" s="331"/>
      <c r="M366" s="305"/>
      <c r="N366" s="324"/>
      <c r="O366" s="331"/>
      <c r="P366" s="305"/>
    </row>
    <row r="367" spans="1:16" s="226" customFormat="1" x14ac:dyDescent="0.2">
      <c r="A367" s="305"/>
      <c r="B367" s="324"/>
      <c r="C367" s="331"/>
      <c r="D367" s="305"/>
      <c r="E367" s="324"/>
      <c r="F367" s="331"/>
      <c r="G367" s="305"/>
      <c r="H367" s="324"/>
      <c r="I367" s="331"/>
      <c r="J367" s="305"/>
      <c r="K367" s="324"/>
      <c r="L367" s="331"/>
      <c r="M367" s="305"/>
      <c r="N367" s="324"/>
      <c r="O367" s="331"/>
      <c r="P367" s="305"/>
    </row>
    <row r="368" spans="1:16" s="226" customFormat="1" x14ac:dyDescent="0.2">
      <c r="A368" s="305"/>
      <c r="B368" s="324"/>
      <c r="C368" s="331"/>
      <c r="D368" s="305"/>
      <c r="E368" s="324"/>
      <c r="F368" s="331"/>
      <c r="G368" s="305"/>
      <c r="H368" s="324"/>
      <c r="I368" s="331"/>
      <c r="J368" s="305"/>
      <c r="K368" s="324"/>
      <c r="L368" s="331"/>
      <c r="M368" s="305"/>
      <c r="N368" s="324"/>
      <c r="O368" s="331"/>
      <c r="P368" s="305"/>
    </row>
    <row r="369" spans="1:16" s="226" customFormat="1" x14ac:dyDescent="0.2">
      <c r="A369" s="305"/>
      <c r="B369" s="324"/>
      <c r="C369" s="331"/>
      <c r="D369" s="305"/>
      <c r="E369" s="324"/>
      <c r="F369" s="331"/>
      <c r="G369" s="305"/>
      <c r="H369" s="324"/>
      <c r="I369" s="331"/>
      <c r="J369" s="305"/>
      <c r="K369" s="324"/>
      <c r="L369" s="331"/>
      <c r="M369" s="305"/>
      <c r="N369" s="324"/>
      <c r="O369" s="331"/>
      <c r="P369" s="305"/>
    </row>
    <row r="370" spans="1:16" s="226" customFormat="1" x14ac:dyDescent="0.2">
      <c r="A370" s="305"/>
      <c r="B370" s="324"/>
      <c r="C370" s="331"/>
      <c r="D370" s="305"/>
      <c r="E370" s="324"/>
      <c r="F370" s="331"/>
      <c r="G370" s="305"/>
      <c r="H370" s="324"/>
      <c r="I370" s="331"/>
      <c r="J370" s="305"/>
      <c r="K370" s="324"/>
      <c r="L370" s="331"/>
      <c r="M370" s="305"/>
      <c r="N370" s="324"/>
      <c r="O370" s="331"/>
      <c r="P370" s="305"/>
    </row>
    <row r="371" spans="1:16" s="226" customFormat="1" x14ac:dyDescent="0.2">
      <c r="A371" s="305"/>
      <c r="B371" s="324"/>
      <c r="C371" s="331"/>
      <c r="D371" s="305"/>
      <c r="E371" s="324"/>
      <c r="F371" s="331"/>
      <c r="G371" s="305"/>
      <c r="H371" s="324"/>
      <c r="I371" s="331"/>
      <c r="J371" s="305"/>
      <c r="K371" s="324"/>
      <c r="L371" s="331"/>
      <c r="M371" s="305"/>
      <c r="N371" s="324"/>
      <c r="O371" s="331"/>
      <c r="P371" s="305"/>
    </row>
    <row r="372" spans="1:16" s="226" customFormat="1" x14ac:dyDescent="0.2">
      <c r="A372" s="305"/>
      <c r="B372" s="324"/>
      <c r="C372" s="331"/>
      <c r="D372" s="305"/>
      <c r="E372" s="324"/>
      <c r="F372" s="331"/>
      <c r="G372" s="305"/>
      <c r="H372" s="324"/>
      <c r="I372" s="331"/>
      <c r="J372" s="305"/>
      <c r="K372" s="324"/>
      <c r="L372" s="331"/>
      <c r="M372" s="305"/>
      <c r="N372" s="324"/>
      <c r="O372" s="331"/>
      <c r="P372" s="305"/>
    </row>
    <row r="373" spans="1:16" s="226" customFormat="1" x14ac:dyDescent="0.2">
      <c r="A373" s="305"/>
      <c r="B373" s="324"/>
      <c r="C373" s="331"/>
      <c r="D373" s="305"/>
      <c r="E373" s="324"/>
      <c r="F373" s="331"/>
      <c r="G373" s="305"/>
      <c r="H373" s="324"/>
      <c r="I373" s="331"/>
      <c r="J373" s="305"/>
      <c r="K373" s="324"/>
      <c r="L373" s="331"/>
      <c r="M373" s="305"/>
      <c r="N373" s="324"/>
      <c r="O373" s="331"/>
      <c r="P373" s="305"/>
    </row>
    <row r="374" spans="1:16" s="226" customFormat="1" x14ac:dyDescent="0.2">
      <c r="A374" s="305"/>
      <c r="B374" s="324"/>
      <c r="C374" s="331"/>
      <c r="D374" s="305"/>
      <c r="E374" s="324"/>
      <c r="F374" s="331"/>
      <c r="G374" s="305"/>
      <c r="H374" s="324"/>
      <c r="I374" s="331"/>
      <c r="J374" s="305"/>
      <c r="K374" s="324"/>
      <c r="L374" s="331"/>
      <c r="M374" s="305"/>
      <c r="N374" s="324"/>
      <c r="O374" s="331"/>
      <c r="P374" s="305"/>
    </row>
    <row r="375" spans="1:16" s="226" customFormat="1" x14ac:dyDescent="0.2">
      <c r="A375" s="305"/>
      <c r="B375" s="324"/>
      <c r="C375" s="331"/>
      <c r="D375" s="305"/>
      <c r="E375" s="324"/>
      <c r="F375" s="331"/>
      <c r="G375" s="305"/>
      <c r="H375" s="324"/>
      <c r="I375" s="331"/>
      <c r="J375" s="305"/>
      <c r="K375" s="324"/>
      <c r="L375" s="331"/>
      <c r="M375" s="305"/>
      <c r="N375" s="324"/>
      <c r="O375" s="331"/>
      <c r="P375" s="305"/>
    </row>
    <row r="376" spans="1:16" s="226" customFormat="1" x14ac:dyDescent="0.2">
      <c r="A376" s="305"/>
      <c r="B376" s="324"/>
      <c r="C376" s="331"/>
      <c r="D376" s="305"/>
      <c r="E376" s="324"/>
      <c r="F376" s="331"/>
      <c r="G376" s="305"/>
      <c r="H376" s="324"/>
      <c r="I376" s="331"/>
      <c r="J376" s="305"/>
      <c r="K376" s="324"/>
      <c r="L376" s="331"/>
      <c r="M376" s="305"/>
      <c r="N376" s="324"/>
      <c r="O376" s="331"/>
      <c r="P376" s="305"/>
    </row>
    <row r="377" spans="1:16" s="226" customFormat="1" x14ac:dyDescent="0.2">
      <c r="A377" s="305"/>
      <c r="B377" s="324"/>
      <c r="C377" s="331"/>
      <c r="D377" s="305"/>
      <c r="E377" s="324"/>
      <c r="F377" s="331"/>
      <c r="G377" s="305"/>
      <c r="H377" s="324"/>
      <c r="I377" s="331"/>
      <c r="J377" s="305"/>
      <c r="K377" s="324"/>
      <c r="L377" s="331"/>
      <c r="M377" s="305"/>
      <c r="N377" s="324"/>
      <c r="O377" s="331"/>
      <c r="P377" s="305"/>
    </row>
    <row r="378" spans="1:16" s="226" customFormat="1" x14ac:dyDescent="0.2">
      <c r="A378" s="305"/>
      <c r="B378" s="324"/>
      <c r="C378" s="331"/>
      <c r="D378" s="305"/>
      <c r="E378" s="324"/>
      <c r="F378" s="331"/>
      <c r="G378" s="305"/>
      <c r="H378" s="324"/>
      <c r="I378" s="331"/>
      <c r="J378" s="305"/>
      <c r="K378" s="324"/>
      <c r="L378" s="331"/>
      <c r="M378" s="305"/>
      <c r="N378" s="324"/>
      <c r="O378" s="331"/>
      <c r="P378" s="305"/>
    </row>
    <row r="379" spans="1:16" s="226" customFormat="1" x14ac:dyDescent="0.2">
      <c r="A379" s="305"/>
      <c r="B379" s="324"/>
      <c r="C379" s="331"/>
      <c r="D379" s="305"/>
      <c r="E379" s="324"/>
      <c r="F379" s="331"/>
      <c r="G379" s="305"/>
      <c r="H379" s="324"/>
      <c r="I379" s="331"/>
      <c r="J379" s="305"/>
      <c r="K379" s="324"/>
      <c r="L379" s="331"/>
      <c r="M379" s="305"/>
      <c r="N379" s="324"/>
      <c r="O379" s="331"/>
      <c r="P379" s="305"/>
    </row>
    <row r="380" spans="1:16" s="226" customFormat="1" x14ac:dyDescent="0.2">
      <c r="A380" s="305"/>
      <c r="B380" s="324"/>
      <c r="C380" s="331"/>
      <c r="D380" s="305"/>
      <c r="E380" s="324"/>
      <c r="F380" s="331"/>
      <c r="G380" s="305"/>
      <c r="H380" s="324"/>
      <c r="I380" s="331"/>
      <c r="J380" s="305"/>
      <c r="K380" s="324"/>
      <c r="L380" s="331"/>
      <c r="M380" s="305"/>
      <c r="N380" s="324"/>
      <c r="O380" s="331"/>
      <c r="P380" s="305"/>
    </row>
    <row r="381" spans="1:16" s="226" customFormat="1" x14ac:dyDescent="0.2">
      <c r="A381" s="305"/>
      <c r="B381" s="324"/>
      <c r="C381" s="331"/>
      <c r="D381" s="305"/>
      <c r="E381" s="324"/>
      <c r="F381" s="331"/>
      <c r="G381" s="305"/>
      <c r="H381" s="324"/>
      <c r="I381" s="331"/>
      <c r="J381" s="305"/>
      <c r="K381" s="324"/>
      <c r="L381" s="331"/>
      <c r="M381" s="305"/>
      <c r="N381" s="324"/>
      <c r="O381" s="331"/>
      <c r="P381" s="305"/>
    </row>
    <row r="382" spans="1:16" s="226" customFormat="1" x14ac:dyDescent="0.2">
      <c r="A382" s="305"/>
      <c r="B382" s="324"/>
      <c r="C382" s="331"/>
      <c r="D382" s="305"/>
      <c r="E382" s="324"/>
      <c r="F382" s="331"/>
      <c r="G382" s="305"/>
      <c r="H382" s="324"/>
      <c r="I382" s="331"/>
      <c r="J382" s="305"/>
      <c r="K382" s="324"/>
      <c r="L382" s="331"/>
      <c r="M382" s="305"/>
      <c r="N382" s="324"/>
      <c r="O382" s="331"/>
      <c r="P382" s="305"/>
    </row>
    <row r="383" spans="1:16" s="226" customFormat="1" x14ac:dyDescent="0.2">
      <c r="A383" s="305"/>
      <c r="B383" s="324"/>
      <c r="C383" s="331"/>
      <c r="D383" s="305"/>
      <c r="E383" s="324"/>
      <c r="F383" s="331"/>
      <c r="G383" s="305"/>
      <c r="H383" s="324"/>
      <c r="I383" s="331"/>
      <c r="J383" s="305"/>
      <c r="K383" s="324"/>
      <c r="L383" s="331"/>
      <c r="M383" s="305"/>
      <c r="N383" s="324"/>
      <c r="O383" s="331"/>
      <c r="P383" s="305"/>
    </row>
    <row r="384" spans="1:16" s="226" customFormat="1" x14ac:dyDescent="0.2">
      <c r="A384" s="305"/>
      <c r="B384" s="324"/>
      <c r="C384" s="331"/>
      <c r="D384" s="305"/>
      <c r="E384" s="324"/>
      <c r="F384" s="331"/>
      <c r="G384" s="305"/>
      <c r="H384" s="324"/>
      <c r="I384" s="331"/>
      <c r="J384" s="305"/>
      <c r="K384" s="324"/>
      <c r="L384" s="331"/>
      <c r="M384" s="305"/>
      <c r="N384" s="324"/>
      <c r="O384" s="331"/>
      <c r="P384" s="305"/>
    </row>
    <row r="385" spans="1:16" s="226" customFormat="1" x14ac:dyDescent="0.2">
      <c r="A385" s="305"/>
      <c r="B385" s="324"/>
      <c r="C385" s="331"/>
      <c r="D385" s="305"/>
      <c r="E385" s="324"/>
      <c r="F385" s="331"/>
      <c r="G385" s="305"/>
      <c r="H385" s="324"/>
      <c r="I385" s="331"/>
      <c r="J385" s="305"/>
      <c r="K385" s="324"/>
      <c r="L385" s="331"/>
      <c r="M385" s="305"/>
      <c r="N385" s="324"/>
      <c r="O385" s="331"/>
      <c r="P385" s="305"/>
    </row>
    <row r="386" spans="1:16" s="226" customFormat="1" x14ac:dyDescent="0.2">
      <c r="A386" s="305"/>
      <c r="B386" s="324"/>
      <c r="C386" s="331"/>
      <c r="D386" s="305"/>
      <c r="E386" s="324"/>
      <c r="F386" s="331"/>
      <c r="G386" s="305"/>
      <c r="H386" s="324"/>
      <c r="I386" s="331"/>
      <c r="J386" s="305"/>
      <c r="K386" s="324"/>
      <c r="L386" s="331"/>
      <c r="M386" s="305"/>
      <c r="N386" s="324"/>
      <c r="O386" s="331"/>
      <c r="P386" s="305"/>
    </row>
    <row r="387" spans="1:16" s="226" customFormat="1" x14ac:dyDescent="0.2">
      <c r="A387" s="305"/>
      <c r="B387" s="324"/>
      <c r="C387" s="331"/>
      <c r="D387" s="305"/>
      <c r="E387" s="324"/>
      <c r="F387" s="331"/>
      <c r="G387" s="305"/>
      <c r="H387" s="324"/>
      <c r="I387" s="331"/>
      <c r="J387" s="305"/>
      <c r="K387" s="324"/>
      <c r="L387" s="331"/>
      <c r="M387" s="305"/>
      <c r="N387" s="324"/>
      <c r="O387" s="331"/>
      <c r="P387" s="305"/>
    </row>
    <row r="388" spans="1:16" s="226" customFormat="1" x14ac:dyDescent="0.2">
      <c r="A388" s="305"/>
      <c r="B388" s="324"/>
      <c r="C388" s="331"/>
      <c r="D388" s="305"/>
      <c r="E388" s="324"/>
      <c r="F388" s="331"/>
      <c r="G388" s="305"/>
      <c r="H388" s="324"/>
      <c r="I388" s="331"/>
      <c r="J388" s="305"/>
      <c r="K388" s="324"/>
      <c r="L388" s="331"/>
      <c r="M388" s="305"/>
      <c r="N388" s="324"/>
      <c r="O388" s="331"/>
      <c r="P388" s="305"/>
    </row>
    <row r="389" spans="1:16" s="226" customFormat="1" x14ac:dyDescent="0.2">
      <c r="A389" s="305"/>
      <c r="B389" s="324"/>
      <c r="C389" s="331"/>
      <c r="D389" s="305"/>
      <c r="E389" s="324"/>
      <c r="F389" s="331"/>
      <c r="G389" s="305"/>
      <c r="H389" s="324"/>
      <c r="I389" s="331"/>
      <c r="J389" s="305"/>
      <c r="K389" s="324"/>
      <c r="L389" s="331"/>
      <c r="M389" s="305"/>
      <c r="N389" s="324"/>
      <c r="O389" s="331"/>
      <c r="P389" s="305"/>
    </row>
    <row r="390" spans="1:16" s="226" customFormat="1" x14ac:dyDescent="0.2">
      <c r="A390" s="305"/>
      <c r="B390" s="324"/>
      <c r="C390" s="331"/>
      <c r="D390" s="305"/>
      <c r="E390" s="324"/>
      <c r="F390" s="331"/>
      <c r="G390" s="305"/>
      <c r="H390" s="324"/>
      <c r="I390" s="331"/>
      <c r="J390" s="305"/>
      <c r="K390" s="324"/>
      <c r="L390" s="331"/>
      <c r="M390" s="305"/>
      <c r="N390" s="324"/>
      <c r="O390" s="331"/>
      <c r="P390" s="305"/>
    </row>
    <row r="391" spans="1:16" s="226" customFormat="1" x14ac:dyDescent="0.2">
      <c r="A391" s="305"/>
      <c r="B391" s="324"/>
      <c r="C391" s="331"/>
      <c r="D391" s="305"/>
      <c r="E391" s="324"/>
      <c r="F391" s="331"/>
      <c r="G391" s="305"/>
      <c r="H391" s="324"/>
      <c r="I391" s="331"/>
      <c r="J391" s="305"/>
      <c r="K391" s="324"/>
      <c r="L391" s="331"/>
      <c r="M391" s="305"/>
      <c r="N391" s="324"/>
      <c r="O391" s="331"/>
      <c r="P391" s="305"/>
    </row>
    <row r="392" spans="1:16" s="226" customFormat="1" x14ac:dyDescent="0.2">
      <c r="A392" s="305"/>
      <c r="B392" s="324"/>
      <c r="C392" s="331"/>
      <c r="D392" s="305"/>
      <c r="E392" s="324"/>
      <c r="F392" s="331"/>
      <c r="G392" s="305"/>
      <c r="H392" s="324"/>
      <c r="I392" s="331"/>
      <c r="J392" s="305"/>
      <c r="K392" s="324"/>
      <c r="L392" s="331"/>
      <c r="M392" s="305"/>
      <c r="N392" s="324"/>
      <c r="O392" s="331"/>
      <c r="P392" s="305"/>
    </row>
    <row r="393" spans="1:16" s="226" customFormat="1" x14ac:dyDescent="0.2">
      <c r="A393" s="305"/>
      <c r="B393" s="324"/>
      <c r="C393" s="331"/>
      <c r="D393" s="305"/>
      <c r="E393" s="324"/>
      <c r="F393" s="331"/>
      <c r="G393" s="305"/>
      <c r="H393" s="324"/>
      <c r="I393" s="331"/>
      <c r="J393" s="305"/>
      <c r="K393" s="324"/>
      <c r="L393" s="331"/>
      <c r="M393" s="305"/>
      <c r="N393" s="324"/>
      <c r="O393" s="331"/>
      <c r="P393" s="305"/>
    </row>
    <row r="394" spans="1:16" s="226" customFormat="1" x14ac:dyDescent="0.2">
      <c r="A394" s="305"/>
      <c r="B394" s="324"/>
      <c r="C394" s="331"/>
      <c r="D394" s="305"/>
      <c r="E394" s="324"/>
      <c r="F394" s="331"/>
      <c r="G394" s="305"/>
      <c r="H394" s="324"/>
      <c r="I394" s="331"/>
      <c r="J394" s="305"/>
      <c r="K394" s="324"/>
      <c r="L394" s="331"/>
      <c r="M394" s="305"/>
      <c r="N394" s="324"/>
      <c r="O394" s="331"/>
      <c r="P394" s="305"/>
    </row>
    <row r="395" spans="1:16" s="226" customFormat="1" x14ac:dyDescent="0.2">
      <c r="A395" s="305"/>
      <c r="B395" s="324"/>
      <c r="C395" s="331"/>
      <c r="D395" s="305"/>
      <c r="E395" s="324"/>
      <c r="F395" s="331"/>
      <c r="G395" s="305"/>
      <c r="H395" s="324"/>
      <c r="I395" s="331"/>
      <c r="J395" s="305"/>
      <c r="K395" s="324"/>
      <c r="L395" s="331"/>
      <c r="M395" s="305"/>
      <c r="N395" s="324"/>
      <c r="O395" s="331"/>
      <c r="P395" s="305"/>
    </row>
    <row r="396" spans="1:16" s="226" customFormat="1" x14ac:dyDescent="0.2">
      <c r="A396" s="305"/>
      <c r="B396" s="324"/>
      <c r="C396" s="331"/>
      <c r="D396" s="305"/>
      <c r="E396" s="324"/>
      <c r="F396" s="331"/>
      <c r="G396" s="305"/>
      <c r="H396" s="324"/>
      <c r="I396" s="331"/>
      <c r="J396" s="305"/>
      <c r="K396" s="324"/>
      <c r="L396" s="331"/>
      <c r="M396" s="305"/>
      <c r="N396" s="324"/>
      <c r="O396" s="331"/>
      <c r="P396" s="305"/>
    </row>
    <row r="397" spans="1:16" s="226" customFormat="1" x14ac:dyDescent="0.2">
      <c r="A397" s="305"/>
      <c r="B397" s="324"/>
      <c r="C397" s="331"/>
      <c r="D397" s="305"/>
      <c r="E397" s="324"/>
      <c r="F397" s="331"/>
      <c r="G397" s="305"/>
      <c r="H397" s="324"/>
      <c r="I397" s="331"/>
      <c r="J397" s="305"/>
      <c r="K397" s="324"/>
      <c r="L397" s="331"/>
      <c r="M397" s="305"/>
      <c r="N397" s="324"/>
      <c r="O397" s="331"/>
      <c r="P397" s="305"/>
    </row>
    <row r="398" spans="1:16" s="226" customFormat="1" x14ac:dyDescent="0.2">
      <c r="A398" s="305"/>
      <c r="B398" s="324"/>
      <c r="C398" s="331"/>
      <c r="D398" s="305"/>
      <c r="E398" s="324"/>
      <c r="F398" s="331"/>
      <c r="G398" s="305"/>
      <c r="H398" s="324"/>
      <c r="I398" s="331"/>
      <c r="J398" s="305"/>
      <c r="K398" s="324"/>
      <c r="L398" s="331"/>
      <c r="M398" s="305"/>
      <c r="N398" s="324"/>
      <c r="O398" s="331"/>
      <c r="P398" s="305"/>
    </row>
    <row r="399" spans="1:16" s="226" customFormat="1" x14ac:dyDescent="0.2">
      <c r="A399" s="305"/>
      <c r="B399" s="324"/>
      <c r="C399" s="331"/>
      <c r="D399" s="305"/>
      <c r="E399" s="324"/>
      <c r="F399" s="331"/>
      <c r="G399" s="305"/>
      <c r="H399" s="324"/>
      <c r="I399" s="331"/>
      <c r="J399" s="305"/>
      <c r="K399" s="324"/>
      <c r="L399" s="331"/>
      <c r="M399" s="305"/>
      <c r="N399" s="324"/>
      <c r="O399" s="331"/>
      <c r="P399" s="305"/>
    </row>
    <row r="400" spans="1:16" s="226" customFormat="1" x14ac:dyDescent="0.2">
      <c r="A400" s="305"/>
      <c r="B400" s="324"/>
      <c r="C400" s="331"/>
      <c r="D400" s="305"/>
      <c r="E400" s="324"/>
      <c r="F400" s="331"/>
      <c r="G400" s="305"/>
      <c r="H400" s="324"/>
      <c r="I400" s="331"/>
      <c r="J400" s="305"/>
      <c r="K400" s="324"/>
      <c r="L400" s="331"/>
      <c r="M400" s="305"/>
      <c r="N400" s="324"/>
      <c r="O400" s="331"/>
      <c r="P400" s="305"/>
    </row>
    <row r="401" spans="1:16" s="226" customFormat="1" x14ac:dyDescent="0.2">
      <c r="A401" s="305"/>
      <c r="B401" s="324"/>
      <c r="C401" s="331"/>
      <c r="D401" s="305"/>
      <c r="E401" s="324"/>
      <c r="F401" s="331"/>
      <c r="G401" s="305"/>
      <c r="H401" s="324"/>
      <c r="I401" s="331"/>
      <c r="J401" s="305"/>
      <c r="K401" s="324"/>
      <c r="L401" s="331"/>
      <c r="M401" s="305"/>
      <c r="N401" s="324"/>
      <c r="O401" s="331"/>
      <c r="P401" s="305"/>
    </row>
    <row r="402" spans="1:16" s="226" customFormat="1" x14ac:dyDescent="0.2">
      <c r="A402" s="305"/>
      <c r="B402" s="324"/>
      <c r="C402" s="331"/>
      <c r="D402" s="305"/>
      <c r="E402" s="324"/>
      <c r="F402" s="331"/>
      <c r="G402" s="305"/>
      <c r="H402" s="324"/>
      <c r="I402" s="331"/>
      <c r="J402" s="305"/>
      <c r="K402" s="324"/>
      <c r="L402" s="331"/>
      <c r="M402" s="305"/>
      <c r="N402" s="324"/>
      <c r="O402" s="331"/>
      <c r="P402" s="305"/>
    </row>
    <row r="403" spans="1:16" s="226" customFormat="1" x14ac:dyDescent="0.2">
      <c r="A403" s="305"/>
      <c r="B403" s="324"/>
      <c r="C403" s="331"/>
      <c r="D403" s="305"/>
      <c r="E403" s="324"/>
      <c r="F403" s="331"/>
      <c r="G403" s="305"/>
      <c r="H403" s="324"/>
      <c r="I403" s="331"/>
      <c r="J403" s="305"/>
      <c r="K403" s="324"/>
      <c r="L403" s="331"/>
      <c r="M403" s="305"/>
      <c r="N403" s="324"/>
      <c r="O403" s="331"/>
      <c r="P403" s="305"/>
    </row>
    <row r="404" spans="1:16" s="226" customFormat="1" x14ac:dyDescent="0.2">
      <c r="A404" s="305"/>
      <c r="B404" s="324"/>
      <c r="C404" s="331"/>
      <c r="D404" s="305"/>
      <c r="E404" s="324"/>
      <c r="F404" s="331"/>
      <c r="G404" s="305"/>
      <c r="H404" s="324"/>
      <c r="I404" s="331"/>
      <c r="J404" s="305"/>
      <c r="K404" s="324"/>
      <c r="L404" s="331"/>
      <c r="M404" s="305"/>
      <c r="N404" s="324"/>
      <c r="O404" s="331"/>
      <c r="P404" s="305"/>
    </row>
    <row r="405" spans="1:16" s="226" customFormat="1" x14ac:dyDescent="0.2">
      <c r="A405" s="305"/>
      <c r="B405" s="324"/>
      <c r="C405" s="331"/>
      <c r="D405" s="305"/>
      <c r="E405" s="324"/>
      <c r="F405" s="331"/>
      <c r="G405" s="305"/>
      <c r="H405" s="324"/>
      <c r="I405" s="331"/>
      <c r="J405" s="305"/>
      <c r="K405" s="324"/>
      <c r="L405" s="331"/>
      <c r="M405" s="305"/>
      <c r="N405" s="324"/>
      <c r="O405" s="331"/>
      <c r="P405" s="305"/>
    </row>
    <row r="406" spans="1:16" s="226" customFormat="1" x14ac:dyDescent="0.2">
      <c r="A406" s="305"/>
      <c r="B406" s="324"/>
      <c r="C406" s="331"/>
      <c r="D406" s="305"/>
      <c r="E406" s="324"/>
      <c r="F406" s="331"/>
      <c r="G406" s="305"/>
      <c r="H406" s="324"/>
      <c r="I406" s="331"/>
      <c r="J406" s="305"/>
      <c r="K406" s="324"/>
      <c r="L406" s="331"/>
      <c r="M406" s="305"/>
      <c r="N406" s="324"/>
      <c r="O406" s="331"/>
      <c r="P406" s="305"/>
    </row>
    <row r="407" spans="1:16" s="226" customFormat="1" x14ac:dyDescent="0.2">
      <c r="A407" s="305"/>
      <c r="B407" s="324"/>
      <c r="C407" s="331"/>
      <c r="D407" s="305"/>
      <c r="E407" s="324"/>
      <c r="F407" s="331"/>
      <c r="G407" s="305"/>
      <c r="H407" s="324"/>
      <c r="I407" s="331"/>
      <c r="J407" s="305"/>
      <c r="K407" s="324"/>
      <c r="L407" s="331"/>
      <c r="M407" s="305"/>
      <c r="N407" s="324"/>
      <c r="O407" s="331"/>
      <c r="P407" s="305"/>
    </row>
    <row r="408" spans="1:16" s="226" customFormat="1" x14ac:dyDescent="0.2">
      <c r="A408" s="305"/>
      <c r="B408" s="324"/>
      <c r="C408" s="331"/>
      <c r="D408" s="305"/>
      <c r="E408" s="324"/>
      <c r="F408" s="331"/>
      <c r="G408" s="305"/>
      <c r="H408" s="324"/>
      <c r="I408" s="331"/>
      <c r="J408" s="305"/>
      <c r="K408" s="324"/>
      <c r="L408" s="331"/>
      <c r="M408" s="305"/>
      <c r="N408" s="324"/>
      <c r="O408" s="331"/>
      <c r="P408" s="305"/>
    </row>
    <row r="409" spans="1:16" s="226" customFormat="1" x14ac:dyDescent="0.2">
      <c r="A409" s="305"/>
      <c r="B409" s="324"/>
      <c r="C409" s="331"/>
      <c r="D409" s="305"/>
      <c r="E409" s="324"/>
      <c r="F409" s="331"/>
      <c r="G409" s="305"/>
      <c r="H409" s="324"/>
      <c r="I409" s="331"/>
      <c r="J409" s="305"/>
      <c r="K409" s="324"/>
      <c r="L409" s="331"/>
      <c r="M409" s="305"/>
      <c r="N409" s="324"/>
      <c r="O409" s="331"/>
      <c r="P409" s="305"/>
    </row>
    <row r="410" spans="1:16" s="226" customFormat="1" x14ac:dyDescent="0.2">
      <c r="A410" s="305"/>
      <c r="B410" s="324"/>
      <c r="C410" s="331"/>
      <c r="D410" s="305"/>
      <c r="E410" s="324"/>
      <c r="F410" s="331"/>
      <c r="G410" s="305"/>
      <c r="H410" s="324"/>
      <c r="I410" s="331"/>
      <c r="J410" s="305"/>
      <c r="K410" s="324"/>
      <c r="L410" s="331"/>
      <c r="M410" s="305"/>
      <c r="N410" s="324"/>
      <c r="O410" s="331"/>
      <c r="P410" s="305"/>
    </row>
    <row r="411" spans="1:16" s="226" customFormat="1" x14ac:dyDescent="0.2">
      <c r="A411" s="305"/>
      <c r="B411" s="324"/>
      <c r="C411" s="331"/>
      <c r="D411" s="305"/>
      <c r="E411" s="324"/>
      <c r="F411" s="331"/>
      <c r="G411" s="305"/>
      <c r="H411" s="324"/>
      <c r="I411" s="331"/>
      <c r="J411" s="305"/>
      <c r="K411" s="324"/>
      <c r="L411" s="331"/>
      <c r="M411" s="305"/>
      <c r="N411" s="324"/>
      <c r="O411" s="331"/>
      <c r="P411" s="305"/>
    </row>
    <row r="412" spans="1:16" s="226" customFormat="1" x14ac:dyDescent="0.2">
      <c r="A412" s="305"/>
      <c r="B412" s="324"/>
      <c r="C412" s="331"/>
      <c r="D412" s="305"/>
      <c r="E412" s="324"/>
      <c r="F412" s="331"/>
      <c r="G412" s="305"/>
      <c r="H412" s="324"/>
      <c r="I412" s="331"/>
      <c r="J412" s="305"/>
      <c r="K412" s="324"/>
      <c r="L412" s="331"/>
      <c r="M412" s="305"/>
      <c r="N412" s="324"/>
      <c r="O412" s="331"/>
      <c r="P412" s="305"/>
    </row>
    <row r="413" spans="1:16" s="226" customFormat="1" x14ac:dyDescent="0.2">
      <c r="A413" s="305"/>
      <c r="B413" s="324"/>
      <c r="C413" s="331"/>
      <c r="D413" s="305"/>
      <c r="E413" s="324"/>
      <c r="F413" s="331"/>
      <c r="G413" s="305"/>
      <c r="H413" s="324"/>
      <c r="I413" s="331"/>
      <c r="J413" s="305"/>
      <c r="K413" s="324"/>
      <c r="L413" s="331"/>
      <c r="M413" s="305"/>
      <c r="N413" s="324"/>
      <c r="O413" s="331"/>
      <c r="P413" s="305"/>
    </row>
    <row r="414" spans="1:16" s="226" customFormat="1" x14ac:dyDescent="0.2">
      <c r="A414" s="305"/>
      <c r="B414" s="324"/>
      <c r="C414" s="331"/>
      <c r="D414" s="305"/>
      <c r="E414" s="324"/>
      <c r="F414" s="331"/>
      <c r="G414" s="305"/>
      <c r="H414" s="324"/>
      <c r="I414" s="331"/>
      <c r="J414" s="305"/>
      <c r="K414" s="324"/>
      <c r="L414" s="331"/>
      <c r="M414" s="305"/>
      <c r="N414" s="324"/>
      <c r="O414" s="331"/>
      <c r="P414" s="305"/>
    </row>
    <row r="415" spans="1:16" s="226" customFormat="1" x14ac:dyDescent="0.2">
      <c r="A415" s="305"/>
      <c r="B415" s="324"/>
      <c r="C415" s="331"/>
      <c r="D415" s="305"/>
      <c r="E415" s="324"/>
      <c r="F415" s="331"/>
      <c r="G415" s="305"/>
      <c r="H415" s="324"/>
      <c r="I415" s="331"/>
      <c r="J415" s="305"/>
      <c r="K415" s="324"/>
      <c r="L415" s="331"/>
      <c r="M415" s="305"/>
      <c r="N415" s="324"/>
      <c r="O415" s="331"/>
      <c r="P415" s="305"/>
    </row>
    <row r="416" spans="1:16" s="226" customFormat="1" x14ac:dyDescent="0.2">
      <c r="A416" s="305"/>
      <c r="B416" s="324"/>
      <c r="C416" s="331"/>
      <c r="D416" s="305"/>
      <c r="E416" s="324"/>
      <c r="F416" s="331"/>
      <c r="G416" s="305"/>
      <c r="H416" s="324"/>
      <c r="I416" s="331"/>
      <c r="J416" s="305"/>
      <c r="K416" s="324"/>
      <c r="L416" s="331"/>
      <c r="M416" s="305"/>
      <c r="N416" s="324"/>
      <c r="O416" s="331"/>
      <c r="P416" s="305"/>
    </row>
    <row r="417" spans="1:16" s="226" customFormat="1" x14ac:dyDescent="0.2">
      <c r="A417" s="305"/>
      <c r="B417" s="324"/>
      <c r="C417" s="331"/>
      <c r="D417" s="305"/>
      <c r="E417" s="324"/>
      <c r="F417" s="331"/>
      <c r="G417" s="305"/>
      <c r="H417" s="324"/>
      <c r="I417" s="331"/>
      <c r="J417" s="305"/>
      <c r="K417" s="324"/>
      <c r="L417" s="331"/>
      <c r="M417" s="305"/>
      <c r="N417" s="324"/>
      <c r="O417" s="331"/>
      <c r="P417" s="305"/>
    </row>
    <row r="418" spans="1:16" s="226" customFormat="1" x14ac:dyDescent="0.2">
      <c r="A418" s="305"/>
      <c r="B418" s="324"/>
      <c r="C418" s="331"/>
      <c r="D418" s="305"/>
      <c r="E418" s="324"/>
      <c r="F418" s="331"/>
      <c r="G418" s="305"/>
      <c r="H418" s="324"/>
      <c r="I418" s="331"/>
      <c r="J418" s="305"/>
      <c r="K418" s="324"/>
      <c r="L418" s="331"/>
      <c r="M418" s="305"/>
      <c r="N418" s="324"/>
      <c r="O418" s="331"/>
      <c r="P418" s="305"/>
    </row>
    <row r="419" spans="1:16" s="226" customFormat="1" x14ac:dyDescent="0.2">
      <c r="A419" s="305"/>
      <c r="B419" s="324"/>
      <c r="C419" s="331"/>
      <c r="D419" s="305"/>
      <c r="E419" s="324"/>
      <c r="F419" s="331"/>
      <c r="G419" s="305"/>
      <c r="H419" s="324"/>
      <c r="I419" s="331"/>
      <c r="J419" s="305"/>
      <c r="K419" s="324"/>
      <c r="L419" s="331"/>
      <c r="M419" s="305"/>
      <c r="N419" s="324"/>
      <c r="O419" s="331"/>
      <c r="P419" s="305"/>
    </row>
    <row r="420" spans="1:16" s="226" customFormat="1" x14ac:dyDescent="0.2">
      <c r="A420" s="305"/>
      <c r="B420" s="324"/>
      <c r="C420" s="331"/>
      <c r="D420" s="305"/>
      <c r="E420" s="324"/>
      <c r="F420" s="331"/>
      <c r="G420" s="305"/>
      <c r="H420" s="324"/>
      <c r="I420" s="331"/>
      <c r="J420" s="305"/>
      <c r="K420" s="324"/>
      <c r="L420" s="331"/>
      <c r="M420" s="305"/>
      <c r="N420" s="324"/>
      <c r="O420" s="331"/>
      <c r="P420" s="305"/>
    </row>
    <row r="421" spans="1:16" s="226" customFormat="1" x14ac:dyDescent="0.2">
      <c r="A421" s="305"/>
      <c r="B421" s="324"/>
      <c r="C421" s="331"/>
      <c r="D421" s="305"/>
      <c r="E421" s="324"/>
      <c r="F421" s="331"/>
      <c r="G421" s="305"/>
      <c r="H421" s="324"/>
      <c r="I421" s="331"/>
      <c r="J421" s="305"/>
      <c r="K421" s="324"/>
      <c r="L421" s="331"/>
      <c r="M421" s="305"/>
      <c r="N421" s="324"/>
      <c r="O421" s="331"/>
      <c r="P421" s="305"/>
    </row>
    <row r="422" spans="1:16" s="226" customFormat="1" x14ac:dyDescent="0.2">
      <c r="A422" s="305"/>
      <c r="B422" s="324"/>
      <c r="C422" s="331"/>
      <c r="D422" s="305"/>
      <c r="E422" s="324"/>
      <c r="F422" s="331"/>
      <c r="G422" s="305"/>
      <c r="H422" s="324"/>
      <c r="I422" s="331"/>
      <c r="J422" s="305"/>
      <c r="K422" s="324"/>
      <c r="L422" s="331"/>
      <c r="M422" s="305"/>
      <c r="N422" s="324"/>
      <c r="O422" s="331"/>
      <c r="P422" s="305"/>
    </row>
    <row r="423" spans="1:16" s="226" customFormat="1" x14ac:dyDescent="0.2">
      <c r="A423" s="305"/>
      <c r="B423" s="324"/>
      <c r="C423" s="331"/>
      <c r="D423" s="305"/>
      <c r="E423" s="324"/>
      <c r="F423" s="331"/>
      <c r="G423" s="305"/>
      <c r="H423" s="324"/>
      <c r="I423" s="331"/>
      <c r="J423" s="305"/>
      <c r="K423" s="324"/>
      <c r="L423" s="331"/>
      <c r="M423" s="305"/>
      <c r="N423" s="324"/>
      <c r="O423" s="331"/>
      <c r="P423" s="305"/>
    </row>
    <row r="424" spans="1:16" s="226" customFormat="1" x14ac:dyDescent="0.2">
      <c r="A424" s="305"/>
      <c r="B424" s="324"/>
      <c r="C424" s="331"/>
      <c r="D424" s="305"/>
      <c r="E424" s="324"/>
      <c r="F424" s="331"/>
      <c r="G424" s="305"/>
      <c r="H424" s="324"/>
      <c r="I424" s="331"/>
      <c r="J424" s="305"/>
      <c r="K424" s="324"/>
      <c r="L424" s="331"/>
      <c r="M424" s="305"/>
      <c r="N424" s="324"/>
      <c r="O424" s="331"/>
      <c r="P424" s="305"/>
    </row>
    <row r="425" spans="1:16" s="226" customFormat="1" x14ac:dyDescent="0.2">
      <c r="A425" s="305"/>
      <c r="B425" s="324"/>
      <c r="C425" s="331"/>
      <c r="D425" s="305"/>
      <c r="E425" s="324"/>
      <c r="F425" s="331"/>
      <c r="G425" s="305"/>
      <c r="H425" s="324"/>
      <c r="I425" s="331"/>
      <c r="J425" s="305"/>
      <c r="K425" s="324"/>
      <c r="L425" s="331"/>
      <c r="M425" s="305"/>
      <c r="N425" s="324"/>
      <c r="O425" s="331"/>
      <c r="P425" s="305"/>
    </row>
    <row r="426" spans="1:16" s="226" customFormat="1" x14ac:dyDescent="0.2">
      <c r="A426" s="305"/>
      <c r="B426" s="324"/>
      <c r="C426" s="331"/>
      <c r="D426" s="305"/>
      <c r="E426" s="324"/>
      <c r="F426" s="331"/>
      <c r="G426" s="305"/>
      <c r="H426" s="324"/>
      <c r="I426" s="331"/>
      <c r="J426" s="305"/>
      <c r="K426" s="324"/>
      <c r="L426" s="331"/>
      <c r="M426" s="305"/>
      <c r="N426" s="324"/>
      <c r="O426" s="331"/>
      <c r="P426" s="305"/>
    </row>
    <row r="427" spans="1:16" s="226" customFormat="1" x14ac:dyDescent="0.2">
      <c r="A427" s="305"/>
      <c r="B427" s="324"/>
      <c r="C427" s="331"/>
      <c r="D427" s="305"/>
      <c r="E427" s="324"/>
      <c r="F427" s="331"/>
      <c r="G427" s="305"/>
      <c r="H427" s="324"/>
      <c r="I427" s="331"/>
      <c r="J427" s="305"/>
      <c r="K427" s="324"/>
      <c r="L427" s="331"/>
      <c r="M427" s="305"/>
      <c r="N427" s="324"/>
      <c r="O427" s="331"/>
      <c r="P427" s="305"/>
    </row>
    <row r="428" spans="1:16" s="226" customFormat="1" x14ac:dyDescent="0.2">
      <c r="A428" s="305"/>
      <c r="B428" s="324"/>
      <c r="C428" s="331"/>
      <c r="D428" s="305"/>
      <c r="E428" s="324"/>
      <c r="F428" s="331"/>
      <c r="G428" s="305"/>
      <c r="H428" s="324"/>
      <c r="I428" s="331"/>
      <c r="J428" s="305"/>
      <c r="K428" s="324"/>
      <c r="L428" s="331"/>
      <c r="M428" s="305"/>
      <c r="N428" s="324"/>
      <c r="O428" s="331"/>
      <c r="P428" s="305"/>
    </row>
    <row r="429" spans="1:16" s="226" customFormat="1" x14ac:dyDescent="0.2">
      <c r="A429" s="305"/>
      <c r="B429" s="324"/>
      <c r="C429" s="331"/>
      <c r="D429" s="305"/>
      <c r="E429" s="324"/>
      <c r="F429" s="331"/>
      <c r="G429" s="305"/>
      <c r="H429" s="324"/>
      <c r="I429" s="331"/>
      <c r="J429" s="305"/>
      <c r="K429" s="324"/>
      <c r="L429" s="331"/>
      <c r="M429" s="305"/>
      <c r="N429" s="324"/>
      <c r="O429" s="331"/>
      <c r="P429" s="305"/>
    </row>
    <row r="430" spans="1:16" s="226" customFormat="1" x14ac:dyDescent="0.2">
      <c r="A430" s="305"/>
      <c r="B430" s="324"/>
      <c r="C430" s="331"/>
      <c r="D430" s="305"/>
      <c r="E430" s="324"/>
      <c r="F430" s="331"/>
      <c r="G430" s="305"/>
      <c r="H430" s="324"/>
      <c r="I430" s="331"/>
      <c r="J430" s="305"/>
      <c r="K430" s="324"/>
      <c r="L430" s="331"/>
      <c r="M430" s="305"/>
      <c r="N430" s="324"/>
      <c r="O430" s="331"/>
      <c r="P430" s="305"/>
    </row>
    <row r="431" spans="1:16" s="226" customFormat="1" x14ac:dyDescent="0.2">
      <c r="A431" s="305"/>
      <c r="B431" s="324"/>
      <c r="C431" s="331"/>
      <c r="D431" s="305"/>
      <c r="E431" s="324"/>
      <c r="F431" s="331"/>
      <c r="G431" s="305"/>
      <c r="H431" s="324"/>
      <c r="I431" s="331"/>
      <c r="J431" s="305"/>
      <c r="K431" s="324"/>
      <c r="L431" s="331"/>
      <c r="M431" s="305"/>
      <c r="N431" s="324"/>
      <c r="O431" s="331"/>
      <c r="P431" s="305"/>
    </row>
    <row r="432" spans="1:16" s="226" customFormat="1" x14ac:dyDescent="0.2">
      <c r="A432" s="305"/>
      <c r="B432" s="324"/>
      <c r="C432" s="331"/>
      <c r="D432" s="305"/>
      <c r="E432" s="324"/>
      <c r="F432" s="331"/>
      <c r="G432" s="305"/>
      <c r="H432" s="324"/>
      <c r="I432" s="331"/>
      <c r="J432" s="305"/>
      <c r="K432" s="324"/>
      <c r="L432" s="331"/>
      <c r="M432" s="305"/>
      <c r="N432" s="324"/>
      <c r="O432" s="331"/>
      <c r="P432" s="305"/>
    </row>
    <row r="433" spans="1:16" s="226" customFormat="1" x14ac:dyDescent="0.2">
      <c r="A433" s="305"/>
      <c r="B433" s="324"/>
      <c r="C433" s="331"/>
      <c r="D433" s="305"/>
      <c r="E433" s="324"/>
      <c r="F433" s="331"/>
      <c r="G433" s="305"/>
      <c r="H433" s="324"/>
      <c r="I433" s="331"/>
      <c r="J433" s="305"/>
      <c r="K433" s="324"/>
      <c r="L433" s="331"/>
      <c r="M433" s="305"/>
      <c r="N433" s="324"/>
      <c r="O433" s="331"/>
      <c r="P433" s="305"/>
    </row>
    <row r="434" spans="1:16" s="226" customFormat="1" x14ac:dyDescent="0.2">
      <c r="A434" s="305"/>
      <c r="B434" s="324"/>
      <c r="C434" s="331"/>
      <c r="D434" s="305"/>
      <c r="E434" s="324"/>
      <c r="F434" s="331"/>
      <c r="G434" s="305"/>
      <c r="H434" s="324"/>
      <c r="I434" s="331"/>
      <c r="J434" s="305"/>
      <c r="K434" s="324"/>
      <c r="L434" s="331"/>
      <c r="M434" s="305"/>
      <c r="N434" s="324"/>
      <c r="O434" s="331"/>
      <c r="P434" s="305"/>
    </row>
    <row r="435" spans="1:16" s="226" customFormat="1" x14ac:dyDescent="0.2">
      <c r="A435" s="305"/>
      <c r="B435" s="324"/>
      <c r="C435" s="331"/>
      <c r="D435" s="305"/>
      <c r="E435" s="324"/>
      <c r="F435" s="331"/>
      <c r="G435" s="305"/>
      <c r="H435" s="324"/>
      <c r="I435" s="331"/>
      <c r="J435" s="305"/>
      <c r="K435" s="324"/>
      <c r="L435" s="331"/>
      <c r="M435" s="305"/>
      <c r="N435" s="324"/>
      <c r="O435" s="331"/>
      <c r="P435" s="305"/>
    </row>
    <row r="436" spans="1:16" s="226" customFormat="1" x14ac:dyDescent="0.2">
      <c r="A436" s="305"/>
      <c r="B436" s="324"/>
      <c r="C436" s="331"/>
      <c r="D436" s="305"/>
      <c r="E436" s="324"/>
      <c r="F436" s="331"/>
      <c r="G436" s="305"/>
      <c r="H436" s="324"/>
      <c r="I436" s="331"/>
      <c r="J436" s="305"/>
      <c r="K436" s="324"/>
      <c r="L436" s="331"/>
      <c r="M436" s="305"/>
      <c r="N436" s="324"/>
      <c r="O436" s="331"/>
      <c r="P436" s="305"/>
    </row>
    <row r="437" spans="1:16" s="226" customFormat="1" x14ac:dyDescent="0.2">
      <c r="A437" s="305"/>
      <c r="B437" s="324"/>
      <c r="C437" s="331"/>
      <c r="D437" s="305"/>
      <c r="E437" s="324"/>
      <c r="F437" s="331"/>
      <c r="G437" s="305"/>
      <c r="H437" s="324"/>
      <c r="I437" s="331"/>
      <c r="J437" s="305"/>
      <c r="K437" s="324"/>
      <c r="L437" s="331"/>
      <c r="M437" s="305"/>
      <c r="N437" s="324"/>
      <c r="O437" s="331"/>
      <c r="P437" s="305"/>
    </row>
    <row r="438" spans="1:16" s="226" customFormat="1" x14ac:dyDescent="0.2">
      <c r="A438" s="305"/>
      <c r="B438" s="324"/>
      <c r="C438" s="331"/>
      <c r="D438" s="305"/>
      <c r="E438" s="324"/>
      <c r="F438" s="331"/>
      <c r="G438" s="305"/>
      <c r="H438" s="324"/>
      <c r="I438" s="331"/>
      <c r="J438" s="305"/>
      <c r="K438" s="324"/>
      <c r="L438" s="331"/>
      <c r="M438" s="305"/>
      <c r="N438" s="324"/>
      <c r="O438" s="331"/>
      <c r="P438" s="305"/>
    </row>
    <row r="439" spans="1:16" s="226" customFormat="1" x14ac:dyDescent="0.2">
      <c r="A439" s="305"/>
      <c r="B439" s="324"/>
      <c r="C439" s="331"/>
      <c r="D439" s="305"/>
      <c r="E439" s="324"/>
      <c r="F439" s="331"/>
      <c r="G439" s="305"/>
      <c r="H439" s="324"/>
      <c r="I439" s="331"/>
      <c r="J439" s="305"/>
      <c r="K439" s="324"/>
      <c r="L439" s="331"/>
      <c r="M439" s="305"/>
      <c r="N439" s="324"/>
      <c r="O439" s="331"/>
      <c r="P439" s="305"/>
    </row>
    <row r="440" spans="1:16" s="226" customFormat="1" x14ac:dyDescent="0.2">
      <c r="A440" s="305"/>
      <c r="B440" s="324"/>
      <c r="C440" s="331"/>
      <c r="D440" s="305"/>
      <c r="E440" s="324"/>
      <c r="F440" s="331"/>
      <c r="G440" s="305"/>
      <c r="H440" s="324"/>
      <c r="I440" s="331"/>
      <c r="J440" s="305"/>
      <c r="K440" s="324"/>
      <c r="L440" s="331"/>
      <c r="M440" s="305"/>
      <c r="N440" s="324"/>
      <c r="O440" s="331"/>
      <c r="P440" s="305"/>
    </row>
    <row r="441" spans="1:16" s="226" customFormat="1" x14ac:dyDescent="0.2">
      <c r="A441" s="305"/>
      <c r="B441" s="324"/>
      <c r="C441" s="331"/>
      <c r="D441" s="305"/>
      <c r="E441" s="324"/>
      <c r="F441" s="331"/>
      <c r="G441" s="305"/>
      <c r="H441" s="324"/>
      <c r="I441" s="331"/>
      <c r="J441" s="305"/>
      <c r="K441" s="324"/>
      <c r="L441" s="331"/>
      <c r="M441" s="305"/>
      <c r="N441" s="324"/>
      <c r="O441" s="331"/>
      <c r="P441" s="305"/>
    </row>
    <row r="442" spans="1:16" s="226" customFormat="1" x14ac:dyDescent="0.2">
      <c r="A442" s="305"/>
      <c r="B442" s="324"/>
      <c r="C442" s="331"/>
      <c r="D442" s="305"/>
      <c r="E442" s="324"/>
      <c r="F442" s="331"/>
      <c r="G442" s="305"/>
      <c r="H442" s="324"/>
      <c r="I442" s="331"/>
      <c r="J442" s="305"/>
      <c r="K442" s="324"/>
      <c r="L442" s="331"/>
      <c r="M442" s="305"/>
      <c r="N442" s="324"/>
      <c r="O442" s="331"/>
      <c r="P442" s="305"/>
    </row>
    <row r="443" spans="1:16" s="226" customFormat="1" x14ac:dyDescent="0.2">
      <c r="A443" s="305"/>
      <c r="B443" s="324"/>
      <c r="C443" s="331"/>
      <c r="D443" s="305"/>
      <c r="E443" s="324"/>
      <c r="F443" s="331"/>
      <c r="G443" s="305"/>
      <c r="H443" s="324"/>
      <c r="I443" s="331"/>
      <c r="J443" s="305"/>
      <c r="K443" s="324"/>
      <c r="L443" s="331"/>
      <c r="M443" s="305"/>
      <c r="N443" s="324"/>
      <c r="O443" s="331"/>
      <c r="P443" s="305"/>
    </row>
    <row r="444" spans="1:16" s="226" customFormat="1" x14ac:dyDescent="0.2">
      <c r="A444" s="305"/>
      <c r="B444" s="324"/>
      <c r="C444" s="331"/>
      <c r="D444" s="305"/>
      <c r="E444" s="324"/>
      <c r="F444" s="331"/>
      <c r="G444" s="305"/>
      <c r="H444" s="324"/>
      <c r="I444" s="331"/>
      <c r="J444" s="305"/>
      <c r="K444" s="324"/>
      <c r="L444" s="331"/>
      <c r="M444" s="305"/>
      <c r="N444" s="324"/>
      <c r="O444" s="331"/>
      <c r="P444" s="305"/>
    </row>
    <row r="445" spans="1:16" s="226" customFormat="1" x14ac:dyDescent="0.2">
      <c r="A445" s="305"/>
      <c r="B445" s="324"/>
      <c r="C445" s="331"/>
      <c r="D445" s="305"/>
      <c r="E445" s="324"/>
      <c r="F445" s="331"/>
      <c r="G445" s="305"/>
      <c r="H445" s="324"/>
      <c r="I445" s="331"/>
      <c r="J445" s="305"/>
      <c r="K445" s="324"/>
      <c r="L445" s="331"/>
      <c r="M445" s="305"/>
      <c r="N445" s="324"/>
      <c r="O445" s="331"/>
      <c r="P445" s="305"/>
    </row>
    <row r="446" spans="1:16" s="226" customFormat="1" x14ac:dyDescent="0.2">
      <c r="A446" s="305"/>
      <c r="B446" s="324"/>
      <c r="C446" s="331"/>
      <c r="D446" s="305"/>
      <c r="E446" s="324"/>
      <c r="F446" s="331"/>
      <c r="G446" s="305"/>
      <c r="H446" s="324"/>
      <c r="I446" s="331"/>
      <c r="J446" s="305"/>
      <c r="K446" s="324"/>
      <c r="L446" s="331"/>
      <c r="M446" s="305"/>
      <c r="N446" s="324"/>
      <c r="O446" s="331"/>
      <c r="P446" s="305"/>
    </row>
    <row r="447" spans="1:16" s="226" customFormat="1" x14ac:dyDescent="0.2">
      <c r="A447" s="305"/>
      <c r="B447" s="324"/>
      <c r="C447" s="331"/>
      <c r="D447" s="305"/>
      <c r="E447" s="324"/>
      <c r="F447" s="331"/>
      <c r="G447" s="305"/>
      <c r="H447" s="324"/>
      <c r="I447" s="331"/>
      <c r="J447" s="305"/>
      <c r="K447" s="324"/>
      <c r="L447" s="331"/>
      <c r="M447" s="305"/>
      <c r="N447" s="324"/>
      <c r="O447" s="331"/>
      <c r="P447" s="305"/>
    </row>
    <row r="448" spans="1:16" s="226" customFormat="1" x14ac:dyDescent="0.2">
      <c r="A448" s="305"/>
      <c r="B448" s="324"/>
      <c r="C448" s="331"/>
      <c r="D448" s="305"/>
      <c r="E448" s="324"/>
      <c r="F448" s="331"/>
      <c r="G448" s="305"/>
      <c r="H448" s="324"/>
      <c r="I448" s="331"/>
      <c r="J448" s="305"/>
      <c r="K448" s="324"/>
      <c r="L448" s="331"/>
      <c r="M448" s="305"/>
      <c r="N448" s="324"/>
      <c r="O448" s="331"/>
      <c r="P448" s="305"/>
    </row>
    <row r="449" spans="1:16" s="226" customFormat="1" x14ac:dyDescent="0.2">
      <c r="A449" s="305"/>
      <c r="B449" s="324"/>
      <c r="C449" s="331"/>
      <c r="D449" s="305"/>
      <c r="E449" s="324"/>
      <c r="F449" s="331"/>
      <c r="G449" s="305"/>
      <c r="H449" s="324"/>
      <c r="I449" s="331"/>
      <c r="J449" s="305"/>
      <c r="K449" s="324"/>
      <c r="L449" s="331"/>
      <c r="M449" s="305"/>
      <c r="N449" s="324"/>
      <c r="O449" s="331"/>
      <c r="P449" s="305"/>
    </row>
    <row r="450" spans="1:16" s="226" customFormat="1" x14ac:dyDescent="0.2">
      <c r="A450" s="305"/>
      <c r="B450" s="324"/>
      <c r="C450" s="331"/>
      <c r="D450" s="305"/>
      <c r="E450" s="324"/>
      <c r="F450" s="331"/>
      <c r="G450" s="305"/>
      <c r="H450" s="324"/>
      <c r="I450" s="331"/>
      <c r="J450" s="305"/>
      <c r="K450" s="324"/>
      <c r="L450" s="331"/>
      <c r="M450" s="305"/>
      <c r="N450" s="324"/>
      <c r="O450" s="331"/>
      <c r="P450" s="305"/>
    </row>
    <row r="451" spans="1:16" s="226" customFormat="1" x14ac:dyDescent="0.2">
      <c r="A451" s="305"/>
      <c r="B451" s="324"/>
      <c r="C451" s="331"/>
      <c r="D451" s="305"/>
      <c r="E451" s="324"/>
      <c r="F451" s="331"/>
      <c r="G451" s="305"/>
      <c r="H451" s="324"/>
      <c r="I451" s="331"/>
      <c r="J451" s="305"/>
      <c r="K451" s="324"/>
      <c r="L451" s="331"/>
      <c r="M451" s="305"/>
      <c r="N451" s="324"/>
      <c r="O451" s="331"/>
      <c r="P451" s="305"/>
    </row>
    <row r="452" spans="1:16" s="226" customFormat="1" x14ac:dyDescent="0.2">
      <c r="A452" s="305"/>
      <c r="B452" s="324"/>
      <c r="C452" s="331"/>
      <c r="D452" s="305"/>
      <c r="E452" s="324"/>
      <c r="F452" s="331"/>
      <c r="G452" s="305"/>
      <c r="H452" s="324"/>
      <c r="I452" s="331"/>
      <c r="J452" s="305"/>
      <c r="K452" s="324"/>
      <c r="L452" s="331"/>
      <c r="M452" s="305"/>
      <c r="N452" s="324"/>
      <c r="O452" s="331"/>
      <c r="P452" s="305"/>
    </row>
    <row r="453" spans="1:16" s="226" customFormat="1" x14ac:dyDescent="0.2">
      <c r="A453" s="305"/>
      <c r="B453" s="324"/>
      <c r="C453" s="331"/>
      <c r="D453" s="305"/>
      <c r="E453" s="324"/>
      <c r="F453" s="331"/>
      <c r="G453" s="305"/>
      <c r="H453" s="324"/>
      <c r="I453" s="331"/>
      <c r="J453" s="305"/>
      <c r="K453" s="324"/>
      <c r="L453" s="331"/>
      <c r="M453" s="305"/>
      <c r="N453" s="324"/>
      <c r="O453" s="331"/>
      <c r="P453" s="305"/>
    </row>
    <row r="454" spans="1:16" s="226" customFormat="1" x14ac:dyDescent="0.2">
      <c r="A454" s="305"/>
      <c r="B454" s="324"/>
      <c r="C454" s="331"/>
      <c r="D454" s="305"/>
      <c r="E454" s="324"/>
      <c r="F454" s="331"/>
      <c r="G454" s="305"/>
      <c r="H454" s="324"/>
      <c r="I454" s="331"/>
      <c r="J454" s="305"/>
      <c r="K454" s="324"/>
      <c r="L454" s="331"/>
      <c r="M454" s="305"/>
      <c r="N454" s="324"/>
      <c r="O454" s="331"/>
      <c r="P454" s="305"/>
    </row>
    <row r="455" spans="1:16" s="226" customFormat="1" x14ac:dyDescent="0.2">
      <c r="A455" s="305"/>
      <c r="B455" s="324"/>
      <c r="C455" s="331"/>
      <c r="D455" s="305"/>
      <c r="E455" s="324"/>
      <c r="F455" s="331"/>
      <c r="G455" s="305"/>
      <c r="H455" s="324"/>
      <c r="I455" s="331"/>
      <c r="J455" s="305"/>
      <c r="K455" s="324"/>
      <c r="L455" s="331"/>
      <c r="M455" s="305"/>
      <c r="N455" s="324"/>
      <c r="O455" s="331"/>
      <c r="P455" s="305"/>
    </row>
    <row r="456" spans="1:16" s="226" customFormat="1" x14ac:dyDescent="0.2">
      <c r="A456" s="305"/>
      <c r="B456" s="324"/>
      <c r="C456" s="331"/>
      <c r="D456" s="305"/>
      <c r="E456" s="324"/>
      <c r="F456" s="331"/>
      <c r="G456" s="305"/>
      <c r="H456" s="324"/>
      <c r="I456" s="331"/>
      <c r="J456" s="305"/>
      <c r="K456" s="324"/>
      <c r="L456" s="331"/>
      <c r="M456" s="305"/>
      <c r="N456" s="324"/>
      <c r="O456" s="331"/>
      <c r="P456" s="305"/>
    </row>
    <row r="457" spans="1:16" s="226" customFormat="1" x14ac:dyDescent="0.2">
      <c r="A457" s="305"/>
      <c r="B457" s="324"/>
      <c r="C457" s="331"/>
      <c r="D457" s="305"/>
      <c r="E457" s="324"/>
      <c r="F457" s="331"/>
      <c r="G457" s="305"/>
      <c r="H457" s="324"/>
      <c r="I457" s="331"/>
      <c r="J457" s="305"/>
      <c r="K457" s="324"/>
      <c r="L457" s="331"/>
      <c r="M457" s="305"/>
      <c r="N457" s="324"/>
      <c r="O457" s="331"/>
      <c r="P457" s="305"/>
    </row>
    <row r="458" spans="1:16" s="226" customFormat="1" x14ac:dyDescent="0.2">
      <c r="A458" s="305"/>
      <c r="B458" s="324"/>
      <c r="C458" s="331"/>
      <c r="D458" s="305"/>
      <c r="E458" s="324"/>
      <c r="F458" s="331"/>
      <c r="G458" s="305"/>
      <c r="H458" s="324"/>
      <c r="I458" s="331"/>
      <c r="J458" s="305"/>
      <c r="K458" s="324"/>
      <c r="L458" s="331"/>
      <c r="M458" s="305"/>
      <c r="N458" s="324"/>
      <c r="O458" s="331"/>
      <c r="P458" s="305"/>
    </row>
    <row r="459" spans="1:16" s="226" customFormat="1" x14ac:dyDescent="0.2">
      <c r="A459" s="305"/>
      <c r="B459" s="324"/>
      <c r="C459" s="331"/>
      <c r="D459" s="305"/>
      <c r="E459" s="324"/>
      <c r="F459" s="331"/>
      <c r="G459" s="305"/>
      <c r="H459" s="324"/>
      <c r="I459" s="331"/>
      <c r="J459" s="305"/>
      <c r="K459" s="324"/>
      <c r="L459" s="331"/>
      <c r="M459" s="305"/>
      <c r="N459" s="324"/>
      <c r="O459" s="331"/>
      <c r="P459" s="305"/>
    </row>
    <row r="460" spans="1:16" s="226" customFormat="1" x14ac:dyDescent="0.2">
      <c r="A460" s="305"/>
      <c r="B460" s="324"/>
      <c r="C460" s="331"/>
      <c r="D460" s="305"/>
      <c r="E460" s="324"/>
      <c r="F460" s="331"/>
      <c r="G460" s="305"/>
      <c r="H460" s="324"/>
      <c r="I460" s="331"/>
      <c r="J460" s="305"/>
      <c r="K460" s="324"/>
      <c r="L460" s="331"/>
      <c r="M460" s="305"/>
      <c r="N460" s="324"/>
      <c r="O460" s="331"/>
      <c r="P460" s="305"/>
    </row>
    <row r="461" spans="1:16" s="226" customFormat="1" x14ac:dyDescent="0.2">
      <c r="A461" s="305"/>
      <c r="B461" s="324"/>
      <c r="C461" s="331"/>
      <c r="D461" s="305"/>
      <c r="E461" s="324"/>
      <c r="F461" s="331"/>
      <c r="G461" s="305"/>
      <c r="H461" s="324"/>
      <c r="I461" s="331"/>
      <c r="J461" s="305"/>
      <c r="K461" s="324"/>
      <c r="L461" s="331"/>
      <c r="M461" s="305"/>
      <c r="N461" s="324"/>
      <c r="O461" s="331"/>
      <c r="P461" s="305"/>
    </row>
    <row r="462" spans="1:16" s="226" customFormat="1" x14ac:dyDescent="0.2">
      <c r="A462" s="305"/>
      <c r="B462" s="324"/>
      <c r="C462" s="331"/>
      <c r="D462" s="305"/>
      <c r="E462" s="324"/>
      <c r="F462" s="331"/>
      <c r="G462" s="305"/>
      <c r="H462" s="324"/>
      <c r="I462" s="331"/>
      <c r="J462" s="305"/>
      <c r="K462" s="324"/>
      <c r="L462" s="331"/>
      <c r="M462" s="305"/>
      <c r="N462" s="324"/>
      <c r="O462" s="331"/>
      <c r="P462" s="305"/>
    </row>
    <row r="463" spans="1:16" s="226" customFormat="1" x14ac:dyDescent="0.2">
      <c r="A463" s="305"/>
      <c r="B463" s="324"/>
      <c r="C463" s="331"/>
      <c r="D463" s="305"/>
      <c r="E463" s="324"/>
      <c r="F463" s="331"/>
      <c r="G463" s="305"/>
      <c r="H463" s="324"/>
      <c r="I463" s="331"/>
      <c r="J463" s="305"/>
      <c r="K463" s="324"/>
      <c r="L463" s="331"/>
      <c r="M463" s="305"/>
      <c r="N463" s="324"/>
      <c r="O463" s="331"/>
      <c r="P463" s="305"/>
    </row>
    <row r="464" spans="1:16" s="226" customFormat="1" x14ac:dyDescent="0.2">
      <c r="A464" s="305"/>
      <c r="B464" s="324"/>
      <c r="C464" s="331"/>
      <c r="D464" s="305"/>
      <c r="E464" s="324"/>
      <c r="F464" s="331"/>
      <c r="G464" s="305"/>
      <c r="H464" s="324"/>
      <c r="I464" s="331"/>
      <c r="J464" s="305"/>
      <c r="K464" s="324"/>
      <c r="L464" s="331"/>
      <c r="M464" s="305"/>
      <c r="N464" s="324"/>
      <c r="O464" s="331"/>
      <c r="P464" s="305"/>
    </row>
    <row r="465" spans="1:16" s="226" customFormat="1" x14ac:dyDescent="0.2">
      <c r="A465" s="305"/>
      <c r="B465" s="324"/>
      <c r="C465" s="331"/>
      <c r="D465" s="305"/>
      <c r="E465" s="324"/>
      <c r="F465" s="331"/>
      <c r="G465" s="305"/>
      <c r="H465" s="324"/>
      <c r="I465" s="331"/>
      <c r="J465" s="305"/>
      <c r="K465" s="324"/>
      <c r="L465" s="331"/>
      <c r="M465" s="305"/>
      <c r="N465" s="324"/>
      <c r="O465" s="331"/>
      <c r="P465" s="305"/>
    </row>
    <row r="466" spans="1:16" s="226" customFormat="1" x14ac:dyDescent="0.2">
      <c r="A466" s="305"/>
      <c r="B466" s="324"/>
      <c r="C466" s="331"/>
      <c r="D466" s="305"/>
      <c r="E466" s="324"/>
      <c r="F466" s="331"/>
      <c r="G466" s="305"/>
      <c r="H466" s="324"/>
      <c r="I466" s="331"/>
      <c r="J466" s="305"/>
      <c r="K466" s="324"/>
      <c r="L466" s="331"/>
      <c r="M466" s="305"/>
      <c r="N466" s="324"/>
      <c r="O466" s="331"/>
      <c r="P466" s="305"/>
    </row>
    <row r="467" spans="1:16" s="226" customFormat="1" x14ac:dyDescent="0.2">
      <c r="A467" s="305"/>
      <c r="B467" s="324"/>
      <c r="C467" s="331"/>
      <c r="D467" s="305"/>
      <c r="E467" s="324"/>
      <c r="F467" s="331"/>
      <c r="G467" s="305"/>
      <c r="H467" s="324"/>
      <c r="I467" s="331"/>
      <c r="J467" s="305"/>
      <c r="K467" s="324"/>
      <c r="L467" s="331"/>
      <c r="M467" s="305"/>
      <c r="N467" s="324"/>
      <c r="O467" s="331"/>
      <c r="P467" s="305"/>
    </row>
    <row r="468" spans="1:16" s="226" customFormat="1" x14ac:dyDescent="0.2">
      <c r="A468" s="305"/>
      <c r="B468" s="324"/>
      <c r="C468" s="331"/>
      <c r="D468" s="305"/>
      <c r="E468" s="324"/>
      <c r="F468" s="331"/>
      <c r="G468" s="305"/>
      <c r="H468" s="324"/>
      <c r="I468" s="331"/>
      <c r="J468" s="305"/>
      <c r="K468" s="324"/>
      <c r="L468" s="331"/>
      <c r="M468" s="305"/>
      <c r="N468" s="324"/>
      <c r="O468" s="331"/>
      <c r="P468" s="305"/>
    </row>
    <row r="469" spans="1:16" s="226" customFormat="1" x14ac:dyDescent="0.2">
      <c r="A469" s="305"/>
      <c r="B469" s="324"/>
      <c r="C469" s="331"/>
      <c r="D469" s="305"/>
      <c r="E469" s="324"/>
      <c r="F469" s="331"/>
      <c r="G469" s="305"/>
      <c r="H469" s="324"/>
      <c r="I469" s="331"/>
      <c r="J469" s="305"/>
      <c r="K469" s="324"/>
      <c r="L469" s="331"/>
      <c r="M469" s="305"/>
      <c r="N469" s="324"/>
      <c r="O469" s="331"/>
      <c r="P469" s="305"/>
    </row>
    <row r="470" spans="1:16" s="226" customFormat="1" x14ac:dyDescent="0.2">
      <c r="A470" s="305"/>
      <c r="B470" s="324"/>
      <c r="C470" s="331"/>
      <c r="D470" s="305"/>
      <c r="E470" s="324"/>
      <c r="F470" s="331"/>
      <c r="G470" s="305"/>
      <c r="H470" s="324"/>
      <c r="I470" s="331"/>
      <c r="J470" s="305"/>
      <c r="K470" s="324"/>
      <c r="L470" s="331"/>
      <c r="M470" s="305"/>
      <c r="N470" s="324"/>
      <c r="O470" s="331"/>
      <c r="P470" s="305"/>
    </row>
    <row r="471" spans="1:16" s="226" customFormat="1" x14ac:dyDescent="0.2">
      <c r="A471" s="305"/>
      <c r="B471" s="324"/>
      <c r="C471" s="331"/>
      <c r="D471" s="305"/>
      <c r="E471" s="324"/>
      <c r="F471" s="331"/>
      <c r="G471" s="305"/>
      <c r="H471" s="324"/>
      <c r="I471" s="331"/>
      <c r="J471" s="305"/>
      <c r="K471" s="324"/>
      <c r="L471" s="331"/>
      <c r="M471" s="305"/>
      <c r="N471" s="324"/>
      <c r="O471" s="331"/>
      <c r="P471" s="305"/>
    </row>
    <row r="472" spans="1:16" s="226" customFormat="1" x14ac:dyDescent="0.2">
      <c r="A472" s="305"/>
      <c r="B472" s="324"/>
      <c r="C472" s="331"/>
      <c r="D472" s="305"/>
      <c r="E472" s="324"/>
      <c r="F472" s="331"/>
      <c r="G472" s="305"/>
      <c r="H472" s="324"/>
      <c r="I472" s="331"/>
      <c r="J472" s="305"/>
      <c r="K472" s="324"/>
      <c r="L472" s="331"/>
      <c r="M472" s="305"/>
      <c r="N472" s="324"/>
      <c r="O472" s="331"/>
      <c r="P472" s="305"/>
    </row>
    <row r="473" spans="1:16" s="226" customFormat="1" x14ac:dyDescent="0.2">
      <c r="A473" s="305"/>
      <c r="B473" s="324"/>
      <c r="C473" s="331"/>
      <c r="D473" s="305"/>
      <c r="E473" s="324"/>
      <c r="F473" s="331"/>
      <c r="G473" s="305"/>
      <c r="H473" s="324"/>
      <c r="I473" s="331"/>
      <c r="J473" s="305"/>
      <c r="K473" s="324"/>
      <c r="L473" s="331"/>
      <c r="M473" s="305"/>
      <c r="N473" s="324"/>
      <c r="O473" s="331"/>
      <c r="P473" s="305"/>
    </row>
    <row r="474" spans="1:16" s="226" customFormat="1" x14ac:dyDescent="0.2">
      <c r="A474" s="305"/>
      <c r="B474" s="324"/>
      <c r="C474" s="331"/>
      <c r="D474" s="305"/>
      <c r="E474" s="324"/>
      <c r="F474" s="331"/>
      <c r="G474" s="305"/>
      <c r="H474" s="324"/>
      <c r="I474" s="331"/>
      <c r="J474" s="305"/>
      <c r="K474" s="324"/>
      <c r="L474" s="331"/>
      <c r="M474" s="305"/>
      <c r="N474" s="324"/>
      <c r="O474" s="331"/>
      <c r="P474" s="305"/>
    </row>
    <row r="475" spans="1:16" s="226" customFormat="1" x14ac:dyDescent="0.2">
      <c r="A475" s="305"/>
      <c r="B475" s="324"/>
      <c r="C475" s="331"/>
      <c r="D475" s="305"/>
      <c r="E475" s="324"/>
      <c r="F475" s="331"/>
      <c r="G475" s="305"/>
      <c r="H475" s="324"/>
      <c r="I475" s="331"/>
      <c r="J475" s="305"/>
      <c r="K475" s="324"/>
      <c r="L475" s="331"/>
      <c r="M475" s="305"/>
      <c r="N475" s="324"/>
      <c r="O475" s="331"/>
      <c r="P475" s="305"/>
    </row>
    <row r="476" spans="1:16" s="226" customFormat="1" x14ac:dyDescent="0.2">
      <c r="A476" s="305"/>
      <c r="B476" s="324"/>
      <c r="C476" s="331"/>
      <c r="D476" s="305"/>
      <c r="E476" s="324"/>
      <c r="F476" s="331"/>
      <c r="G476" s="305"/>
      <c r="H476" s="324"/>
      <c r="I476" s="331"/>
      <c r="J476" s="305"/>
      <c r="K476" s="324"/>
      <c r="L476" s="331"/>
      <c r="M476" s="305"/>
      <c r="N476" s="324"/>
      <c r="O476" s="331"/>
      <c r="P476" s="305"/>
    </row>
    <row r="477" spans="1:16" s="226" customFormat="1" x14ac:dyDescent="0.2">
      <c r="A477" s="305"/>
      <c r="B477" s="324"/>
      <c r="C477" s="331"/>
      <c r="D477" s="305"/>
      <c r="E477" s="324"/>
      <c r="F477" s="331"/>
      <c r="G477" s="305"/>
      <c r="H477" s="324"/>
      <c r="I477" s="331"/>
      <c r="J477" s="305"/>
      <c r="K477" s="324"/>
      <c r="L477" s="331"/>
      <c r="M477" s="305"/>
      <c r="N477" s="324"/>
      <c r="O477" s="331"/>
      <c r="P477" s="305"/>
    </row>
    <row r="478" spans="1:16" s="226" customFormat="1" x14ac:dyDescent="0.2">
      <c r="A478" s="305"/>
      <c r="B478" s="324"/>
      <c r="C478" s="331"/>
      <c r="D478" s="305"/>
      <c r="E478" s="324"/>
      <c r="F478" s="331"/>
      <c r="G478" s="305"/>
      <c r="H478" s="324"/>
      <c r="I478" s="331"/>
      <c r="J478" s="305"/>
      <c r="K478" s="324"/>
      <c r="L478" s="331"/>
      <c r="M478" s="305"/>
      <c r="N478" s="324"/>
      <c r="O478" s="331"/>
      <c r="P478" s="305"/>
    </row>
    <row r="479" spans="1:16" s="226" customFormat="1" x14ac:dyDescent="0.2">
      <c r="A479" s="305"/>
      <c r="B479" s="324"/>
      <c r="C479" s="331"/>
      <c r="D479" s="305"/>
      <c r="E479" s="324"/>
      <c r="F479" s="331"/>
      <c r="G479" s="305"/>
      <c r="H479" s="324"/>
      <c r="I479" s="331"/>
      <c r="J479" s="305"/>
      <c r="K479" s="324"/>
      <c r="L479" s="331"/>
      <c r="M479" s="305"/>
      <c r="N479" s="324"/>
      <c r="O479" s="331"/>
      <c r="P479" s="305"/>
    </row>
    <row r="480" spans="1:16" s="226" customFormat="1" x14ac:dyDescent="0.2">
      <c r="A480" s="305"/>
      <c r="B480" s="324"/>
      <c r="C480" s="331"/>
      <c r="D480" s="305"/>
      <c r="E480" s="324"/>
      <c r="F480" s="331"/>
      <c r="G480" s="305"/>
      <c r="H480" s="324"/>
      <c r="I480" s="331"/>
      <c r="J480" s="305"/>
      <c r="K480" s="324"/>
      <c r="L480" s="331"/>
      <c r="M480" s="305"/>
      <c r="N480" s="324"/>
      <c r="O480" s="331"/>
      <c r="P480" s="305"/>
    </row>
    <row r="481" spans="1:16" s="226" customFormat="1" x14ac:dyDescent="0.2">
      <c r="A481" s="305"/>
      <c r="B481" s="324"/>
      <c r="C481" s="331"/>
      <c r="D481" s="305"/>
      <c r="E481" s="324"/>
      <c r="F481" s="331"/>
      <c r="G481" s="305"/>
      <c r="H481" s="324"/>
      <c r="I481" s="331"/>
      <c r="J481" s="305"/>
      <c r="K481" s="324"/>
      <c r="L481" s="331"/>
      <c r="M481" s="305"/>
      <c r="N481" s="324"/>
      <c r="O481" s="331"/>
      <c r="P481" s="305"/>
    </row>
    <row r="482" spans="1:16" s="226" customFormat="1" x14ac:dyDescent="0.2">
      <c r="A482" s="305"/>
      <c r="B482" s="324"/>
      <c r="C482" s="331"/>
      <c r="D482" s="305"/>
      <c r="E482" s="324"/>
      <c r="F482" s="331"/>
      <c r="G482" s="305"/>
      <c r="H482" s="324"/>
      <c r="I482" s="331"/>
      <c r="J482" s="305"/>
      <c r="K482" s="324"/>
      <c r="L482" s="331"/>
      <c r="M482" s="305"/>
      <c r="N482" s="324"/>
      <c r="O482" s="331"/>
      <c r="P482" s="305"/>
    </row>
    <row r="483" spans="1:16" s="226" customFormat="1" x14ac:dyDescent="0.2">
      <c r="A483" s="305"/>
      <c r="B483" s="324"/>
      <c r="C483" s="331"/>
      <c r="D483" s="305"/>
      <c r="E483" s="324"/>
      <c r="F483" s="331"/>
      <c r="G483" s="305"/>
      <c r="H483" s="324"/>
      <c r="I483" s="331"/>
      <c r="J483" s="305"/>
      <c r="K483" s="324"/>
      <c r="L483" s="331"/>
      <c r="M483" s="305"/>
      <c r="N483" s="324"/>
      <c r="O483" s="331"/>
      <c r="P483" s="305"/>
    </row>
    <row r="484" spans="1:16" s="226" customFormat="1" x14ac:dyDescent="0.2">
      <c r="A484" s="305"/>
      <c r="B484" s="324"/>
      <c r="C484" s="331"/>
      <c r="D484" s="305"/>
      <c r="E484" s="324"/>
      <c r="F484" s="331"/>
      <c r="G484" s="305"/>
      <c r="H484" s="324"/>
      <c r="I484" s="331"/>
      <c r="J484" s="305"/>
      <c r="K484" s="324"/>
      <c r="L484" s="331"/>
      <c r="M484" s="305"/>
      <c r="N484" s="324"/>
      <c r="O484" s="331"/>
      <c r="P484" s="305"/>
    </row>
    <row r="485" spans="1:16" s="226" customFormat="1" x14ac:dyDescent="0.2">
      <c r="A485" s="305"/>
      <c r="B485" s="324"/>
      <c r="C485" s="331"/>
      <c r="D485" s="305"/>
      <c r="E485" s="324"/>
      <c r="F485" s="331"/>
      <c r="G485" s="305"/>
      <c r="H485" s="324"/>
      <c r="I485" s="331"/>
      <c r="J485" s="305"/>
      <c r="K485" s="324"/>
      <c r="L485" s="331"/>
      <c r="M485" s="305"/>
      <c r="N485" s="324"/>
      <c r="O485" s="331"/>
      <c r="P485" s="305"/>
    </row>
    <row r="486" spans="1:16" s="226" customFormat="1" x14ac:dyDescent="0.2">
      <c r="A486" s="305"/>
      <c r="B486" s="324"/>
      <c r="C486" s="331"/>
      <c r="D486" s="305"/>
      <c r="E486" s="324"/>
      <c r="F486" s="331"/>
      <c r="G486" s="305"/>
      <c r="H486" s="324"/>
      <c r="I486" s="331"/>
      <c r="J486" s="305"/>
      <c r="K486" s="324"/>
      <c r="L486" s="331"/>
      <c r="M486" s="305"/>
      <c r="N486" s="324"/>
      <c r="O486" s="331"/>
      <c r="P486" s="305"/>
    </row>
    <row r="487" spans="1:16" s="226" customFormat="1" x14ac:dyDescent="0.2">
      <c r="A487" s="305"/>
      <c r="B487" s="324"/>
      <c r="C487" s="331"/>
      <c r="D487" s="305"/>
      <c r="E487" s="324"/>
      <c r="F487" s="331"/>
      <c r="G487" s="305"/>
      <c r="H487" s="324"/>
      <c r="I487" s="331"/>
      <c r="J487" s="305"/>
      <c r="K487" s="324"/>
      <c r="L487" s="331"/>
      <c r="M487" s="305"/>
      <c r="N487" s="324"/>
      <c r="O487" s="331"/>
      <c r="P487" s="305"/>
    </row>
    <row r="488" spans="1:16" s="226" customFormat="1" x14ac:dyDescent="0.2">
      <c r="A488" s="305"/>
      <c r="B488" s="324"/>
      <c r="C488" s="331"/>
      <c r="D488" s="305"/>
      <c r="E488" s="324"/>
      <c r="F488" s="331"/>
      <c r="G488" s="305"/>
      <c r="H488" s="324"/>
      <c r="I488" s="331"/>
      <c r="J488" s="305"/>
      <c r="K488" s="324"/>
      <c r="L488" s="331"/>
      <c r="M488" s="305"/>
      <c r="N488" s="324"/>
      <c r="O488" s="331"/>
      <c r="P488" s="305"/>
    </row>
    <row r="489" spans="1:16" s="226" customFormat="1" x14ac:dyDescent="0.2">
      <c r="A489" s="305"/>
      <c r="B489" s="324"/>
      <c r="C489" s="331"/>
      <c r="D489" s="305"/>
      <c r="E489" s="324"/>
      <c r="F489" s="331"/>
      <c r="G489" s="305"/>
      <c r="H489" s="324"/>
      <c r="I489" s="331"/>
      <c r="J489" s="305"/>
      <c r="K489" s="324"/>
      <c r="L489" s="331"/>
      <c r="M489" s="305"/>
      <c r="N489" s="324"/>
      <c r="O489" s="331"/>
      <c r="P489" s="305"/>
    </row>
    <row r="490" spans="1:16" s="226" customFormat="1" x14ac:dyDescent="0.2">
      <c r="A490" s="305"/>
      <c r="B490" s="324"/>
      <c r="C490" s="331"/>
      <c r="D490" s="305"/>
      <c r="E490" s="324"/>
      <c r="F490" s="331"/>
      <c r="G490" s="305"/>
      <c r="H490" s="324"/>
      <c r="I490" s="331"/>
      <c r="J490" s="305"/>
      <c r="K490" s="324"/>
      <c r="L490" s="331"/>
      <c r="M490" s="305"/>
      <c r="N490" s="324"/>
      <c r="O490" s="331"/>
      <c r="P490" s="305"/>
    </row>
    <row r="491" spans="1:16" s="226" customFormat="1" x14ac:dyDescent="0.2">
      <c r="A491" s="305"/>
      <c r="B491" s="324"/>
      <c r="C491" s="331"/>
      <c r="D491" s="305"/>
      <c r="E491" s="324"/>
      <c r="F491" s="331"/>
      <c r="G491" s="305"/>
      <c r="H491" s="324"/>
      <c r="I491" s="331"/>
      <c r="J491" s="305"/>
      <c r="K491" s="324"/>
      <c r="L491" s="331"/>
      <c r="M491" s="305"/>
      <c r="N491" s="324"/>
      <c r="O491" s="331"/>
      <c r="P491" s="305"/>
    </row>
    <row r="492" spans="1:16" s="226" customFormat="1" x14ac:dyDescent="0.2">
      <c r="A492" s="305"/>
      <c r="B492" s="324"/>
      <c r="C492" s="331"/>
      <c r="D492" s="305"/>
      <c r="E492" s="324"/>
      <c r="F492" s="331"/>
      <c r="G492" s="305"/>
      <c r="H492" s="324"/>
      <c r="I492" s="331"/>
      <c r="J492" s="305"/>
      <c r="K492" s="324"/>
      <c r="L492" s="331"/>
      <c r="M492" s="305"/>
      <c r="N492" s="324"/>
      <c r="O492" s="331"/>
      <c r="P492" s="305"/>
    </row>
    <row r="493" spans="1:16" s="226" customFormat="1" x14ac:dyDescent="0.2">
      <c r="A493" s="305"/>
      <c r="B493" s="324"/>
      <c r="C493" s="331"/>
      <c r="D493" s="305"/>
      <c r="E493" s="324"/>
      <c r="F493" s="331"/>
      <c r="G493" s="305"/>
      <c r="H493" s="324"/>
      <c r="I493" s="331"/>
      <c r="J493" s="305"/>
      <c r="K493" s="324"/>
      <c r="L493" s="331"/>
      <c r="M493" s="305"/>
      <c r="N493" s="324"/>
      <c r="O493" s="331"/>
      <c r="P493" s="305"/>
    </row>
    <row r="494" spans="1:16" s="226" customFormat="1" x14ac:dyDescent="0.2">
      <c r="A494" s="305"/>
      <c r="B494" s="324"/>
      <c r="C494" s="331"/>
      <c r="D494" s="305"/>
      <c r="E494" s="324"/>
      <c r="F494" s="331"/>
      <c r="G494" s="305"/>
      <c r="H494" s="324"/>
      <c r="I494" s="331"/>
      <c r="J494" s="305"/>
      <c r="K494" s="324"/>
      <c r="L494" s="331"/>
      <c r="M494" s="305"/>
      <c r="N494" s="324"/>
      <c r="O494" s="331"/>
      <c r="P494" s="305"/>
    </row>
    <row r="495" spans="1:16" s="226" customFormat="1" x14ac:dyDescent="0.2">
      <c r="A495" s="305"/>
      <c r="B495" s="324"/>
      <c r="C495" s="331"/>
      <c r="D495" s="305"/>
      <c r="E495" s="324"/>
      <c r="F495" s="331"/>
      <c r="G495" s="305"/>
      <c r="H495" s="324"/>
      <c r="I495" s="331"/>
      <c r="J495" s="305"/>
      <c r="K495" s="324"/>
      <c r="L495" s="331"/>
      <c r="M495" s="305"/>
      <c r="N495" s="324"/>
      <c r="O495" s="331"/>
      <c r="P495" s="305"/>
    </row>
    <row r="496" spans="1:16" s="226" customFormat="1" x14ac:dyDescent="0.2">
      <c r="A496" s="305"/>
      <c r="B496" s="324"/>
      <c r="C496" s="331"/>
      <c r="D496" s="305"/>
      <c r="E496" s="324"/>
      <c r="F496" s="331"/>
      <c r="G496" s="305"/>
      <c r="H496" s="324"/>
      <c r="I496" s="331"/>
      <c r="J496" s="305"/>
      <c r="K496" s="324"/>
      <c r="L496" s="331"/>
      <c r="M496" s="305"/>
      <c r="N496" s="324"/>
      <c r="O496" s="331"/>
      <c r="P496" s="305"/>
    </row>
    <row r="497" spans="1:16" s="226" customFormat="1" x14ac:dyDescent="0.2">
      <c r="A497" s="305"/>
      <c r="B497" s="324"/>
      <c r="C497" s="331"/>
      <c r="D497" s="305"/>
      <c r="E497" s="324"/>
      <c r="F497" s="331"/>
      <c r="G497" s="305"/>
      <c r="H497" s="324"/>
      <c r="I497" s="331"/>
      <c r="J497" s="305"/>
      <c r="K497" s="324"/>
      <c r="L497" s="331"/>
      <c r="M497" s="305"/>
      <c r="N497" s="324"/>
      <c r="O497" s="331"/>
      <c r="P497" s="305"/>
    </row>
    <row r="498" spans="1:16" s="226" customFormat="1" x14ac:dyDescent="0.2">
      <c r="A498" s="305"/>
      <c r="B498" s="324"/>
      <c r="C498" s="331"/>
      <c r="D498" s="305"/>
      <c r="E498" s="324"/>
      <c r="F498" s="331"/>
      <c r="G498" s="305"/>
      <c r="H498" s="324"/>
      <c r="I498" s="331"/>
      <c r="J498" s="305"/>
      <c r="K498" s="324"/>
      <c r="L498" s="331"/>
      <c r="M498" s="305"/>
      <c r="N498" s="324"/>
      <c r="O498" s="331"/>
      <c r="P498" s="305"/>
    </row>
    <row r="499" spans="1:16" s="226" customFormat="1" x14ac:dyDescent="0.2">
      <c r="A499" s="305"/>
      <c r="B499" s="324"/>
      <c r="C499" s="331"/>
      <c r="D499" s="305"/>
      <c r="E499" s="324"/>
      <c r="F499" s="331"/>
      <c r="G499" s="305"/>
      <c r="H499" s="324"/>
      <c r="I499" s="331"/>
      <c r="J499" s="305"/>
      <c r="K499" s="324"/>
      <c r="L499" s="331"/>
      <c r="M499" s="305"/>
      <c r="N499" s="324"/>
      <c r="O499" s="331"/>
      <c r="P499" s="305"/>
    </row>
    <row r="500" spans="1:16" s="226" customFormat="1" x14ac:dyDescent="0.2">
      <c r="A500" s="305"/>
      <c r="B500" s="324"/>
      <c r="C500" s="331"/>
      <c r="D500" s="305"/>
      <c r="E500" s="324"/>
      <c r="F500" s="331"/>
      <c r="G500" s="305"/>
      <c r="H500" s="324"/>
      <c r="I500" s="331"/>
      <c r="J500" s="305"/>
      <c r="K500" s="324"/>
      <c r="L500" s="331"/>
      <c r="M500" s="305"/>
      <c r="N500" s="324"/>
      <c r="O500" s="331"/>
      <c r="P500" s="305"/>
    </row>
    <row r="501" spans="1:16" s="226" customFormat="1" x14ac:dyDescent="0.2">
      <c r="A501" s="305"/>
      <c r="B501" s="324"/>
      <c r="C501" s="331"/>
      <c r="D501" s="305"/>
      <c r="E501" s="324"/>
      <c r="F501" s="331"/>
      <c r="G501" s="305"/>
      <c r="H501" s="324"/>
      <c r="I501" s="331"/>
      <c r="J501" s="305"/>
      <c r="K501" s="324"/>
      <c r="L501" s="331"/>
      <c r="M501" s="305"/>
      <c r="N501" s="324"/>
      <c r="O501" s="331"/>
      <c r="P501" s="305"/>
    </row>
    <row r="502" spans="1:16" s="226" customFormat="1" x14ac:dyDescent="0.2">
      <c r="A502" s="305"/>
      <c r="B502" s="324"/>
      <c r="C502" s="331"/>
      <c r="D502" s="305"/>
      <c r="E502" s="324"/>
      <c r="F502" s="331"/>
      <c r="G502" s="305"/>
      <c r="H502" s="324"/>
      <c r="I502" s="331"/>
      <c r="J502" s="305"/>
      <c r="K502" s="324"/>
      <c r="L502" s="331"/>
      <c r="M502" s="305"/>
      <c r="N502" s="324"/>
      <c r="O502" s="331"/>
      <c r="P502" s="305"/>
    </row>
    <row r="503" spans="1:16" s="226" customFormat="1" x14ac:dyDescent="0.2">
      <c r="A503" s="305"/>
      <c r="B503" s="324"/>
      <c r="C503" s="331"/>
      <c r="D503" s="305"/>
      <c r="E503" s="324"/>
      <c r="F503" s="331"/>
      <c r="G503" s="305"/>
      <c r="H503" s="324"/>
      <c r="I503" s="331"/>
      <c r="J503" s="305"/>
      <c r="K503" s="324"/>
      <c r="L503" s="331"/>
      <c r="M503" s="305"/>
      <c r="N503" s="324"/>
      <c r="O503" s="331"/>
      <c r="P503" s="305"/>
    </row>
    <row r="504" spans="1:16" x14ac:dyDescent="0.2">
      <c r="N504" s="324"/>
      <c r="O504" s="331"/>
      <c r="P504" s="305"/>
    </row>
    <row r="505" spans="1:16" x14ac:dyDescent="0.2">
      <c r="N505" s="324"/>
      <c r="O505" s="331"/>
      <c r="P505" s="305"/>
    </row>
    <row r="506" spans="1:16" x14ac:dyDescent="0.2">
      <c r="N506" s="324"/>
      <c r="O506" s="331"/>
      <c r="P506" s="305"/>
    </row>
    <row r="507" spans="1:16" x14ac:dyDescent="0.2">
      <c r="N507" s="324"/>
      <c r="O507" s="331"/>
      <c r="P507" s="305"/>
    </row>
    <row r="508" spans="1:16" x14ac:dyDescent="0.2">
      <c r="N508" s="324"/>
      <c r="O508" s="331"/>
      <c r="P508" s="305"/>
    </row>
    <row r="509" spans="1:16" x14ac:dyDescent="0.2">
      <c r="N509" s="324"/>
      <c r="O509" s="331"/>
      <c r="P509" s="305"/>
    </row>
    <row r="510" spans="1:16" x14ac:dyDescent="0.2">
      <c r="N510" s="324"/>
      <c r="O510" s="331"/>
      <c r="P510" s="305"/>
    </row>
    <row r="511" spans="1:16" x14ac:dyDescent="0.2">
      <c r="N511" s="324"/>
      <c r="O511" s="331"/>
      <c r="P511" s="305"/>
    </row>
    <row r="512" spans="1:16" x14ac:dyDescent="0.2">
      <c r="N512" s="324"/>
      <c r="O512" s="331"/>
      <c r="P512" s="305"/>
    </row>
    <row r="513" spans="14:16" x14ac:dyDescent="0.2">
      <c r="N513" s="324"/>
      <c r="O513" s="331"/>
      <c r="P513" s="305"/>
    </row>
    <row r="514" spans="14:16" x14ac:dyDescent="0.2">
      <c r="N514" s="324"/>
      <c r="O514" s="331"/>
      <c r="P514" s="305"/>
    </row>
    <row r="515" spans="14:16" x14ac:dyDescent="0.2">
      <c r="N515" s="324"/>
      <c r="O515" s="331"/>
      <c r="P515" s="305"/>
    </row>
    <row r="516" spans="14:16" x14ac:dyDescent="0.2">
      <c r="N516" s="324"/>
      <c r="O516" s="331"/>
      <c r="P516" s="305"/>
    </row>
    <row r="517" spans="14:16" x14ac:dyDescent="0.2">
      <c r="N517" s="324"/>
      <c r="O517" s="331"/>
      <c r="P517" s="305"/>
    </row>
    <row r="518" spans="14:16" x14ac:dyDescent="0.2">
      <c r="N518" s="324"/>
      <c r="O518" s="331"/>
      <c r="P518" s="305"/>
    </row>
    <row r="519" spans="14:16" x14ac:dyDescent="0.2">
      <c r="N519" s="324"/>
      <c r="O519" s="331"/>
      <c r="P519" s="305"/>
    </row>
    <row r="520" spans="14:16" x14ac:dyDescent="0.2">
      <c r="N520" s="324"/>
      <c r="O520" s="331"/>
      <c r="P520" s="305"/>
    </row>
    <row r="521" spans="14:16" x14ac:dyDescent="0.2">
      <c r="N521" s="324"/>
      <c r="O521" s="331"/>
      <c r="P521" s="305"/>
    </row>
    <row r="522" spans="14:16" x14ac:dyDescent="0.2">
      <c r="N522" s="324"/>
      <c r="O522" s="331"/>
      <c r="P522" s="305"/>
    </row>
    <row r="523" spans="14:16" x14ac:dyDescent="0.2">
      <c r="N523" s="324"/>
      <c r="O523" s="331"/>
      <c r="P523" s="305"/>
    </row>
    <row r="524" spans="14:16" x14ac:dyDescent="0.2">
      <c r="N524" s="324"/>
      <c r="O524" s="331"/>
      <c r="P524" s="305"/>
    </row>
    <row r="525" spans="14:16" x14ac:dyDescent="0.2">
      <c r="N525" s="324"/>
      <c r="O525" s="331"/>
      <c r="P525" s="305"/>
    </row>
    <row r="526" spans="14:16" x14ac:dyDescent="0.2">
      <c r="N526" s="324"/>
      <c r="O526" s="331"/>
      <c r="P526" s="305"/>
    </row>
    <row r="527" spans="14:16" x14ac:dyDescent="0.2">
      <c r="N527" s="324"/>
      <c r="O527" s="331"/>
      <c r="P527" s="305"/>
    </row>
    <row r="528" spans="14:16" x14ac:dyDescent="0.2">
      <c r="N528" s="324"/>
      <c r="O528" s="331"/>
      <c r="P528" s="305"/>
    </row>
    <row r="529" spans="14:16" x14ac:dyDescent="0.2">
      <c r="N529" s="324"/>
      <c r="O529" s="331"/>
      <c r="P529" s="305"/>
    </row>
    <row r="530" spans="14:16" x14ac:dyDescent="0.2">
      <c r="N530" s="324"/>
      <c r="O530" s="331"/>
      <c r="P530" s="305"/>
    </row>
    <row r="531" spans="14:16" x14ac:dyDescent="0.2">
      <c r="N531" s="324"/>
      <c r="O531" s="331"/>
      <c r="P531" s="305"/>
    </row>
    <row r="532" spans="14:16" x14ac:dyDescent="0.2">
      <c r="N532" s="324"/>
      <c r="O532" s="331"/>
      <c r="P532" s="305"/>
    </row>
    <row r="533" spans="14:16" x14ac:dyDescent="0.2">
      <c r="N533" s="324"/>
      <c r="O533" s="331"/>
      <c r="P533" s="305"/>
    </row>
    <row r="534" spans="14:16" x14ac:dyDescent="0.2">
      <c r="N534" s="324"/>
      <c r="O534" s="331"/>
      <c r="P534" s="305"/>
    </row>
    <row r="535" spans="14:16" x14ac:dyDescent="0.2">
      <c r="N535" s="324"/>
      <c r="O535" s="331"/>
      <c r="P535" s="305"/>
    </row>
    <row r="536" spans="14:16" x14ac:dyDescent="0.2">
      <c r="N536" s="324"/>
      <c r="O536" s="331"/>
      <c r="P536" s="305"/>
    </row>
    <row r="537" spans="14:16" x14ac:dyDescent="0.2">
      <c r="N537" s="324"/>
      <c r="O537" s="331"/>
      <c r="P537" s="305"/>
    </row>
    <row r="538" spans="14:16" x14ac:dyDescent="0.2">
      <c r="N538" s="324"/>
      <c r="O538" s="331"/>
      <c r="P538" s="305"/>
    </row>
    <row r="539" spans="14:16" x14ac:dyDescent="0.2">
      <c r="N539" s="324"/>
      <c r="O539" s="331"/>
      <c r="P539" s="305"/>
    </row>
    <row r="540" spans="14:16" x14ac:dyDescent="0.2">
      <c r="N540" s="324"/>
      <c r="O540" s="331"/>
      <c r="P540" s="305"/>
    </row>
    <row r="541" spans="14:16" x14ac:dyDescent="0.2">
      <c r="N541" s="324"/>
      <c r="O541" s="331"/>
      <c r="P541" s="305"/>
    </row>
    <row r="542" spans="14:16" x14ac:dyDescent="0.2">
      <c r="N542" s="324"/>
      <c r="O542" s="331"/>
      <c r="P542" s="305"/>
    </row>
    <row r="543" spans="14:16" x14ac:dyDescent="0.2">
      <c r="N543" s="324"/>
      <c r="O543" s="331"/>
      <c r="P543" s="305"/>
    </row>
    <row r="544" spans="14:16" x14ac:dyDescent="0.2">
      <c r="N544" s="324"/>
      <c r="O544" s="331"/>
      <c r="P544" s="305"/>
    </row>
    <row r="545" spans="14:16" x14ac:dyDescent="0.2">
      <c r="N545" s="324"/>
      <c r="O545" s="331"/>
      <c r="P545" s="305"/>
    </row>
    <row r="546" spans="14:16" x14ac:dyDescent="0.2">
      <c r="N546" s="324"/>
      <c r="O546" s="331"/>
      <c r="P546" s="305"/>
    </row>
    <row r="547" spans="14:16" x14ac:dyDescent="0.2">
      <c r="N547" s="324"/>
      <c r="O547" s="331"/>
      <c r="P547" s="305"/>
    </row>
    <row r="548" spans="14:16" x14ac:dyDescent="0.2">
      <c r="N548" s="324"/>
      <c r="O548" s="331"/>
      <c r="P548" s="305"/>
    </row>
    <row r="549" spans="14:16" x14ac:dyDescent="0.2">
      <c r="N549" s="324"/>
      <c r="O549" s="331"/>
      <c r="P549" s="305"/>
    </row>
    <row r="550" spans="14:16" x14ac:dyDescent="0.2">
      <c r="N550" s="324"/>
      <c r="O550" s="331"/>
      <c r="P550" s="305"/>
    </row>
    <row r="551" spans="14:16" x14ac:dyDescent="0.2">
      <c r="N551" s="324"/>
      <c r="O551" s="331"/>
      <c r="P551" s="305"/>
    </row>
    <row r="552" spans="14:16" x14ac:dyDescent="0.2">
      <c r="N552" s="324"/>
      <c r="O552" s="331"/>
      <c r="P552" s="305"/>
    </row>
    <row r="553" spans="14:16" x14ac:dyDescent="0.2">
      <c r="N553" s="324"/>
      <c r="O553" s="331"/>
      <c r="P553" s="305"/>
    </row>
    <row r="554" spans="14:16" x14ac:dyDescent="0.2">
      <c r="N554" s="324"/>
      <c r="O554" s="331"/>
      <c r="P554" s="305"/>
    </row>
    <row r="555" spans="14:16" x14ac:dyDescent="0.2">
      <c r="N555" s="324"/>
      <c r="O555" s="331"/>
      <c r="P555" s="305"/>
    </row>
    <row r="556" spans="14:16" x14ac:dyDescent="0.2">
      <c r="N556" s="324"/>
      <c r="O556" s="331"/>
      <c r="P556" s="305"/>
    </row>
    <row r="557" spans="14:16" x14ac:dyDescent="0.2">
      <c r="N557" s="324"/>
      <c r="O557" s="331"/>
      <c r="P557" s="305"/>
    </row>
    <row r="558" spans="14:16" x14ac:dyDescent="0.2">
      <c r="N558" s="324"/>
      <c r="O558" s="331"/>
      <c r="P558" s="305"/>
    </row>
    <row r="559" spans="14:16" x14ac:dyDescent="0.2">
      <c r="N559" s="324"/>
      <c r="O559" s="331"/>
      <c r="P559" s="305"/>
    </row>
    <row r="560" spans="14:16" x14ac:dyDescent="0.2">
      <c r="N560" s="324"/>
      <c r="O560" s="331"/>
      <c r="P560" s="305"/>
    </row>
    <row r="561" spans="14:16" x14ac:dyDescent="0.2">
      <c r="N561" s="324"/>
      <c r="O561" s="331"/>
      <c r="P561" s="305"/>
    </row>
    <row r="562" spans="14:16" x14ac:dyDescent="0.2">
      <c r="N562" s="324"/>
      <c r="O562" s="331"/>
      <c r="P562" s="305"/>
    </row>
    <row r="563" spans="14:16" x14ac:dyDescent="0.2">
      <c r="N563" s="324"/>
      <c r="O563" s="331"/>
      <c r="P563" s="305"/>
    </row>
    <row r="564" spans="14:16" x14ac:dyDescent="0.2">
      <c r="N564" s="324"/>
      <c r="O564" s="331"/>
      <c r="P564" s="305"/>
    </row>
    <row r="565" spans="14:16" x14ac:dyDescent="0.2">
      <c r="N565" s="324"/>
      <c r="O565" s="331"/>
      <c r="P565" s="305"/>
    </row>
    <row r="566" spans="14:16" x14ac:dyDescent="0.2">
      <c r="N566" s="324"/>
      <c r="O566" s="331"/>
      <c r="P566" s="305"/>
    </row>
    <row r="567" spans="14:16" x14ac:dyDescent="0.2">
      <c r="N567" s="324"/>
      <c r="O567" s="331"/>
      <c r="P567" s="305"/>
    </row>
    <row r="568" spans="14:16" x14ac:dyDescent="0.2">
      <c r="N568" s="324"/>
      <c r="O568" s="331"/>
      <c r="P568" s="305"/>
    </row>
    <row r="569" spans="14:16" x14ac:dyDescent="0.2">
      <c r="N569" s="324"/>
      <c r="O569" s="331"/>
      <c r="P569" s="305"/>
    </row>
    <row r="570" spans="14:16" x14ac:dyDescent="0.2">
      <c r="N570" s="324"/>
      <c r="O570" s="331"/>
      <c r="P570" s="305"/>
    </row>
    <row r="571" spans="14:16" x14ac:dyDescent="0.2">
      <c r="N571" s="324"/>
      <c r="O571" s="331"/>
      <c r="P571" s="305"/>
    </row>
    <row r="572" spans="14:16" x14ac:dyDescent="0.2">
      <c r="N572" s="324"/>
      <c r="O572" s="331"/>
      <c r="P572" s="305"/>
    </row>
    <row r="573" spans="14:16" x14ac:dyDescent="0.2">
      <c r="N573" s="324"/>
      <c r="O573" s="331"/>
      <c r="P573" s="305"/>
    </row>
    <row r="574" spans="14:16" x14ac:dyDescent="0.2">
      <c r="N574" s="324"/>
      <c r="O574" s="331"/>
      <c r="P574" s="305"/>
    </row>
    <row r="575" spans="14:16" x14ac:dyDescent="0.2">
      <c r="N575" s="324"/>
      <c r="O575" s="331"/>
      <c r="P575" s="305"/>
    </row>
    <row r="576" spans="14:16" x14ac:dyDescent="0.2">
      <c r="N576" s="324"/>
      <c r="O576" s="331"/>
      <c r="P576" s="305"/>
    </row>
    <row r="577" spans="14:16" x14ac:dyDescent="0.2">
      <c r="N577" s="324"/>
      <c r="O577" s="331"/>
      <c r="P577" s="305"/>
    </row>
    <row r="578" spans="14:16" x14ac:dyDescent="0.2">
      <c r="N578" s="324"/>
      <c r="O578" s="331"/>
      <c r="P578" s="305"/>
    </row>
    <row r="579" spans="14:16" x14ac:dyDescent="0.2">
      <c r="N579" s="324"/>
      <c r="O579" s="331"/>
      <c r="P579" s="305"/>
    </row>
  </sheetData>
  <mergeCells count="10">
    <mergeCell ref="AF3:AH3"/>
    <mergeCell ref="AF4:AH4"/>
    <mergeCell ref="T3:V3"/>
    <mergeCell ref="W3:Y3"/>
    <mergeCell ref="Z3:AB3"/>
    <mergeCell ref="AC3:AE3"/>
    <mergeCell ref="T4:V4"/>
    <mergeCell ref="W4:Y4"/>
    <mergeCell ref="Z4:AB4"/>
    <mergeCell ref="AC4:AE4"/>
  </mergeCells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D0212-9221-4DE7-A26A-5F2F98E91C2E}">
  <sheetPr codeName="Foglio39">
    <tabColor theme="8" tint="0.79998168889431442"/>
  </sheetPr>
  <dimension ref="A1:E103"/>
  <sheetViews>
    <sheetView showGridLines="0" workbookViewId="0">
      <pane xSplit="2" ySplit="3" topLeftCell="C4" activePane="bottomRight" state="frozen"/>
      <selection pane="topRight" activeCell="B1" sqref="B1"/>
      <selection pane="bottomLeft" activeCell="A5" sqref="A5"/>
      <selection pane="bottomRight" activeCell="D3" sqref="D3"/>
    </sheetView>
  </sheetViews>
  <sheetFormatPr defaultColWidth="9.109375" defaultRowHeight="10.199999999999999" outlineLevelRow="1" x14ac:dyDescent="0.2"/>
  <cols>
    <col min="1" max="1" width="14" style="51" bestFit="1" customWidth="1"/>
    <col min="2" max="2" width="45.5546875" style="51" bestFit="1" customWidth="1"/>
    <col min="3" max="3" width="11.5546875" style="51" bestFit="1" customWidth="1"/>
    <col min="4" max="4" width="12.5546875" style="51" bestFit="1" customWidth="1"/>
    <col min="5" max="5" width="16.33203125" style="51" bestFit="1" customWidth="1"/>
    <col min="6" max="16384" width="9.109375" style="51"/>
  </cols>
  <sheetData>
    <row r="1" spans="1:5" x14ac:dyDescent="0.2">
      <c r="B1" s="851" t="s">
        <v>6534</v>
      </c>
    </row>
    <row r="3" spans="1:5" x14ac:dyDescent="0.2">
      <c r="B3" s="50" t="s">
        <v>1186</v>
      </c>
      <c r="C3" s="871" t="str">
        <f>Ambiti!B4</f>
        <v>BUSTO ARSIZIO</v>
      </c>
      <c r="D3" s="871" t="str">
        <f>Ambiti!C4</f>
        <v>FAGNANO OLONA</v>
      </c>
      <c r="E3" s="871" t="str">
        <f>Ambiti!D4</f>
        <v>VENEGONO SUPERIORE</v>
      </c>
    </row>
    <row r="5" spans="1:5" x14ac:dyDescent="0.2">
      <c r="B5" s="571" t="s">
        <v>1187</v>
      </c>
      <c r="C5" s="369" t="str">
        <f>Ambiti!B30</f>
        <v>NO</v>
      </c>
      <c r="D5" s="369" t="str">
        <f>Ambiti!C30</f>
        <v>NO</v>
      </c>
      <c r="E5" s="369" t="str">
        <f>Ambiti!D30</f>
        <v>NO</v>
      </c>
    </row>
    <row r="6" spans="1:5" ht="31.5" customHeight="1" x14ac:dyDescent="0.2">
      <c r="C6" s="166" t="str">
        <f>IF(C5="NO","-","Ridistribuire puntualmente nel Tool")</f>
        <v>-</v>
      </c>
      <c r="D6" s="166" t="str">
        <f>IF(D5="NO","-","Ridistribuire puntualmente nel Tool")</f>
        <v>-</v>
      </c>
      <c r="E6" s="166" t="str">
        <f>IF(E5="NO","-","Ridistribuire puntualmente nel Tool")</f>
        <v>-</v>
      </c>
    </row>
    <row r="7" spans="1:5" x14ac:dyDescent="0.2">
      <c r="B7" s="82" t="s">
        <v>6533</v>
      </c>
    </row>
    <row r="8" spans="1:5" hidden="1" outlineLevel="1" x14ac:dyDescent="0.2">
      <c r="A8" s="137"/>
      <c r="B8" s="88">
        <f>Ambiti!A35</f>
        <v>0</v>
      </c>
      <c r="C8" s="88">
        <f>Ambiti!B35</f>
        <v>0</v>
      </c>
      <c r="D8" s="88">
        <f>Ambiti!C35</f>
        <v>0</v>
      </c>
      <c r="E8" s="88">
        <f>Ambiti!D35</f>
        <v>0</v>
      </c>
    </row>
    <row r="9" spans="1:5" hidden="1" outlineLevel="1" x14ac:dyDescent="0.2">
      <c r="B9" s="88">
        <f>Ambiti!A36</f>
        <v>0</v>
      </c>
      <c r="C9" s="88">
        <f>Ambiti!B36</f>
        <v>0</v>
      </c>
      <c r="D9" s="88">
        <f>Ambiti!C36</f>
        <v>0</v>
      </c>
      <c r="E9" s="88">
        <f>Ambiti!D36</f>
        <v>0</v>
      </c>
    </row>
    <row r="10" spans="1:5" hidden="1" outlineLevel="1" x14ac:dyDescent="0.2">
      <c r="B10" s="88">
        <f>Ambiti!A37</f>
        <v>0</v>
      </c>
      <c r="C10" s="88">
        <f>Ambiti!B37</f>
        <v>0</v>
      </c>
      <c r="D10" s="88">
        <f>Ambiti!C37</f>
        <v>0</v>
      </c>
      <c r="E10" s="88">
        <f>Ambiti!D37</f>
        <v>0</v>
      </c>
    </row>
    <row r="11" spans="1:5" hidden="1" outlineLevel="1" x14ac:dyDescent="0.2">
      <c r="B11" s="88">
        <f>Ambiti!A38</f>
        <v>0</v>
      </c>
      <c r="C11" s="88">
        <f>Ambiti!B38</f>
        <v>0</v>
      </c>
      <c r="D11" s="88">
        <f>Ambiti!C38</f>
        <v>0</v>
      </c>
      <c r="E11" s="88">
        <f>Ambiti!D38</f>
        <v>0</v>
      </c>
    </row>
    <row r="12" spans="1:5" hidden="1" outlineLevel="1" x14ac:dyDescent="0.2">
      <c r="B12" s="88">
        <f>Ambiti!A39</f>
        <v>0</v>
      </c>
      <c r="C12" s="88">
        <f>Ambiti!B39</f>
        <v>0</v>
      </c>
      <c r="D12" s="88">
        <f>Ambiti!C39</f>
        <v>0</v>
      </c>
      <c r="E12" s="88">
        <f>Ambiti!D39</f>
        <v>0</v>
      </c>
    </row>
    <row r="13" spans="1:5" hidden="1" outlineLevel="1" x14ac:dyDescent="0.2">
      <c r="B13" s="88">
        <f>Ambiti!A40</f>
        <v>0</v>
      </c>
      <c r="C13" s="88">
        <f>Ambiti!B40</f>
        <v>0</v>
      </c>
      <c r="D13" s="88">
        <f>Ambiti!C40</f>
        <v>0</v>
      </c>
      <c r="E13" s="88">
        <f>Ambiti!D40</f>
        <v>0</v>
      </c>
    </row>
    <row r="14" spans="1:5" hidden="1" outlineLevel="1" x14ac:dyDescent="0.2">
      <c r="B14" s="88">
        <f>Ambiti!A41</f>
        <v>0</v>
      </c>
      <c r="C14" s="88">
        <f>Ambiti!B41</f>
        <v>0</v>
      </c>
      <c r="D14" s="88">
        <f>Ambiti!C41</f>
        <v>0</v>
      </c>
      <c r="E14" s="88">
        <f>Ambiti!D41</f>
        <v>0</v>
      </c>
    </row>
    <row r="15" spans="1:5" hidden="1" outlineLevel="1" x14ac:dyDescent="0.2">
      <c r="B15" s="88">
        <f>Ambiti!A42</f>
        <v>0</v>
      </c>
      <c r="C15" s="88">
        <f>Ambiti!B42</f>
        <v>0</v>
      </c>
      <c r="D15" s="88">
        <f>Ambiti!C42</f>
        <v>0</v>
      </c>
      <c r="E15" s="88">
        <f>Ambiti!D42</f>
        <v>0</v>
      </c>
    </row>
    <row r="16" spans="1:5" hidden="1" outlineLevel="1" x14ac:dyDescent="0.2">
      <c r="B16" s="88">
        <f>Ambiti!A43</f>
        <v>0</v>
      </c>
      <c r="C16" s="88">
        <f>Ambiti!B43</f>
        <v>0</v>
      </c>
      <c r="D16" s="88">
        <f>Ambiti!C43</f>
        <v>0</v>
      </c>
      <c r="E16" s="88">
        <f>Ambiti!D43</f>
        <v>0</v>
      </c>
    </row>
    <row r="17" spans="2:5" hidden="1" outlineLevel="1" x14ac:dyDescent="0.2">
      <c r="B17" s="88">
        <f>Ambiti!A44</f>
        <v>0</v>
      </c>
      <c r="C17" s="88">
        <f>Ambiti!B44</f>
        <v>0</v>
      </c>
      <c r="D17" s="88">
        <f>Ambiti!C44</f>
        <v>0</v>
      </c>
      <c r="E17" s="88">
        <f>Ambiti!D44</f>
        <v>0</v>
      </c>
    </row>
    <row r="18" spans="2:5" hidden="1" outlineLevel="1" x14ac:dyDescent="0.2">
      <c r="B18" s="88">
        <f>Ambiti!A45</f>
        <v>0</v>
      </c>
      <c r="C18" s="88">
        <f>Ambiti!B45</f>
        <v>0</v>
      </c>
      <c r="D18" s="88">
        <f>Ambiti!C45</f>
        <v>0</v>
      </c>
      <c r="E18" s="88">
        <f>Ambiti!D45</f>
        <v>0</v>
      </c>
    </row>
    <row r="19" spans="2:5" hidden="1" outlineLevel="1" x14ac:dyDescent="0.2">
      <c r="B19" s="88">
        <f>Ambiti!A46</f>
        <v>0</v>
      </c>
      <c r="C19" s="88">
        <f>Ambiti!B46</f>
        <v>0</v>
      </c>
      <c r="D19" s="88">
        <f>Ambiti!C46</f>
        <v>0</v>
      </c>
      <c r="E19" s="88">
        <f>Ambiti!D46</f>
        <v>0</v>
      </c>
    </row>
    <row r="20" spans="2:5" hidden="1" outlineLevel="1" x14ac:dyDescent="0.2">
      <c r="B20" s="88">
        <f>Ambiti!A47</f>
        <v>0</v>
      </c>
      <c r="C20" s="88">
        <f>Ambiti!B47</f>
        <v>0</v>
      </c>
      <c r="D20" s="88">
        <f>Ambiti!C47</f>
        <v>0</v>
      </c>
      <c r="E20" s="88">
        <f>Ambiti!D47</f>
        <v>0</v>
      </c>
    </row>
    <row r="21" spans="2:5" hidden="1" outlineLevel="1" x14ac:dyDescent="0.2">
      <c r="B21" s="88">
        <f>Ambiti!A48</f>
        <v>0</v>
      </c>
      <c r="C21" s="88">
        <f>Ambiti!B48</f>
        <v>0</v>
      </c>
      <c r="D21" s="88">
        <f>Ambiti!C48</f>
        <v>0</v>
      </c>
      <c r="E21" s="88">
        <f>Ambiti!D48</f>
        <v>0</v>
      </c>
    </row>
    <row r="22" spans="2:5" hidden="1" outlineLevel="1" x14ac:dyDescent="0.2">
      <c r="B22" s="88">
        <f>Ambiti!A49</f>
        <v>0</v>
      </c>
      <c r="C22" s="88">
        <f>Ambiti!B49</f>
        <v>0</v>
      </c>
      <c r="D22" s="88">
        <f>Ambiti!C49</f>
        <v>0</v>
      </c>
      <c r="E22" s="88">
        <f>Ambiti!D49</f>
        <v>0</v>
      </c>
    </row>
    <row r="23" spans="2:5" hidden="1" outlineLevel="1" x14ac:dyDescent="0.2">
      <c r="B23" s="88">
        <f>Ambiti!A50</f>
        <v>0</v>
      </c>
      <c r="C23" s="88">
        <f>Ambiti!B50</f>
        <v>0</v>
      </c>
      <c r="D23" s="88">
        <f>Ambiti!C50</f>
        <v>0</v>
      </c>
      <c r="E23" s="88">
        <f>Ambiti!D50</f>
        <v>0</v>
      </c>
    </row>
    <row r="24" spans="2:5" hidden="1" outlineLevel="1" x14ac:dyDescent="0.2">
      <c r="B24" s="88">
        <f>Ambiti!A51</f>
        <v>0</v>
      </c>
      <c r="C24" s="88">
        <f>Ambiti!B51</f>
        <v>0</v>
      </c>
      <c r="D24" s="88">
        <f>Ambiti!C51</f>
        <v>0</v>
      </c>
      <c r="E24" s="88">
        <f>Ambiti!D51</f>
        <v>0</v>
      </c>
    </row>
    <row r="25" spans="2:5" hidden="1" outlineLevel="1" x14ac:dyDescent="0.2">
      <c r="B25" s="88">
        <f>Ambiti!A52</f>
        <v>0</v>
      </c>
      <c r="C25" s="88">
        <f>Ambiti!B52</f>
        <v>0</v>
      </c>
      <c r="D25" s="88">
        <f>Ambiti!C52</f>
        <v>0</v>
      </c>
      <c r="E25" s="88">
        <f>Ambiti!D52</f>
        <v>0</v>
      </c>
    </row>
    <row r="26" spans="2:5" hidden="1" outlineLevel="1" x14ac:dyDescent="0.2">
      <c r="B26" s="88">
        <f>Ambiti!A53</f>
        <v>0</v>
      </c>
      <c r="C26" s="88">
        <f>Ambiti!B53</f>
        <v>0</v>
      </c>
      <c r="D26" s="88">
        <f>Ambiti!C53</f>
        <v>0</v>
      </c>
      <c r="E26" s="88">
        <f>Ambiti!D53</f>
        <v>0</v>
      </c>
    </row>
    <row r="27" spans="2:5" hidden="1" outlineLevel="1" x14ac:dyDescent="0.2">
      <c r="B27" s="88">
        <f>Ambiti!A54</f>
        <v>0</v>
      </c>
      <c r="C27" s="88">
        <f>Ambiti!B54</f>
        <v>0</v>
      </c>
      <c r="D27" s="88">
        <f>Ambiti!C54</f>
        <v>0</v>
      </c>
      <c r="E27" s="88">
        <f>Ambiti!D54</f>
        <v>0</v>
      </c>
    </row>
    <row r="28" spans="2:5" hidden="1" outlineLevel="1" x14ac:dyDescent="0.2">
      <c r="B28" s="88">
        <f>Ambiti!A55</f>
        <v>0</v>
      </c>
      <c r="C28" s="88">
        <f>Ambiti!B55</f>
        <v>0</v>
      </c>
      <c r="D28" s="88">
        <f>Ambiti!C55</f>
        <v>0</v>
      </c>
      <c r="E28" s="88">
        <f>Ambiti!D55</f>
        <v>0</v>
      </c>
    </row>
    <row r="29" spans="2:5" hidden="1" outlineLevel="1" x14ac:dyDescent="0.2">
      <c r="B29" s="88">
        <f>Ambiti!A56</f>
        <v>0</v>
      </c>
      <c r="C29" s="88">
        <f>Ambiti!B56</f>
        <v>0</v>
      </c>
      <c r="D29" s="88">
        <f>Ambiti!C56</f>
        <v>0</v>
      </c>
      <c r="E29" s="88">
        <f>Ambiti!D56</f>
        <v>0</v>
      </c>
    </row>
    <row r="30" spans="2:5" hidden="1" outlineLevel="1" x14ac:dyDescent="0.2">
      <c r="B30" s="88">
        <f>Ambiti!A57</f>
        <v>0</v>
      </c>
      <c r="C30" s="88">
        <f>Ambiti!B57</f>
        <v>0</v>
      </c>
      <c r="D30" s="88">
        <f>Ambiti!C57</f>
        <v>0</v>
      </c>
      <c r="E30" s="88">
        <f>Ambiti!D57</f>
        <v>0</v>
      </c>
    </row>
    <row r="31" spans="2:5" hidden="1" outlineLevel="1" x14ac:dyDescent="0.2">
      <c r="B31" s="88">
        <f>Ambiti!A58</f>
        <v>0</v>
      </c>
      <c r="C31" s="88">
        <f>Ambiti!B58</f>
        <v>0</v>
      </c>
      <c r="D31" s="88">
        <f>Ambiti!C58</f>
        <v>0</v>
      </c>
      <c r="E31" s="88">
        <f>Ambiti!D58</f>
        <v>0</v>
      </c>
    </row>
    <row r="32" spans="2:5" hidden="1" outlineLevel="1" x14ac:dyDescent="0.2">
      <c r="B32" s="88">
        <f>Ambiti!A59</f>
        <v>0</v>
      </c>
      <c r="C32" s="88">
        <f>Ambiti!B59</f>
        <v>0</v>
      </c>
      <c r="D32" s="88">
        <f>Ambiti!C59</f>
        <v>0</v>
      </c>
      <c r="E32" s="88">
        <f>Ambiti!D59</f>
        <v>0</v>
      </c>
    </row>
    <row r="33" spans="2:5" hidden="1" outlineLevel="1" x14ac:dyDescent="0.2">
      <c r="B33" s="88">
        <f>Ambiti!A60</f>
        <v>0</v>
      </c>
      <c r="C33" s="88">
        <f>Ambiti!B60</f>
        <v>0</v>
      </c>
      <c r="D33" s="88">
        <f>Ambiti!C60</f>
        <v>0</v>
      </c>
      <c r="E33" s="88">
        <f>Ambiti!D60</f>
        <v>0</v>
      </c>
    </row>
    <row r="34" spans="2:5" hidden="1" outlineLevel="1" x14ac:dyDescent="0.2">
      <c r="B34" s="88">
        <f>Ambiti!A61</f>
        <v>0</v>
      </c>
      <c r="C34" s="88">
        <f>Ambiti!B61</f>
        <v>0</v>
      </c>
      <c r="D34" s="88">
        <f>Ambiti!C61</f>
        <v>0</v>
      </c>
      <c r="E34" s="88">
        <f>Ambiti!D61</f>
        <v>0</v>
      </c>
    </row>
    <row r="35" spans="2:5" hidden="1" outlineLevel="1" x14ac:dyDescent="0.2">
      <c r="B35" s="88">
        <f>Ambiti!A62</f>
        <v>0</v>
      </c>
      <c r="C35" s="88">
        <f>Ambiti!B62</f>
        <v>0</v>
      </c>
      <c r="D35" s="88">
        <f>Ambiti!C62</f>
        <v>0</v>
      </c>
      <c r="E35" s="88">
        <f>Ambiti!D62</f>
        <v>0</v>
      </c>
    </row>
    <row r="36" spans="2:5" hidden="1" outlineLevel="1" x14ac:dyDescent="0.2">
      <c r="B36" s="88">
        <f>Ambiti!A63</f>
        <v>0</v>
      </c>
      <c r="C36" s="88">
        <f>Ambiti!B63</f>
        <v>0</v>
      </c>
      <c r="D36" s="88">
        <f>Ambiti!C63</f>
        <v>0</v>
      </c>
      <c r="E36" s="88">
        <f>Ambiti!D63</f>
        <v>0</v>
      </c>
    </row>
    <row r="37" spans="2:5" hidden="1" outlineLevel="1" x14ac:dyDescent="0.2">
      <c r="B37" s="88">
        <f>Ambiti!A64</f>
        <v>0</v>
      </c>
      <c r="C37" s="88">
        <f>Ambiti!B64</f>
        <v>0</v>
      </c>
      <c r="D37" s="88">
        <f>Ambiti!C64</f>
        <v>0</v>
      </c>
      <c r="E37" s="88">
        <f>Ambiti!D64</f>
        <v>0</v>
      </c>
    </row>
    <row r="38" spans="2:5" hidden="1" outlineLevel="1" x14ac:dyDescent="0.2">
      <c r="B38" s="88">
        <f>Ambiti!A65</f>
        <v>0</v>
      </c>
      <c r="C38" s="88">
        <f>Ambiti!B65</f>
        <v>0</v>
      </c>
      <c r="D38" s="88">
        <f>Ambiti!C65</f>
        <v>0</v>
      </c>
      <c r="E38" s="88">
        <f>Ambiti!D65</f>
        <v>0</v>
      </c>
    </row>
    <row r="39" spans="2:5" hidden="1" outlineLevel="1" x14ac:dyDescent="0.2">
      <c r="B39" s="88">
        <f>Ambiti!A66</f>
        <v>0</v>
      </c>
      <c r="C39" s="88">
        <f>Ambiti!B66</f>
        <v>0</v>
      </c>
      <c r="D39" s="88">
        <f>Ambiti!C66</f>
        <v>0</v>
      </c>
      <c r="E39" s="88">
        <f>Ambiti!D66</f>
        <v>0</v>
      </c>
    </row>
    <row r="40" spans="2:5" hidden="1" outlineLevel="1" x14ac:dyDescent="0.2">
      <c r="B40" s="88">
        <f>Ambiti!A67</f>
        <v>0</v>
      </c>
      <c r="C40" s="88">
        <f>Ambiti!B67</f>
        <v>0</v>
      </c>
      <c r="D40" s="88">
        <f>Ambiti!C67</f>
        <v>0</v>
      </c>
      <c r="E40" s="88">
        <f>Ambiti!D67</f>
        <v>0</v>
      </c>
    </row>
    <row r="41" spans="2:5" hidden="1" outlineLevel="1" x14ac:dyDescent="0.2">
      <c r="B41" s="88">
        <f>Ambiti!A68</f>
        <v>0</v>
      </c>
      <c r="C41" s="88">
        <f>Ambiti!B68</f>
        <v>0</v>
      </c>
      <c r="D41" s="88">
        <f>Ambiti!C68</f>
        <v>0</v>
      </c>
      <c r="E41" s="88">
        <f>Ambiti!D68</f>
        <v>0</v>
      </c>
    </row>
    <row r="42" spans="2:5" hidden="1" outlineLevel="1" x14ac:dyDescent="0.2">
      <c r="B42" s="88">
        <f>Ambiti!A69</f>
        <v>0</v>
      </c>
      <c r="C42" s="88">
        <f>Ambiti!B69</f>
        <v>0</v>
      </c>
      <c r="D42" s="88">
        <f>Ambiti!C69</f>
        <v>0</v>
      </c>
      <c r="E42" s="88">
        <f>Ambiti!D69</f>
        <v>0</v>
      </c>
    </row>
    <row r="43" spans="2:5" hidden="1" outlineLevel="1" x14ac:dyDescent="0.2">
      <c r="B43" s="88">
        <f>Ambiti!A70</f>
        <v>0</v>
      </c>
      <c r="C43" s="88">
        <f>Ambiti!B70</f>
        <v>0</v>
      </c>
      <c r="D43" s="88">
        <f>Ambiti!C70</f>
        <v>0</v>
      </c>
      <c r="E43" s="88">
        <f>Ambiti!D70</f>
        <v>0</v>
      </c>
    </row>
    <row r="44" spans="2:5" hidden="1" outlineLevel="1" x14ac:dyDescent="0.2">
      <c r="B44" s="88">
        <f>Ambiti!A71</f>
        <v>0</v>
      </c>
      <c r="C44" s="88">
        <f>Ambiti!B71</f>
        <v>0</v>
      </c>
      <c r="D44" s="88">
        <f>Ambiti!C71</f>
        <v>0</v>
      </c>
      <c r="E44" s="88">
        <f>Ambiti!D71</f>
        <v>0</v>
      </c>
    </row>
    <row r="45" spans="2:5" hidden="1" outlineLevel="1" x14ac:dyDescent="0.2">
      <c r="B45" s="88">
        <f>Ambiti!A72</f>
        <v>0</v>
      </c>
      <c r="C45" s="88">
        <f>Ambiti!B72</f>
        <v>0</v>
      </c>
      <c r="D45" s="88">
        <f>Ambiti!C72</f>
        <v>0</v>
      </c>
      <c r="E45" s="88">
        <f>Ambiti!D72</f>
        <v>0</v>
      </c>
    </row>
    <row r="46" spans="2:5" hidden="1" outlineLevel="1" x14ac:dyDescent="0.2">
      <c r="B46" s="88">
        <f>Ambiti!A73</f>
        <v>0</v>
      </c>
      <c r="C46" s="88">
        <f>Ambiti!B73</f>
        <v>0</v>
      </c>
      <c r="D46" s="88">
        <f>Ambiti!C73</f>
        <v>0</v>
      </c>
      <c r="E46" s="88">
        <f>Ambiti!D73</f>
        <v>0</v>
      </c>
    </row>
    <row r="47" spans="2:5" hidden="1" outlineLevel="1" x14ac:dyDescent="0.2">
      <c r="B47" s="88">
        <f>Ambiti!A74</f>
        <v>0</v>
      </c>
      <c r="C47" s="88">
        <f>Ambiti!B74</f>
        <v>0</v>
      </c>
      <c r="D47" s="88">
        <f>Ambiti!C74</f>
        <v>0</v>
      </c>
      <c r="E47" s="88">
        <f>Ambiti!D74</f>
        <v>0</v>
      </c>
    </row>
    <row r="48" spans="2:5" hidden="1" outlineLevel="1" x14ac:dyDescent="0.2">
      <c r="B48" s="88">
        <f>Ambiti!A75</f>
        <v>0</v>
      </c>
      <c r="C48" s="88">
        <f>Ambiti!B75</f>
        <v>0</v>
      </c>
      <c r="D48" s="88">
        <f>Ambiti!C75</f>
        <v>0</v>
      </c>
      <c r="E48" s="88">
        <f>Ambiti!D75</f>
        <v>0</v>
      </c>
    </row>
    <row r="49" spans="2:5" hidden="1" outlineLevel="1" x14ac:dyDescent="0.2">
      <c r="B49" s="88">
        <f>Ambiti!A76</f>
        <v>0</v>
      </c>
      <c r="C49" s="88">
        <f>Ambiti!B76</f>
        <v>0</v>
      </c>
      <c r="D49" s="88">
        <f>Ambiti!C76</f>
        <v>0</v>
      </c>
      <c r="E49" s="88">
        <f>Ambiti!D76</f>
        <v>0</v>
      </c>
    </row>
    <row r="50" spans="2:5" hidden="1" outlineLevel="1" x14ac:dyDescent="0.2">
      <c r="B50" s="88">
        <f>Ambiti!A77</f>
        <v>0</v>
      </c>
      <c r="C50" s="88">
        <f>Ambiti!B77</f>
        <v>0</v>
      </c>
      <c r="D50" s="88">
        <f>Ambiti!C77</f>
        <v>0</v>
      </c>
      <c r="E50" s="88">
        <f>Ambiti!D77</f>
        <v>0</v>
      </c>
    </row>
    <row r="51" spans="2:5" hidden="1" outlineLevel="1" x14ac:dyDescent="0.2">
      <c r="B51" s="88">
        <f>Ambiti!A78</f>
        <v>0</v>
      </c>
      <c r="C51" s="88">
        <f>Ambiti!B78</f>
        <v>0</v>
      </c>
      <c r="D51" s="88">
        <f>Ambiti!C78</f>
        <v>0</v>
      </c>
      <c r="E51" s="88">
        <f>Ambiti!D78</f>
        <v>0</v>
      </c>
    </row>
    <row r="52" spans="2:5" hidden="1" outlineLevel="1" x14ac:dyDescent="0.2">
      <c r="B52" s="88">
        <f>Ambiti!A79</f>
        <v>0</v>
      </c>
      <c r="C52" s="88">
        <f>Ambiti!B79</f>
        <v>0</v>
      </c>
      <c r="D52" s="88">
        <f>Ambiti!C79</f>
        <v>0</v>
      </c>
      <c r="E52" s="88">
        <f>Ambiti!D79</f>
        <v>0</v>
      </c>
    </row>
    <row r="53" spans="2:5" hidden="1" outlineLevel="1" x14ac:dyDescent="0.2">
      <c r="B53" s="88">
        <f>Ambiti!A80</f>
        <v>0</v>
      </c>
      <c r="C53" s="88">
        <f>Ambiti!B80</f>
        <v>0</v>
      </c>
      <c r="D53" s="88">
        <f>Ambiti!C80</f>
        <v>0</v>
      </c>
      <c r="E53" s="88">
        <f>Ambiti!D80</f>
        <v>0</v>
      </c>
    </row>
    <row r="54" spans="2:5" hidden="1" outlineLevel="1" x14ac:dyDescent="0.2">
      <c r="B54" s="88">
        <f>Ambiti!A81</f>
        <v>0</v>
      </c>
      <c r="C54" s="88">
        <f>Ambiti!B81</f>
        <v>0</v>
      </c>
      <c r="D54" s="88">
        <f>Ambiti!C81</f>
        <v>0</v>
      </c>
      <c r="E54" s="88">
        <f>Ambiti!D81</f>
        <v>0</v>
      </c>
    </row>
    <row r="55" spans="2:5" hidden="1" outlineLevel="1" x14ac:dyDescent="0.2">
      <c r="B55" s="88">
        <f>Ambiti!A82</f>
        <v>0</v>
      </c>
      <c r="C55" s="88">
        <f>Ambiti!B82</f>
        <v>0</v>
      </c>
      <c r="D55" s="88">
        <f>Ambiti!C82</f>
        <v>0</v>
      </c>
      <c r="E55" s="88">
        <f>Ambiti!D82</f>
        <v>0</v>
      </c>
    </row>
    <row r="56" spans="2:5" hidden="1" outlineLevel="1" x14ac:dyDescent="0.2">
      <c r="B56" s="88">
        <f>Ambiti!A83</f>
        <v>0</v>
      </c>
      <c r="C56" s="88">
        <f>Ambiti!B83</f>
        <v>0</v>
      </c>
      <c r="D56" s="88">
        <f>Ambiti!C83</f>
        <v>0</v>
      </c>
      <c r="E56" s="88">
        <f>Ambiti!D83</f>
        <v>0</v>
      </c>
    </row>
    <row r="57" spans="2:5" hidden="1" outlineLevel="1" x14ac:dyDescent="0.2">
      <c r="B57" s="88">
        <f>Ambiti!A84</f>
        <v>0</v>
      </c>
      <c r="C57" s="88">
        <f>Ambiti!B84</f>
        <v>0</v>
      </c>
      <c r="D57" s="88">
        <f>Ambiti!C84</f>
        <v>0</v>
      </c>
      <c r="E57" s="88">
        <f>Ambiti!D84</f>
        <v>0</v>
      </c>
    </row>
    <row r="58" spans="2:5" hidden="1" outlineLevel="1" x14ac:dyDescent="0.2">
      <c r="B58" s="88">
        <f>Ambiti!A85</f>
        <v>0</v>
      </c>
      <c r="C58" s="88">
        <f>Ambiti!B85</f>
        <v>0</v>
      </c>
      <c r="D58" s="88">
        <f>Ambiti!C85</f>
        <v>0</v>
      </c>
      <c r="E58" s="88">
        <f>Ambiti!D85</f>
        <v>0</v>
      </c>
    </row>
    <row r="59" spans="2:5" hidden="1" outlineLevel="1" x14ac:dyDescent="0.2">
      <c r="B59" s="88">
        <f>Ambiti!A86</f>
        <v>0</v>
      </c>
      <c r="C59" s="88">
        <f>Ambiti!B86</f>
        <v>0</v>
      </c>
      <c r="D59" s="88">
        <f>Ambiti!C86</f>
        <v>0</v>
      </c>
      <c r="E59" s="88">
        <f>Ambiti!D86</f>
        <v>0</v>
      </c>
    </row>
    <row r="60" spans="2:5" hidden="1" outlineLevel="1" x14ac:dyDescent="0.2">
      <c r="B60" s="88">
        <f>Ambiti!A87</f>
        <v>0</v>
      </c>
      <c r="C60" s="88">
        <f>Ambiti!B87</f>
        <v>0</v>
      </c>
      <c r="D60" s="88">
        <f>Ambiti!C87</f>
        <v>0</v>
      </c>
      <c r="E60" s="88">
        <f>Ambiti!D87</f>
        <v>0</v>
      </c>
    </row>
    <row r="61" spans="2:5" hidden="1" outlineLevel="1" x14ac:dyDescent="0.2">
      <c r="B61" s="88">
        <f>Ambiti!A88</f>
        <v>0</v>
      </c>
      <c r="C61" s="88">
        <f>Ambiti!B88</f>
        <v>0</v>
      </c>
      <c r="D61" s="88">
        <f>Ambiti!C88</f>
        <v>0</v>
      </c>
      <c r="E61" s="88">
        <f>Ambiti!D88</f>
        <v>0</v>
      </c>
    </row>
    <row r="62" spans="2:5" hidden="1" outlineLevel="1" x14ac:dyDescent="0.2">
      <c r="B62" s="88">
        <f>Ambiti!A89</f>
        <v>0</v>
      </c>
      <c r="C62" s="88">
        <f>Ambiti!B89</f>
        <v>0</v>
      </c>
      <c r="D62" s="88">
        <f>Ambiti!C89</f>
        <v>0</v>
      </c>
      <c r="E62" s="88">
        <f>Ambiti!D89</f>
        <v>0</v>
      </c>
    </row>
    <row r="63" spans="2:5" hidden="1" outlineLevel="1" x14ac:dyDescent="0.2">
      <c r="B63" s="88">
        <f>Ambiti!A90</f>
        <v>0</v>
      </c>
      <c r="C63" s="88">
        <f>Ambiti!B90</f>
        <v>0</v>
      </c>
      <c r="D63" s="88">
        <f>Ambiti!C90</f>
        <v>0</v>
      </c>
      <c r="E63" s="88">
        <f>Ambiti!D90</f>
        <v>0</v>
      </c>
    </row>
    <row r="64" spans="2:5" hidden="1" outlineLevel="1" x14ac:dyDescent="0.2">
      <c r="B64" s="88">
        <f>Ambiti!A91</f>
        <v>0</v>
      </c>
      <c r="C64" s="88">
        <f>Ambiti!B91</f>
        <v>0</v>
      </c>
      <c r="D64" s="88">
        <f>Ambiti!C91</f>
        <v>0</v>
      </c>
      <c r="E64" s="88">
        <f>Ambiti!D91</f>
        <v>0</v>
      </c>
    </row>
    <row r="65" spans="1:5" hidden="1" outlineLevel="1" x14ac:dyDescent="0.2">
      <c r="B65" s="88">
        <f>Ambiti!A92</f>
        <v>0</v>
      </c>
      <c r="C65" s="88">
        <f>Ambiti!B92</f>
        <v>0</v>
      </c>
      <c r="D65" s="88">
        <f>Ambiti!C92</f>
        <v>0</v>
      </c>
      <c r="E65" s="88">
        <f>Ambiti!D92</f>
        <v>0</v>
      </c>
    </row>
    <row r="66" spans="1:5" hidden="1" outlineLevel="1" x14ac:dyDescent="0.2">
      <c r="B66" s="88">
        <f>Ambiti!A93</f>
        <v>0</v>
      </c>
      <c r="C66" s="88">
        <f>Ambiti!B93</f>
        <v>0</v>
      </c>
      <c r="D66" s="88">
        <f>Ambiti!C93</f>
        <v>0</v>
      </c>
      <c r="E66" s="88">
        <f>Ambiti!D93</f>
        <v>0</v>
      </c>
    </row>
    <row r="67" spans="1:5" hidden="1" outlineLevel="1" x14ac:dyDescent="0.2">
      <c r="B67" s="88">
        <f>Ambiti!A94</f>
        <v>0</v>
      </c>
      <c r="C67" s="88">
        <f>Ambiti!B94</f>
        <v>0</v>
      </c>
      <c r="D67" s="88">
        <f>Ambiti!C94</f>
        <v>0</v>
      </c>
      <c r="E67" s="88">
        <f>Ambiti!D94</f>
        <v>0</v>
      </c>
    </row>
    <row r="68" spans="1:5" collapsed="1" x14ac:dyDescent="0.2"/>
    <row r="69" spans="1:5" x14ac:dyDescent="0.2">
      <c r="B69" s="72">
        <v>2026</v>
      </c>
    </row>
    <row r="70" spans="1:5" ht="11.4" x14ac:dyDescent="0.2">
      <c r="A70" s="7" t="s">
        <v>6041</v>
      </c>
      <c r="B70" s="192" t="s">
        <v>6045</v>
      </c>
      <c r="C70" s="866" t="str">
        <f>IF(C$5="NO","-",INDEX(IN_Rimd!$A$3:$AAA$427,MATCH($A70,IN_Rimd!$A$3:$A$427,0),MATCH(C$3,IN_Rimd!$A$3:$AAA$3,0)))</f>
        <v>-</v>
      </c>
      <c r="D70" s="866" t="str">
        <f>IF(D$5="NO","-",INDEX(IN_Rimd!$A$3:$AAA$427,MATCH($A70,IN_Rimd!$A$3:$A$427,0),MATCH(D$3,IN_Rimd!$A$3:$AAA$3,0)))</f>
        <v>-</v>
      </c>
      <c r="E70" s="866" t="str">
        <f>IF(E$5="NO","-",INDEX(IN_Rimd!$A$3:$AAA$427,MATCH($A70,IN_Rimd!$A$3:$A$427,0),MATCH(E$3,IN_Rimd!$A$3:$AAA$3,0)))</f>
        <v>-</v>
      </c>
    </row>
    <row r="71" spans="1:5" ht="11.4" x14ac:dyDescent="0.2">
      <c r="A71" s="7" t="s">
        <v>6042</v>
      </c>
      <c r="B71" s="869" t="s">
        <v>6046</v>
      </c>
      <c r="C71" s="870" t="str">
        <f>IF(C$5="NO","-",INDEX(IN_Rimd!$A$3:$AAA$427,MATCH($A71,IN_Rimd!$A$3:$A$427,0),MATCH(C$3,IN_Rimd!$A$3:$AAA$3,0)))</f>
        <v>-</v>
      </c>
      <c r="D71" s="870" t="str">
        <f>IF(D$5="NO","-",INDEX(IN_Rimd!$A$3:$AAA$427,MATCH($A71,IN_Rimd!$A$3:$A$427,0),MATCH(D$3,IN_Rimd!$A$3:$AAA$3,0)))</f>
        <v>-</v>
      </c>
      <c r="E71" s="870" t="str">
        <f>IF(E$5="NO","-",INDEX(IN_Rimd!$A$3:$AAA$427,MATCH($A71,IN_Rimd!$A$3:$A$427,0),MATCH(E$3,IN_Rimd!$A$3:$AAA$3,0)))</f>
        <v>-</v>
      </c>
    </row>
    <row r="72" spans="1:5" ht="11.4" x14ac:dyDescent="0.2">
      <c r="A72" s="7" t="s">
        <v>1309</v>
      </c>
      <c r="B72" s="717" t="s">
        <v>6047</v>
      </c>
      <c r="C72" s="867" t="str">
        <f>IF(C$5="NO","-",INDEX(IN_Rimd!$A$3:$AAA$427,MATCH($A72,IN_Rimd!$A$3:$A$427,0),MATCH(C$3,IN_Rimd!$A$3:$AAA$3,0)))</f>
        <v>-</v>
      </c>
      <c r="D72" s="867" t="str">
        <f>IF(D$5="NO","-",INDEX(IN_Rimd!$A$3:$AAA$427,MATCH($A72,IN_Rimd!$A$3:$A$427,0),MATCH(D$3,IN_Rimd!$A$3:$AAA$3,0)))</f>
        <v>-</v>
      </c>
      <c r="E72" s="867" t="str">
        <f>IF(E$5="NO","-",INDEX(IN_Rimd!$A$3:$AAA$427,MATCH($A72,IN_Rimd!$A$3:$A$427,0),MATCH(E$3,IN_Rimd!$A$3:$AAA$3,0)))</f>
        <v>-</v>
      </c>
    </row>
    <row r="73" spans="1:5" ht="11.4" x14ac:dyDescent="0.2">
      <c r="A73" s="7" t="s">
        <v>6043</v>
      </c>
      <c r="B73" s="192" t="s">
        <v>6048</v>
      </c>
      <c r="C73" s="866" t="str">
        <f>IF(C$5="NO","-",INDEX(IN_Rimd!$A$3:$AAA$427,MATCH($A73,IN_Rimd!$A$3:$A$427,0),MATCH(C$3,IN_Rimd!$A$3:$AAA$3,0)))</f>
        <v>-</v>
      </c>
      <c r="D73" s="866" t="str">
        <f>IF(D$5="NO","-",INDEX(IN_Rimd!$A$3:$AAA$427,MATCH($A73,IN_Rimd!$A$3:$A$427,0),MATCH(D$3,IN_Rimd!$A$3:$AAA$3,0)))</f>
        <v>-</v>
      </c>
      <c r="E73" s="866" t="str">
        <f>IF(E$5="NO","-",INDEX(IN_Rimd!$A$3:$AAA$427,MATCH($A73,IN_Rimd!$A$3:$A$427,0),MATCH(E$3,IN_Rimd!$A$3:$AAA$3,0)))</f>
        <v>-</v>
      </c>
    </row>
    <row r="74" spans="1:5" ht="11.4" x14ac:dyDescent="0.2">
      <c r="A74" s="7" t="s">
        <v>6044</v>
      </c>
      <c r="B74" s="869" t="s">
        <v>6049</v>
      </c>
      <c r="C74" s="870" t="str">
        <f>IF(C$5="NO","-",INDEX(IN_Rimd!$A$3:$AAA$427,MATCH($A74,IN_Rimd!$A$3:$A$427,0),MATCH(C$3,IN_Rimd!$A$3:$AAA$3,0)))</f>
        <v>-</v>
      </c>
      <c r="D74" s="870" t="str">
        <f>IF(D$5="NO","-",INDEX(IN_Rimd!$A$3:$AAA$427,MATCH($A74,IN_Rimd!$A$3:$A$427,0),MATCH(D$3,IN_Rimd!$A$3:$AAA$3,0)))</f>
        <v>-</v>
      </c>
      <c r="E74" s="870" t="str">
        <f>IF(E$5="NO","-",INDEX(IN_Rimd!$A$3:$AAA$427,MATCH($A74,IN_Rimd!$A$3:$A$427,0),MATCH(E$3,IN_Rimd!$A$3:$AAA$3,0)))</f>
        <v>-</v>
      </c>
    </row>
    <row r="75" spans="1:5" ht="11.4" x14ac:dyDescent="0.2">
      <c r="A75" s="7" t="s">
        <v>1310</v>
      </c>
      <c r="B75" s="717" t="s">
        <v>6050</v>
      </c>
      <c r="C75" s="867" t="str">
        <f>IF(C$5="NO","-",INDEX(IN_Rimd!$A$3:$AAA$427,MATCH($A75,IN_Rimd!$A$3:$A$427,0),MATCH(C$3,IN_Rimd!$A$3:$AAA$3,0)))</f>
        <v>-</v>
      </c>
      <c r="D75" s="867" t="str">
        <f>IF(D$5="NO","-",INDEX(IN_Rimd!$A$3:$AAA$427,MATCH($A75,IN_Rimd!$A$3:$A$427,0),MATCH(D$3,IN_Rimd!$A$3:$AAA$3,0)))</f>
        <v>-</v>
      </c>
      <c r="E75" s="867" t="str">
        <f>IF(E$5="NO","-",INDEX(IN_Rimd!$A$3:$AAA$427,MATCH($A75,IN_Rimd!$A$3:$A$427,0),MATCH(E$3,IN_Rimd!$A$3:$AAA$3,0)))</f>
        <v>-</v>
      </c>
    </row>
    <row r="76" spans="1:5" ht="11.4" x14ac:dyDescent="0.2">
      <c r="A76" s="7" t="s">
        <v>1311</v>
      </c>
      <c r="B76" s="720" t="s">
        <v>6051</v>
      </c>
      <c r="C76" s="868" t="str">
        <f>IF(C$5="NO","-",INDEX(IN_Rimd!$A$3:$AAA$427,MATCH($A76,IN_Rimd!$A$3:$A$427,0),MATCH(C$3,IN_Rimd!$A$3:$AAA$3,0)))</f>
        <v>-</v>
      </c>
      <c r="D76" s="868" t="str">
        <f>IF(D$5="NO","-",INDEX(IN_Rimd!$A$3:$AAA$427,MATCH($A76,IN_Rimd!$A$3:$A$427,0),MATCH(D$3,IN_Rimd!$A$3:$AAA$3,0)))</f>
        <v>-</v>
      </c>
      <c r="E76" s="868" t="str">
        <f>IF(E$5="NO","-",INDEX(IN_Rimd!$A$3:$AAA$427,MATCH($A76,IN_Rimd!$A$3:$A$427,0),MATCH(E$3,IN_Rimd!$A$3:$AAA$3,0)))</f>
        <v>-</v>
      </c>
    </row>
    <row r="78" spans="1:5" x14ac:dyDescent="0.2">
      <c r="B78" s="72">
        <v>2027</v>
      </c>
    </row>
    <row r="79" spans="1:5" ht="11.4" x14ac:dyDescent="0.2">
      <c r="A79" s="7" t="s">
        <v>6105</v>
      </c>
      <c r="B79" s="192" t="s">
        <v>6133</v>
      </c>
      <c r="C79" s="866" t="str">
        <f>IF(C$5="NO","-",INDEX(IN_Rimd!$A$3:$AAA$427,MATCH($A79,IN_Rimd!$A$3:$A$427,0),MATCH(C$3,IN_Rimd!$A$3:$AAA$3,0)))</f>
        <v>-</v>
      </c>
      <c r="D79" s="866" t="str">
        <f>IF(D$5="NO","-",INDEX(IN_Rimd!$A$3:$AAA$427,MATCH($A79,IN_Rimd!$A$3:$A$427,0),MATCH(D$3,IN_Rimd!$A$3:$AAA$3,0)))</f>
        <v>-</v>
      </c>
      <c r="E79" s="866" t="str">
        <f>IF(E$5="NO","-",INDEX(IN_Rimd!$A$3:$AAA$427,MATCH($A79,IN_Rimd!$A$3:$A$427,0),MATCH(E$3,IN_Rimd!$A$3:$AAA$3,0)))</f>
        <v>-</v>
      </c>
    </row>
    <row r="80" spans="1:5" ht="11.4" x14ac:dyDescent="0.2">
      <c r="A80" s="7" t="s">
        <v>6106</v>
      </c>
      <c r="B80" s="869" t="s">
        <v>6134</v>
      </c>
      <c r="C80" s="870" t="str">
        <f>IF(C$5="NO","-",INDEX(IN_Rimd!$A$3:$AAA$427,MATCH($A80,IN_Rimd!$A$3:$A$427,0),MATCH(C$3,IN_Rimd!$A$3:$AAA$3,0)))</f>
        <v>-</v>
      </c>
      <c r="D80" s="870" t="str">
        <f>IF(D$5="NO","-",INDEX(IN_Rimd!$A$3:$AAA$427,MATCH($A80,IN_Rimd!$A$3:$A$427,0),MATCH(D$3,IN_Rimd!$A$3:$AAA$3,0)))</f>
        <v>-</v>
      </c>
      <c r="E80" s="870" t="str">
        <f>IF(E$5="NO","-",INDEX(IN_Rimd!$A$3:$AAA$427,MATCH($A80,IN_Rimd!$A$3:$A$427,0),MATCH(E$3,IN_Rimd!$A$3:$AAA$3,0)))</f>
        <v>-</v>
      </c>
    </row>
    <row r="81" spans="1:5" ht="11.4" x14ac:dyDescent="0.2">
      <c r="A81" s="7" t="s">
        <v>1322</v>
      </c>
      <c r="B81" s="717" t="s">
        <v>6135</v>
      </c>
      <c r="C81" s="867" t="str">
        <f>IF(C$5="NO","-",INDEX(IN_Rimd!$A$3:$AAA$427,MATCH($A81,IN_Rimd!$A$3:$A$427,0),MATCH(C$3,IN_Rimd!$A$3:$AAA$3,0)))</f>
        <v>-</v>
      </c>
      <c r="D81" s="867" t="str">
        <f>IF(D$5="NO","-",INDEX(IN_Rimd!$A$3:$AAA$427,MATCH($A81,IN_Rimd!$A$3:$A$427,0),MATCH(D$3,IN_Rimd!$A$3:$AAA$3,0)))</f>
        <v>-</v>
      </c>
      <c r="E81" s="867" t="str">
        <f>IF(E$5="NO","-",INDEX(IN_Rimd!$A$3:$AAA$427,MATCH($A81,IN_Rimd!$A$3:$A$427,0),MATCH(E$3,IN_Rimd!$A$3:$AAA$3,0)))</f>
        <v>-</v>
      </c>
    </row>
    <row r="82" spans="1:5" ht="11.4" x14ac:dyDescent="0.2">
      <c r="A82" s="7" t="s">
        <v>6107</v>
      </c>
      <c r="B82" s="192" t="s">
        <v>6136</v>
      </c>
      <c r="C82" s="866" t="str">
        <f>IF(C$5="NO","-",INDEX(IN_Rimd!$A$3:$AAA$427,MATCH($A82,IN_Rimd!$A$3:$A$427,0),MATCH(C$3,IN_Rimd!$A$3:$AAA$3,0)))</f>
        <v>-</v>
      </c>
      <c r="D82" s="866" t="str">
        <f>IF(D$5="NO","-",INDEX(IN_Rimd!$A$3:$AAA$427,MATCH($A82,IN_Rimd!$A$3:$A$427,0),MATCH(D$3,IN_Rimd!$A$3:$AAA$3,0)))</f>
        <v>-</v>
      </c>
      <c r="E82" s="866" t="str">
        <f>IF(E$5="NO","-",INDEX(IN_Rimd!$A$3:$AAA$427,MATCH($A82,IN_Rimd!$A$3:$A$427,0),MATCH(E$3,IN_Rimd!$A$3:$AAA$3,0)))</f>
        <v>-</v>
      </c>
    </row>
    <row r="83" spans="1:5" ht="11.4" x14ac:dyDescent="0.2">
      <c r="A83" s="7" t="s">
        <v>6108</v>
      </c>
      <c r="B83" s="869" t="s">
        <v>6137</v>
      </c>
      <c r="C83" s="870" t="str">
        <f>IF(C$5="NO","-",INDEX(IN_Rimd!$A$3:$AAA$427,MATCH($A83,IN_Rimd!$A$3:$A$427,0),MATCH(C$3,IN_Rimd!$A$3:$AAA$3,0)))</f>
        <v>-</v>
      </c>
      <c r="D83" s="870" t="str">
        <f>IF(D$5="NO","-",INDEX(IN_Rimd!$A$3:$AAA$427,MATCH($A83,IN_Rimd!$A$3:$A$427,0),MATCH(D$3,IN_Rimd!$A$3:$AAA$3,0)))</f>
        <v>-</v>
      </c>
      <c r="E83" s="870" t="str">
        <f>IF(E$5="NO","-",INDEX(IN_Rimd!$A$3:$AAA$427,MATCH($A83,IN_Rimd!$A$3:$A$427,0),MATCH(E$3,IN_Rimd!$A$3:$AAA$3,0)))</f>
        <v>-</v>
      </c>
    </row>
    <row r="84" spans="1:5" ht="11.4" x14ac:dyDescent="0.2">
      <c r="A84" s="7" t="s">
        <v>1323</v>
      </c>
      <c r="B84" s="717" t="s">
        <v>6138</v>
      </c>
      <c r="C84" s="867" t="str">
        <f>IF(C$5="NO","-",INDEX(IN_Rimd!$A$3:$AAA$427,MATCH($A84,IN_Rimd!$A$3:$A$427,0),MATCH(C$3,IN_Rimd!$A$3:$AAA$3,0)))</f>
        <v>-</v>
      </c>
      <c r="D84" s="867" t="str">
        <f>IF(D$5="NO","-",INDEX(IN_Rimd!$A$3:$AAA$427,MATCH($A84,IN_Rimd!$A$3:$A$427,0),MATCH(D$3,IN_Rimd!$A$3:$AAA$3,0)))</f>
        <v>-</v>
      </c>
      <c r="E84" s="867" t="str">
        <f>IF(E$5="NO","-",INDEX(IN_Rimd!$A$3:$AAA$427,MATCH($A84,IN_Rimd!$A$3:$A$427,0),MATCH(E$3,IN_Rimd!$A$3:$AAA$3,0)))</f>
        <v>-</v>
      </c>
    </row>
    <row r="85" spans="1:5" ht="11.4" x14ac:dyDescent="0.2">
      <c r="A85" s="7" t="s">
        <v>1324</v>
      </c>
      <c r="B85" s="720" t="s">
        <v>6139</v>
      </c>
      <c r="C85" s="868" t="str">
        <f>IF(C$5="NO","-",INDEX(IN_Rimd!$A$3:$AAA$427,MATCH($A85,IN_Rimd!$A$3:$A$427,0),MATCH(C$3,IN_Rimd!$A$3:$AAA$3,0)))</f>
        <v>-</v>
      </c>
      <c r="D85" s="868" t="str">
        <f>IF(D$5="NO","-",INDEX(IN_Rimd!$A$3:$AAA$427,MATCH($A85,IN_Rimd!$A$3:$A$427,0),MATCH(D$3,IN_Rimd!$A$3:$AAA$3,0)))</f>
        <v>-</v>
      </c>
      <c r="E85" s="868" t="str">
        <f>IF(E$5="NO","-",INDEX(IN_Rimd!$A$3:$AAA$427,MATCH($A85,IN_Rimd!$A$3:$A$427,0),MATCH(E$3,IN_Rimd!$A$3:$AAA$3,0)))</f>
        <v>-</v>
      </c>
    </row>
    <row r="87" spans="1:5" x14ac:dyDescent="0.2">
      <c r="B87" s="72">
        <v>2028</v>
      </c>
    </row>
    <row r="88" spans="1:5" ht="11.4" x14ac:dyDescent="0.2">
      <c r="A88" s="7" t="s">
        <v>6160</v>
      </c>
      <c r="B88" s="192" t="s">
        <v>6200</v>
      </c>
      <c r="C88" s="866" t="str">
        <f>IF(C$5="NO","-",INDEX(IN_Rimd!$A$3:$AAA$427,MATCH($A88,IN_Rimd!$A$3:$A$427,0),MATCH(C$3,IN_Rimd!$A$3:$AAA$3,0)))</f>
        <v>-</v>
      </c>
      <c r="D88" s="866" t="str">
        <f>IF(D$5="NO","-",INDEX(IN_Rimd!$A$3:$AAA$427,MATCH($A88,IN_Rimd!$A$3:$A$427,0),MATCH(D$3,IN_Rimd!$A$3:$AAA$3,0)))</f>
        <v>-</v>
      </c>
      <c r="E88" s="866" t="str">
        <f>IF(E$5="NO","-",INDEX(IN_Rimd!$A$3:$AAA$427,MATCH($A88,IN_Rimd!$A$3:$A$427,0),MATCH(E$3,IN_Rimd!$A$3:$AAA$3,0)))</f>
        <v>-</v>
      </c>
    </row>
    <row r="89" spans="1:5" ht="11.4" x14ac:dyDescent="0.2">
      <c r="A89" s="7" t="s">
        <v>6161</v>
      </c>
      <c r="B89" s="869" t="s">
        <v>6201</v>
      </c>
      <c r="C89" s="870" t="str">
        <f>IF(C$5="NO","-",INDEX(IN_Rimd!$A$3:$AAA$427,MATCH($A89,IN_Rimd!$A$3:$A$427,0),MATCH(C$3,IN_Rimd!$A$3:$AAA$3,0)))</f>
        <v>-</v>
      </c>
      <c r="D89" s="870" t="str">
        <f>IF(D$5="NO","-",INDEX(IN_Rimd!$A$3:$AAA$427,MATCH($A89,IN_Rimd!$A$3:$A$427,0),MATCH(D$3,IN_Rimd!$A$3:$AAA$3,0)))</f>
        <v>-</v>
      </c>
      <c r="E89" s="870" t="str">
        <f>IF(E$5="NO","-",INDEX(IN_Rimd!$A$3:$AAA$427,MATCH($A89,IN_Rimd!$A$3:$A$427,0),MATCH(E$3,IN_Rimd!$A$3:$AAA$3,0)))</f>
        <v>-</v>
      </c>
    </row>
    <row r="90" spans="1:5" ht="11.4" x14ac:dyDescent="0.2">
      <c r="A90" s="7" t="s">
        <v>6162</v>
      </c>
      <c r="B90" s="717" t="s">
        <v>6202</v>
      </c>
      <c r="C90" s="867" t="str">
        <f>IF(C$5="NO","-",INDEX(IN_Rimd!$A$3:$AAA$427,MATCH($A90,IN_Rimd!$A$3:$A$427,0),MATCH(C$3,IN_Rimd!$A$3:$AAA$3,0)))</f>
        <v>-</v>
      </c>
      <c r="D90" s="867" t="str">
        <f>IF(D$5="NO","-",INDEX(IN_Rimd!$A$3:$AAA$427,MATCH($A90,IN_Rimd!$A$3:$A$427,0),MATCH(D$3,IN_Rimd!$A$3:$AAA$3,0)))</f>
        <v>-</v>
      </c>
      <c r="E90" s="867" t="str">
        <f>IF(E$5="NO","-",INDEX(IN_Rimd!$A$3:$AAA$427,MATCH($A90,IN_Rimd!$A$3:$A$427,0),MATCH(E$3,IN_Rimd!$A$3:$AAA$3,0)))</f>
        <v>-</v>
      </c>
    </row>
    <row r="91" spans="1:5" ht="11.4" x14ac:dyDescent="0.2">
      <c r="A91" s="7" t="s">
        <v>6163</v>
      </c>
      <c r="B91" s="192" t="s">
        <v>6203</v>
      </c>
      <c r="C91" s="866" t="str">
        <f>IF(C$5="NO","-",INDEX(IN_Rimd!$A$3:$AAA$427,MATCH($A91,IN_Rimd!$A$3:$A$427,0),MATCH(C$3,IN_Rimd!$A$3:$AAA$3,0)))</f>
        <v>-</v>
      </c>
      <c r="D91" s="866" t="str">
        <f>IF(D$5="NO","-",INDEX(IN_Rimd!$A$3:$AAA$427,MATCH($A91,IN_Rimd!$A$3:$A$427,0),MATCH(D$3,IN_Rimd!$A$3:$AAA$3,0)))</f>
        <v>-</v>
      </c>
      <c r="E91" s="866" t="str">
        <f>IF(E$5="NO","-",INDEX(IN_Rimd!$A$3:$AAA$427,MATCH($A91,IN_Rimd!$A$3:$A$427,0),MATCH(E$3,IN_Rimd!$A$3:$AAA$3,0)))</f>
        <v>-</v>
      </c>
    </row>
    <row r="92" spans="1:5" ht="11.4" x14ac:dyDescent="0.2">
      <c r="A92" s="7" t="s">
        <v>6164</v>
      </c>
      <c r="B92" s="869" t="s">
        <v>6204</v>
      </c>
      <c r="C92" s="870" t="str">
        <f>IF(C$5="NO","-",INDEX(IN_Rimd!$A$3:$AAA$427,MATCH($A92,IN_Rimd!$A$3:$A$427,0),MATCH(C$3,IN_Rimd!$A$3:$AAA$3,0)))</f>
        <v>-</v>
      </c>
      <c r="D92" s="870" t="str">
        <f>IF(D$5="NO","-",INDEX(IN_Rimd!$A$3:$AAA$427,MATCH($A92,IN_Rimd!$A$3:$A$427,0),MATCH(D$3,IN_Rimd!$A$3:$AAA$3,0)))</f>
        <v>-</v>
      </c>
      <c r="E92" s="870" t="str">
        <f>IF(E$5="NO","-",INDEX(IN_Rimd!$A$3:$AAA$427,MATCH($A92,IN_Rimd!$A$3:$A$427,0),MATCH(E$3,IN_Rimd!$A$3:$AAA$3,0)))</f>
        <v>-</v>
      </c>
    </row>
    <row r="93" spans="1:5" ht="11.4" x14ac:dyDescent="0.2">
      <c r="A93" s="7" t="s">
        <v>6165</v>
      </c>
      <c r="B93" s="717" t="s">
        <v>6205</v>
      </c>
      <c r="C93" s="867" t="str">
        <f>IF(C$5="NO","-",INDEX(IN_Rimd!$A$3:$AAA$427,MATCH($A93,IN_Rimd!$A$3:$A$427,0),MATCH(C$3,IN_Rimd!$A$3:$AAA$3,0)))</f>
        <v>-</v>
      </c>
      <c r="D93" s="867" t="str">
        <f>IF(D$5="NO","-",INDEX(IN_Rimd!$A$3:$AAA$427,MATCH($A93,IN_Rimd!$A$3:$A$427,0),MATCH(D$3,IN_Rimd!$A$3:$AAA$3,0)))</f>
        <v>-</v>
      </c>
      <c r="E93" s="867" t="str">
        <f>IF(E$5="NO","-",INDEX(IN_Rimd!$A$3:$AAA$427,MATCH($A93,IN_Rimd!$A$3:$A$427,0),MATCH(E$3,IN_Rimd!$A$3:$AAA$3,0)))</f>
        <v>-</v>
      </c>
    </row>
    <row r="94" spans="1:5" ht="11.4" x14ac:dyDescent="0.2">
      <c r="A94" s="7" t="s">
        <v>1538</v>
      </c>
      <c r="B94" s="720" t="s">
        <v>6051</v>
      </c>
      <c r="C94" s="868" t="str">
        <f>IF(C$5="NO","-",INDEX(IN_Rimd!$A$3:$AAA$427,MATCH($A94,IN_Rimd!$A$3:$A$427,0),MATCH(C$3,IN_Rimd!$A$3:$AAA$3,0)))</f>
        <v>-</v>
      </c>
      <c r="D94" s="868" t="str">
        <f>IF(D$5="NO","-",INDEX(IN_Rimd!$A$3:$AAA$427,MATCH($A94,IN_Rimd!$A$3:$A$427,0),MATCH(D$3,IN_Rimd!$A$3:$AAA$3,0)))</f>
        <v>-</v>
      </c>
      <c r="E94" s="868" t="str">
        <f>IF(E$5="NO","-",INDEX(IN_Rimd!$A$3:$AAA$427,MATCH($A94,IN_Rimd!$A$3:$A$427,0),MATCH(E$3,IN_Rimd!$A$3:$AAA$3,0)))</f>
        <v>-</v>
      </c>
    </row>
    <row r="96" spans="1:5" x14ac:dyDescent="0.2">
      <c r="B96" s="72">
        <v>2029</v>
      </c>
    </row>
    <row r="97" spans="1:5" ht="11.4" x14ac:dyDescent="0.2">
      <c r="A97" s="7" t="s">
        <v>6226</v>
      </c>
      <c r="B97" s="192" t="s">
        <v>6264</v>
      </c>
      <c r="C97" s="866" t="str">
        <f>IF(C$5="NO","-",INDEX(IN_Rimd!$A$3:$AAA$427,MATCH($A97,IN_Rimd!$A$3:$A$427,0),MATCH(C$3,IN_Rimd!$A$3:$AAA$3,0)))</f>
        <v>-</v>
      </c>
      <c r="D97" s="866" t="str">
        <f>IF(D$5="NO","-",INDEX(IN_Rimd!$A$3:$AAA$427,MATCH($A97,IN_Rimd!$A$3:$A$427,0),MATCH(D$3,IN_Rimd!$A$3:$AAA$3,0)))</f>
        <v>-</v>
      </c>
      <c r="E97" s="866" t="str">
        <f>IF(E$5="NO","-",INDEX(IN_Rimd!$A$3:$AAA$427,MATCH($A97,IN_Rimd!$A$3:$A$427,0),MATCH(E$3,IN_Rimd!$A$3:$AAA$3,0)))</f>
        <v>-</v>
      </c>
    </row>
    <row r="98" spans="1:5" ht="11.4" x14ac:dyDescent="0.2">
      <c r="A98" s="7" t="s">
        <v>6227</v>
      </c>
      <c r="B98" s="869" t="s">
        <v>6265</v>
      </c>
      <c r="C98" s="870" t="str">
        <f>IF(C$5="NO","-",INDEX(IN_Rimd!$A$3:$AAA$427,MATCH($A98,IN_Rimd!$A$3:$A$427,0),MATCH(C$3,IN_Rimd!$A$3:$AAA$3,0)))</f>
        <v>-</v>
      </c>
      <c r="D98" s="870" t="str">
        <f>IF(D$5="NO","-",INDEX(IN_Rimd!$A$3:$AAA$427,MATCH($A98,IN_Rimd!$A$3:$A$427,0),MATCH(D$3,IN_Rimd!$A$3:$AAA$3,0)))</f>
        <v>-</v>
      </c>
      <c r="E98" s="870" t="str">
        <f>IF(E$5="NO","-",INDEX(IN_Rimd!$A$3:$AAA$427,MATCH($A98,IN_Rimd!$A$3:$A$427,0),MATCH(E$3,IN_Rimd!$A$3:$AAA$3,0)))</f>
        <v>-</v>
      </c>
    </row>
    <row r="99" spans="1:5" ht="11.4" x14ac:dyDescent="0.2">
      <c r="A99" s="7" t="s">
        <v>6228</v>
      </c>
      <c r="B99" s="717" t="s">
        <v>6266</v>
      </c>
      <c r="C99" s="867" t="str">
        <f>IF(C$5="NO","-",INDEX(IN_Rimd!$A$3:$AAA$427,MATCH($A99,IN_Rimd!$A$3:$A$427,0),MATCH(C$3,IN_Rimd!$A$3:$AAA$3,0)))</f>
        <v>-</v>
      </c>
      <c r="D99" s="867" t="str">
        <f>IF(D$5="NO","-",INDEX(IN_Rimd!$A$3:$AAA$427,MATCH($A99,IN_Rimd!$A$3:$A$427,0),MATCH(D$3,IN_Rimd!$A$3:$AAA$3,0)))</f>
        <v>-</v>
      </c>
      <c r="E99" s="867" t="str">
        <f>IF(E$5="NO","-",INDEX(IN_Rimd!$A$3:$AAA$427,MATCH($A99,IN_Rimd!$A$3:$A$427,0),MATCH(E$3,IN_Rimd!$A$3:$AAA$3,0)))</f>
        <v>-</v>
      </c>
    </row>
    <row r="100" spans="1:5" ht="11.4" x14ac:dyDescent="0.2">
      <c r="A100" s="7" t="s">
        <v>6229</v>
      </c>
      <c r="B100" s="192" t="s">
        <v>6267</v>
      </c>
      <c r="C100" s="866" t="str">
        <f>IF(C$5="NO","-",INDEX(IN_Rimd!$A$3:$AAA$427,MATCH($A100,IN_Rimd!$A$3:$A$427,0),MATCH(C$3,IN_Rimd!$A$3:$AAA$3,0)))</f>
        <v>-</v>
      </c>
      <c r="D100" s="866" t="str">
        <f>IF(D$5="NO","-",INDEX(IN_Rimd!$A$3:$AAA$427,MATCH($A100,IN_Rimd!$A$3:$A$427,0),MATCH(D$3,IN_Rimd!$A$3:$AAA$3,0)))</f>
        <v>-</v>
      </c>
      <c r="E100" s="866" t="str">
        <f>IF(E$5="NO","-",INDEX(IN_Rimd!$A$3:$AAA$427,MATCH($A100,IN_Rimd!$A$3:$A$427,0),MATCH(E$3,IN_Rimd!$A$3:$AAA$3,0)))</f>
        <v>-</v>
      </c>
    </row>
    <row r="101" spans="1:5" ht="11.4" x14ac:dyDescent="0.2">
      <c r="A101" s="7" t="s">
        <v>6230</v>
      </c>
      <c r="B101" s="869" t="s">
        <v>6268</v>
      </c>
      <c r="C101" s="870" t="str">
        <f>IF(C$5="NO","-",INDEX(IN_Rimd!$A$3:$AAA$427,MATCH($A101,IN_Rimd!$A$3:$A$427,0),MATCH(C$3,IN_Rimd!$A$3:$AAA$3,0)))</f>
        <v>-</v>
      </c>
      <c r="D101" s="870" t="str">
        <f>IF(D$5="NO","-",INDEX(IN_Rimd!$A$3:$AAA$427,MATCH($A101,IN_Rimd!$A$3:$A$427,0),MATCH(D$3,IN_Rimd!$A$3:$AAA$3,0)))</f>
        <v>-</v>
      </c>
      <c r="E101" s="870" t="str">
        <f>IF(E$5="NO","-",INDEX(IN_Rimd!$A$3:$AAA$427,MATCH($A101,IN_Rimd!$A$3:$A$427,0),MATCH(E$3,IN_Rimd!$A$3:$AAA$3,0)))</f>
        <v>-</v>
      </c>
    </row>
    <row r="102" spans="1:5" ht="11.4" x14ac:dyDescent="0.2">
      <c r="A102" s="7" t="s">
        <v>6231</v>
      </c>
      <c r="B102" s="717" t="s">
        <v>6269</v>
      </c>
      <c r="C102" s="867" t="str">
        <f>IF(C$5="NO","-",INDEX(IN_Rimd!$A$3:$AAA$427,MATCH($A102,IN_Rimd!$A$3:$A$427,0),MATCH(C$3,IN_Rimd!$A$3:$AAA$3,0)))</f>
        <v>-</v>
      </c>
      <c r="D102" s="867" t="str">
        <f>IF(D$5="NO","-",INDEX(IN_Rimd!$A$3:$AAA$427,MATCH($A102,IN_Rimd!$A$3:$A$427,0),MATCH(D$3,IN_Rimd!$A$3:$AAA$3,0)))</f>
        <v>-</v>
      </c>
      <c r="E102" s="867" t="str">
        <f>IF(E$5="NO","-",INDEX(IN_Rimd!$A$3:$AAA$427,MATCH($A102,IN_Rimd!$A$3:$A$427,0),MATCH(E$3,IN_Rimd!$A$3:$AAA$3,0)))</f>
        <v>-</v>
      </c>
    </row>
    <row r="103" spans="1:5" ht="11.4" x14ac:dyDescent="0.2">
      <c r="A103" s="7" t="s">
        <v>6232</v>
      </c>
      <c r="B103" s="720" t="s">
        <v>6270</v>
      </c>
      <c r="C103" s="868" t="str">
        <f>IF(C$5="NO","-",INDEX(IN_Rimd!$A$3:$AAA$427,MATCH($A103,IN_Rimd!$A$3:$A$427,0),MATCH(C$3,IN_Rimd!$A$3:$AAA$3,0)))</f>
        <v>-</v>
      </c>
      <c r="D103" s="868" t="str">
        <f>IF(D$5="NO","-",INDEX(IN_Rimd!$A$3:$AAA$427,MATCH($A103,IN_Rimd!$A$3:$A$427,0),MATCH(D$3,IN_Rimd!$A$3:$AAA$3,0)))</f>
        <v>-</v>
      </c>
      <c r="E103" s="868" t="str">
        <f>IF(E$5="NO","-",INDEX(IN_Rimd!$A$3:$AAA$427,MATCH($A103,IN_Rimd!$A$3:$A$427,0),MATCH(E$3,IN_Rimd!$A$3:$AAA$3,0)))</f>
        <v>-</v>
      </c>
    </row>
  </sheetData>
  <conditionalFormatting sqref="C5:E5">
    <cfRule type="cellIs" dxfId="2" priority="1" operator="equal">
      <formula>"SI"</formula>
    </cfRule>
    <cfRule type="cellIs" dxfId="1" priority="2" operator="equal">
      <formula>"NO"</formula>
    </cfRule>
  </conditionalFormatting>
  <conditionalFormatting sqref="C8:E67">
    <cfRule type="expression" dxfId="0" priority="4">
      <formula>C$5="NO"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B4388F-A360-4F1F-B962-FBB2AB2FC3F8}">
  <sheetPr codeName="Foglio7">
    <tabColor theme="0" tint="-0.499984740745262"/>
  </sheetPr>
  <dimension ref="A1:E356"/>
  <sheetViews>
    <sheetView showGridLines="0" workbookViewId="0">
      <pane xSplit="2" ySplit="4" topLeftCell="C5" activePane="bottomRight" state="frozen"/>
      <selection sqref="A1:ZZ1"/>
      <selection pane="topRight" sqref="A1:ZZ1"/>
      <selection pane="bottomLeft" sqref="A1:ZZ1"/>
      <selection pane="bottomRight" activeCell="E10" sqref="E10"/>
    </sheetView>
  </sheetViews>
  <sheetFormatPr defaultColWidth="9.109375" defaultRowHeight="10.199999999999999" x14ac:dyDescent="0.2"/>
  <cols>
    <col min="1" max="1" width="19" style="123" customWidth="1"/>
    <col min="2" max="2" width="23" style="48" bestFit="1" customWidth="1"/>
    <col min="3" max="5" width="15.88671875" style="48" customWidth="1"/>
    <col min="6" max="7" width="9.109375" style="48"/>
    <col min="8" max="8" width="13.88671875" style="48" bestFit="1" customWidth="1"/>
    <col min="9" max="9" width="6.44140625" style="48" customWidth="1"/>
    <col min="10" max="16384" width="9.109375" style="48"/>
  </cols>
  <sheetData>
    <row r="1" spans="1:5" x14ac:dyDescent="0.2">
      <c r="B1" s="1005" t="str">
        <f>"Cartella: ..."</f>
        <v>Cartella: ...</v>
      </c>
    </row>
    <row r="3" spans="1:5" s="382" customFormat="1" x14ac:dyDescent="0.3">
      <c r="A3" s="379"/>
      <c r="B3" s="380"/>
      <c r="C3" s="381"/>
      <c r="D3" s="381"/>
      <c r="E3" s="381"/>
    </row>
    <row r="4" spans="1:5" s="362" customFormat="1" ht="20.399999999999999" x14ac:dyDescent="0.3">
      <c r="A4" s="361" t="s">
        <v>460</v>
      </c>
      <c r="B4" s="526" t="s">
        <v>103</v>
      </c>
      <c r="C4" s="1006" t="str">
        <f>Ambiti!B4</f>
        <v>BUSTO ARSIZIO</v>
      </c>
      <c r="D4" s="1006" t="str">
        <f>Ambiti!C4</f>
        <v>FAGNANO OLONA</v>
      </c>
      <c r="E4" s="1006" t="str">
        <f>Ambiti!D4</f>
        <v>VENEGONO SUPERIORE</v>
      </c>
    </row>
    <row r="5" spans="1:5" s="362" customFormat="1" x14ac:dyDescent="0.2">
      <c r="A5" s="123"/>
      <c r="B5" s="209" t="s">
        <v>104</v>
      </c>
      <c r="C5" s="899">
        <f>[1]DB_Comuni!B2</f>
        <v>0</v>
      </c>
      <c r="D5" s="899">
        <f>[1]DB_Comuni!C2</f>
        <v>0</v>
      </c>
      <c r="E5" s="899">
        <f>[1]DB_Comuni!D2</f>
        <v>0</v>
      </c>
    </row>
    <row r="6" spans="1:5" s="362" customFormat="1" x14ac:dyDescent="0.2">
      <c r="A6" s="123" t="s">
        <v>614</v>
      </c>
      <c r="B6" s="527" t="s">
        <v>614</v>
      </c>
      <c r="C6" s="900">
        <f>[1]DB_Comuni!B3</f>
        <v>0</v>
      </c>
      <c r="D6" s="900">
        <f>[1]DB_Comuni!C3</f>
        <v>0</v>
      </c>
      <c r="E6" s="900">
        <f>[1]DB_Comuni!D3</f>
        <v>0</v>
      </c>
    </row>
    <row r="7" spans="1:5" s="362" customFormat="1" x14ac:dyDescent="0.2">
      <c r="A7" s="123" t="s">
        <v>615</v>
      </c>
      <c r="B7" s="527" t="s">
        <v>616</v>
      </c>
      <c r="C7" s="900">
        <f>[1]DB_Comuni!B4</f>
        <v>0</v>
      </c>
      <c r="D7" s="900">
        <f>[1]DB_Comuni!C4</f>
        <v>0</v>
      </c>
      <c r="E7" s="900">
        <f>[1]DB_Comuni!D4</f>
        <v>0</v>
      </c>
    </row>
    <row r="8" spans="1:5" s="362" customFormat="1" x14ac:dyDescent="0.2">
      <c r="A8" s="123" t="s">
        <v>223</v>
      </c>
      <c r="B8" s="527" t="s">
        <v>5691</v>
      </c>
      <c r="C8" s="900">
        <f>[1]DB_Comuni!B5</f>
        <v>0</v>
      </c>
      <c r="D8" s="900">
        <f>[1]DB_Comuni!C5</f>
        <v>0</v>
      </c>
      <c r="E8" s="900">
        <f>[1]DB_Comuni!D5</f>
        <v>0</v>
      </c>
    </row>
    <row r="9" spans="1:5" s="362" customFormat="1" x14ac:dyDescent="0.2">
      <c r="A9" s="123" t="s">
        <v>224</v>
      </c>
      <c r="B9" s="527" t="s">
        <v>5692</v>
      </c>
      <c r="C9" s="900">
        <f>[1]DB_Comuni!B6</f>
        <v>0</v>
      </c>
      <c r="D9" s="900">
        <f>[1]DB_Comuni!C6</f>
        <v>0</v>
      </c>
      <c r="E9" s="900">
        <f>[1]DB_Comuni!D6</f>
        <v>0</v>
      </c>
    </row>
    <row r="10" spans="1:5" s="362" customFormat="1" x14ac:dyDescent="0.2">
      <c r="A10" s="123" t="s">
        <v>225</v>
      </c>
      <c r="B10" s="527" t="s">
        <v>5693</v>
      </c>
      <c r="C10" s="900">
        <f>[1]DB_Comuni!B7</f>
        <v>0</v>
      </c>
      <c r="D10" s="900">
        <f>[1]DB_Comuni!C7</f>
        <v>0</v>
      </c>
      <c r="E10" s="900">
        <f>[1]DB_Comuni!D7</f>
        <v>0</v>
      </c>
    </row>
    <row r="11" spans="1:5" s="362" customFormat="1" x14ac:dyDescent="0.2">
      <c r="A11" s="123" t="s">
        <v>992</v>
      </c>
      <c r="B11" s="527" t="s">
        <v>5694</v>
      </c>
      <c r="C11" s="900">
        <f>[1]DB_Comuni!B8</f>
        <v>0</v>
      </c>
      <c r="D11" s="900">
        <f>[1]DB_Comuni!C8</f>
        <v>0</v>
      </c>
      <c r="E11" s="900">
        <f>[1]DB_Comuni!D8</f>
        <v>0</v>
      </c>
    </row>
    <row r="12" spans="1:5" s="362" customFormat="1" x14ac:dyDescent="0.2">
      <c r="A12" s="123" t="s">
        <v>228</v>
      </c>
      <c r="B12" s="527" t="s">
        <v>5695</v>
      </c>
      <c r="C12" s="900">
        <f>[1]DB_Comuni!B9</f>
        <v>0</v>
      </c>
      <c r="D12" s="900">
        <f>[1]DB_Comuni!C9</f>
        <v>0</v>
      </c>
      <c r="E12" s="900">
        <f>[1]DB_Comuni!D9</f>
        <v>0</v>
      </c>
    </row>
    <row r="13" spans="1:5" s="362" customFormat="1" x14ac:dyDescent="0.2">
      <c r="A13" s="123" t="s">
        <v>229</v>
      </c>
      <c r="B13" s="527" t="s">
        <v>5696</v>
      </c>
      <c r="C13" s="900">
        <f>[1]DB_Comuni!B10</f>
        <v>0</v>
      </c>
      <c r="D13" s="900">
        <f>[1]DB_Comuni!C10</f>
        <v>0</v>
      </c>
      <c r="E13" s="900">
        <f>[1]DB_Comuni!D10</f>
        <v>0</v>
      </c>
    </row>
    <row r="14" spans="1:5" s="362" customFormat="1" x14ac:dyDescent="0.2">
      <c r="A14" s="123" t="s">
        <v>230</v>
      </c>
      <c r="B14" s="527" t="s">
        <v>5697</v>
      </c>
      <c r="C14" s="900">
        <f>[1]DB_Comuni!B11</f>
        <v>0</v>
      </c>
      <c r="D14" s="900">
        <f>[1]DB_Comuni!C11</f>
        <v>0</v>
      </c>
      <c r="E14" s="900">
        <f>[1]DB_Comuni!D11</f>
        <v>0</v>
      </c>
    </row>
    <row r="15" spans="1:5" s="362" customFormat="1" x14ac:dyDescent="0.2">
      <c r="A15" s="123" t="s">
        <v>253</v>
      </c>
      <c r="B15" s="527" t="s">
        <v>5698</v>
      </c>
      <c r="C15" s="900">
        <f>[1]DB_Comuni!B12</f>
        <v>0</v>
      </c>
      <c r="D15" s="900">
        <f>[1]DB_Comuni!C12</f>
        <v>0</v>
      </c>
      <c r="E15" s="900">
        <f>[1]DB_Comuni!D12</f>
        <v>0</v>
      </c>
    </row>
    <row r="16" spans="1:5" x14ac:dyDescent="0.2">
      <c r="A16" s="123" t="s">
        <v>999</v>
      </c>
      <c r="B16" s="527" t="s">
        <v>5699</v>
      </c>
      <c r="C16" s="900">
        <f>[1]DB_Comuni!B13</f>
        <v>0</v>
      </c>
      <c r="D16" s="900">
        <f>[1]DB_Comuni!C13</f>
        <v>0</v>
      </c>
      <c r="E16" s="900">
        <f>[1]DB_Comuni!D13</f>
        <v>0</v>
      </c>
    </row>
    <row r="17" spans="1:5" x14ac:dyDescent="0.2">
      <c r="A17" s="7" t="s">
        <v>1201</v>
      </c>
      <c r="B17" s="527" t="s">
        <v>5700</v>
      </c>
      <c r="C17" s="900">
        <f>[1]DB_Comuni!B14</f>
        <v>0</v>
      </c>
      <c r="D17" s="900">
        <f>[1]DB_Comuni!C14</f>
        <v>0</v>
      </c>
      <c r="E17" s="900">
        <f>[1]DB_Comuni!D14</f>
        <v>0</v>
      </c>
    </row>
    <row r="18" spans="1:5" x14ac:dyDescent="0.2">
      <c r="A18" s="7" t="s">
        <v>1202</v>
      </c>
      <c r="B18" s="527" t="s">
        <v>5701</v>
      </c>
      <c r="C18" s="900">
        <f>[1]DB_Comuni!B15</f>
        <v>0</v>
      </c>
      <c r="D18" s="900">
        <f>[1]DB_Comuni!C15</f>
        <v>0</v>
      </c>
      <c r="E18" s="900">
        <f>[1]DB_Comuni!D15</f>
        <v>0</v>
      </c>
    </row>
    <row r="19" spans="1:5" x14ac:dyDescent="0.2">
      <c r="A19" s="35" t="s">
        <v>1203</v>
      </c>
      <c r="B19" s="527" t="s">
        <v>5702</v>
      </c>
      <c r="C19" s="900">
        <f>[1]DB_Comuni!B16</f>
        <v>0</v>
      </c>
      <c r="D19" s="900">
        <f>[1]DB_Comuni!C16</f>
        <v>0</v>
      </c>
      <c r="E19" s="900">
        <f>[1]DB_Comuni!D16</f>
        <v>0</v>
      </c>
    </row>
    <row r="20" spans="1:5" x14ac:dyDescent="0.2">
      <c r="A20" s="35" t="s">
        <v>1204</v>
      </c>
      <c r="B20" s="527" t="s">
        <v>5703</v>
      </c>
      <c r="C20" s="900">
        <f>[1]DB_Comuni!B17</f>
        <v>0</v>
      </c>
      <c r="D20" s="900">
        <f>[1]DB_Comuni!C17</f>
        <v>0</v>
      </c>
      <c r="E20" s="900">
        <f>[1]DB_Comuni!D17</f>
        <v>0</v>
      </c>
    </row>
    <row r="21" spans="1:5" x14ac:dyDescent="0.2">
      <c r="A21" s="35" t="s">
        <v>1205</v>
      </c>
      <c r="B21" s="211" t="s">
        <v>5704</v>
      </c>
      <c r="C21" s="901">
        <f>[1]DB_Comuni!B18</f>
        <v>0</v>
      </c>
      <c r="D21" s="901">
        <f>[1]DB_Comuni!C18</f>
        <v>0</v>
      </c>
      <c r="E21" s="901">
        <f>[1]DB_Comuni!D18</f>
        <v>0</v>
      </c>
    </row>
    <row r="22" spans="1:5" x14ac:dyDescent="0.2">
      <c r="A22" s="123" t="s">
        <v>5719</v>
      </c>
      <c r="B22" s="707" t="s">
        <v>792</v>
      </c>
      <c r="C22" s="902">
        <f>[1]DB_Comuni!B19</f>
        <v>0</v>
      </c>
      <c r="D22" s="902">
        <f>[1]DB_Comuni!C19</f>
        <v>0</v>
      </c>
      <c r="E22" s="902">
        <f>[1]DB_Comuni!D19</f>
        <v>0</v>
      </c>
    </row>
    <row r="23" spans="1:5" x14ac:dyDescent="0.2">
      <c r="A23" s="35" t="s">
        <v>5208</v>
      </c>
      <c r="B23" s="527" t="s">
        <v>793</v>
      </c>
      <c r="C23" s="900">
        <f>[1]DB_Comuni!B20</f>
        <v>0</v>
      </c>
      <c r="D23" s="900">
        <f>[1]DB_Comuni!C20</f>
        <v>0</v>
      </c>
      <c r="E23" s="900">
        <f>[1]DB_Comuni!D20</f>
        <v>0</v>
      </c>
    </row>
    <row r="24" spans="1:5" x14ac:dyDescent="0.2">
      <c r="A24" s="35" t="s">
        <v>5720</v>
      </c>
      <c r="B24" s="527" t="s">
        <v>5705</v>
      </c>
      <c r="C24" s="900">
        <f>[1]DB_Comuni!B21</f>
        <v>0</v>
      </c>
      <c r="D24" s="900">
        <f>[1]DB_Comuni!C21</f>
        <v>0</v>
      </c>
      <c r="E24" s="900">
        <f>[1]DB_Comuni!D21</f>
        <v>0</v>
      </c>
    </row>
    <row r="25" spans="1:5" x14ac:dyDescent="0.2">
      <c r="A25" s="35" t="s">
        <v>5721</v>
      </c>
      <c r="B25" s="527" t="s">
        <v>5706</v>
      </c>
      <c r="C25" s="900">
        <f>[1]DB_Comuni!B22</f>
        <v>0</v>
      </c>
      <c r="D25" s="900">
        <f>[1]DB_Comuni!C22</f>
        <v>0</v>
      </c>
      <c r="E25" s="900">
        <f>[1]DB_Comuni!D22</f>
        <v>0</v>
      </c>
    </row>
    <row r="26" spans="1:5" x14ac:dyDescent="0.2">
      <c r="A26" s="35" t="s">
        <v>5722</v>
      </c>
      <c r="B26" s="527" t="s">
        <v>5707</v>
      </c>
      <c r="C26" s="900">
        <f>[1]DB_Comuni!B23</f>
        <v>0</v>
      </c>
      <c r="D26" s="900">
        <f>[1]DB_Comuni!C23</f>
        <v>0</v>
      </c>
      <c r="E26" s="900">
        <f>[1]DB_Comuni!D23</f>
        <v>0</v>
      </c>
    </row>
    <row r="27" spans="1:5" x14ac:dyDescent="0.2">
      <c r="A27" s="7" t="s">
        <v>5213</v>
      </c>
      <c r="B27" s="527" t="s">
        <v>794</v>
      </c>
      <c r="C27" s="900">
        <f>[1]DB_Comuni!B24</f>
        <v>0</v>
      </c>
      <c r="D27" s="900">
        <f>[1]DB_Comuni!C24</f>
        <v>0</v>
      </c>
      <c r="E27" s="900">
        <f>[1]DB_Comuni!D24</f>
        <v>0</v>
      </c>
    </row>
    <row r="28" spans="1:5" x14ac:dyDescent="0.2">
      <c r="A28" s="35" t="s">
        <v>5723</v>
      </c>
      <c r="B28" s="527" t="s">
        <v>795</v>
      </c>
      <c r="C28" s="900">
        <f>[1]DB_Comuni!B25</f>
        <v>0</v>
      </c>
      <c r="D28" s="900">
        <f>[1]DB_Comuni!C25</f>
        <v>0</v>
      </c>
      <c r="E28" s="900">
        <f>[1]DB_Comuni!D25</f>
        <v>0</v>
      </c>
    </row>
    <row r="29" spans="1:5" x14ac:dyDescent="0.2">
      <c r="A29" s="35" t="s">
        <v>5724</v>
      </c>
      <c r="B29" s="527" t="s">
        <v>796</v>
      </c>
      <c r="C29" s="900">
        <f>[1]DB_Comuni!B26</f>
        <v>0</v>
      </c>
      <c r="D29" s="900">
        <f>[1]DB_Comuni!C26</f>
        <v>0</v>
      </c>
      <c r="E29" s="900">
        <f>[1]DB_Comuni!D26</f>
        <v>0</v>
      </c>
    </row>
    <row r="30" spans="1:5" x14ac:dyDescent="0.2">
      <c r="A30" s="35" t="s">
        <v>5725</v>
      </c>
      <c r="B30" s="527" t="s">
        <v>797</v>
      </c>
      <c r="C30" s="900">
        <f>[1]DB_Comuni!B27</f>
        <v>0</v>
      </c>
      <c r="D30" s="900">
        <f>[1]DB_Comuni!C27</f>
        <v>0</v>
      </c>
      <c r="E30" s="900">
        <f>[1]DB_Comuni!D27</f>
        <v>0</v>
      </c>
    </row>
    <row r="31" spans="1:5" x14ac:dyDescent="0.2">
      <c r="A31" s="35" t="s">
        <v>5726</v>
      </c>
      <c r="B31" s="527" t="s">
        <v>798</v>
      </c>
      <c r="C31" s="900">
        <f>[1]DB_Comuni!B28</f>
        <v>0</v>
      </c>
      <c r="D31" s="900">
        <f>[1]DB_Comuni!C28</f>
        <v>0</v>
      </c>
      <c r="E31" s="900">
        <f>[1]DB_Comuni!D28</f>
        <v>0</v>
      </c>
    </row>
    <row r="32" spans="1:5" x14ac:dyDescent="0.2">
      <c r="A32" s="35" t="s">
        <v>5727</v>
      </c>
      <c r="B32" s="527" t="s">
        <v>799</v>
      </c>
      <c r="C32" s="900">
        <f>[1]DB_Comuni!B29</f>
        <v>0</v>
      </c>
      <c r="D32" s="900">
        <f>[1]DB_Comuni!C29</f>
        <v>0</v>
      </c>
      <c r="E32" s="900">
        <f>[1]DB_Comuni!D29</f>
        <v>0</v>
      </c>
    </row>
    <row r="33" spans="1:5" x14ac:dyDescent="0.2">
      <c r="A33" s="35" t="s">
        <v>5728</v>
      </c>
      <c r="B33" s="527" t="s">
        <v>800</v>
      </c>
      <c r="C33" s="900">
        <f>[1]DB_Comuni!B30</f>
        <v>0</v>
      </c>
      <c r="D33" s="900">
        <f>[1]DB_Comuni!C30</f>
        <v>0</v>
      </c>
      <c r="E33" s="900">
        <f>[1]DB_Comuni!D30</f>
        <v>0</v>
      </c>
    </row>
    <row r="34" spans="1:5" x14ac:dyDescent="0.2">
      <c r="A34" s="35" t="s">
        <v>5729</v>
      </c>
      <c r="B34" s="527" t="s">
        <v>801</v>
      </c>
      <c r="C34" s="900">
        <f>[1]DB_Comuni!B31</f>
        <v>0</v>
      </c>
      <c r="D34" s="900">
        <f>[1]DB_Comuni!C31</f>
        <v>0</v>
      </c>
      <c r="E34" s="900">
        <f>[1]DB_Comuni!D31</f>
        <v>0</v>
      </c>
    </row>
    <row r="35" spans="1:5" x14ac:dyDescent="0.2">
      <c r="A35" s="35" t="s">
        <v>5730</v>
      </c>
      <c r="B35" s="994" t="s">
        <v>802</v>
      </c>
      <c r="C35" s="995">
        <f>IN_CTS_CTR_RC!C85</f>
        <v>0</v>
      </c>
      <c r="D35" s="995">
        <f>IN_CTS_CTR_RC!D85</f>
        <v>0</v>
      </c>
      <c r="E35" s="995">
        <f>IN_CTS_CTR_RC!E85</f>
        <v>0</v>
      </c>
    </row>
    <row r="36" spans="1:5" x14ac:dyDescent="0.2">
      <c r="A36" s="35" t="s">
        <v>5731</v>
      </c>
      <c r="B36" s="527" t="s">
        <v>803</v>
      </c>
      <c r="C36" s="900">
        <f>[1]DB_Comuni!B33</f>
        <v>0</v>
      </c>
      <c r="D36" s="900">
        <f>[1]DB_Comuni!C33</f>
        <v>0</v>
      </c>
      <c r="E36" s="900">
        <f>[1]DB_Comuni!D33</f>
        <v>0</v>
      </c>
    </row>
    <row r="37" spans="1:5" x14ac:dyDescent="0.2">
      <c r="A37" s="35" t="s">
        <v>5732</v>
      </c>
      <c r="B37" s="527" t="s">
        <v>804</v>
      </c>
      <c r="C37" s="900">
        <f>[1]DB_Comuni!B34</f>
        <v>0</v>
      </c>
      <c r="D37" s="900">
        <f>[1]DB_Comuni!C34</f>
        <v>0</v>
      </c>
      <c r="E37" s="900">
        <f>[1]DB_Comuni!D34</f>
        <v>0</v>
      </c>
    </row>
    <row r="38" spans="1:5" x14ac:dyDescent="0.2">
      <c r="A38" s="35" t="s">
        <v>5733</v>
      </c>
      <c r="B38" s="527" t="s">
        <v>805</v>
      </c>
      <c r="C38" s="900">
        <f>[1]DB_Comuni!B35</f>
        <v>0</v>
      </c>
      <c r="D38" s="900">
        <f>[1]DB_Comuni!C35</f>
        <v>0</v>
      </c>
      <c r="E38" s="900">
        <f>[1]DB_Comuni!D35</f>
        <v>0</v>
      </c>
    </row>
    <row r="39" spans="1:5" x14ac:dyDescent="0.2">
      <c r="A39" s="35" t="s">
        <v>5734</v>
      </c>
      <c r="B39" s="527" t="s">
        <v>806</v>
      </c>
      <c r="C39" s="900">
        <f>[1]DB_Comuni!B36</f>
        <v>0</v>
      </c>
      <c r="D39" s="900">
        <f>[1]DB_Comuni!C36</f>
        <v>0</v>
      </c>
      <c r="E39" s="900">
        <f>[1]DB_Comuni!D36</f>
        <v>0</v>
      </c>
    </row>
    <row r="40" spans="1:5" x14ac:dyDescent="0.2">
      <c r="A40" s="35" t="s">
        <v>5735</v>
      </c>
      <c r="B40" s="527" t="s">
        <v>807</v>
      </c>
      <c r="C40" s="900">
        <f>[1]DB_Comuni!B37</f>
        <v>0</v>
      </c>
      <c r="D40" s="900">
        <f>[1]DB_Comuni!C37</f>
        <v>0</v>
      </c>
      <c r="E40" s="900">
        <f>[1]DB_Comuni!D37</f>
        <v>0</v>
      </c>
    </row>
    <row r="41" spans="1:5" x14ac:dyDescent="0.2">
      <c r="A41" s="35" t="s">
        <v>5736</v>
      </c>
      <c r="B41" s="994" t="s">
        <v>808</v>
      </c>
      <c r="C41" s="995">
        <f>IN_CTS_CTR_RC!C69</f>
        <v>0</v>
      </c>
      <c r="D41" s="995">
        <f>IN_CTS_CTR_RC!D69</f>
        <v>0</v>
      </c>
      <c r="E41" s="995">
        <f>IN_CTS_CTR_RC!E69</f>
        <v>0</v>
      </c>
    </row>
    <row r="42" spans="1:5" x14ac:dyDescent="0.2">
      <c r="A42" s="35" t="s">
        <v>5737</v>
      </c>
      <c r="B42" s="527" t="s">
        <v>809</v>
      </c>
      <c r="C42" s="900">
        <f>[1]DB_Comuni!B39</f>
        <v>0</v>
      </c>
      <c r="D42" s="900">
        <f>[1]DB_Comuni!C39</f>
        <v>0</v>
      </c>
      <c r="E42" s="900">
        <f>[1]DB_Comuni!D39</f>
        <v>0</v>
      </c>
    </row>
    <row r="43" spans="1:5" x14ac:dyDescent="0.2">
      <c r="A43" s="35" t="s">
        <v>5738</v>
      </c>
      <c r="B43" s="527" t="s">
        <v>810</v>
      </c>
      <c r="C43" s="900">
        <f>[1]DB_Comuni!B40</f>
        <v>0</v>
      </c>
      <c r="D43" s="900">
        <f>[1]DB_Comuni!C40</f>
        <v>0</v>
      </c>
      <c r="E43" s="900">
        <f>[1]DB_Comuni!D40</f>
        <v>0</v>
      </c>
    </row>
    <row r="44" spans="1:5" x14ac:dyDescent="0.2">
      <c r="A44" s="35" t="s">
        <v>5739</v>
      </c>
      <c r="B44" s="527" t="s">
        <v>811</v>
      </c>
      <c r="C44" s="900">
        <f>[1]DB_Comuni!B41</f>
        <v>0</v>
      </c>
      <c r="D44" s="900">
        <f>[1]DB_Comuni!C41</f>
        <v>0</v>
      </c>
      <c r="E44" s="900">
        <f>[1]DB_Comuni!D41</f>
        <v>0</v>
      </c>
    </row>
    <row r="45" spans="1:5" x14ac:dyDescent="0.2">
      <c r="A45" s="35" t="s">
        <v>5740</v>
      </c>
      <c r="B45" s="527" t="s">
        <v>812</v>
      </c>
      <c r="C45" s="900">
        <f>[1]DB_Comuni!B42</f>
        <v>0</v>
      </c>
      <c r="D45" s="900">
        <f>[1]DB_Comuni!C42</f>
        <v>0</v>
      </c>
      <c r="E45" s="900">
        <f>[1]DB_Comuni!D42</f>
        <v>0</v>
      </c>
    </row>
    <row r="46" spans="1:5" x14ac:dyDescent="0.2">
      <c r="A46" s="35" t="s">
        <v>5741</v>
      </c>
      <c r="B46" s="527" t="s">
        <v>813</v>
      </c>
      <c r="C46" s="900">
        <f>[1]DB_Comuni!B43</f>
        <v>0</v>
      </c>
      <c r="D46" s="900">
        <f>[1]DB_Comuni!C43</f>
        <v>0</v>
      </c>
      <c r="E46" s="900">
        <f>[1]DB_Comuni!D43</f>
        <v>0</v>
      </c>
    </row>
    <row r="47" spans="1:5" x14ac:dyDescent="0.2">
      <c r="A47" s="35" t="s">
        <v>5742</v>
      </c>
      <c r="B47" s="527" t="s">
        <v>814</v>
      </c>
      <c r="C47" s="900">
        <f>[1]DB_Comuni!B44</f>
        <v>0</v>
      </c>
      <c r="D47" s="900">
        <f>[1]DB_Comuni!C44</f>
        <v>0</v>
      </c>
      <c r="E47" s="900">
        <f>[1]DB_Comuni!D44</f>
        <v>0</v>
      </c>
    </row>
    <row r="48" spans="1:5" x14ac:dyDescent="0.2">
      <c r="A48" s="35" t="s">
        <v>5743</v>
      </c>
      <c r="B48" s="527" t="s">
        <v>815</v>
      </c>
      <c r="C48" s="900">
        <f>[1]DB_Comuni!B45</f>
        <v>0</v>
      </c>
      <c r="D48" s="900">
        <f>[1]DB_Comuni!C45</f>
        <v>0</v>
      </c>
      <c r="E48" s="900">
        <f>[1]DB_Comuni!D45</f>
        <v>0</v>
      </c>
    </row>
    <row r="49" spans="1:5" x14ac:dyDescent="0.2">
      <c r="A49" s="35" t="s">
        <v>5744</v>
      </c>
      <c r="B49" s="527" t="s">
        <v>816</v>
      </c>
      <c r="C49" s="900">
        <f>[1]DB_Comuni!B46</f>
        <v>0</v>
      </c>
      <c r="D49" s="900">
        <f>[1]DB_Comuni!C46</f>
        <v>0</v>
      </c>
      <c r="E49" s="900">
        <f>[1]DB_Comuni!D46</f>
        <v>0</v>
      </c>
    </row>
    <row r="50" spans="1:5" x14ac:dyDescent="0.2">
      <c r="A50" s="35" t="s">
        <v>5745</v>
      </c>
      <c r="B50" s="527" t="s">
        <v>817</v>
      </c>
      <c r="C50" s="900">
        <f>[1]DB_Comuni!B47</f>
        <v>0</v>
      </c>
      <c r="D50" s="900">
        <f>[1]DB_Comuni!C47</f>
        <v>0</v>
      </c>
      <c r="E50" s="900">
        <f>[1]DB_Comuni!D47</f>
        <v>0</v>
      </c>
    </row>
    <row r="51" spans="1:5" x14ac:dyDescent="0.2">
      <c r="A51" s="35" t="s">
        <v>5746</v>
      </c>
      <c r="B51" s="527" t="s">
        <v>818</v>
      </c>
      <c r="C51" s="900">
        <f>[1]DB_Comuni!B48</f>
        <v>0</v>
      </c>
      <c r="D51" s="900">
        <f>[1]DB_Comuni!C48</f>
        <v>0</v>
      </c>
      <c r="E51" s="900">
        <f>[1]DB_Comuni!D48</f>
        <v>0</v>
      </c>
    </row>
    <row r="52" spans="1:5" x14ac:dyDescent="0.2">
      <c r="A52" s="35" t="s">
        <v>5747</v>
      </c>
      <c r="B52" s="527" t="s">
        <v>819</v>
      </c>
      <c r="C52" s="900">
        <f>[1]DB_Comuni!B49</f>
        <v>0</v>
      </c>
      <c r="D52" s="900">
        <f>[1]DB_Comuni!C49</f>
        <v>0</v>
      </c>
      <c r="E52" s="900">
        <f>[1]DB_Comuni!D49</f>
        <v>0</v>
      </c>
    </row>
    <row r="53" spans="1:5" x14ac:dyDescent="0.2">
      <c r="A53" s="35" t="s">
        <v>5748</v>
      </c>
      <c r="B53" s="527" t="s">
        <v>820</v>
      </c>
      <c r="C53" s="900">
        <f>[1]DB_Comuni!B50</f>
        <v>0</v>
      </c>
      <c r="D53" s="900">
        <f>[1]DB_Comuni!C50</f>
        <v>0</v>
      </c>
      <c r="E53" s="900">
        <f>[1]DB_Comuni!D50</f>
        <v>0</v>
      </c>
    </row>
    <row r="54" spans="1:5" x14ac:dyDescent="0.2">
      <c r="A54" s="35" t="s">
        <v>5749</v>
      </c>
      <c r="B54" s="527" t="s">
        <v>821</v>
      </c>
      <c r="C54" s="900">
        <f>[1]DB_Comuni!B51</f>
        <v>0</v>
      </c>
      <c r="D54" s="900">
        <f>[1]DB_Comuni!C51</f>
        <v>0</v>
      </c>
      <c r="E54" s="900">
        <f>[1]DB_Comuni!D51</f>
        <v>0</v>
      </c>
    </row>
    <row r="55" spans="1:5" x14ac:dyDescent="0.2">
      <c r="A55" s="35" t="s">
        <v>5750</v>
      </c>
      <c r="B55" s="527" t="s">
        <v>822</v>
      </c>
      <c r="C55" s="900">
        <f>[1]DB_Comuni!B52</f>
        <v>0</v>
      </c>
      <c r="D55" s="900">
        <f>[1]DB_Comuni!C52</f>
        <v>0</v>
      </c>
      <c r="E55" s="900">
        <f>[1]DB_Comuni!D52</f>
        <v>0</v>
      </c>
    </row>
    <row r="56" spans="1:5" x14ac:dyDescent="0.2">
      <c r="A56" s="35" t="s">
        <v>5751</v>
      </c>
      <c r="B56" s="527" t="s">
        <v>823</v>
      </c>
      <c r="C56" s="900">
        <f>[1]DB_Comuni!B53</f>
        <v>0</v>
      </c>
      <c r="D56" s="900">
        <f>[1]DB_Comuni!C53</f>
        <v>0</v>
      </c>
      <c r="E56" s="900">
        <f>[1]DB_Comuni!D53</f>
        <v>0</v>
      </c>
    </row>
    <row r="57" spans="1:5" x14ac:dyDescent="0.2">
      <c r="A57" s="35" t="s">
        <v>5752</v>
      </c>
      <c r="B57" s="527" t="s">
        <v>824</v>
      </c>
      <c r="C57" s="900">
        <f>[1]DB_Comuni!B54</f>
        <v>0</v>
      </c>
      <c r="D57" s="900">
        <f>[1]DB_Comuni!C54</f>
        <v>0</v>
      </c>
      <c r="E57" s="900">
        <f>[1]DB_Comuni!D54</f>
        <v>0</v>
      </c>
    </row>
    <row r="58" spans="1:5" x14ac:dyDescent="0.2">
      <c r="A58" s="35" t="s">
        <v>5753</v>
      </c>
      <c r="B58" s="527" t="s">
        <v>825</v>
      </c>
      <c r="C58" s="900">
        <f>[1]DB_Comuni!B55</f>
        <v>0</v>
      </c>
      <c r="D58" s="900">
        <f>[1]DB_Comuni!C55</f>
        <v>0</v>
      </c>
      <c r="E58" s="900">
        <f>[1]DB_Comuni!D55</f>
        <v>0</v>
      </c>
    </row>
    <row r="59" spans="1:5" x14ac:dyDescent="0.2">
      <c r="A59" s="35" t="s">
        <v>5754</v>
      </c>
      <c r="B59" s="527" t="s">
        <v>826</v>
      </c>
      <c r="C59" s="900">
        <f>[1]DB_Comuni!B56</f>
        <v>0</v>
      </c>
      <c r="D59" s="900">
        <f>[1]DB_Comuni!C56</f>
        <v>0</v>
      </c>
      <c r="E59" s="900">
        <f>[1]DB_Comuni!D56</f>
        <v>0</v>
      </c>
    </row>
    <row r="60" spans="1:5" x14ac:dyDescent="0.2">
      <c r="A60" s="35" t="s">
        <v>5755</v>
      </c>
      <c r="B60" s="527" t="s">
        <v>827</v>
      </c>
      <c r="C60" s="900">
        <f>[1]DB_Comuni!B57</f>
        <v>0</v>
      </c>
      <c r="D60" s="900">
        <f>[1]DB_Comuni!C57</f>
        <v>0</v>
      </c>
      <c r="E60" s="900">
        <f>[1]DB_Comuni!D57</f>
        <v>0</v>
      </c>
    </row>
    <row r="61" spans="1:5" x14ac:dyDescent="0.2">
      <c r="A61" s="35" t="s">
        <v>5756</v>
      </c>
      <c r="B61" s="527" t="s">
        <v>828</v>
      </c>
      <c r="C61" s="900">
        <f>[1]DB_Comuni!B58</f>
        <v>0</v>
      </c>
      <c r="D61" s="900">
        <f>[1]DB_Comuni!C58</f>
        <v>0</v>
      </c>
      <c r="E61" s="900">
        <f>[1]DB_Comuni!D58</f>
        <v>0</v>
      </c>
    </row>
    <row r="62" spans="1:5" x14ac:dyDescent="0.2">
      <c r="A62" s="35" t="s">
        <v>5757</v>
      </c>
      <c r="B62" s="527" t="s">
        <v>829</v>
      </c>
      <c r="C62" s="900">
        <f>[1]DB_Comuni!B59</f>
        <v>0</v>
      </c>
      <c r="D62" s="900">
        <f>[1]DB_Comuni!C59</f>
        <v>0</v>
      </c>
      <c r="E62" s="900">
        <f>[1]DB_Comuni!D59</f>
        <v>0</v>
      </c>
    </row>
    <row r="63" spans="1:5" x14ac:dyDescent="0.2">
      <c r="A63" s="35" t="s">
        <v>5758</v>
      </c>
      <c r="B63" s="527" t="s">
        <v>830</v>
      </c>
      <c r="C63" s="900">
        <f>[1]DB_Comuni!B60</f>
        <v>0</v>
      </c>
      <c r="D63" s="900">
        <f>[1]DB_Comuni!C60</f>
        <v>0</v>
      </c>
      <c r="E63" s="900">
        <f>[1]DB_Comuni!D60</f>
        <v>0</v>
      </c>
    </row>
    <row r="64" spans="1:5" x14ac:dyDescent="0.2">
      <c r="A64" s="35" t="s">
        <v>5759</v>
      </c>
      <c r="B64" s="527" t="s">
        <v>831</v>
      </c>
      <c r="C64" s="900">
        <f>[1]DB_Comuni!B61</f>
        <v>0</v>
      </c>
      <c r="D64" s="900">
        <f>[1]DB_Comuni!C61</f>
        <v>0</v>
      </c>
      <c r="E64" s="900">
        <f>[1]DB_Comuni!D61</f>
        <v>0</v>
      </c>
    </row>
    <row r="65" spans="1:5" x14ac:dyDescent="0.2">
      <c r="A65" s="35" t="s">
        <v>5760</v>
      </c>
      <c r="B65" s="527" t="s">
        <v>832</v>
      </c>
      <c r="C65" s="900">
        <f>[1]DB_Comuni!B62</f>
        <v>0</v>
      </c>
      <c r="D65" s="900">
        <f>[1]DB_Comuni!C62</f>
        <v>0</v>
      </c>
      <c r="E65" s="900">
        <f>[1]DB_Comuni!D62</f>
        <v>0</v>
      </c>
    </row>
    <row r="66" spans="1:5" x14ac:dyDescent="0.2">
      <c r="A66" s="35" t="s">
        <v>5761</v>
      </c>
      <c r="B66" s="527" t="s">
        <v>833</v>
      </c>
      <c r="C66" s="900">
        <f>[1]DB_Comuni!B63</f>
        <v>0</v>
      </c>
      <c r="D66" s="900">
        <f>[1]DB_Comuni!C63</f>
        <v>0</v>
      </c>
      <c r="E66" s="900">
        <f>[1]DB_Comuni!D63</f>
        <v>0</v>
      </c>
    </row>
    <row r="67" spans="1:5" x14ac:dyDescent="0.2">
      <c r="A67" s="35" t="s">
        <v>5762</v>
      </c>
      <c r="B67" s="527" t="s">
        <v>834</v>
      </c>
      <c r="C67" s="900">
        <f>[1]DB_Comuni!B64</f>
        <v>0</v>
      </c>
      <c r="D67" s="900">
        <f>[1]DB_Comuni!C64</f>
        <v>0</v>
      </c>
      <c r="E67" s="900">
        <f>[1]DB_Comuni!D64</f>
        <v>0</v>
      </c>
    </row>
    <row r="68" spans="1:5" x14ac:dyDescent="0.2">
      <c r="A68" s="35" t="s">
        <v>5763</v>
      </c>
      <c r="B68" s="527" t="s">
        <v>835</v>
      </c>
      <c r="C68" s="900">
        <f>[1]DB_Comuni!B65</f>
        <v>0</v>
      </c>
      <c r="D68" s="900">
        <f>[1]DB_Comuni!C65</f>
        <v>0</v>
      </c>
      <c r="E68" s="900">
        <f>[1]DB_Comuni!D65</f>
        <v>0</v>
      </c>
    </row>
    <row r="69" spans="1:5" x14ac:dyDescent="0.2">
      <c r="A69" s="35" t="s">
        <v>5764</v>
      </c>
      <c r="B69" s="527" t="s">
        <v>836</v>
      </c>
      <c r="C69" s="900">
        <f>[1]DB_Comuni!B66</f>
        <v>0</v>
      </c>
      <c r="D69" s="900">
        <f>[1]DB_Comuni!C66</f>
        <v>0</v>
      </c>
      <c r="E69" s="900">
        <f>[1]DB_Comuni!D66</f>
        <v>0</v>
      </c>
    </row>
    <row r="70" spans="1:5" x14ac:dyDescent="0.2">
      <c r="A70" s="35" t="s">
        <v>5765</v>
      </c>
      <c r="B70" s="527" t="s">
        <v>837</v>
      </c>
      <c r="C70" s="900">
        <f>[1]DB_Comuni!B67</f>
        <v>0</v>
      </c>
      <c r="D70" s="900">
        <f>[1]DB_Comuni!C67</f>
        <v>0</v>
      </c>
      <c r="E70" s="900">
        <f>[1]DB_Comuni!D67</f>
        <v>0</v>
      </c>
    </row>
    <row r="71" spans="1:5" x14ac:dyDescent="0.2">
      <c r="A71" s="35" t="s">
        <v>5766</v>
      </c>
      <c r="B71" s="527" t="s">
        <v>838</v>
      </c>
      <c r="C71" s="900">
        <f>[1]DB_Comuni!B68</f>
        <v>0</v>
      </c>
      <c r="D71" s="900">
        <f>[1]DB_Comuni!C68</f>
        <v>0</v>
      </c>
      <c r="E71" s="900">
        <f>[1]DB_Comuni!D68</f>
        <v>0</v>
      </c>
    </row>
    <row r="72" spans="1:5" x14ac:dyDescent="0.2">
      <c r="A72" s="35" t="s">
        <v>5767</v>
      </c>
      <c r="B72" s="527" t="s">
        <v>839</v>
      </c>
      <c r="C72" s="900">
        <f>[1]DB_Comuni!B69</f>
        <v>0</v>
      </c>
      <c r="D72" s="900">
        <f>[1]DB_Comuni!C69</f>
        <v>0</v>
      </c>
      <c r="E72" s="900">
        <f>[1]DB_Comuni!D69</f>
        <v>0</v>
      </c>
    </row>
    <row r="73" spans="1:5" x14ac:dyDescent="0.2">
      <c r="A73" s="35" t="s">
        <v>5768</v>
      </c>
      <c r="B73" s="527" t="s">
        <v>840</v>
      </c>
      <c r="C73" s="900">
        <f>[1]DB_Comuni!B70</f>
        <v>0</v>
      </c>
      <c r="D73" s="900">
        <f>[1]DB_Comuni!C70</f>
        <v>0</v>
      </c>
      <c r="E73" s="900">
        <f>[1]DB_Comuni!D70</f>
        <v>0</v>
      </c>
    </row>
    <row r="74" spans="1:5" x14ac:dyDescent="0.2">
      <c r="A74" s="35" t="s">
        <v>5769</v>
      </c>
      <c r="B74" s="527" t="s">
        <v>841</v>
      </c>
      <c r="C74" s="900">
        <f>[1]DB_Comuni!B71</f>
        <v>0</v>
      </c>
      <c r="D74" s="900">
        <f>[1]DB_Comuni!C71</f>
        <v>0</v>
      </c>
      <c r="E74" s="900">
        <f>[1]DB_Comuni!D71</f>
        <v>0</v>
      </c>
    </row>
    <row r="75" spans="1:5" x14ac:dyDescent="0.2">
      <c r="A75" s="35" t="s">
        <v>5770</v>
      </c>
      <c r="B75" s="527" t="s">
        <v>842</v>
      </c>
      <c r="C75" s="900">
        <f>[1]DB_Comuni!B72</f>
        <v>0</v>
      </c>
      <c r="D75" s="900">
        <f>[1]DB_Comuni!C72</f>
        <v>0</v>
      </c>
      <c r="E75" s="900">
        <f>[1]DB_Comuni!D72</f>
        <v>0</v>
      </c>
    </row>
    <row r="76" spans="1:5" x14ac:dyDescent="0.2">
      <c r="A76" s="35" t="s">
        <v>5771</v>
      </c>
      <c r="B76" s="527" t="s">
        <v>843</v>
      </c>
      <c r="C76" s="900">
        <f>[1]DB_Comuni!B73</f>
        <v>0</v>
      </c>
      <c r="D76" s="900">
        <f>[1]DB_Comuni!C73</f>
        <v>0</v>
      </c>
      <c r="E76" s="900">
        <f>[1]DB_Comuni!D73</f>
        <v>0</v>
      </c>
    </row>
    <row r="77" spans="1:5" x14ac:dyDescent="0.2">
      <c r="A77" s="35" t="s">
        <v>5772</v>
      </c>
      <c r="B77" s="527" t="s">
        <v>844</v>
      </c>
      <c r="C77" s="900">
        <f>[1]DB_Comuni!B74</f>
        <v>0</v>
      </c>
      <c r="D77" s="900">
        <f>[1]DB_Comuni!C74</f>
        <v>0</v>
      </c>
      <c r="E77" s="900">
        <f>[1]DB_Comuni!D74</f>
        <v>0</v>
      </c>
    </row>
    <row r="78" spans="1:5" x14ac:dyDescent="0.2">
      <c r="A78" s="35" t="s">
        <v>5773</v>
      </c>
      <c r="B78" s="527" t="s">
        <v>845</v>
      </c>
      <c r="C78" s="900">
        <f>[1]DB_Comuni!B75</f>
        <v>0</v>
      </c>
      <c r="D78" s="900">
        <f>[1]DB_Comuni!C75</f>
        <v>0</v>
      </c>
      <c r="E78" s="900">
        <f>[1]DB_Comuni!D75</f>
        <v>0</v>
      </c>
    </row>
    <row r="79" spans="1:5" x14ac:dyDescent="0.2">
      <c r="A79" s="35" t="s">
        <v>5774</v>
      </c>
      <c r="B79" s="527" t="s">
        <v>846</v>
      </c>
      <c r="C79" s="900">
        <f>[1]DB_Comuni!B76</f>
        <v>0</v>
      </c>
      <c r="D79" s="900">
        <f>[1]DB_Comuni!C76</f>
        <v>0</v>
      </c>
      <c r="E79" s="900">
        <f>[1]DB_Comuni!D76</f>
        <v>0</v>
      </c>
    </row>
    <row r="80" spans="1:5" x14ac:dyDescent="0.2">
      <c r="A80" s="35" t="s">
        <v>5775</v>
      </c>
      <c r="B80" s="527" t="s">
        <v>847</v>
      </c>
      <c r="C80" s="900">
        <f>[1]DB_Comuni!B77</f>
        <v>0</v>
      </c>
      <c r="D80" s="900">
        <f>[1]DB_Comuni!C77</f>
        <v>0</v>
      </c>
      <c r="E80" s="900">
        <f>[1]DB_Comuni!D77</f>
        <v>0</v>
      </c>
    </row>
    <row r="81" spans="1:5" x14ac:dyDescent="0.2">
      <c r="A81" s="35" t="s">
        <v>5776</v>
      </c>
      <c r="B81" s="527" t="s">
        <v>848</v>
      </c>
      <c r="C81" s="900">
        <f>[1]DB_Comuni!B78</f>
        <v>0</v>
      </c>
      <c r="D81" s="900">
        <f>[1]DB_Comuni!C78</f>
        <v>0</v>
      </c>
      <c r="E81" s="900">
        <f>[1]DB_Comuni!D78</f>
        <v>0</v>
      </c>
    </row>
    <row r="82" spans="1:5" x14ac:dyDescent="0.2">
      <c r="A82" s="85" t="s">
        <v>1727</v>
      </c>
      <c r="B82" s="527" t="s">
        <v>849</v>
      </c>
      <c r="C82" s="900">
        <f>[1]DB_Comuni!B79</f>
        <v>0</v>
      </c>
      <c r="D82" s="900">
        <f>[1]DB_Comuni!C79</f>
        <v>0</v>
      </c>
      <c r="E82" s="900">
        <f>[1]DB_Comuni!D79</f>
        <v>0</v>
      </c>
    </row>
    <row r="83" spans="1:5" x14ac:dyDescent="0.2">
      <c r="A83" s="85" t="s">
        <v>1827</v>
      </c>
      <c r="B83" s="527" t="s">
        <v>850</v>
      </c>
      <c r="C83" s="900">
        <f>[1]DB_Comuni!B80</f>
        <v>0</v>
      </c>
      <c r="D83" s="900">
        <f>[1]DB_Comuni!C80</f>
        <v>0</v>
      </c>
      <c r="E83" s="900">
        <f>[1]DB_Comuni!D80</f>
        <v>0</v>
      </c>
    </row>
    <row r="84" spans="1:5" x14ac:dyDescent="0.2">
      <c r="A84" s="35" t="s">
        <v>5777</v>
      </c>
      <c r="B84" s="527" t="s">
        <v>470</v>
      </c>
      <c r="C84" s="900">
        <f>[1]DB_Comuni!B81</f>
        <v>0</v>
      </c>
      <c r="D84" s="900">
        <f>[1]DB_Comuni!C81</f>
        <v>0</v>
      </c>
      <c r="E84" s="900">
        <f>[1]DB_Comuni!D81</f>
        <v>0</v>
      </c>
    </row>
    <row r="85" spans="1:5" x14ac:dyDescent="0.2">
      <c r="A85" s="35" t="s">
        <v>5778</v>
      </c>
      <c r="B85" s="527" t="s">
        <v>471</v>
      </c>
      <c r="C85" s="900">
        <f>[1]DB_Comuni!B82</f>
        <v>0</v>
      </c>
      <c r="D85" s="900">
        <f>[1]DB_Comuni!C82</f>
        <v>0</v>
      </c>
      <c r="E85" s="900">
        <f>[1]DB_Comuni!D82</f>
        <v>0</v>
      </c>
    </row>
    <row r="86" spans="1:5" x14ac:dyDescent="0.2">
      <c r="A86" s="35" t="s">
        <v>5779</v>
      </c>
      <c r="B86" s="527" t="s">
        <v>472</v>
      </c>
      <c r="C86" s="900">
        <f>[1]DB_Comuni!B83</f>
        <v>0</v>
      </c>
      <c r="D86" s="900">
        <f>[1]DB_Comuni!C83</f>
        <v>0</v>
      </c>
      <c r="E86" s="900">
        <f>[1]DB_Comuni!D83</f>
        <v>0</v>
      </c>
    </row>
    <row r="87" spans="1:5" x14ac:dyDescent="0.2">
      <c r="A87" s="35" t="s">
        <v>5780</v>
      </c>
      <c r="B87" s="527" t="s">
        <v>473</v>
      </c>
      <c r="C87" s="900">
        <f>[1]DB_Comuni!B84</f>
        <v>0</v>
      </c>
      <c r="D87" s="900">
        <f>[1]DB_Comuni!C84</f>
        <v>0</v>
      </c>
      <c r="E87" s="900">
        <f>[1]DB_Comuni!D84</f>
        <v>0</v>
      </c>
    </row>
    <row r="88" spans="1:5" x14ac:dyDescent="0.2">
      <c r="A88" s="35" t="s">
        <v>5781</v>
      </c>
      <c r="B88" s="527" t="s">
        <v>474</v>
      </c>
      <c r="C88" s="900">
        <f>[1]DB_Comuni!B85</f>
        <v>0</v>
      </c>
      <c r="D88" s="900">
        <f>[1]DB_Comuni!C85</f>
        <v>0</v>
      </c>
      <c r="E88" s="900">
        <f>[1]DB_Comuni!D85</f>
        <v>0</v>
      </c>
    </row>
    <row r="89" spans="1:5" x14ac:dyDescent="0.2">
      <c r="A89" s="35" t="s">
        <v>5782</v>
      </c>
      <c r="B89" s="527" t="s">
        <v>475</v>
      </c>
      <c r="C89" s="900">
        <f>[1]DB_Comuni!B86</f>
        <v>0</v>
      </c>
      <c r="D89" s="900">
        <f>[1]DB_Comuni!C86</f>
        <v>0</v>
      </c>
      <c r="E89" s="900">
        <f>[1]DB_Comuni!D86</f>
        <v>0</v>
      </c>
    </row>
    <row r="90" spans="1:5" x14ac:dyDescent="0.2">
      <c r="A90" s="35" t="s">
        <v>5783</v>
      </c>
      <c r="B90" s="527" t="s">
        <v>476</v>
      </c>
      <c r="C90" s="900">
        <f>[1]DB_Comuni!B87</f>
        <v>0</v>
      </c>
      <c r="D90" s="900">
        <f>[1]DB_Comuni!C87</f>
        <v>0</v>
      </c>
      <c r="E90" s="900">
        <f>[1]DB_Comuni!D87</f>
        <v>0</v>
      </c>
    </row>
    <row r="91" spans="1:5" x14ac:dyDescent="0.2">
      <c r="A91" s="35" t="s">
        <v>5784</v>
      </c>
      <c r="B91" s="527" t="s">
        <v>477</v>
      </c>
      <c r="C91" s="900">
        <f>[1]DB_Comuni!B88</f>
        <v>0</v>
      </c>
      <c r="D91" s="900">
        <f>[1]DB_Comuni!C88</f>
        <v>0</v>
      </c>
      <c r="E91" s="900">
        <f>[1]DB_Comuni!D88</f>
        <v>0</v>
      </c>
    </row>
    <row r="92" spans="1:5" x14ac:dyDescent="0.2">
      <c r="A92" s="35" t="s">
        <v>5785</v>
      </c>
      <c r="B92" s="527" t="s">
        <v>478</v>
      </c>
      <c r="C92" s="900">
        <f>[1]DB_Comuni!B89</f>
        <v>0</v>
      </c>
      <c r="D92" s="900">
        <f>[1]DB_Comuni!C89</f>
        <v>0</v>
      </c>
      <c r="E92" s="900">
        <f>[1]DB_Comuni!D89</f>
        <v>0</v>
      </c>
    </row>
    <row r="93" spans="1:5" x14ac:dyDescent="0.2">
      <c r="A93" s="123" t="s">
        <v>5786</v>
      </c>
      <c r="B93" s="527" t="s">
        <v>479</v>
      </c>
      <c r="C93" s="900">
        <f>[1]DB_Comuni!B90</f>
        <v>0</v>
      </c>
      <c r="D93" s="900">
        <f>[1]DB_Comuni!C90</f>
        <v>0</v>
      </c>
      <c r="E93" s="900">
        <f>[1]DB_Comuni!D90</f>
        <v>0</v>
      </c>
    </row>
    <row r="94" spans="1:5" x14ac:dyDescent="0.2">
      <c r="A94" s="123" t="s">
        <v>5787</v>
      </c>
      <c r="B94" s="527" t="s">
        <v>480</v>
      </c>
      <c r="C94" s="900">
        <f>[1]DB_Comuni!B91</f>
        <v>0</v>
      </c>
      <c r="D94" s="900">
        <f>[1]DB_Comuni!C91</f>
        <v>0</v>
      </c>
      <c r="E94" s="900">
        <f>[1]DB_Comuni!D91</f>
        <v>0</v>
      </c>
    </row>
    <row r="95" spans="1:5" x14ac:dyDescent="0.2">
      <c r="A95" s="123" t="s">
        <v>5788</v>
      </c>
      <c r="B95" s="527" t="s">
        <v>481</v>
      </c>
      <c r="C95" s="900">
        <f>[1]DB_Comuni!B92</f>
        <v>0</v>
      </c>
      <c r="D95" s="900">
        <f>[1]DB_Comuni!C92</f>
        <v>0</v>
      </c>
      <c r="E95" s="900">
        <f>[1]DB_Comuni!D92</f>
        <v>0</v>
      </c>
    </row>
    <row r="96" spans="1:5" x14ac:dyDescent="0.2">
      <c r="A96" s="85" t="s">
        <v>3151</v>
      </c>
      <c r="B96" s="527" t="s">
        <v>851</v>
      </c>
      <c r="C96" s="900">
        <f>[1]DB_Comuni!B93</f>
        <v>0</v>
      </c>
      <c r="D96" s="900">
        <f>[1]DB_Comuni!C93</f>
        <v>0</v>
      </c>
      <c r="E96" s="900">
        <f>[1]DB_Comuni!D93</f>
        <v>0</v>
      </c>
    </row>
    <row r="97" spans="1:5" x14ac:dyDescent="0.2">
      <c r="A97" s="85" t="s">
        <v>3250</v>
      </c>
      <c r="B97" s="527" t="s">
        <v>852</v>
      </c>
      <c r="C97" s="900">
        <f>[1]DB_Comuni!B94</f>
        <v>0</v>
      </c>
      <c r="D97" s="900">
        <f>[1]DB_Comuni!C94</f>
        <v>0</v>
      </c>
      <c r="E97" s="900">
        <f>[1]DB_Comuni!D94</f>
        <v>0</v>
      </c>
    </row>
    <row r="98" spans="1:5" x14ac:dyDescent="0.2">
      <c r="A98" s="122" t="s">
        <v>5789</v>
      </c>
      <c r="B98" s="527" t="s">
        <v>853</v>
      </c>
      <c r="C98" s="900">
        <f>[1]DB_Comuni!B95</f>
        <v>0</v>
      </c>
      <c r="D98" s="900">
        <f>[1]DB_Comuni!C95</f>
        <v>0</v>
      </c>
      <c r="E98" s="900">
        <f>[1]DB_Comuni!D95</f>
        <v>0</v>
      </c>
    </row>
    <row r="99" spans="1:5" x14ac:dyDescent="0.2">
      <c r="A99" s="122" t="s">
        <v>5790</v>
      </c>
      <c r="B99" s="527" t="s">
        <v>854</v>
      </c>
      <c r="C99" s="900">
        <f>[1]DB_Comuni!B96</f>
        <v>0</v>
      </c>
      <c r="D99" s="900">
        <f>[1]DB_Comuni!C96</f>
        <v>0</v>
      </c>
      <c r="E99" s="900">
        <f>[1]DB_Comuni!D96</f>
        <v>0</v>
      </c>
    </row>
    <row r="100" spans="1:5" x14ac:dyDescent="0.2">
      <c r="A100" s="122" t="s">
        <v>5791</v>
      </c>
      <c r="B100" s="527" t="s">
        <v>855</v>
      </c>
      <c r="C100" s="900">
        <f>[1]DB_Comuni!B97</f>
        <v>0</v>
      </c>
      <c r="D100" s="900">
        <f>[1]DB_Comuni!C97</f>
        <v>0</v>
      </c>
      <c r="E100" s="900">
        <f>[1]DB_Comuni!D97</f>
        <v>0</v>
      </c>
    </row>
    <row r="101" spans="1:5" x14ac:dyDescent="0.2">
      <c r="A101" s="123" t="s">
        <v>5792</v>
      </c>
      <c r="B101" s="527" t="s">
        <v>856</v>
      </c>
      <c r="C101" s="900">
        <f>[1]DB_Comuni!B98</f>
        <v>0</v>
      </c>
      <c r="D101" s="900">
        <f>[1]DB_Comuni!C98</f>
        <v>0</v>
      </c>
      <c r="E101" s="900">
        <f>[1]DB_Comuni!D98</f>
        <v>0</v>
      </c>
    </row>
    <row r="102" spans="1:5" x14ac:dyDescent="0.2">
      <c r="A102" s="7" t="s">
        <v>5793</v>
      </c>
      <c r="B102" s="527" t="s">
        <v>857</v>
      </c>
      <c r="C102" s="900">
        <f>[1]DB_Comuni!B99</f>
        <v>0</v>
      </c>
      <c r="D102" s="900">
        <f>[1]DB_Comuni!C99</f>
        <v>0</v>
      </c>
      <c r="E102" s="900">
        <f>[1]DB_Comuni!D99</f>
        <v>0</v>
      </c>
    </row>
    <row r="103" spans="1:5" x14ac:dyDescent="0.2">
      <c r="A103" s="7" t="s">
        <v>5794</v>
      </c>
      <c r="B103" s="527" t="s">
        <v>858</v>
      </c>
      <c r="C103" s="900">
        <f>[1]DB_Comuni!B100</f>
        <v>0</v>
      </c>
      <c r="D103" s="900">
        <f>[1]DB_Comuni!C100</f>
        <v>0</v>
      </c>
      <c r="E103" s="900">
        <f>[1]DB_Comuni!D100</f>
        <v>0</v>
      </c>
    </row>
    <row r="104" spans="1:5" x14ac:dyDescent="0.2">
      <c r="A104" s="35" t="s">
        <v>5795</v>
      </c>
      <c r="B104" s="527" t="s">
        <v>859</v>
      </c>
      <c r="C104" s="900">
        <f>[1]DB_Comuni!B101</f>
        <v>0</v>
      </c>
      <c r="D104" s="900">
        <f>[1]DB_Comuni!C101</f>
        <v>0</v>
      </c>
      <c r="E104" s="900">
        <f>[1]DB_Comuni!D101</f>
        <v>0</v>
      </c>
    </row>
    <row r="105" spans="1:5" x14ac:dyDescent="0.2">
      <c r="A105" s="35" t="s">
        <v>5796</v>
      </c>
      <c r="B105" s="527" t="s">
        <v>860</v>
      </c>
      <c r="C105" s="900">
        <f>[1]DB_Comuni!B102</f>
        <v>0</v>
      </c>
      <c r="D105" s="900">
        <f>[1]DB_Comuni!C102</f>
        <v>0</v>
      </c>
      <c r="E105" s="900">
        <f>[1]DB_Comuni!D102</f>
        <v>0</v>
      </c>
    </row>
    <row r="106" spans="1:5" x14ac:dyDescent="0.2">
      <c r="A106" s="35" t="s">
        <v>5797</v>
      </c>
      <c r="B106" s="527" t="s">
        <v>861</v>
      </c>
      <c r="C106" s="900">
        <f>[1]DB_Comuni!B103</f>
        <v>0</v>
      </c>
      <c r="D106" s="900">
        <f>[1]DB_Comuni!C103</f>
        <v>0</v>
      </c>
      <c r="E106" s="900">
        <f>[1]DB_Comuni!D103</f>
        <v>0</v>
      </c>
    </row>
    <row r="107" spans="1:5" x14ac:dyDescent="0.2">
      <c r="A107" s="35" t="s">
        <v>5798</v>
      </c>
      <c r="B107" s="527" t="s">
        <v>862</v>
      </c>
      <c r="C107" s="900">
        <f>[1]DB_Comuni!B104</f>
        <v>0</v>
      </c>
      <c r="D107" s="900">
        <f>[1]DB_Comuni!C104</f>
        <v>0</v>
      </c>
      <c r="E107" s="900">
        <f>[1]DB_Comuni!D104</f>
        <v>0</v>
      </c>
    </row>
    <row r="108" spans="1:5" x14ac:dyDescent="0.2">
      <c r="A108" s="35" t="s">
        <v>5799</v>
      </c>
      <c r="B108" s="527" t="s">
        <v>863</v>
      </c>
      <c r="C108" s="900">
        <f>[1]DB_Comuni!B105</f>
        <v>0</v>
      </c>
      <c r="D108" s="900">
        <f>[1]DB_Comuni!C105</f>
        <v>0</v>
      </c>
      <c r="E108" s="900">
        <f>[1]DB_Comuni!D105</f>
        <v>0</v>
      </c>
    </row>
    <row r="109" spans="1:5" x14ac:dyDescent="0.2">
      <c r="A109" s="35" t="s">
        <v>5800</v>
      </c>
      <c r="B109" s="527" t="s">
        <v>864</v>
      </c>
      <c r="C109" s="900">
        <f>[1]DB_Comuni!B106</f>
        <v>0</v>
      </c>
      <c r="D109" s="900">
        <f>[1]DB_Comuni!C106</f>
        <v>0</v>
      </c>
      <c r="E109" s="900">
        <f>[1]DB_Comuni!D106</f>
        <v>0</v>
      </c>
    </row>
    <row r="110" spans="1:5" x14ac:dyDescent="0.2">
      <c r="A110" s="35" t="s">
        <v>5801</v>
      </c>
      <c r="B110" s="527" t="s">
        <v>865</v>
      </c>
      <c r="C110" s="900">
        <f>[1]DB_Comuni!B107</f>
        <v>0</v>
      </c>
      <c r="D110" s="900">
        <f>[1]DB_Comuni!C107</f>
        <v>0</v>
      </c>
      <c r="E110" s="900">
        <f>[1]DB_Comuni!D107</f>
        <v>0</v>
      </c>
    </row>
    <row r="111" spans="1:5" x14ac:dyDescent="0.2">
      <c r="A111" s="35" t="s">
        <v>5802</v>
      </c>
      <c r="B111" s="527" t="s">
        <v>5708</v>
      </c>
      <c r="C111" s="900">
        <f>[1]DB_Comuni!B108</f>
        <v>0</v>
      </c>
      <c r="D111" s="900">
        <f>[1]DB_Comuni!C108</f>
        <v>0</v>
      </c>
      <c r="E111" s="900">
        <f>[1]DB_Comuni!D108</f>
        <v>0</v>
      </c>
    </row>
    <row r="112" spans="1:5" x14ac:dyDescent="0.2">
      <c r="A112" s="35" t="s">
        <v>5803</v>
      </c>
      <c r="B112" s="527" t="s">
        <v>866</v>
      </c>
      <c r="C112" s="900">
        <f>[1]DB_Comuni!B109</f>
        <v>0</v>
      </c>
      <c r="D112" s="900">
        <f>[1]DB_Comuni!C109</f>
        <v>0</v>
      </c>
      <c r="E112" s="900">
        <f>[1]DB_Comuni!D109</f>
        <v>0</v>
      </c>
    </row>
    <row r="113" spans="1:5" x14ac:dyDescent="0.2">
      <c r="A113" s="35" t="s">
        <v>5804</v>
      </c>
      <c r="B113" s="527" t="s">
        <v>867</v>
      </c>
      <c r="C113" s="900">
        <f>[1]DB_Comuni!B110</f>
        <v>0</v>
      </c>
      <c r="D113" s="900">
        <f>[1]DB_Comuni!C110</f>
        <v>0</v>
      </c>
      <c r="E113" s="900">
        <f>[1]DB_Comuni!D110</f>
        <v>0</v>
      </c>
    </row>
    <row r="114" spans="1:5" x14ac:dyDescent="0.2">
      <c r="A114" s="35" t="s">
        <v>5805</v>
      </c>
      <c r="B114" s="527" t="s">
        <v>868</v>
      </c>
      <c r="C114" s="900">
        <f>[1]DB_Comuni!B111</f>
        <v>0</v>
      </c>
      <c r="D114" s="900">
        <f>[1]DB_Comuni!C111</f>
        <v>0</v>
      </c>
      <c r="E114" s="900">
        <f>[1]DB_Comuni!D111</f>
        <v>0</v>
      </c>
    </row>
    <row r="115" spans="1:5" x14ac:dyDescent="0.2">
      <c r="A115" s="35" t="s">
        <v>5806</v>
      </c>
      <c r="B115" s="211" t="s">
        <v>869</v>
      </c>
      <c r="C115" s="901">
        <f>[1]DB_Comuni!B112</f>
        <v>0</v>
      </c>
      <c r="D115" s="901">
        <f>[1]DB_Comuni!C112</f>
        <v>0</v>
      </c>
      <c r="E115" s="901">
        <f>[1]DB_Comuni!D112</f>
        <v>0</v>
      </c>
    </row>
    <row r="116" spans="1:5" x14ac:dyDescent="0.2">
      <c r="A116" s="123" t="s">
        <v>5807</v>
      </c>
      <c r="B116" s="707" t="s">
        <v>870</v>
      </c>
      <c r="C116" s="902">
        <f>[1]DB_Comuni!B113</f>
        <v>0</v>
      </c>
      <c r="D116" s="902">
        <f>[1]DB_Comuni!C113</f>
        <v>0</v>
      </c>
      <c r="E116" s="902">
        <f>[1]DB_Comuni!D113</f>
        <v>0</v>
      </c>
    </row>
    <row r="117" spans="1:5" x14ac:dyDescent="0.2">
      <c r="A117" s="35" t="s">
        <v>5660</v>
      </c>
      <c r="B117" s="527" t="s">
        <v>871</v>
      </c>
      <c r="C117" s="900">
        <f>[1]DB_Comuni!B114</f>
        <v>0</v>
      </c>
      <c r="D117" s="900">
        <f>[1]DB_Comuni!C114</f>
        <v>0</v>
      </c>
      <c r="E117" s="900">
        <f>[1]DB_Comuni!D114</f>
        <v>0</v>
      </c>
    </row>
    <row r="118" spans="1:5" x14ac:dyDescent="0.2">
      <c r="A118" s="35" t="s">
        <v>5808</v>
      </c>
      <c r="B118" s="527" t="s">
        <v>5709</v>
      </c>
      <c r="C118" s="900">
        <f>[1]DB_Comuni!B115</f>
        <v>0</v>
      </c>
      <c r="D118" s="900">
        <f>[1]DB_Comuni!C115</f>
        <v>0</v>
      </c>
      <c r="E118" s="900">
        <f>[1]DB_Comuni!D115</f>
        <v>0</v>
      </c>
    </row>
    <row r="119" spans="1:5" x14ac:dyDescent="0.2">
      <c r="A119" s="35" t="s">
        <v>5809</v>
      </c>
      <c r="B119" s="527" t="s">
        <v>5710</v>
      </c>
      <c r="C119" s="900">
        <f>[1]DB_Comuni!B116</f>
        <v>0</v>
      </c>
      <c r="D119" s="900">
        <f>[1]DB_Comuni!C116</f>
        <v>0</v>
      </c>
      <c r="E119" s="900">
        <f>[1]DB_Comuni!D116</f>
        <v>0</v>
      </c>
    </row>
    <row r="120" spans="1:5" x14ac:dyDescent="0.2">
      <c r="A120" s="35" t="s">
        <v>5810</v>
      </c>
      <c r="B120" s="527" t="s">
        <v>5711</v>
      </c>
      <c r="C120" s="900">
        <f>[1]DB_Comuni!B117</f>
        <v>0</v>
      </c>
      <c r="D120" s="900">
        <f>[1]DB_Comuni!C117</f>
        <v>0</v>
      </c>
      <c r="E120" s="900">
        <f>[1]DB_Comuni!D117</f>
        <v>0</v>
      </c>
    </row>
    <row r="121" spans="1:5" x14ac:dyDescent="0.2">
      <c r="A121" s="7" t="s">
        <v>5661</v>
      </c>
      <c r="B121" s="527" t="s">
        <v>872</v>
      </c>
      <c r="C121" s="900">
        <f>[1]DB_Comuni!B118</f>
        <v>0</v>
      </c>
      <c r="D121" s="900">
        <f>[1]DB_Comuni!C118</f>
        <v>0</v>
      </c>
      <c r="E121" s="900">
        <f>[1]DB_Comuni!D118</f>
        <v>0</v>
      </c>
    </row>
    <row r="122" spans="1:5" x14ac:dyDescent="0.2">
      <c r="A122" s="35" t="s">
        <v>5811</v>
      </c>
      <c r="B122" s="527" t="s">
        <v>873</v>
      </c>
      <c r="C122" s="900">
        <f>[1]DB_Comuni!B119</f>
        <v>0</v>
      </c>
      <c r="D122" s="900">
        <f>[1]DB_Comuni!C119</f>
        <v>0</v>
      </c>
      <c r="E122" s="900">
        <f>[1]DB_Comuni!D119</f>
        <v>0</v>
      </c>
    </row>
    <row r="123" spans="1:5" x14ac:dyDescent="0.2">
      <c r="A123" s="35" t="s">
        <v>5812</v>
      </c>
      <c r="B123" s="527" t="s">
        <v>874</v>
      </c>
      <c r="C123" s="900">
        <f>[1]DB_Comuni!B120</f>
        <v>0</v>
      </c>
      <c r="D123" s="900">
        <f>[1]DB_Comuni!C120</f>
        <v>0</v>
      </c>
      <c r="E123" s="900">
        <f>[1]DB_Comuni!D120</f>
        <v>0</v>
      </c>
    </row>
    <row r="124" spans="1:5" x14ac:dyDescent="0.2">
      <c r="A124" s="35" t="s">
        <v>5813</v>
      </c>
      <c r="B124" s="527" t="s">
        <v>875</v>
      </c>
      <c r="C124" s="900">
        <f>[1]DB_Comuni!B121</f>
        <v>0</v>
      </c>
      <c r="D124" s="900">
        <f>[1]DB_Comuni!C121</f>
        <v>0</v>
      </c>
      <c r="E124" s="900">
        <f>[1]DB_Comuni!D121</f>
        <v>0</v>
      </c>
    </row>
    <row r="125" spans="1:5" x14ac:dyDescent="0.2">
      <c r="A125" s="35" t="s">
        <v>5814</v>
      </c>
      <c r="B125" s="527" t="s">
        <v>876</v>
      </c>
      <c r="C125" s="900">
        <f>[1]DB_Comuni!B122</f>
        <v>0</v>
      </c>
      <c r="D125" s="900">
        <f>[1]DB_Comuni!C122</f>
        <v>0</v>
      </c>
      <c r="E125" s="900">
        <f>[1]DB_Comuni!D122</f>
        <v>0</v>
      </c>
    </row>
    <row r="126" spans="1:5" x14ac:dyDescent="0.2">
      <c r="A126" s="35" t="s">
        <v>5815</v>
      </c>
      <c r="B126" s="527" t="s">
        <v>877</v>
      </c>
      <c r="C126" s="900">
        <f>[1]DB_Comuni!B123</f>
        <v>0</v>
      </c>
      <c r="D126" s="900">
        <f>[1]DB_Comuni!C123</f>
        <v>0</v>
      </c>
      <c r="E126" s="900">
        <f>[1]DB_Comuni!D123</f>
        <v>0</v>
      </c>
    </row>
    <row r="127" spans="1:5" x14ac:dyDescent="0.2">
      <c r="A127" s="35" t="s">
        <v>5816</v>
      </c>
      <c r="B127" s="527" t="s">
        <v>878</v>
      </c>
      <c r="C127" s="900">
        <f>[1]DB_Comuni!B124</f>
        <v>0</v>
      </c>
      <c r="D127" s="900">
        <f>[1]DB_Comuni!C124</f>
        <v>0</v>
      </c>
      <c r="E127" s="900">
        <f>[1]DB_Comuni!D124</f>
        <v>0</v>
      </c>
    </row>
    <row r="128" spans="1:5" x14ac:dyDescent="0.2">
      <c r="A128" s="35" t="s">
        <v>5817</v>
      </c>
      <c r="B128" s="527" t="s">
        <v>879</v>
      </c>
      <c r="C128" s="900">
        <f>[1]DB_Comuni!B125</f>
        <v>0</v>
      </c>
      <c r="D128" s="900">
        <f>[1]DB_Comuni!C125</f>
        <v>0</v>
      </c>
      <c r="E128" s="900">
        <f>[1]DB_Comuni!D125</f>
        <v>0</v>
      </c>
    </row>
    <row r="129" spans="1:5" x14ac:dyDescent="0.2">
      <c r="A129" s="35" t="s">
        <v>5818</v>
      </c>
      <c r="B129" s="994" t="s">
        <v>880</v>
      </c>
      <c r="C129" s="995">
        <f>IN_CTS_CTR_RC!C117</f>
        <v>0</v>
      </c>
      <c r="D129" s="995">
        <f>IN_CTS_CTR_RC!D117</f>
        <v>0</v>
      </c>
      <c r="E129" s="995">
        <f>IN_CTS_CTR_RC!E117</f>
        <v>0</v>
      </c>
    </row>
    <row r="130" spans="1:5" x14ac:dyDescent="0.2">
      <c r="A130" s="35" t="s">
        <v>5819</v>
      </c>
      <c r="B130" s="527" t="s">
        <v>881</v>
      </c>
      <c r="C130" s="900">
        <f>[1]DB_Comuni!B127</f>
        <v>0</v>
      </c>
      <c r="D130" s="900">
        <f>[1]DB_Comuni!C127</f>
        <v>0</v>
      </c>
      <c r="E130" s="900">
        <f>[1]DB_Comuni!D127</f>
        <v>0</v>
      </c>
    </row>
    <row r="131" spans="1:5" x14ac:dyDescent="0.2">
      <c r="A131" s="35" t="s">
        <v>5820</v>
      </c>
      <c r="B131" s="527" t="s">
        <v>882</v>
      </c>
      <c r="C131" s="900">
        <f>[1]DB_Comuni!B128</f>
        <v>0</v>
      </c>
      <c r="D131" s="900">
        <f>[1]DB_Comuni!C128</f>
        <v>0</v>
      </c>
      <c r="E131" s="900">
        <f>[1]DB_Comuni!D128</f>
        <v>0</v>
      </c>
    </row>
    <row r="132" spans="1:5" x14ac:dyDescent="0.2">
      <c r="A132" s="35" t="s">
        <v>5821</v>
      </c>
      <c r="B132" s="527" t="s">
        <v>883</v>
      </c>
      <c r="C132" s="900">
        <f>[1]DB_Comuni!B129</f>
        <v>0</v>
      </c>
      <c r="D132" s="900">
        <f>[1]DB_Comuni!C129</f>
        <v>0</v>
      </c>
      <c r="E132" s="900">
        <f>[1]DB_Comuni!D129</f>
        <v>0</v>
      </c>
    </row>
    <row r="133" spans="1:5" x14ac:dyDescent="0.2">
      <c r="A133" s="35" t="s">
        <v>5822</v>
      </c>
      <c r="B133" s="527" t="s">
        <v>884</v>
      </c>
      <c r="C133" s="900">
        <f>[1]DB_Comuni!B130</f>
        <v>0</v>
      </c>
      <c r="D133" s="900">
        <f>[1]DB_Comuni!C130</f>
        <v>0</v>
      </c>
      <c r="E133" s="900">
        <f>[1]DB_Comuni!D130</f>
        <v>0</v>
      </c>
    </row>
    <row r="134" spans="1:5" x14ac:dyDescent="0.2">
      <c r="A134" s="35" t="s">
        <v>5823</v>
      </c>
      <c r="B134" s="527" t="s">
        <v>885</v>
      </c>
      <c r="C134" s="900">
        <f>[1]DB_Comuni!B131</f>
        <v>0</v>
      </c>
      <c r="D134" s="900">
        <f>[1]DB_Comuni!C131</f>
        <v>0</v>
      </c>
      <c r="E134" s="900">
        <f>[1]DB_Comuni!D131</f>
        <v>0</v>
      </c>
    </row>
    <row r="135" spans="1:5" x14ac:dyDescent="0.2">
      <c r="A135" s="35" t="s">
        <v>5824</v>
      </c>
      <c r="B135" s="994" t="s">
        <v>886</v>
      </c>
      <c r="C135" s="995">
        <f>IN_CTS_CTR_RC!C101</f>
        <v>0</v>
      </c>
      <c r="D135" s="995">
        <f>IN_CTS_CTR_RC!D101</f>
        <v>0</v>
      </c>
      <c r="E135" s="995">
        <f>IN_CTS_CTR_RC!E101</f>
        <v>0</v>
      </c>
    </row>
    <row r="136" spans="1:5" x14ac:dyDescent="0.2">
      <c r="A136" s="35" t="s">
        <v>5825</v>
      </c>
      <c r="B136" s="527" t="s">
        <v>887</v>
      </c>
      <c r="C136" s="900">
        <f>[1]DB_Comuni!B133</f>
        <v>0</v>
      </c>
      <c r="D136" s="900">
        <f>[1]DB_Comuni!C133</f>
        <v>0</v>
      </c>
      <c r="E136" s="900">
        <f>[1]DB_Comuni!D133</f>
        <v>0</v>
      </c>
    </row>
    <row r="137" spans="1:5" x14ac:dyDescent="0.2">
      <c r="A137" s="35" t="s">
        <v>5826</v>
      </c>
      <c r="B137" s="527" t="s">
        <v>888</v>
      </c>
      <c r="C137" s="900">
        <f>[1]DB_Comuni!B134</f>
        <v>0</v>
      </c>
      <c r="D137" s="900">
        <f>[1]DB_Comuni!C134</f>
        <v>0</v>
      </c>
      <c r="E137" s="900">
        <f>[1]DB_Comuni!D134</f>
        <v>0</v>
      </c>
    </row>
    <row r="138" spans="1:5" x14ac:dyDescent="0.2">
      <c r="A138" s="35" t="s">
        <v>5827</v>
      </c>
      <c r="B138" s="527" t="s">
        <v>889</v>
      </c>
      <c r="C138" s="900">
        <f>[1]DB_Comuni!B135</f>
        <v>0</v>
      </c>
      <c r="D138" s="900">
        <f>[1]DB_Comuni!C135</f>
        <v>0</v>
      </c>
      <c r="E138" s="900">
        <f>[1]DB_Comuni!D135</f>
        <v>0</v>
      </c>
    </row>
    <row r="139" spans="1:5" x14ac:dyDescent="0.2">
      <c r="A139" s="35" t="s">
        <v>5828</v>
      </c>
      <c r="B139" s="527" t="s">
        <v>890</v>
      </c>
      <c r="C139" s="900">
        <f>[1]DB_Comuni!B136</f>
        <v>0</v>
      </c>
      <c r="D139" s="900">
        <f>[1]DB_Comuni!C136</f>
        <v>0</v>
      </c>
      <c r="E139" s="900">
        <f>[1]DB_Comuni!D136</f>
        <v>0</v>
      </c>
    </row>
    <row r="140" spans="1:5" x14ac:dyDescent="0.2">
      <c r="A140" s="35" t="s">
        <v>5829</v>
      </c>
      <c r="B140" s="527" t="s">
        <v>891</v>
      </c>
      <c r="C140" s="900">
        <f>[1]DB_Comuni!B137</f>
        <v>0</v>
      </c>
      <c r="D140" s="900">
        <f>[1]DB_Comuni!C137</f>
        <v>0</v>
      </c>
      <c r="E140" s="900">
        <f>[1]DB_Comuni!D137</f>
        <v>0</v>
      </c>
    </row>
    <row r="141" spans="1:5" x14ac:dyDescent="0.2">
      <c r="A141" s="35" t="s">
        <v>5830</v>
      </c>
      <c r="B141" s="527" t="s">
        <v>892</v>
      </c>
      <c r="C141" s="900">
        <f>[1]DB_Comuni!B138</f>
        <v>0</v>
      </c>
      <c r="D141" s="900">
        <f>[1]DB_Comuni!C138</f>
        <v>0</v>
      </c>
      <c r="E141" s="900">
        <f>[1]DB_Comuni!D138</f>
        <v>0</v>
      </c>
    </row>
    <row r="142" spans="1:5" x14ac:dyDescent="0.2">
      <c r="A142" s="35" t="s">
        <v>5831</v>
      </c>
      <c r="B142" s="527" t="s">
        <v>893</v>
      </c>
      <c r="C142" s="900">
        <f>[1]DB_Comuni!B139</f>
        <v>0</v>
      </c>
      <c r="D142" s="900">
        <f>[1]DB_Comuni!C139</f>
        <v>0</v>
      </c>
      <c r="E142" s="900">
        <f>[1]DB_Comuni!D139</f>
        <v>0</v>
      </c>
    </row>
    <row r="143" spans="1:5" x14ac:dyDescent="0.2">
      <c r="A143" s="35" t="s">
        <v>5832</v>
      </c>
      <c r="B143" s="527" t="s">
        <v>894</v>
      </c>
      <c r="C143" s="900">
        <f>[1]DB_Comuni!B140</f>
        <v>0</v>
      </c>
      <c r="D143" s="900">
        <f>[1]DB_Comuni!C140</f>
        <v>0</v>
      </c>
      <c r="E143" s="900">
        <f>[1]DB_Comuni!D140</f>
        <v>0</v>
      </c>
    </row>
    <row r="144" spans="1:5" x14ac:dyDescent="0.2">
      <c r="A144" s="35" t="s">
        <v>5833</v>
      </c>
      <c r="B144" s="527" t="s">
        <v>895</v>
      </c>
      <c r="C144" s="900">
        <f>[1]DB_Comuni!B141</f>
        <v>0</v>
      </c>
      <c r="D144" s="900">
        <f>[1]DB_Comuni!C141</f>
        <v>0</v>
      </c>
      <c r="E144" s="900">
        <f>[1]DB_Comuni!D141</f>
        <v>0</v>
      </c>
    </row>
    <row r="145" spans="1:5" x14ac:dyDescent="0.2">
      <c r="A145" s="35" t="s">
        <v>5834</v>
      </c>
      <c r="B145" s="527" t="s">
        <v>896</v>
      </c>
      <c r="C145" s="900">
        <f>[1]DB_Comuni!B142</f>
        <v>0</v>
      </c>
      <c r="D145" s="900">
        <f>[1]DB_Comuni!C142</f>
        <v>0</v>
      </c>
      <c r="E145" s="900">
        <f>[1]DB_Comuni!D142</f>
        <v>0</v>
      </c>
    </row>
    <row r="146" spans="1:5" x14ac:dyDescent="0.2">
      <c r="A146" s="35" t="s">
        <v>5835</v>
      </c>
      <c r="B146" s="527" t="s">
        <v>897</v>
      </c>
      <c r="C146" s="900">
        <f>[1]DB_Comuni!B143</f>
        <v>0</v>
      </c>
      <c r="D146" s="900">
        <f>[1]DB_Comuni!C143</f>
        <v>0</v>
      </c>
      <c r="E146" s="900">
        <f>[1]DB_Comuni!D143</f>
        <v>0</v>
      </c>
    </row>
    <row r="147" spans="1:5" x14ac:dyDescent="0.2">
      <c r="A147" s="35" t="s">
        <v>5836</v>
      </c>
      <c r="B147" s="527" t="s">
        <v>898</v>
      </c>
      <c r="C147" s="900">
        <f>[1]DB_Comuni!B144</f>
        <v>0</v>
      </c>
      <c r="D147" s="900">
        <f>[1]DB_Comuni!C144</f>
        <v>0</v>
      </c>
      <c r="E147" s="900">
        <f>[1]DB_Comuni!D144</f>
        <v>0</v>
      </c>
    </row>
    <row r="148" spans="1:5" x14ac:dyDescent="0.2">
      <c r="A148" s="35" t="s">
        <v>5837</v>
      </c>
      <c r="B148" s="527" t="s">
        <v>899</v>
      </c>
      <c r="C148" s="900">
        <f>[1]DB_Comuni!B145</f>
        <v>0</v>
      </c>
      <c r="D148" s="900">
        <f>[1]DB_Comuni!C145</f>
        <v>0</v>
      </c>
      <c r="E148" s="900">
        <f>[1]DB_Comuni!D145</f>
        <v>0</v>
      </c>
    </row>
    <row r="149" spans="1:5" x14ac:dyDescent="0.2">
      <c r="A149" s="35" t="s">
        <v>5838</v>
      </c>
      <c r="B149" s="527" t="s">
        <v>900</v>
      </c>
      <c r="C149" s="900">
        <f>[1]DB_Comuni!B146</f>
        <v>0</v>
      </c>
      <c r="D149" s="900">
        <f>[1]DB_Comuni!C146</f>
        <v>0</v>
      </c>
      <c r="E149" s="900">
        <f>[1]DB_Comuni!D146</f>
        <v>0</v>
      </c>
    </row>
    <row r="150" spans="1:5" x14ac:dyDescent="0.2">
      <c r="A150" s="35" t="s">
        <v>5839</v>
      </c>
      <c r="B150" s="527" t="s">
        <v>901</v>
      </c>
      <c r="C150" s="900">
        <f>[1]DB_Comuni!B147</f>
        <v>0</v>
      </c>
      <c r="D150" s="900">
        <f>[1]DB_Comuni!C147</f>
        <v>0</v>
      </c>
      <c r="E150" s="900">
        <f>[1]DB_Comuni!D147</f>
        <v>0</v>
      </c>
    </row>
    <row r="151" spans="1:5" x14ac:dyDescent="0.2">
      <c r="A151" s="35" t="s">
        <v>5840</v>
      </c>
      <c r="B151" s="527" t="s">
        <v>902</v>
      </c>
      <c r="C151" s="900">
        <f>[1]DB_Comuni!B148</f>
        <v>0</v>
      </c>
      <c r="D151" s="900">
        <f>[1]DB_Comuni!C148</f>
        <v>0</v>
      </c>
      <c r="E151" s="900">
        <f>[1]DB_Comuni!D148</f>
        <v>0</v>
      </c>
    </row>
    <row r="152" spans="1:5" x14ac:dyDescent="0.2">
      <c r="A152" s="35" t="s">
        <v>5841</v>
      </c>
      <c r="B152" s="527" t="s">
        <v>903</v>
      </c>
      <c r="C152" s="900">
        <f>[1]DB_Comuni!B149</f>
        <v>0</v>
      </c>
      <c r="D152" s="900">
        <f>[1]DB_Comuni!C149</f>
        <v>0</v>
      </c>
      <c r="E152" s="900">
        <f>[1]DB_Comuni!D149</f>
        <v>0</v>
      </c>
    </row>
    <row r="153" spans="1:5" x14ac:dyDescent="0.2">
      <c r="A153" s="35" t="s">
        <v>5842</v>
      </c>
      <c r="B153" s="527" t="s">
        <v>904</v>
      </c>
      <c r="C153" s="900">
        <f>[1]DB_Comuni!B150</f>
        <v>0</v>
      </c>
      <c r="D153" s="900">
        <f>[1]DB_Comuni!C150</f>
        <v>0</v>
      </c>
      <c r="E153" s="900">
        <f>[1]DB_Comuni!D150</f>
        <v>0</v>
      </c>
    </row>
    <row r="154" spans="1:5" x14ac:dyDescent="0.2">
      <c r="A154" s="35" t="s">
        <v>5843</v>
      </c>
      <c r="B154" s="527" t="s">
        <v>905</v>
      </c>
      <c r="C154" s="900">
        <f>[1]DB_Comuni!B151</f>
        <v>0</v>
      </c>
      <c r="D154" s="900">
        <f>[1]DB_Comuni!C151</f>
        <v>0</v>
      </c>
      <c r="E154" s="900">
        <f>[1]DB_Comuni!D151</f>
        <v>0</v>
      </c>
    </row>
    <row r="155" spans="1:5" x14ac:dyDescent="0.2">
      <c r="A155" s="35" t="s">
        <v>5844</v>
      </c>
      <c r="B155" s="527" t="s">
        <v>906</v>
      </c>
      <c r="C155" s="900">
        <f>[1]DB_Comuni!B152</f>
        <v>0</v>
      </c>
      <c r="D155" s="900">
        <f>[1]DB_Comuni!C152</f>
        <v>0</v>
      </c>
      <c r="E155" s="900">
        <f>[1]DB_Comuni!D152</f>
        <v>0</v>
      </c>
    </row>
    <row r="156" spans="1:5" x14ac:dyDescent="0.2">
      <c r="A156" s="35" t="s">
        <v>5845</v>
      </c>
      <c r="B156" s="527" t="s">
        <v>907</v>
      </c>
      <c r="C156" s="900">
        <f>[1]DB_Comuni!B153</f>
        <v>0</v>
      </c>
      <c r="D156" s="900">
        <f>[1]DB_Comuni!C153</f>
        <v>0</v>
      </c>
      <c r="E156" s="900">
        <f>[1]DB_Comuni!D153</f>
        <v>0</v>
      </c>
    </row>
    <row r="157" spans="1:5" x14ac:dyDescent="0.2">
      <c r="A157" s="35" t="s">
        <v>5846</v>
      </c>
      <c r="B157" s="527" t="s">
        <v>908</v>
      </c>
      <c r="C157" s="900">
        <f>[1]DB_Comuni!B154</f>
        <v>0</v>
      </c>
      <c r="D157" s="900">
        <f>[1]DB_Comuni!C154</f>
        <v>0</v>
      </c>
      <c r="E157" s="900">
        <f>[1]DB_Comuni!D154</f>
        <v>0</v>
      </c>
    </row>
    <row r="158" spans="1:5" x14ac:dyDescent="0.2">
      <c r="A158" s="35" t="s">
        <v>5847</v>
      </c>
      <c r="B158" s="527" t="s">
        <v>909</v>
      </c>
      <c r="C158" s="900">
        <f>[1]DB_Comuni!B155</f>
        <v>0</v>
      </c>
      <c r="D158" s="900">
        <f>[1]DB_Comuni!C155</f>
        <v>0</v>
      </c>
      <c r="E158" s="900">
        <f>[1]DB_Comuni!D155</f>
        <v>0</v>
      </c>
    </row>
    <row r="159" spans="1:5" x14ac:dyDescent="0.2">
      <c r="A159" s="35" t="s">
        <v>5848</v>
      </c>
      <c r="B159" s="527" t="s">
        <v>910</v>
      </c>
      <c r="C159" s="900">
        <f>[1]DB_Comuni!B156</f>
        <v>0</v>
      </c>
      <c r="D159" s="900">
        <f>[1]DB_Comuni!C156</f>
        <v>0</v>
      </c>
      <c r="E159" s="900">
        <f>[1]DB_Comuni!D156</f>
        <v>0</v>
      </c>
    </row>
    <row r="160" spans="1:5" x14ac:dyDescent="0.2">
      <c r="A160" s="35" t="s">
        <v>5849</v>
      </c>
      <c r="B160" s="527" t="s">
        <v>911</v>
      </c>
      <c r="C160" s="900">
        <f>[1]DB_Comuni!B157</f>
        <v>0</v>
      </c>
      <c r="D160" s="900">
        <f>[1]DB_Comuni!C157</f>
        <v>0</v>
      </c>
      <c r="E160" s="900">
        <f>[1]DB_Comuni!D157</f>
        <v>0</v>
      </c>
    </row>
    <row r="161" spans="1:5" x14ac:dyDescent="0.2">
      <c r="A161" s="35" t="s">
        <v>5850</v>
      </c>
      <c r="B161" s="527" t="s">
        <v>912</v>
      </c>
      <c r="C161" s="900">
        <f>[1]DB_Comuni!B158</f>
        <v>0</v>
      </c>
      <c r="D161" s="900">
        <f>[1]DB_Comuni!C158</f>
        <v>0</v>
      </c>
      <c r="E161" s="900">
        <f>[1]DB_Comuni!D158</f>
        <v>0</v>
      </c>
    </row>
    <row r="162" spans="1:5" x14ac:dyDescent="0.2">
      <c r="A162" s="35" t="s">
        <v>5851</v>
      </c>
      <c r="B162" s="527" t="s">
        <v>913</v>
      </c>
      <c r="C162" s="900">
        <f>[1]DB_Comuni!B159</f>
        <v>0</v>
      </c>
      <c r="D162" s="900">
        <f>[1]DB_Comuni!C159</f>
        <v>0</v>
      </c>
      <c r="E162" s="900">
        <f>[1]DB_Comuni!D159</f>
        <v>0</v>
      </c>
    </row>
    <row r="163" spans="1:5" x14ac:dyDescent="0.2">
      <c r="A163" s="35" t="s">
        <v>5852</v>
      </c>
      <c r="B163" s="527" t="s">
        <v>914</v>
      </c>
      <c r="C163" s="900">
        <f>[1]DB_Comuni!B160</f>
        <v>0</v>
      </c>
      <c r="D163" s="900">
        <f>[1]DB_Comuni!C160</f>
        <v>0</v>
      </c>
      <c r="E163" s="900">
        <f>[1]DB_Comuni!D160</f>
        <v>0</v>
      </c>
    </row>
    <row r="164" spans="1:5" x14ac:dyDescent="0.2">
      <c r="A164" s="35" t="s">
        <v>5853</v>
      </c>
      <c r="B164" s="527" t="s">
        <v>915</v>
      </c>
      <c r="C164" s="900">
        <f>[1]DB_Comuni!B161</f>
        <v>0</v>
      </c>
      <c r="D164" s="900">
        <f>[1]DB_Comuni!C161</f>
        <v>0</v>
      </c>
      <c r="E164" s="900">
        <f>[1]DB_Comuni!D161</f>
        <v>0</v>
      </c>
    </row>
    <row r="165" spans="1:5" x14ac:dyDescent="0.2">
      <c r="A165" s="35" t="s">
        <v>5854</v>
      </c>
      <c r="B165" s="527" t="s">
        <v>916</v>
      </c>
      <c r="C165" s="900">
        <f>[1]DB_Comuni!B162</f>
        <v>0</v>
      </c>
      <c r="D165" s="900">
        <f>[1]DB_Comuni!C162</f>
        <v>0</v>
      </c>
      <c r="E165" s="900">
        <f>[1]DB_Comuni!D162</f>
        <v>0</v>
      </c>
    </row>
    <row r="166" spans="1:5" x14ac:dyDescent="0.2">
      <c r="A166" s="35" t="s">
        <v>5855</v>
      </c>
      <c r="B166" s="527" t="s">
        <v>917</v>
      </c>
      <c r="C166" s="900">
        <f>[1]DB_Comuni!B163</f>
        <v>0</v>
      </c>
      <c r="D166" s="900">
        <f>[1]DB_Comuni!C163</f>
        <v>0</v>
      </c>
      <c r="E166" s="900">
        <f>[1]DB_Comuni!D163</f>
        <v>0</v>
      </c>
    </row>
    <row r="167" spans="1:5" x14ac:dyDescent="0.2">
      <c r="A167" s="35" t="s">
        <v>5856</v>
      </c>
      <c r="B167" s="527" t="s">
        <v>918</v>
      </c>
      <c r="C167" s="900">
        <f>[1]DB_Comuni!B164</f>
        <v>0</v>
      </c>
      <c r="D167" s="900">
        <f>[1]DB_Comuni!C164</f>
        <v>0</v>
      </c>
      <c r="E167" s="900">
        <f>[1]DB_Comuni!D164</f>
        <v>0</v>
      </c>
    </row>
    <row r="168" spans="1:5" x14ac:dyDescent="0.2">
      <c r="A168" s="35" t="s">
        <v>5857</v>
      </c>
      <c r="B168" s="527" t="s">
        <v>919</v>
      </c>
      <c r="C168" s="900">
        <f>[1]DB_Comuni!B165</f>
        <v>0</v>
      </c>
      <c r="D168" s="900">
        <f>[1]DB_Comuni!C165</f>
        <v>0</v>
      </c>
      <c r="E168" s="900">
        <f>[1]DB_Comuni!D165</f>
        <v>0</v>
      </c>
    </row>
    <row r="169" spans="1:5" x14ac:dyDescent="0.2">
      <c r="A169" s="35" t="s">
        <v>5858</v>
      </c>
      <c r="B169" s="527" t="s">
        <v>920</v>
      </c>
      <c r="C169" s="900">
        <f>[1]DB_Comuni!B166</f>
        <v>0</v>
      </c>
      <c r="D169" s="900">
        <f>[1]DB_Comuni!C166</f>
        <v>0</v>
      </c>
      <c r="E169" s="900">
        <f>[1]DB_Comuni!D166</f>
        <v>0</v>
      </c>
    </row>
    <row r="170" spans="1:5" x14ac:dyDescent="0.2">
      <c r="A170" s="35" t="s">
        <v>5859</v>
      </c>
      <c r="B170" s="527" t="s">
        <v>921</v>
      </c>
      <c r="C170" s="900">
        <f>[1]DB_Comuni!B167</f>
        <v>0</v>
      </c>
      <c r="D170" s="900">
        <f>[1]DB_Comuni!C167</f>
        <v>0</v>
      </c>
      <c r="E170" s="900">
        <f>[1]DB_Comuni!D167</f>
        <v>0</v>
      </c>
    </row>
    <row r="171" spans="1:5" x14ac:dyDescent="0.2">
      <c r="A171" s="35" t="s">
        <v>5860</v>
      </c>
      <c r="B171" s="527" t="s">
        <v>922</v>
      </c>
      <c r="C171" s="900">
        <f>[1]DB_Comuni!B168</f>
        <v>0</v>
      </c>
      <c r="D171" s="900">
        <f>[1]DB_Comuni!C168</f>
        <v>0</v>
      </c>
      <c r="E171" s="900">
        <f>[1]DB_Comuni!D168</f>
        <v>0</v>
      </c>
    </row>
    <row r="172" spans="1:5" x14ac:dyDescent="0.2">
      <c r="A172" s="35" t="s">
        <v>5861</v>
      </c>
      <c r="B172" s="527" t="s">
        <v>923</v>
      </c>
      <c r="C172" s="900">
        <f>[1]DB_Comuni!B169</f>
        <v>0</v>
      </c>
      <c r="D172" s="900">
        <f>[1]DB_Comuni!C169</f>
        <v>0</v>
      </c>
      <c r="E172" s="900">
        <f>[1]DB_Comuni!D169</f>
        <v>0</v>
      </c>
    </row>
    <row r="173" spans="1:5" x14ac:dyDescent="0.2">
      <c r="A173" s="35" t="s">
        <v>5862</v>
      </c>
      <c r="B173" s="527" t="s">
        <v>924</v>
      </c>
      <c r="C173" s="900">
        <f>[1]DB_Comuni!B170</f>
        <v>0</v>
      </c>
      <c r="D173" s="900">
        <f>[1]DB_Comuni!C170</f>
        <v>0</v>
      </c>
      <c r="E173" s="900">
        <f>[1]DB_Comuni!D170</f>
        <v>0</v>
      </c>
    </row>
    <row r="174" spans="1:5" x14ac:dyDescent="0.2">
      <c r="A174" s="35" t="s">
        <v>5863</v>
      </c>
      <c r="B174" s="527" t="s">
        <v>925</v>
      </c>
      <c r="C174" s="900">
        <f>[1]DB_Comuni!B171</f>
        <v>0</v>
      </c>
      <c r="D174" s="900">
        <f>[1]DB_Comuni!C171</f>
        <v>0</v>
      </c>
      <c r="E174" s="900">
        <f>[1]DB_Comuni!D171</f>
        <v>0</v>
      </c>
    </row>
    <row r="175" spans="1:5" x14ac:dyDescent="0.2">
      <c r="A175" s="35" t="s">
        <v>5864</v>
      </c>
      <c r="B175" s="527" t="s">
        <v>926</v>
      </c>
      <c r="C175" s="900">
        <f>[1]DB_Comuni!B172</f>
        <v>0</v>
      </c>
      <c r="D175" s="900">
        <f>[1]DB_Comuni!C172</f>
        <v>0</v>
      </c>
      <c r="E175" s="900">
        <f>[1]DB_Comuni!D172</f>
        <v>0</v>
      </c>
    </row>
    <row r="176" spans="1:5" x14ac:dyDescent="0.2">
      <c r="A176" s="85" t="s">
        <v>1774</v>
      </c>
      <c r="B176" s="527" t="s">
        <v>927</v>
      </c>
      <c r="C176" s="900">
        <f>[1]DB_Comuni!B173</f>
        <v>0</v>
      </c>
      <c r="D176" s="900">
        <f>[1]DB_Comuni!C173</f>
        <v>0</v>
      </c>
      <c r="E176" s="900">
        <f>[1]DB_Comuni!D173</f>
        <v>0</v>
      </c>
    </row>
    <row r="177" spans="1:5" x14ac:dyDescent="0.2">
      <c r="A177" s="85" t="s">
        <v>1848</v>
      </c>
      <c r="B177" s="527" t="s">
        <v>928</v>
      </c>
      <c r="C177" s="900">
        <f>[1]DB_Comuni!B174</f>
        <v>0</v>
      </c>
      <c r="D177" s="900">
        <f>[1]DB_Comuni!C174</f>
        <v>0</v>
      </c>
      <c r="E177" s="900">
        <f>[1]DB_Comuni!D174</f>
        <v>0</v>
      </c>
    </row>
    <row r="178" spans="1:5" x14ac:dyDescent="0.2">
      <c r="A178" s="35" t="s">
        <v>5865</v>
      </c>
      <c r="B178" s="527" t="s">
        <v>484</v>
      </c>
      <c r="C178" s="900">
        <f>[1]DB_Comuni!B175</f>
        <v>0</v>
      </c>
      <c r="D178" s="900">
        <f>[1]DB_Comuni!C175</f>
        <v>0</v>
      </c>
      <c r="E178" s="900">
        <f>[1]DB_Comuni!D175</f>
        <v>0</v>
      </c>
    </row>
    <row r="179" spans="1:5" x14ac:dyDescent="0.2">
      <c r="A179" s="35" t="s">
        <v>5866</v>
      </c>
      <c r="B179" s="527" t="s">
        <v>485</v>
      </c>
      <c r="C179" s="900">
        <f>[1]DB_Comuni!B176</f>
        <v>0</v>
      </c>
      <c r="D179" s="900">
        <f>[1]DB_Comuni!C176</f>
        <v>0</v>
      </c>
      <c r="E179" s="900">
        <f>[1]DB_Comuni!D176</f>
        <v>0</v>
      </c>
    </row>
    <row r="180" spans="1:5" x14ac:dyDescent="0.2">
      <c r="A180" s="35" t="s">
        <v>5867</v>
      </c>
      <c r="B180" s="527" t="s">
        <v>486</v>
      </c>
      <c r="C180" s="900">
        <f>[1]DB_Comuni!B177</f>
        <v>0</v>
      </c>
      <c r="D180" s="900">
        <f>[1]DB_Comuni!C177</f>
        <v>0</v>
      </c>
      <c r="E180" s="900">
        <f>[1]DB_Comuni!D177</f>
        <v>0</v>
      </c>
    </row>
    <row r="181" spans="1:5" x14ac:dyDescent="0.2">
      <c r="A181" s="35" t="s">
        <v>5868</v>
      </c>
      <c r="B181" s="527" t="s">
        <v>487</v>
      </c>
      <c r="C181" s="900">
        <f>[1]DB_Comuni!B178</f>
        <v>0</v>
      </c>
      <c r="D181" s="900">
        <f>[1]DB_Comuni!C178</f>
        <v>0</v>
      </c>
      <c r="E181" s="900">
        <f>[1]DB_Comuni!D178</f>
        <v>0</v>
      </c>
    </row>
    <row r="182" spans="1:5" x14ac:dyDescent="0.2">
      <c r="A182" s="35" t="s">
        <v>5869</v>
      </c>
      <c r="B182" s="527" t="s">
        <v>488</v>
      </c>
      <c r="C182" s="900">
        <f>[1]DB_Comuni!B179</f>
        <v>0</v>
      </c>
      <c r="D182" s="900">
        <f>[1]DB_Comuni!C179</f>
        <v>0</v>
      </c>
      <c r="E182" s="900">
        <f>[1]DB_Comuni!D179</f>
        <v>0</v>
      </c>
    </row>
    <row r="183" spans="1:5" x14ac:dyDescent="0.2">
      <c r="A183" s="35" t="s">
        <v>5870</v>
      </c>
      <c r="B183" s="527" t="s">
        <v>489</v>
      </c>
      <c r="C183" s="900">
        <f>[1]DB_Comuni!B180</f>
        <v>0</v>
      </c>
      <c r="D183" s="900">
        <f>[1]DB_Comuni!C180</f>
        <v>0</v>
      </c>
      <c r="E183" s="900">
        <f>[1]DB_Comuni!D180</f>
        <v>0</v>
      </c>
    </row>
    <row r="184" spans="1:5" x14ac:dyDescent="0.2">
      <c r="A184" s="35" t="s">
        <v>5871</v>
      </c>
      <c r="B184" s="527" t="s">
        <v>490</v>
      </c>
      <c r="C184" s="900">
        <f>[1]DB_Comuni!B181</f>
        <v>0</v>
      </c>
      <c r="D184" s="900">
        <f>[1]DB_Comuni!C181</f>
        <v>0</v>
      </c>
      <c r="E184" s="900">
        <f>[1]DB_Comuni!D181</f>
        <v>0</v>
      </c>
    </row>
    <row r="185" spans="1:5" x14ac:dyDescent="0.2">
      <c r="A185" s="35" t="s">
        <v>5872</v>
      </c>
      <c r="B185" s="527" t="s">
        <v>491</v>
      </c>
      <c r="C185" s="900">
        <f>[1]DB_Comuni!B182</f>
        <v>0</v>
      </c>
      <c r="D185" s="900">
        <f>[1]DB_Comuni!C182</f>
        <v>0</v>
      </c>
      <c r="E185" s="900">
        <f>[1]DB_Comuni!D182</f>
        <v>0</v>
      </c>
    </row>
    <row r="186" spans="1:5" x14ac:dyDescent="0.2">
      <c r="A186" s="35" t="s">
        <v>5873</v>
      </c>
      <c r="B186" s="527" t="s">
        <v>492</v>
      </c>
      <c r="C186" s="900">
        <f>[1]DB_Comuni!B183</f>
        <v>0</v>
      </c>
      <c r="D186" s="900">
        <f>[1]DB_Comuni!C183</f>
        <v>0</v>
      </c>
      <c r="E186" s="900">
        <f>[1]DB_Comuni!D183</f>
        <v>0</v>
      </c>
    </row>
    <row r="187" spans="1:5" x14ac:dyDescent="0.2">
      <c r="A187" s="123" t="s">
        <v>5874</v>
      </c>
      <c r="B187" s="527" t="s">
        <v>493</v>
      </c>
      <c r="C187" s="900">
        <f>[1]DB_Comuni!B184</f>
        <v>0</v>
      </c>
      <c r="D187" s="900">
        <f>[1]DB_Comuni!C184</f>
        <v>0</v>
      </c>
      <c r="E187" s="900">
        <f>[1]DB_Comuni!D184</f>
        <v>0</v>
      </c>
    </row>
    <row r="188" spans="1:5" x14ac:dyDescent="0.2">
      <c r="A188" s="123" t="s">
        <v>5875</v>
      </c>
      <c r="B188" s="527" t="s">
        <v>494</v>
      </c>
      <c r="C188" s="900">
        <f>[1]DB_Comuni!B185</f>
        <v>0</v>
      </c>
      <c r="D188" s="900">
        <f>[1]DB_Comuni!C185</f>
        <v>0</v>
      </c>
      <c r="E188" s="900">
        <f>[1]DB_Comuni!D185</f>
        <v>0</v>
      </c>
    </row>
    <row r="189" spans="1:5" x14ac:dyDescent="0.2">
      <c r="A189" s="123" t="s">
        <v>5876</v>
      </c>
      <c r="B189" s="527" t="s">
        <v>495</v>
      </c>
      <c r="C189" s="900">
        <f>[1]DB_Comuni!B186</f>
        <v>0</v>
      </c>
      <c r="D189" s="900">
        <f>[1]DB_Comuni!C186</f>
        <v>0</v>
      </c>
      <c r="E189" s="900">
        <f>[1]DB_Comuni!D186</f>
        <v>0</v>
      </c>
    </row>
    <row r="190" spans="1:5" x14ac:dyDescent="0.2">
      <c r="A190" s="85" t="s">
        <v>3308</v>
      </c>
      <c r="B190" s="527" t="s">
        <v>929</v>
      </c>
      <c r="C190" s="900">
        <f>[1]DB_Comuni!B187</f>
        <v>0</v>
      </c>
      <c r="D190" s="900">
        <f>[1]DB_Comuni!C187</f>
        <v>0</v>
      </c>
      <c r="E190" s="900">
        <f>[1]DB_Comuni!D187</f>
        <v>0</v>
      </c>
    </row>
    <row r="191" spans="1:5" x14ac:dyDescent="0.2">
      <c r="A191" s="85" t="s">
        <v>3407</v>
      </c>
      <c r="B191" s="527" t="s">
        <v>930</v>
      </c>
      <c r="C191" s="900">
        <f>[1]DB_Comuni!B188</f>
        <v>0</v>
      </c>
      <c r="D191" s="900">
        <f>[1]DB_Comuni!C188</f>
        <v>0</v>
      </c>
      <c r="E191" s="900">
        <f>[1]DB_Comuni!D188</f>
        <v>0</v>
      </c>
    </row>
    <row r="192" spans="1:5" x14ac:dyDescent="0.2">
      <c r="A192" s="122" t="s">
        <v>5877</v>
      </c>
      <c r="B192" s="527" t="s">
        <v>931</v>
      </c>
      <c r="C192" s="900">
        <f>[1]DB_Comuni!B189</f>
        <v>0</v>
      </c>
      <c r="D192" s="900">
        <f>[1]DB_Comuni!C189</f>
        <v>0</v>
      </c>
      <c r="E192" s="900">
        <f>[1]DB_Comuni!D189</f>
        <v>0</v>
      </c>
    </row>
    <row r="193" spans="1:5" x14ac:dyDescent="0.2">
      <c r="A193" s="122" t="s">
        <v>5878</v>
      </c>
      <c r="B193" s="527" t="s">
        <v>932</v>
      </c>
      <c r="C193" s="900">
        <f>[1]DB_Comuni!B190</f>
        <v>0</v>
      </c>
      <c r="D193" s="900">
        <f>[1]DB_Comuni!C190</f>
        <v>0</v>
      </c>
      <c r="E193" s="900">
        <f>[1]DB_Comuni!D190</f>
        <v>0</v>
      </c>
    </row>
    <row r="194" spans="1:5" x14ac:dyDescent="0.2">
      <c r="A194" s="122" t="s">
        <v>5879</v>
      </c>
      <c r="B194" s="527" t="s">
        <v>933</v>
      </c>
      <c r="C194" s="900">
        <f>[1]DB_Comuni!B191</f>
        <v>0</v>
      </c>
      <c r="D194" s="900">
        <f>[1]DB_Comuni!C191</f>
        <v>0</v>
      </c>
      <c r="E194" s="900">
        <f>[1]DB_Comuni!D191</f>
        <v>0</v>
      </c>
    </row>
    <row r="195" spans="1:5" x14ac:dyDescent="0.2">
      <c r="A195" s="123" t="s">
        <v>5880</v>
      </c>
      <c r="B195" s="527" t="s">
        <v>934</v>
      </c>
      <c r="C195" s="900">
        <f>[1]DB_Comuni!B192</f>
        <v>0</v>
      </c>
      <c r="D195" s="900">
        <f>[1]DB_Comuni!C192</f>
        <v>0</v>
      </c>
      <c r="E195" s="900">
        <f>[1]DB_Comuni!D192</f>
        <v>0</v>
      </c>
    </row>
    <row r="196" spans="1:5" x14ac:dyDescent="0.2">
      <c r="A196" s="7" t="s">
        <v>5881</v>
      </c>
      <c r="B196" s="527" t="s">
        <v>935</v>
      </c>
      <c r="C196" s="900">
        <f>[1]DB_Comuni!B193</f>
        <v>0</v>
      </c>
      <c r="D196" s="900">
        <f>[1]DB_Comuni!C193</f>
        <v>0</v>
      </c>
      <c r="E196" s="900">
        <f>[1]DB_Comuni!D193</f>
        <v>0</v>
      </c>
    </row>
    <row r="197" spans="1:5" x14ac:dyDescent="0.2">
      <c r="A197" s="7" t="s">
        <v>5882</v>
      </c>
      <c r="B197" s="527" t="s">
        <v>936</v>
      </c>
      <c r="C197" s="900">
        <f>[1]DB_Comuni!B194</f>
        <v>0</v>
      </c>
      <c r="D197" s="900">
        <f>[1]DB_Comuni!C194</f>
        <v>0</v>
      </c>
      <c r="E197" s="900">
        <f>[1]DB_Comuni!D194</f>
        <v>0</v>
      </c>
    </row>
    <row r="198" spans="1:5" x14ac:dyDescent="0.2">
      <c r="A198" s="35" t="s">
        <v>5883</v>
      </c>
      <c r="B198" s="527" t="s">
        <v>937</v>
      </c>
      <c r="C198" s="900">
        <f>[1]DB_Comuni!B195</f>
        <v>0</v>
      </c>
      <c r="D198" s="900">
        <f>[1]DB_Comuni!C195</f>
        <v>0</v>
      </c>
      <c r="E198" s="900">
        <f>[1]DB_Comuni!D195</f>
        <v>0</v>
      </c>
    </row>
    <row r="199" spans="1:5" x14ac:dyDescent="0.2">
      <c r="A199" s="35" t="s">
        <v>5884</v>
      </c>
      <c r="B199" s="527" t="s">
        <v>938</v>
      </c>
      <c r="C199" s="900">
        <f>[1]DB_Comuni!B196</f>
        <v>0</v>
      </c>
      <c r="D199" s="900">
        <f>[1]DB_Comuni!C196</f>
        <v>0</v>
      </c>
      <c r="E199" s="900">
        <f>[1]DB_Comuni!D196</f>
        <v>0</v>
      </c>
    </row>
    <row r="200" spans="1:5" x14ac:dyDescent="0.2">
      <c r="A200" s="35" t="s">
        <v>5885</v>
      </c>
      <c r="B200" s="527" t="s">
        <v>939</v>
      </c>
      <c r="C200" s="900">
        <f>[1]DB_Comuni!B197</f>
        <v>0</v>
      </c>
      <c r="D200" s="900">
        <f>[1]DB_Comuni!C197</f>
        <v>0</v>
      </c>
      <c r="E200" s="900">
        <f>[1]DB_Comuni!D197</f>
        <v>0</v>
      </c>
    </row>
    <row r="201" spans="1:5" x14ac:dyDescent="0.2">
      <c r="A201" s="35" t="s">
        <v>5886</v>
      </c>
      <c r="B201" s="527" t="s">
        <v>940</v>
      </c>
      <c r="C201" s="900">
        <f>[1]DB_Comuni!B198</f>
        <v>0</v>
      </c>
      <c r="D201" s="900">
        <f>[1]DB_Comuni!C198</f>
        <v>0</v>
      </c>
      <c r="E201" s="900">
        <f>[1]DB_Comuni!D198</f>
        <v>0</v>
      </c>
    </row>
    <row r="202" spans="1:5" x14ac:dyDescent="0.2">
      <c r="A202" s="35" t="s">
        <v>5887</v>
      </c>
      <c r="B202" s="527" t="s">
        <v>941</v>
      </c>
      <c r="C202" s="900">
        <f>[1]DB_Comuni!B199</f>
        <v>0</v>
      </c>
      <c r="D202" s="900">
        <f>[1]DB_Comuni!C199</f>
        <v>0</v>
      </c>
      <c r="E202" s="900">
        <f>[1]DB_Comuni!D199</f>
        <v>0</v>
      </c>
    </row>
    <row r="203" spans="1:5" x14ac:dyDescent="0.2">
      <c r="A203" s="35" t="s">
        <v>5888</v>
      </c>
      <c r="B203" s="527" t="s">
        <v>942</v>
      </c>
      <c r="C203" s="900">
        <f>[1]DB_Comuni!B200</f>
        <v>0</v>
      </c>
      <c r="D203" s="900">
        <f>[1]DB_Comuni!C200</f>
        <v>0</v>
      </c>
      <c r="E203" s="900">
        <f>[1]DB_Comuni!D200</f>
        <v>0</v>
      </c>
    </row>
    <row r="204" spans="1:5" x14ac:dyDescent="0.2">
      <c r="A204" s="35" t="s">
        <v>5889</v>
      </c>
      <c r="B204" s="527" t="s">
        <v>943</v>
      </c>
      <c r="C204" s="900">
        <f>[1]DB_Comuni!B201</f>
        <v>0</v>
      </c>
      <c r="D204" s="900">
        <f>[1]DB_Comuni!C201</f>
        <v>0</v>
      </c>
      <c r="E204" s="900">
        <f>[1]DB_Comuni!D201</f>
        <v>0</v>
      </c>
    </row>
    <row r="205" spans="1:5" x14ac:dyDescent="0.2">
      <c r="A205" s="35" t="s">
        <v>5890</v>
      </c>
      <c r="B205" s="527" t="s">
        <v>5712</v>
      </c>
      <c r="C205" s="900">
        <f>[1]DB_Comuni!B202</f>
        <v>0</v>
      </c>
      <c r="D205" s="900">
        <f>[1]DB_Comuni!C202</f>
        <v>0</v>
      </c>
      <c r="E205" s="900">
        <f>[1]DB_Comuni!D202</f>
        <v>0</v>
      </c>
    </row>
    <row r="206" spans="1:5" x14ac:dyDescent="0.2">
      <c r="A206" s="35" t="s">
        <v>5891</v>
      </c>
      <c r="B206" s="527" t="s">
        <v>944</v>
      </c>
      <c r="C206" s="900">
        <f>[1]DB_Comuni!B203</f>
        <v>0</v>
      </c>
      <c r="D206" s="900">
        <f>[1]DB_Comuni!C203</f>
        <v>0</v>
      </c>
      <c r="E206" s="900">
        <f>[1]DB_Comuni!D203</f>
        <v>0</v>
      </c>
    </row>
    <row r="207" spans="1:5" x14ac:dyDescent="0.2">
      <c r="A207" s="35" t="s">
        <v>5892</v>
      </c>
      <c r="B207" s="527" t="s">
        <v>945</v>
      </c>
      <c r="C207" s="900">
        <f>[1]DB_Comuni!B204</f>
        <v>0</v>
      </c>
      <c r="D207" s="900">
        <f>[1]DB_Comuni!C204</f>
        <v>0</v>
      </c>
      <c r="E207" s="900">
        <f>[1]DB_Comuni!D204</f>
        <v>0</v>
      </c>
    </row>
    <row r="208" spans="1:5" x14ac:dyDescent="0.2">
      <c r="A208" s="35" t="s">
        <v>5893</v>
      </c>
      <c r="B208" s="527" t="s">
        <v>946</v>
      </c>
      <c r="C208" s="900">
        <f>[1]DB_Comuni!B205</f>
        <v>0</v>
      </c>
      <c r="D208" s="900">
        <f>[1]DB_Comuni!C205</f>
        <v>0</v>
      </c>
      <c r="E208" s="900">
        <f>[1]DB_Comuni!D205</f>
        <v>0</v>
      </c>
    </row>
    <row r="209" spans="1:5" x14ac:dyDescent="0.2">
      <c r="A209" s="35" t="s">
        <v>5894</v>
      </c>
      <c r="B209" s="211" t="s">
        <v>947</v>
      </c>
      <c r="C209" s="901">
        <f>[1]DB_Comuni!B206</f>
        <v>0</v>
      </c>
      <c r="D209" s="901">
        <f>[1]DB_Comuni!C206</f>
        <v>0</v>
      </c>
      <c r="E209" s="901">
        <f>[1]DB_Comuni!D206</f>
        <v>0</v>
      </c>
    </row>
    <row r="210" spans="1:5" x14ac:dyDescent="0.2">
      <c r="A210" s="85" t="s">
        <v>2492</v>
      </c>
      <c r="B210" s="707" t="s">
        <v>2492</v>
      </c>
      <c r="C210" s="902">
        <f>[1]DB_Comuni!B207</f>
        <v>0</v>
      </c>
      <c r="D210" s="902">
        <f>[1]DB_Comuni!C207</f>
        <v>0</v>
      </c>
      <c r="E210" s="902">
        <f>[1]DB_Comuni!D207</f>
        <v>0</v>
      </c>
    </row>
    <row r="211" spans="1:5" x14ac:dyDescent="0.2">
      <c r="A211" s="85" t="s">
        <v>1045</v>
      </c>
      <c r="B211" s="527" t="s">
        <v>1045</v>
      </c>
      <c r="C211" s="900">
        <f>[1]DB_Comuni!B208</f>
        <v>0</v>
      </c>
      <c r="D211" s="900">
        <f>[1]DB_Comuni!C208</f>
        <v>0</v>
      </c>
      <c r="E211" s="900">
        <f>[1]DB_Comuni!D208</f>
        <v>0</v>
      </c>
    </row>
    <row r="212" spans="1:5" x14ac:dyDescent="0.2">
      <c r="A212" s="85" t="s">
        <v>1054</v>
      </c>
      <c r="B212" s="527" t="s">
        <v>1054</v>
      </c>
      <c r="C212" s="900">
        <f>[1]DB_Comuni!B209</f>
        <v>0</v>
      </c>
      <c r="D212" s="900">
        <f>[1]DB_Comuni!C209</f>
        <v>0</v>
      </c>
      <c r="E212" s="900">
        <f>[1]DB_Comuni!D209</f>
        <v>0</v>
      </c>
    </row>
    <row r="213" spans="1:5" x14ac:dyDescent="0.2">
      <c r="A213" s="85" t="s">
        <v>2211</v>
      </c>
      <c r="B213" s="527" t="s">
        <v>2211</v>
      </c>
      <c r="C213" s="900">
        <f>[1]DB_Comuni!B210</f>
        <v>0</v>
      </c>
      <c r="D213" s="900">
        <f>[1]DB_Comuni!C210</f>
        <v>0</v>
      </c>
      <c r="E213" s="900">
        <f>[1]DB_Comuni!D210</f>
        <v>0</v>
      </c>
    </row>
    <row r="214" spans="1:5" x14ac:dyDescent="0.2">
      <c r="A214" s="85" t="s">
        <v>2283</v>
      </c>
      <c r="B214" s="527" t="s">
        <v>2283</v>
      </c>
      <c r="C214" s="900">
        <f>[1]DB_Comuni!B211</f>
        <v>0</v>
      </c>
      <c r="D214" s="900">
        <f>[1]DB_Comuni!C211</f>
        <v>0</v>
      </c>
      <c r="E214" s="900">
        <f>[1]DB_Comuni!D211</f>
        <v>0</v>
      </c>
    </row>
    <row r="215" spans="1:5" x14ac:dyDescent="0.2">
      <c r="A215" s="85" t="s">
        <v>1063</v>
      </c>
      <c r="B215" s="527" t="s">
        <v>1063</v>
      </c>
      <c r="C215" s="900">
        <f>[1]DB_Comuni!B212</f>
        <v>0</v>
      </c>
      <c r="D215" s="900">
        <f>[1]DB_Comuni!C212</f>
        <v>0</v>
      </c>
      <c r="E215" s="900">
        <f>[1]DB_Comuni!D212</f>
        <v>0</v>
      </c>
    </row>
    <row r="216" spans="1:5" s="362" customFormat="1" x14ac:dyDescent="0.2">
      <c r="A216" s="123" t="s">
        <v>1047</v>
      </c>
      <c r="B216" s="527" t="s">
        <v>1047</v>
      </c>
      <c r="C216" s="900">
        <f>[1]DB_Comuni!B213</f>
        <v>0</v>
      </c>
      <c r="D216" s="900">
        <f>[1]DB_Comuni!C213</f>
        <v>0</v>
      </c>
      <c r="E216" s="900">
        <f>[1]DB_Comuni!D213</f>
        <v>0</v>
      </c>
    </row>
    <row r="217" spans="1:5" s="362" customFormat="1" x14ac:dyDescent="0.2">
      <c r="A217" s="123" t="s">
        <v>1057</v>
      </c>
      <c r="B217" s="527" t="s">
        <v>1057</v>
      </c>
      <c r="C217" s="900">
        <f>[1]DB_Comuni!B214</f>
        <v>0</v>
      </c>
      <c r="D217" s="900">
        <f>[1]DB_Comuni!C214</f>
        <v>0</v>
      </c>
      <c r="E217" s="900">
        <f>[1]DB_Comuni!D214</f>
        <v>0</v>
      </c>
    </row>
    <row r="218" spans="1:5" s="362" customFormat="1" x14ac:dyDescent="0.2">
      <c r="A218" s="123" t="s">
        <v>2214</v>
      </c>
      <c r="B218" s="527" t="s">
        <v>2214</v>
      </c>
      <c r="C218" s="900">
        <f>[1]DB_Comuni!B215</f>
        <v>0</v>
      </c>
      <c r="D218" s="900">
        <f>[1]DB_Comuni!C215</f>
        <v>0</v>
      </c>
      <c r="E218" s="900">
        <f>[1]DB_Comuni!D215</f>
        <v>0</v>
      </c>
    </row>
    <row r="219" spans="1:5" s="362" customFormat="1" x14ac:dyDescent="0.2">
      <c r="A219" s="123" t="s">
        <v>2286</v>
      </c>
      <c r="B219" s="527" t="s">
        <v>2286</v>
      </c>
      <c r="C219" s="900">
        <f>[1]DB_Comuni!B216</f>
        <v>0</v>
      </c>
      <c r="D219" s="900">
        <f>[1]DB_Comuni!C216</f>
        <v>0</v>
      </c>
      <c r="E219" s="900">
        <f>[1]DB_Comuni!D216</f>
        <v>0</v>
      </c>
    </row>
    <row r="220" spans="1:5" s="362" customFormat="1" x14ac:dyDescent="0.2">
      <c r="A220" s="123" t="s">
        <v>1066</v>
      </c>
      <c r="B220" s="527" t="s">
        <v>1066</v>
      </c>
      <c r="C220" s="900">
        <f>[1]DB_Comuni!B217</f>
        <v>0</v>
      </c>
      <c r="D220" s="900">
        <f>[1]DB_Comuni!C217</f>
        <v>0</v>
      </c>
      <c r="E220" s="900">
        <f>[1]DB_Comuni!D217</f>
        <v>0</v>
      </c>
    </row>
    <row r="221" spans="1:5" s="362" customFormat="1" x14ac:dyDescent="0.2">
      <c r="A221" s="123" t="s">
        <v>2393</v>
      </c>
      <c r="B221" s="527" t="s">
        <v>2393</v>
      </c>
      <c r="C221" s="900">
        <f>[1]DB_Comuni!B218</f>
        <v>0</v>
      </c>
      <c r="D221" s="900">
        <f>[1]DB_Comuni!C218</f>
        <v>0</v>
      </c>
      <c r="E221" s="900">
        <f>[1]DB_Comuni!D218</f>
        <v>0</v>
      </c>
    </row>
    <row r="222" spans="1:5" s="362" customFormat="1" x14ac:dyDescent="0.2">
      <c r="A222" s="123" t="s">
        <v>2714</v>
      </c>
      <c r="B222" s="527" t="s">
        <v>2714</v>
      </c>
      <c r="C222" s="900">
        <f>[1]DB_Comuni!B219</f>
        <v>0</v>
      </c>
      <c r="D222" s="900">
        <f>[1]DB_Comuni!C219</f>
        <v>0</v>
      </c>
      <c r="E222" s="900">
        <f>[1]DB_Comuni!D219</f>
        <v>0</v>
      </c>
    </row>
    <row r="223" spans="1:5" s="362" customFormat="1" x14ac:dyDescent="0.2">
      <c r="A223" s="123" t="s">
        <v>2787</v>
      </c>
      <c r="B223" s="527" t="s">
        <v>2787</v>
      </c>
      <c r="C223" s="900">
        <f>[1]DB_Comuni!B220</f>
        <v>0</v>
      </c>
      <c r="D223" s="900">
        <f>[1]DB_Comuni!C220</f>
        <v>0</v>
      </c>
      <c r="E223" s="900">
        <f>[1]DB_Comuni!D220</f>
        <v>0</v>
      </c>
    </row>
    <row r="224" spans="1:5" s="362" customFormat="1" x14ac:dyDescent="0.2">
      <c r="A224" s="123" t="s">
        <v>2396</v>
      </c>
      <c r="B224" s="527" t="s">
        <v>2396</v>
      </c>
      <c r="C224" s="900">
        <f>[1]DB_Comuni!B221</f>
        <v>0</v>
      </c>
      <c r="D224" s="900">
        <f>[1]DB_Comuni!C221</f>
        <v>0</v>
      </c>
      <c r="E224" s="900">
        <f>[1]DB_Comuni!D221</f>
        <v>0</v>
      </c>
    </row>
    <row r="225" spans="1:5" s="362" customFormat="1" x14ac:dyDescent="0.2">
      <c r="A225" s="123" t="s">
        <v>2717</v>
      </c>
      <c r="B225" s="527" t="s">
        <v>2717</v>
      </c>
      <c r="C225" s="900">
        <f>[1]DB_Comuni!B222</f>
        <v>0</v>
      </c>
      <c r="D225" s="900">
        <f>[1]DB_Comuni!C222</f>
        <v>0</v>
      </c>
      <c r="E225" s="900">
        <f>[1]DB_Comuni!D222</f>
        <v>0</v>
      </c>
    </row>
    <row r="226" spans="1:5" x14ac:dyDescent="0.2">
      <c r="A226" s="123" t="s">
        <v>2790</v>
      </c>
      <c r="B226" s="527" t="s">
        <v>2790</v>
      </c>
      <c r="C226" s="900">
        <f>[1]DB_Comuni!B223</f>
        <v>0</v>
      </c>
      <c r="D226" s="900">
        <f>[1]DB_Comuni!C223</f>
        <v>0</v>
      </c>
      <c r="E226" s="900">
        <f>[1]DB_Comuni!D223</f>
        <v>0</v>
      </c>
    </row>
    <row r="227" spans="1:5" x14ac:dyDescent="0.2">
      <c r="A227" s="7" t="s">
        <v>2495</v>
      </c>
      <c r="B227" s="527" t="s">
        <v>2495</v>
      </c>
      <c r="C227" s="900">
        <f>[1]DB_Comuni!B224</f>
        <v>0</v>
      </c>
      <c r="D227" s="900">
        <f>[1]DB_Comuni!C224</f>
        <v>0</v>
      </c>
      <c r="E227" s="900">
        <f>[1]DB_Comuni!D224</f>
        <v>0</v>
      </c>
    </row>
    <row r="228" spans="1:5" x14ac:dyDescent="0.2">
      <c r="A228" s="7" t="s">
        <v>1018</v>
      </c>
      <c r="B228" s="527" t="s">
        <v>1018</v>
      </c>
      <c r="C228" s="900">
        <f>[1]DB_Comuni!B225</f>
        <v>0</v>
      </c>
      <c r="D228" s="900">
        <f>[1]DB_Comuni!C225</f>
        <v>0</v>
      </c>
      <c r="E228" s="900">
        <f>[1]DB_Comuni!D225</f>
        <v>0</v>
      </c>
    </row>
    <row r="229" spans="1:5" x14ac:dyDescent="0.2">
      <c r="A229" s="35" t="s">
        <v>1027</v>
      </c>
      <c r="B229" s="527" t="s">
        <v>1027</v>
      </c>
      <c r="C229" s="900">
        <f>[1]DB_Comuni!B226</f>
        <v>0</v>
      </c>
      <c r="D229" s="900">
        <f>[1]DB_Comuni!C226</f>
        <v>0</v>
      </c>
      <c r="E229" s="900">
        <f>[1]DB_Comuni!D226</f>
        <v>0</v>
      </c>
    </row>
    <row r="230" spans="1:5" x14ac:dyDescent="0.2">
      <c r="A230" s="35" t="s">
        <v>2220</v>
      </c>
      <c r="B230" s="527" t="s">
        <v>2220</v>
      </c>
      <c r="C230" s="900">
        <f>[1]DB_Comuni!B227</f>
        <v>0</v>
      </c>
      <c r="D230" s="900">
        <f>[1]DB_Comuni!C227</f>
        <v>0</v>
      </c>
      <c r="E230" s="900">
        <f>[1]DB_Comuni!D227</f>
        <v>0</v>
      </c>
    </row>
    <row r="231" spans="1:5" x14ac:dyDescent="0.2">
      <c r="A231" s="35" t="s">
        <v>2292</v>
      </c>
      <c r="B231" s="527" t="s">
        <v>2292</v>
      </c>
      <c r="C231" s="900">
        <f>[1]DB_Comuni!B228</f>
        <v>0</v>
      </c>
      <c r="D231" s="900">
        <f>[1]DB_Comuni!C228</f>
        <v>0</v>
      </c>
      <c r="E231" s="900">
        <f>[1]DB_Comuni!D228</f>
        <v>0</v>
      </c>
    </row>
    <row r="232" spans="1:5" x14ac:dyDescent="0.2">
      <c r="A232" s="35" t="s">
        <v>1036</v>
      </c>
      <c r="B232" s="527" t="s">
        <v>1036</v>
      </c>
      <c r="C232" s="900">
        <f>[1]DB_Comuni!B229</f>
        <v>0</v>
      </c>
      <c r="D232" s="900">
        <f>[1]DB_Comuni!C229</f>
        <v>0</v>
      </c>
      <c r="E232" s="900">
        <f>[1]DB_Comuni!D229</f>
        <v>0</v>
      </c>
    </row>
    <row r="233" spans="1:5" x14ac:dyDescent="0.2">
      <c r="A233" s="35" t="s">
        <v>1020</v>
      </c>
      <c r="B233" s="527" t="s">
        <v>1020</v>
      </c>
      <c r="C233" s="900">
        <f>[1]DB_Comuni!B230</f>
        <v>0</v>
      </c>
      <c r="D233" s="900">
        <f>[1]DB_Comuni!C230</f>
        <v>0</v>
      </c>
      <c r="E233" s="900">
        <f>[1]DB_Comuni!D230</f>
        <v>0</v>
      </c>
    </row>
    <row r="234" spans="1:5" x14ac:dyDescent="0.2">
      <c r="A234" s="35" t="s">
        <v>1030</v>
      </c>
      <c r="B234" s="527" t="s">
        <v>1030</v>
      </c>
      <c r="C234" s="900">
        <f>[1]DB_Comuni!B231</f>
        <v>0</v>
      </c>
      <c r="D234" s="900">
        <f>[1]DB_Comuni!C231</f>
        <v>0</v>
      </c>
      <c r="E234" s="900">
        <f>[1]DB_Comuni!D231</f>
        <v>0</v>
      </c>
    </row>
    <row r="235" spans="1:5" x14ac:dyDescent="0.2">
      <c r="A235" s="35" t="s">
        <v>2223</v>
      </c>
      <c r="B235" s="527" t="s">
        <v>2223</v>
      </c>
      <c r="C235" s="900">
        <f>[1]DB_Comuni!B232</f>
        <v>0</v>
      </c>
      <c r="D235" s="900">
        <f>[1]DB_Comuni!C232</f>
        <v>0</v>
      </c>
      <c r="E235" s="900">
        <f>[1]DB_Comuni!D232</f>
        <v>0</v>
      </c>
    </row>
    <row r="236" spans="1:5" x14ac:dyDescent="0.2">
      <c r="A236" s="35" t="s">
        <v>2295</v>
      </c>
      <c r="B236" s="527" t="s">
        <v>2295</v>
      </c>
      <c r="C236" s="900">
        <f>[1]DB_Comuni!B233</f>
        <v>0</v>
      </c>
      <c r="D236" s="900">
        <f>[1]DB_Comuni!C233</f>
        <v>0</v>
      </c>
      <c r="E236" s="900">
        <f>[1]DB_Comuni!D233</f>
        <v>0</v>
      </c>
    </row>
    <row r="237" spans="1:5" x14ac:dyDescent="0.2">
      <c r="A237" s="35" t="s">
        <v>1039</v>
      </c>
      <c r="B237" s="527" t="s">
        <v>1039</v>
      </c>
      <c r="C237" s="900">
        <f>[1]DB_Comuni!B234</f>
        <v>0</v>
      </c>
      <c r="D237" s="900">
        <f>[1]DB_Comuni!C234</f>
        <v>0</v>
      </c>
      <c r="E237" s="900">
        <f>[1]DB_Comuni!D234</f>
        <v>0</v>
      </c>
    </row>
    <row r="238" spans="1:5" x14ac:dyDescent="0.2">
      <c r="A238" s="35" t="s">
        <v>2402</v>
      </c>
      <c r="B238" s="527" t="s">
        <v>2402</v>
      </c>
      <c r="C238" s="900">
        <f>[1]DB_Comuni!B235</f>
        <v>0</v>
      </c>
      <c r="D238" s="900">
        <f>[1]DB_Comuni!C235</f>
        <v>0</v>
      </c>
      <c r="E238" s="900">
        <f>[1]DB_Comuni!D235</f>
        <v>0</v>
      </c>
    </row>
    <row r="239" spans="1:5" x14ac:dyDescent="0.2">
      <c r="A239" s="35" t="s">
        <v>2723</v>
      </c>
      <c r="B239" s="527" t="s">
        <v>2723</v>
      </c>
      <c r="C239" s="900">
        <f>[1]DB_Comuni!B236</f>
        <v>0</v>
      </c>
      <c r="D239" s="900">
        <f>[1]DB_Comuni!C236</f>
        <v>0</v>
      </c>
      <c r="E239" s="900">
        <f>[1]DB_Comuni!D236</f>
        <v>0</v>
      </c>
    </row>
    <row r="240" spans="1:5" x14ac:dyDescent="0.2">
      <c r="A240" s="35" t="s">
        <v>2796</v>
      </c>
      <c r="B240" s="527" t="s">
        <v>2796</v>
      </c>
      <c r="C240" s="900">
        <f>[1]DB_Comuni!B237</f>
        <v>0</v>
      </c>
      <c r="D240" s="900">
        <f>[1]DB_Comuni!C237</f>
        <v>0</v>
      </c>
      <c r="E240" s="900">
        <f>[1]DB_Comuni!D237</f>
        <v>0</v>
      </c>
    </row>
    <row r="241" spans="1:5" x14ac:dyDescent="0.2">
      <c r="A241" s="35" t="s">
        <v>2405</v>
      </c>
      <c r="B241" s="527" t="s">
        <v>2405</v>
      </c>
      <c r="C241" s="900">
        <f>[1]DB_Comuni!B238</f>
        <v>0</v>
      </c>
      <c r="D241" s="900">
        <f>[1]DB_Comuni!C238</f>
        <v>0</v>
      </c>
      <c r="E241" s="900">
        <f>[1]DB_Comuni!D238</f>
        <v>0</v>
      </c>
    </row>
    <row r="242" spans="1:5" x14ac:dyDescent="0.2">
      <c r="A242" s="35" t="s">
        <v>2726</v>
      </c>
      <c r="B242" s="527" t="s">
        <v>2726</v>
      </c>
      <c r="C242" s="900">
        <f>[1]DB_Comuni!B239</f>
        <v>0</v>
      </c>
      <c r="D242" s="900">
        <f>[1]DB_Comuni!C239</f>
        <v>0</v>
      </c>
      <c r="E242" s="900">
        <f>[1]DB_Comuni!D239</f>
        <v>0</v>
      </c>
    </row>
    <row r="243" spans="1:5" x14ac:dyDescent="0.2">
      <c r="A243" s="35" t="s">
        <v>2799</v>
      </c>
      <c r="B243" s="527" t="s">
        <v>2799</v>
      </c>
      <c r="C243" s="900">
        <f>[1]DB_Comuni!B240</f>
        <v>0</v>
      </c>
      <c r="D243" s="900">
        <f>[1]DB_Comuni!C240</f>
        <v>0</v>
      </c>
      <c r="E243" s="900">
        <f>[1]DB_Comuni!D240</f>
        <v>0</v>
      </c>
    </row>
    <row r="244" spans="1:5" x14ac:dyDescent="0.2">
      <c r="A244" s="35" t="s">
        <v>2498</v>
      </c>
      <c r="B244" s="527" t="s">
        <v>2498</v>
      </c>
      <c r="C244" s="900">
        <f>[1]DB_Comuni!B241</f>
        <v>0</v>
      </c>
      <c r="D244" s="900">
        <f>[1]DB_Comuni!C241</f>
        <v>0</v>
      </c>
      <c r="E244" s="900">
        <f>[1]DB_Comuni!D241</f>
        <v>0</v>
      </c>
    </row>
    <row r="245" spans="1:5" x14ac:dyDescent="0.2">
      <c r="A245" s="35" t="s">
        <v>2135</v>
      </c>
      <c r="B245" s="527" t="s">
        <v>2135</v>
      </c>
      <c r="C245" s="900">
        <f>[1]DB_Comuni!B242</f>
        <v>0</v>
      </c>
      <c r="D245" s="900">
        <f>[1]DB_Comuni!C242</f>
        <v>0</v>
      </c>
      <c r="E245" s="900">
        <f>[1]DB_Comuni!D242</f>
        <v>0</v>
      </c>
    </row>
    <row r="246" spans="1:5" x14ac:dyDescent="0.2">
      <c r="A246" s="35" t="s">
        <v>2179</v>
      </c>
      <c r="B246" s="527" t="s">
        <v>2179</v>
      </c>
      <c r="C246" s="900">
        <f>[1]DB_Comuni!B243</f>
        <v>0</v>
      </c>
      <c r="D246" s="900">
        <f>[1]DB_Comuni!C243</f>
        <v>0</v>
      </c>
      <c r="E246" s="900">
        <f>[1]DB_Comuni!D243</f>
        <v>0</v>
      </c>
    </row>
    <row r="247" spans="1:5" x14ac:dyDescent="0.2">
      <c r="A247" s="35" t="s">
        <v>2229</v>
      </c>
      <c r="B247" s="527" t="s">
        <v>2229</v>
      </c>
      <c r="C247" s="900">
        <f>[1]DB_Comuni!B244</f>
        <v>0</v>
      </c>
      <c r="D247" s="900">
        <f>[1]DB_Comuni!C244</f>
        <v>0</v>
      </c>
      <c r="E247" s="900">
        <f>[1]DB_Comuni!D244</f>
        <v>0</v>
      </c>
    </row>
    <row r="248" spans="1:5" x14ac:dyDescent="0.2">
      <c r="A248" s="35" t="s">
        <v>2301</v>
      </c>
      <c r="B248" s="527" t="s">
        <v>2301</v>
      </c>
      <c r="C248" s="900">
        <f>[1]DB_Comuni!B245</f>
        <v>0</v>
      </c>
      <c r="D248" s="900">
        <f>[1]DB_Comuni!C245</f>
        <v>0</v>
      </c>
      <c r="E248" s="900">
        <f>[1]DB_Comuni!D245</f>
        <v>0</v>
      </c>
    </row>
    <row r="249" spans="1:5" x14ac:dyDescent="0.2">
      <c r="A249" s="35" t="s">
        <v>2356</v>
      </c>
      <c r="B249" s="527" t="s">
        <v>2356</v>
      </c>
      <c r="C249" s="900">
        <f>[1]DB_Comuni!B246</f>
        <v>0</v>
      </c>
      <c r="D249" s="900">
        <f>[1]DB_Comuni!C246</f>
        <v>0</v>
      </c>
      <c r="E249" s="900">
        <f>[1]DB_Comuni!D246</f>
        <v>0</v>
      </c>
    </row>
    <row r="250" spans="1:5" x14ac:dyDescent="0.2">
      <c r="A250" s="35" t="s">
        <v>2137</v>
      </c>
      <c r="B250" s="527" t="s">
        <v>2137</v>
      </c>
      <c r="C250" s="900">
        <f>[1]DB_Comuni!B247</f>
        <v>0</v>
      </c>
      <c r="D250" s="900">
        <f>[1]DB_Comuni!C247</f>
        <v>0</v>
      </c>
      <c r="E250" s="900">
        <f>[1]DB_Comuni!D247</f>
        <v>0</v>
      </c>
    </row>
    <row r="251" spans="1:5" x14ac:dyDescent="0.2">
      <c r="A251" s="35" t="s">
        <v>2182</v>
      </c>
      <c r="B251" s="527" t="s">
        <v>2182</v>
      </c>
      <c r="C251" s="900">
        <f>[1]DB_Comuni!B248</f>
        <v>0</v>
      </c>
      <c r="D251" s="900">
        <f>[1]DB_Comuni!C248</f>
        <v>0</v>
      </c>
      <c r="E251" s="900">
        <f>[1]DB_Comuni!D248</f>
        <v>0</v>
      </c>
    </row>
    <row r="252" spans="1:5" x14ac:dyDescent="0.2">
      <c r="A252" s="35" t="s">
        <v>2232</v>
      </c>
      <c r="B252" s="527" t="s">
        <v>2232</v>
      </c>
      <c r="C252" s="900">
        <f>[1]DB_Comuni!B249</f>
        <v>0</v>
      </c>
      <c r="D252" s="900">
        <f>[1]DB_Comuni!C249</f>
        <v>0</v>
      </c>
      <c r="E252" s="900">
        <f>[1]DB_Comuni!D249</f>
        <v>0</v>
      </c>
    </row>
    <row r="253" spans="1:5" x14ac:dyDescent="0.2">
      <c r="A253" s="35" t="s">
        <v>2304</v>
      </c>
      <c r="B253" s="527" t="s">
        <v>2304</v>
      </c>
      <c r="C253" s="900">
        <f>[1]DB_Comuni!B250</f>
        <v>0</v>
      </c>
      <c r="D253" s="900">
        <f>[1]DB_Comuni!C250</f>
        <v>0</v>
      </c>
      <c r="E253" s="900">
        <f>[1]DB_Comuni!D250</f>
        <v>0</v>
      </c>
    </row>
    <row r="254" spans="1:5" x14ac:dyDescent="0.2">
      <c r="A254" s="35" t="s">
        <v>2359</v>
      </c>
      <c r="B254" s="527" t="s">
        <v>2359</v>
      </c>
      <c r="C254" s="900">
        <f>[1]DB_Comuni!B251</f>
        <v>0</v>
      </c>
      <c r="D254" s="900">
        <f>[1]DB_Comuni!C251</f>
        <v>0</v>
      </c>
      <c r="E254" s="900">
        <f>[1]DB_Comuni!D251</f>
        <v>0</v>
      </c>
    </row>
    <row r="255" spans="1:5" x14ac:dyDescent="0.2">
      <c r="A255" s="35" t="s">
        <v>2429</v>
      </c>
      <c r="B255" s="527" t="s">
        <v>2429</v>
      </c>
      <c r="C255" s="900">
        <f>[1]DB_Comuni!B252</f>
        <v>0</v>
      </c>
      <c r="D255" s="900">
        <f>[1]DB_Comuni!C252</f>
        <v>0</v>
      </c>
      <c r="E255" s="900">
        <f>[1]DB_Comuni!D252</f>
        <v>0</v>
      </c>
    </row>
    <row r="256" spans="1:5" x14ac:dyDescent="0.2">
      <c r="A256" s="35" t="s">
        <v>2750</v>
      </c>
      <c r="B256" s="527" t="s">
        <v>2750</v>
      </c>
      <c r="C256" s="900">
        <f>[1]DB_Comuni!B253</f>
        <v>0</v>
      </c>
      <c r="D256" s="900">
        <f>[1]DB_Comuni!C253</f>
        <v>0</v>
      </c>
      <c r="E256" s="900">
        <f>[1]DB_Comuni!D253</f>
        <v>0</v>
      </c>
    </row>
    <row r="257" spans="1:5" x14ac:dyDescent="0.2">
      <c r="A257" s="35" t="s">
        <v>2823</v>
      </c>
      <c r="B257" s="527" t="s">
        <v>2823</v>
      </c>
      <c r="C257" s="900">
        <f>[1]DB_Comuni!B254</f>
        <v>0</v>
      </c>
      <c r="D257" s="900">
        <f>[1]DB_Comuni!C254</f>
        <v>0</v>
      </c>
      <c r="E257" s="900">
        <f>[1]DB_Comuni!D254</f>
        <v>0</v>
      </c>
    </row>
    <row r="258" spans="1:5" x14ac:dyDescent="0.2">
      <c r="A258" s="35" t="s">
        <v>2432</v>
      </c>
      <c r="B258" s="527" t="s">
        <v>2432</v>
      </c>
      <c r="C258" s="900">
        <f>[1]DB_Comuni!B255</f>
        <v>0</v>
      </c>
      <c r="D258" s="900">
        <f>[1]DB_Comuni!C255</f>
        <v>0</v>
      </c>
      <c r="E258" s="900">
        <f>[1]DB_Comuni!D255</f>
        <v>0</v>
      </c>
    </row>
    <row r="259" spans="1:5" x14ac:dyDescent="0.2">
      <c r="A259" s="35" t="s">
        <v>2753</v>
      </c>
      <c r="B259" s="527" t="s">
        <v>2753</v>
      </c>
      <c r="C259" s="900">
        <f>[1]DB_Comuni!B256</f>
        <v>0</v>
      </c>
      <c r="D259" s="900">
        <f>[1]DB_Comuni!C256</f>
        <v>0</v>
      </c>
      <c r="E259" s="900">
        <f>[1]DB_Comuni!D256</f>
        <v>0</v>
      </c>
    </row>
    <row r="260" spans="1:5" x14ac:dyDescent="0.2">
      <c r="A260" s="35" t="s">
        <v>2826</v>
      </c>
      <c r="B260" s="527" t="s">
        <v>2826</v>
      </c>
      <c r="C260" s="900">
        <f>[1]DB_Comuni!B257</f>
        <v>0</v>
      </c>
      <c r="D260" s="900">
        <f>[1]DB_Comuni!C257</f>
        <v>0</v>
      </c>
      <c r="E260" s="900">
        <f>[1]DB_Comuni!D257</f>
        <v>0</v>
      </c>
    </row>
    <row r="261" spans="1:5" x14ac:dyDescent="0.2">
      <c r="A261" s="35" t="s">
        <v>2501</v>
      </c>
      <c r="B261" s="527" t="s">
        <v>2501</v>
      </c>
      <c r="C261" s="900">
        <f>[1]DB_Comuni!B258</f>
        <v>0</v>
      </c>
      <c r="D261" s="900">
        <f>[1]DB_Comuni!C258</f>
        <v>0</v>
      </c>
      <c r="E261" s="900">
        <f>[1]DB_Comuni!D258</f>
        <v>0</v>
      </c>
    </row>
    <row r="262" spans="1:5" x14ac:dyDescent="0.2">
      <c r="A262" s="35" t="s">
        <v>2144</v>
      </c>
      <c r="B262" s="527" t="s">
        <v>2144</v>
      </c>
      <c r="C262" s="900">
        <f>[1]DB_Comuni!B259</f>
        <v>0</v>
      </c>
      <c r="D262" s="900">
        <f>[1]DB_Comuni!C259</f>
        <v>0</v>
      </c>
      <c r="E262" s="900">
        <f>[1]DB_Comuni!D259</f>
        <v>0</v>
      </c>
    </row>
    <row r="263" spans="1:5" x14ac:dyDescent="0.2">
      <c r="A263" s="35" t="s">
        <v>2170</v>
      </c>
      <c r="B263" s="527" t="s">
        <v>2170</v>
      </c>
      <c r="C263" s="900">
        <f>[1]DB_Comuni!B260</f>
        <v>0</v>
      </c>
      <c r="D263" s="900">
        <f>[1]DB_Comuni!C260</f>
        <v>0</v>
      </c>
      <c r="E263" s="900">
        <f>[1]DB_Comuni!D260</f>
        <v>0</v>
      </c>
    </row>
    <row r="264" spans="1:5" x14ac:dyDescent="0.2">
      <c r="A264" s="35" t="s">
        <v>2238</v>
      </c>
      <c r="B264" s="527" t="s">
        <v>2238</v>
      </c>
      <c r="C264" s="900">
        <f>[1]DB_Comuni!B261</f>
        <v>0</v>
      </c>
      <c r="D264" s="900">
        <f>[1]DB_Comuni!C261</f>
        <v>0</v>
      </c>
      <c r="E264" s="900">
        <f>[1]DB_Comuni!D261</f>
        <v>0</v>
      </c>
    </row>
    <row r="265" spans="1:5" x14ac:dyDescent="0.2">
      <c r="A265" s="35" t="s">
        <v>2310</v>
      </c>
      <c r="B265" s="527" t="s">
        <v>2310</v>
      </c>
      <c r="C265" s="900">
        <f>[1]DB_Comuni!B262</f>
        <v>0</v>
      </c>
      <c r="D265" s="900">
        <f>[1]DB_Comuni!C262</f>
        <v>0</v>
      </c>
      <c r="E265" s="900">
        <f>[1]DB_Comuni!D262</f>
        <v>0</v>
      </c>
    </row>
    <row r="266" spans="1:5" x14ac:dyDescent="0.2">
      <c r="A266" s="35" t="s">
        <v>2365</v>
      </c>
      <c r="B266" s="527" t="s">
        <v>2365</v>
      </c>
      <c r="C266" s="900">
        <f>[1]DB_Comuni!B263</f>
        <v>0</v>
      </c>
      <c r="D266" s="900">
        <f>[1]DB_Comuni!C263</f>
        <v>0</v>
      </c>
      <c r="E266" s="900">
        <f>[1]DB_Comuni!D263</f>
        <v>0</v>
      </c>
    </row>
    <row r="267" spans="1:5" x14ac:dyDescent="0.2">
      <c r="A267" s="35" t="s">
        <v>2146</v>
      </c>
      <c r="B267" s="527" t="s">
        <v>2146</v>
      </c>
      <c r="C267" s="900">
        <f>[1]DB_Comuni!B264</f>
        <v>0</v>
      </c>
      <c r="D267" s="900">
        <f>[1]DB_Comuni!C264</f>
        <v>0</v>
      </c>
      <c r="E267" s="900">
        <f>[1]DB_Comuni!D264</f>
        <v>0</v>
      </c>
    </row>
    <row r="268" spans="1:5" x14ac:dyDescent="0.2">
      <c r="A268" s="35" t="s">
        <v>2173</v>
      </c>
      <c r="B268" s="527" t="s">
        <v>2173</v>
      </c>
      <c r="C268" s="900">
        <f>[1]DB_Comuni!B265</f>
        <v>0</v>
      </c>
      <c r="D268" s="900">
        <f>[1]DB_Comuni!C265</f>
        <v>0</v>
      </c>
      <c r="E268" s="900">
        <f>[1]DB_Comuni!D265</f>
        <v>0</v>
      </c>
    </row>
    <row r="269" spans="1:5" x14ac:dyDescent="0.2">
      <c r="A269" s="35" t="s">
        <v>2241</v>
      </c>
      <c r="B269" s="527" t="s">
        <v>2241</v>
      </c>
      <c r="C269" s="900">
        <f>[1]DB_Comuni!B266</f>
        <v>0</v>
      </c>
      <c r="D269" s="900">
        <f>[1]DB_Comuni!C266</f>
        <v>0</v>
      </c>
      <c r="E269" s="900">
        <f>[1]DB_Comuni!D266</f>
        <v>0</v>
      </c>
    </row>
    <row r="270" spans="1:5" x14ac:dyDescent="0.2">
      <c r="A270" s="35" t="s">
        <v>2313</v>
      </c>
      <c r="B270" s="527" t="s">
        <v>2313</v>
      </c>
      <c r="C270" s="900">
        <f>[1]DB_Comuni!B267</f>
        <v>0</v>
      </c>
      <c r="D270" s="900">
        <f>[1]DB_Comuni!C267</f>
        <v>0</v>
      </c>
      <c r="E270" s="900">
        <f>[1]DB_Comuni!D267</f>
        <v>0</v>
      </c>
    </row>
    <row r="271" spans="1:5" x14ac:dyDescent="0.2">
      <c r="A271" s="35" t="s">
        <v>2368</v>
      </c>
      <c r="B271" s="527" t="s">
        <v>2368</v>
      </c>
      <c r="C271" s="900">
        <f>[1]DB_Comuni!B268</f>
        <v>0</v>
      </c>
      <c r="D271" s="900">
        <f>[1]DB_Comuni!C268</f>
        <v>0</v>
      </c>
      <c r="E271" s="900">
        <f>[1]DB_Comuni!D268</f>
        <v>0</v>
      </c>
    </row>
    <row r="272" spans="1:5" x14ac:dyDescent="0.2">
      <c r="A272" s="35" t="s">
        <v>2438</v>
      </c>
      <c r="B272" s="527" t="s">
        <v>2438</v>
      </c>
      <c r="C272" s="900">
        <f>[1]DB_Comuni!B269</f>
        <v>0</v>
      </c>
      <c r="D272" s="900">
        <f>[1]DB_Comuni!C269</f>
        <v>0</v>
      </c>
      <c r="E272" s="900">
        <f>[1]DB_Comuni!D269</f>
        <v>0</v>
      </c>
    </row>
    <row r="273" spans="1:5" x14ac:dyDescent="0.2">
      <c r="A273" s="35" t="s">
        <v>2759</v>
      </c>
      <c r="B273" s="527" t="s">
        <v>2759</v>
      </c>
      <c r="C273" s="900">
        <f>[1]DB_Comuni!B270</f>
        <v>0</v>
      </c>
      <c r="D273" s="900">
        <f>[1]DB_Comuni!C270</f>
        <v>0</v>
      </c>
      <c r="E273" s="900">
        <f>[1]DB_Comuni!D270</f>
        <v>0</v>
      </c>
    </row>
    <row r="274" spans="1:5" x14ac:dyDescent="0.2">
      <c r="A274" s="35" t="s">
        <v>2832</v>
      </c>
      <c r="B274" s="527" t="s">
        <v>2832</v>
      </c>
      <c r="C274" s="900">
        <f>[1]DB_Comuni!B271</f>
        <v>0</v>
      </c>
      <c r="D274" s="900">
        <f>[1]DB_Comuni!C271</f>
        <v>0</v>
      </c>
      <c r="E274" s="900">
        <f>[1]DB_Comuni!D271</f>
        <v>0</v>
      </c>
    </row>
    <row r="275" spans="1:5" x14ac:dyDescent="0.2">
      <c r="A275" s="35" t="s">
        <v>2441</v>
      </c>
      <c r="B275" s="527" t="s">
        <v>2441</v>
      </c>
      <c r="C275" s="900">
        <f>[1]DB_Comuni!B272</f>
        <v>0</v>
      </c>
      <c r="D275" s="900">
        <f>[1]DB_Comuni!C272</f>
        <v>0</v>
      </c>
      <c r="E275" s="900">
        <f>[1]DB_Comuni!D272</f>
        <v>0</v>
      </c>
    </row>
    <row r="276" spans="1:5" x14ac:dyDescent="0.2">
      <c r="A276" s="35" t="s">
        <v>2762</v>
      </c>
      <c r="B276" s="527" t="s">
        <v>2762</v>
      </c>
      <c r="C276" s="900">
        <f>[1]DB_Comuni!B273</f>
        <v>0</v>
      </c>
      <c r="D276" s="900">
        <f>[1]DB_Comuni!C273</f>
        <v>0</v>
      </c>
      <c r="E276" s="900">
        <f>[1]DB_Comuni!D273</f>
        <v>0</v>
      </c>
    </row>
    <row r="277" spans="1:5" x14ac:dyDescent="0.2">
      <c r="A277" s="35" t="s">
        <v>2835</v>
      </c>
      <c r="B277" s="211" t="s">
        <v>2835</v>
      </c>
      <c r="C277" s="901">
        <f>[1]DB_Comuni!B274</f>
        <v>0</v>
      </c>
      <c r="D277" s="901">
        <f>[1]DB_Comuni!C274</f>
        <v>0</v>
      </c>
      <c r="E277" s="901">
        <f>[1]DB_Comuni!D274</f>
        <v>0</v>
      </c>
    </row>
    <row r="278" spans="1:5" x14ac:dyDescent="0.2">
      <c r="A278" s="35" t="s">
        <v>6416</v>
      </c>
      <c r="B278" s="707" t="s">
        <v>6416</v>
      </c>
      <c r="C278" s="902">
        <f>[1]DB_Comuni!B275</f>
        <v>0</v>
      </c>
      <c r="D278" s="902">
        <f>[1]DB_Comuni!C275</f>
        <v>0</v>
      </c>
      <c r="E278" s="902">
        <f>[1]DB_Comuni!D275</f>
        <v>0</v>
      </c>
    </row>
    <row r="279" spans="1:5" x14ac:dyDescent="0.2">
      <c r="A279" s="35" t="s">
        <v>6418</v>
      </c>
      <c r="B279" s="527" t="s">
        <v>6418</v>
      </c>
      <c r="C279" s="900">
        <f>[1]DB_Comuni!B276</f>
        <v>0</v>
      </c>
      <c r="D279" s="900">
        <f>[1]DB_Comuni!C276</f>
        <v>0</v>
      </c>
      <c r="E279" s="900">
        <f>[1]DB_Comuni!D276</f>
        <v>0</v>
      </c>
    </row>
    <row r="280" spans="1:5" x14ac:dyDescent="0.2">
      <c r="A280" s="35" t="s">
        <v>6420</v>
      </c>
      <c r="B280" s="527" t="s">
        <v>6420</v>
      </c>
      <c r="C280" s="900">
        <f>[1]DB_Comuni!B277</f>
        <v>0</v>
      </c>
      <c r="D280" s="900">
        <f>[1]DB_Comuni!C277</f>
        <v>0</v>
      </c>
      <c r="E280" s="900">
        <f>[1]DB_Comuni!D277</f>
        <v>0</v>
      </c>
    </row>
    <row r="281" spans="1:5" x14ac:dyDescent="0.2">
      <c r="A281" s="35" t="s">
        <v>6422</v>
      </c>
      <c r="B281" s="527" t="s">
        <v>6422</v>
      </c>
      <c r="C281" s="900">
        <f>[1]DB_Comuni!B278</f>
        <v>0</v>
      </c>
      <c r="D281" s="900">
        <f>[1]DB_Comuni!C278</f>
        <v>0</v>
      </c>
      <c r="E281" s="900">
        <f>[1]DB_Comuni!D278</f>
        <v>0</v>
      </c>
    </row>
    <row r="282" spans="1:5" x14ac:dyDescent="0.2">
      <c r="A282" s="35" t="s">
        <v>6417</v>
      </c>
      <c r="B282" s="527" t="s">
        <v>6417</v>
      </c>
      <c r="C282" s="900">
        <f>[1]DB_Comuni!B279</f>
        <v>0</v>
      </c>
      <c r="D282" s="900">
        <f>[1]DB_Comuni!C279</f>
        <v>0</v>
      </c>
      <c r="E282" s="900">
        <f>[1]DB_Comuni!D279</f>
        <v>0</v>
      </c>
    </row>
    <row r="283" spans="1:5" x14ac:dyDescent="0.2">
      <c r="A283" s="123" t="s">
        <v>6419</v>
      </c>
      <c r="B283" s="527" t="s">
        <v>6419</v>
      </c>
      <c r="C283" s="900">
        <f>[1]DB_Comuni!B280</f>
        <v>0</v>
      </c>
      <c r="D283" s="900">
        <f>[1]DB_Comuni!C280</f>
        <v>0</v>
      </c>
      <c r="E283" s="900">
        <f>[1]DB_Comuni!D280</f>
        <v>0</v>
      </c>
    </row>
    <row r="284" spans="1:5" x14ac:dyDescent="0.2">
      <c r="A284" s="123" t="s">
        <v>6421</v>
      </c>
      <c r="B284" s="527" t="s">
        <v>6421</v>
      </c>
      <c r="C284" s="900">
        <f>[1]DB_Comuni!B281</f>
        <v>0</v>
      </c>
      <c r="D284" s="900">
        <f>[1]DB_Comuni!C281</f>
        <v>0</v>
      </c>
      <c r="E284" s="900">
        <f>[1]DB_Comuni!D281</f>
        <v>0</v>
      </c>
    </row>
    <row r="285" spans="1:5" x14ac:dyDescent="0.2">
      <c r="A285" s="123" t="s">
        <v>6423</v>
      </c>
      <c r="B285" s="211" t="s">
        <v>6423</v>
      </c>
      <c r="C285" s="901">
        <f>[1]DB_Comuni!B282</f>
        <v>0</v>
      </c>
      <c r="D285" s="901">
        <f>[1]DB_Comuni!C282</f>
        <v>0</v>
      </c>
      <c r="E285" s="901">
        <f>[1]DB_Comuni!D282</f>
        <v>0</v>
      </c>
    </row>
    <row r="286" spans="1:5" x14ac:dyDescent="0.2">
      <c r="C286" s="352"/>
      <c r="D286" s="352"/>
      <c r="E286" s="352"/>
    </row>
    <row r="287" spans="1:5" x14ac:dyDescent="0.2">
      <c r="A287" s="7" t="s">
        <v>3114</v>
      </c>
      <c r="B287" s="124" t="s">
        <v>198</v>
      </c>
      <c r="C287" s="353">
        <f>SUM(C28:C33)</f>
        <v>0</v>
      </c>
      <c r="D287" s="353">
        <f>SUM(D28:D33)</f>
        <v>0</v>
      </c>
      <c r="E287" s="353">
        <f>SUM(E28:E33)</f>
        <v>0</v>
      </c>
    </row>
    <row r="288" spans="1:5" x14ac:dyDescent="0.2">
      <c r="A288" s="7" t="s">
        <v>3120</v>
      </c>
      <c r="B288" s="124" t="s">
        <v>199</v>
      </c>
      <c r="C288" s="353">
        <f>SUM(C34:C39)</f>
        <v>0</v>
      </c>
      <c r="D288" s="353">
        <f>SUM(D34:D39)</f>
        <v>0</v>
      </c>
      <c r="E288" s="353">
        <f>SUM(E34:E39)</f>
        <v>0</v>
      </c>
    </row>
    <row r="289" spans="1:5" x14ac:dyDescent="0.2">
      <c r="A289" s="7" t="s">
        <v>3126</v>
      </c>
      <c r="B289" s="124" t="s">
        <v>200</v>
      </c>
      <c r="C289" s="353">
        <f>SUM(C40:C45)</f>
        <v>0</v>
      </c>
      <c r="D289" s="353">
        <f>SUM(D40:D45)</f>
        <v>0</v>
      </c>
      <c r="E289" s="353">
        <f>SUM(E40:E45)</f>
        <v>0</v>
      </c>
    </row>
    <row r="290" spans="1:5" x14ac:dyDescent="0.2">
      <c r="A290" s="7" t="s">
        <v>3132</v>
      </c>
      <c r="B290" s="124" t="s">
        <v>201</v>
      </c>
      <c r="C290" s="353">
        <f>SUM(C46:C51)</f>
        <v>0</v>
      </c>
      <c r="D290" s="353">
        <f>SUM(D46:D51)</f>
        <v>0</v>
      </c>
      <c r="E290" s="353">
        <f>SUM(E46:E51)</f>
        <v>0</v>
      </c>
    </row>
    <row r="291" spans="1:5" x14ac:dyDescent="0.2">
      <c r="A291" s="7" t="s">
        <v>3157</v>
      </c>
      <c r="B291" s="124" t="s">
        <v>202</v>
      </c>
      <c r="C291" s="353">
        <f>SUM(C52:C57)</f>
        <v>0</v>
      </c>
      <c r="D291" s="353">
        <f>SUM(D52:D57)</f>
        <v>0</v>
      </c>
      <c r="E291" s="353">
        <f>SUM(E52:E57)</f>
        <v>0</v>
      </c>
    </row>
    <row r="292" spans="1:5" x14ac:dyDescent="0.2">
      <c r="A292" s="7" t="s">
        <v>3163</v>
      </c>
      <c r="B292" s="124" t="s">
        <v>203</v>
      </c>
      <c r="C292" s="353">
        <f>SUM(C58:C63)</f>
        <v>0</v>
      </c>
      <c r="D292" s="353">
        <f>SUM(D58:D63)</f>
        <v>0</v>
      </c>
      <c r="E292" s="353">
        <f>SUM(E58:E63)</f>
        <v>0</v>
      </c>
    </row>
    <row r="293" spans="1:5" x14ac:dyDescent="0.2">
      <c r="A293" s="7" t="s">
        <v>3169</v>
      </c>
      <c r="B293" s="124" t="s">
        <v>204</v>
      </c>
      <c r="C293" s="353">
        <f>SUM(C64:C69)</f>
        <v>0</v>
      </c>
      <c r="D293" s="353">
        <f>SUM(D64:D69)</f>
        <v>0</v>
      </c>
      <c r="E293" s="353">
        <f>SUM(E64:E69)</f>
        <v>0</v>
      </c>
    </row>
    <row r="294" spans="1:5" x14ac:dyDescent="0.2">
      <c r="A294" s="7" t="s">
        <v>3175</v>
      </c>
      <c r="B294" s="124" t="s">
        <v>205</v>
      </c>
      <c r="C294" s="353">
        <f>SUM(C70:C75)</f>
        <v>0</v>
      </c>
      <c r="D294" s="353">
        <f>SUM(D70:D75)</f>
        <v>0</v>
      </c>
      <c r="E294" s="353">
        <f>SUM(E70:E75)</f>
        <v>0</v>
      </c>
    </row>
    <row r="295" spans="1:5" x14ac:dyDescent="0.2">
      <c r="A295" s="7" t="s">
        <v>3181</v>
      </c>
      <c r="B295" s="124" t="s">
        <v>206</v>
      </c>
      <c r="C295" s="353">
        <f>SUM(C76:C81)</f>
        <v>0</v>
      </c>
      <c r="D295" s="353">
        <f>SUM(D76:D81)</f>
        <v>0</v>
      </c>
      <c r="E295" s="353">
        <f>SUM(E76:E81)</f>
        <v>0</v>
      </c>
    </row>
    <row r="296" spans="1:5" x14ac:dyDescent="0.2">
      <c r="C296" s="352"/>
      <c r="D296" s="352"/>
      <c r="E296" s="352"/>
    </row>
    <row r="297" spans="1:5" x14ac:dyDescent="0.2">
      <c r="A297" s="7" t="s">
        <v>3271</v>
      </c>
      <c r="B297" s="124" t="s">
        <v>207</v>
      </c>
      <c r="C297" s="353">
        <f>SUM(C122:C127)</f>
        <v>0</v>
      </c>
      <c r="D297" s="353">
        <f>SUM(D122:D127)</f>
        <v>0</v>
      </c>
      <c r="E297" s="353">
        <f>SUM(E122:E127)</f>
        <v>0</v>
      </c>
    </row>
    <row r="298" spans="1:5" x14ac:dyDescent="0.2">
      <c r="A298" s="7" t="s">
        <v>3277</v>
      </c>
      <c r="B298" s="124" t="s">
        <v>208</v>
      </c>
      <c r="C298" s="353">
        <f>SUM(C128:C133)</f>
        <v>0</v>
      </c>
      <c r="D298" s="353">
        <f>SUM(D128:D133)</f>
        <v>0</v>
      </c>
      <c r="E298" s="353">
        <f>SUM(E128:E133)</f>
        <v>0</v>
      </c>
    </row>
    <row r="299" spans="1:5" x14ac:dyDescent="0.2">
      <c r="A299" s="7" t="s">
        <v>3283</v>
      </c>
      <c r="B299" s="124" t="s">
        <v>209</v>
      </c>
      <c r="C299" s="353">
        <f>SUM(C134:C139)</f>
        <v>0</v>
      </c>
      <c r="D299" s="353">
        <f>SUM(D134:D139)</f>
        <v>0</v>
      </c>
      <c r="E299" s="353">
        <f>SUM(E134:E139)</f>
        <v>0</v>
      </c>
    </row>
    <row r="300" spans="1:5" x14ac:dyDescent="0.2">
      <c r="A300" s="7" t="s">
        <v>3289</v>
      </c>
      <c r="B300" s="124" t="s">
        <v>210</v>
      </c>
      <c r="C300" s="353">
        <f>SUM(C140:C145)</f>
        <v>0</v>
      </c>
      <c r="D300" s="353">
        <f>SUM(D140:D145)</f>
        <v>0</v>
      </c>
      <c r="E300" s="353">
        <f>SUM(E140:E145)</f>
        <v>0</v>
      </c>
    </row>
    <row r="301" spans="1:5" x14ac:dyDescent="0.2">
      <c r="A301" s="7" t="s">
        <v>3314</v>
      </c>
      <c r="B301" s="124" t="s">
        <v>213</v>
      </c>
      <c r="C301" s="353">
        <f>SUM(C146:C151)</f>
        <v>0</v>
      </c>
      <c r="D301" s="353">
        <f>SUM(D146:D151)</f>
        <v>0</v>
      </c>
      <c r="E301" s="353">
        <f>SUM(E146:E151)</f>
        <v>0</v>
      </c>
    </row>
    <row r="302" spans="1:5" x14ac:dyDescent="0.2">
      <c r="A302" s="7" t="s">
        <v>3320</v>
      </c>
      <c r="B302" s="124" t="s">
        <v>214</v>
      </c>
      <c r="C302" s="353">
        <f>SUM(C152:C157)</f>
        <v>0</v>
      </c>
      <c r="D302" s="353">
        <f>SUM(D152:D157)</f>
        <v>0</v>
      </c>
      <c r="E302" s="353">
        <f>SUM(E152:E157)</f>
        <v>0</v>
      </c>
    </row>
    <row r="303" spans="1:5" x14ac:dyDescent="0.2">
      <c r="A303" s="7" t="s">
        <v>3326</v>
      </c>
      <c r="B303" s="124" t="s">
        <v>215</v>
      </c>
      <c r="C303" s="353">
        <f>SUM(C158:C163)</f>
        <v>0</v>
      </c>
      <c r="D303" s="353">
        <f>SUM(D158:D163)</f>
        <v>0</v>
      </c>
      <c r="E303" s="353">
        <f>SUM(E158:E163)</f>
        <v>0</v>
      </c>
    </row>
    <row r="304" spans="1:5" x14ac:dyDescent="0.2">
      <c r="A304" s="7" t="s">
        <v>3332</v>
      </c>
      <c r="B304" s="124" t="s">
        <v>216</v>
      </c>
      <c r="C304" s="353">
        <f>SUM(C164:C169)</f>
        <v>0</v>
      </c>
      <c r="D304" s="353">
        <f>SUM(D164:D169)</f>
        <v>0</v>
      </c>
      <c r="E304" s="353">
        <f>SUM(E164:E169)</f>
        <v>0</v>
      </c>
    </row>
    <row r="305" spans="1:5" x14ac:dyDescent="0.2">
      <c r="A305" s="7" t="s">
        <v>3338</v>
      </c>
      <c r="B305" s="124" t="s">
        <v>217</v>
      </c>
      <c r="C305" s="353">
        <f>SUM(C170:C175)</f>
        <v>0</v>
      </c>
      <c r="D305" s="353">
        <f>SUM(D170:D175)</f>
        <v>0</v>
      </c>
      <c r="E305" s="353">
        <f>SUM(E170:E175)</f>
        <v>0</v>
      </c>
    </row>
    <row r="306" spans="1:5" x14ac:dyDescent="0.2">
      <c r="C306" s="352"/>
      <c r="D306" s="352"/>
      <c r="E306" s="352"/>
    </row>
    <row r="307" spans="1:5" x14ac:dyDescent="0.2">
      <c r="A307" s="123" t="s">
        <v>5716</v>
      </c>
      <c r="B307" s="125" t="s">
        <v>500</v>
      </c>
      <c r="C307" s="354">
        <f t="shared" ref="C307:D308" si="0">C28+C34+C40+C46+C52+C58+C64+C70+C76</f>
        <v>0</v>
      </c>
      <c r="D307" s="354">
        <f t="shared" si="0"/>
        <v>0</v>
      </c>
      <c r="E307" s="354">
        <f t="shared" ref="E307" si="1">E28+E34+E40+E46+E52+E58+E64+E70+E76</f>
        <v>0</v>
      </c>
    </row>
    <row r="308" spans="1:5" x14ac:dyDescent="0.2">
      <c r="A308" s="123" t="s">
        <v>5717</v>
      </c>
      <c r="B308" s="125" t="s">
        <v>501</v>
      </c>
      <c r="C308" s="354">
        <f t="shared" si="0"/>
        <v>0</v>
      </c>
      <c r="D308" s="354">
        <f t="shared" si="0"/>
        <v>0</v>
      </c>
      <c r="E308" s="354">
        <f t="shared" ref="E308" si="2">E29+E35+E41+E47+E53+E59+E65+E71+E77</f>
        <v>0</v>
      </c>
    </row>
    <row r="309" spans="1:5" x14ac:dyDescent="0.2">
      <c r="A309" s="123" t="s">
        <v>5718</v>
      </c>
      <c r="B309" s="126" t="s">
        <v>502</v>
      </c>
      <c r="C309" s="355">
        <f>SUM(C307:C308)</f>
        <v>0</v>
      </c>
      <c r="D309" s="355">
        <f>SUM(D307:D308)</f>
        <v>0</v>
      </c>
      <c r="E309" s="355">
        <f>SUM(E307:E308)</f>
        <v>0</v>
      </c>
    </row>
    <row r="310" spans="1:5" x14ac:dyDescent="0.2">
      <c r="C310" s="352"/>
      <c r="D310" s="352"/>
      <c r="E310" s="352"/>
    </row>
    <row r="311" spans="1:5" x14ac:dyDescent="0.2">
      <c r="A311" s="123" t="s">
        <v>5713</v>
      </c>
      <c r="B311" s="125" t="s">
        <v>503</v>
      </c>
      <c r="C311" s="354">
        <f t="shared" ref="C311:D312" si="3">C122+C128+C134+C140+C146+C152+C158+C164+C170</f>
        <v>0</v>
      </c>
      <c r="D311" s="354">
        <f t="shared" si="3"/>
        <v>0</v>
      </c>
      <c r="E311" s="354">
        <f t="shared" ref="E311" si="4">E122+E128+E134+E140+E146+E152+E158+E164+E170</f>
        <v>0</v>
      </c>
    </row>
    <row r="312" spans="1:5" x14ac:dyDescent="0.2">
      <c r="A312" s="123" t="s">
        <v>5714</v>
      </c>
      <c r="B312" s="125" t="s">
        <v>504</v>
      </c>
      <c r="C312" s="354">
        <f t="shared" si="3"/>
        <v>0</v>
      </c>
      <c r="D312" s="354">
        <f t="shared" si="3"/>
        <v>0</v>
      </c>
      <c r="E312" s="354">
        <f t="shared" ref="E312" si="5">E123+E129+E135+E141+E147+E153+E159+E165+E171</f>
        <v>0</v>
      </c>
    </row>
    <row r="313" spans="1:5" x14ac:dyDescent="0.2">
      <c r="A313" s="123" t="s">
        <v>5715</v>
      </c>
      <c r="B313" s="126" t="s">
        <v>505</v>
      </c>
      <c r="C313" s="355">
        <f>SUM(C311:C312)</f>
        <v>0</v>
      </c>
      <c r="D313" s="355">
        <f>SUM(D311:D312)</f>
        <v>0</v>
      </c>
      <c r="E313" s="355">
        <f>SUM(E311:E312)</f>
        <v>0</v>
      </c>
    </row>
    <row r="314" spans="1:5" x14ac:dyDescent="0.2">
      <c r="C314" s="352"/>
      <c r="D314" s="352"/>
      <c r="E314" s="352"/>
    </row>
    <row r="315" spans="1:5" x14ac:dyDescent="0.2">
      <c r="A315" s="85" t="s">
        <v>3205</v>
      </c>
      <c r="B315" s="124" t="s">
        <v>3205</v>
      </c>
      <c r="C315" s="353">
        <f>C84+C88+C92</f>
        <v>0</v>
      </c>
      <c r="D315" s="353">
        <f>D84+D88+D92</f>
        <v>0</v>
      </c>
      <c r="E315" s="353">
        <f>E84+E88+E92</f>
        <v>0</v>
      </c>
    </row>
    <row r="316" spans="1:5" x14ac:dyDescent="0.2">
      <c r="A316" s="85" t="s">
        <v>3208</v>
      </c>
      <c r="B316" s="124" t="s">
        <v>3208</v>
      </c>
      <c r="C316" s="353">
        <f t="shared" ref="C316:C318" si="6">C85+C89+C93</f>
        <v>0</v>
      </c>
      <c r="D316" s="353">
        <f t="shared" ref="D316" si="7">D85+D89+D93</f>
        <v>0</v>
      </c>
      <c r="E316" s="353">
        <f t="shared" ref="E316" si="8">E85+E89+E93</f>
        <v>0</v>
      </c>
    </row>
    <row r="317" spans="1:5" x14ac:dyDescent="0.2">
      <c r="A317" s="85" t="s">
        <v>3211</v>
      </c>
      <c r="B317" s="124" t="s">
        <v>3211</v>
      </c>
      <c r="C317" s="353">
        <f t="shared" si="6"/>
        <v>0</v>
      </c>
      <c r="D317" s="353">
        <f t="shared" ref="D317" si="9">D86+D90+D94</f>
        <v>0</v>
      </c>
      <c r="E317" s="353">
        <f t="shared" ref="E317" si="10">E86+E90+E94</f>
        <v>0</v>
      </c>
    </row>
    <row r="318" spans="1:5" x14ac:dyDescent="0.2">
      <c r="A318" s="85" t="s">
        <v>3214</v>
      </c>
      <c r="B318" s="124" t="s">
        <v>3214</v>
      </c>
      <c r="C318" s="353">
        <f t="shared" si="6"/>
        <v>0</v>
      </c>
      <c r="D318" s="353">
        <f t="shared" ref="D318" si="11">D87+D91+D95</f>
        <v>0</v>
      </c>
      <c r="E318" s="353">
        <f t="shared" ref="E318" si="12">E87+E91+E95</f>
        <v>0</v>
      </c>
    </row>
    <row r="319" spans="1:5" x14ac:dyDescent="0.2">
      <c r="C319" s="352"/>
      <c r="D319" s="352"/>
      <c r="E319" s="352"/>
    </row>
    <row r="320" spans="1:5" x14ac:dyDescent="0.2">
      <c r="A320" s="85" t="s">
        <v>3362</v>
      </c>
      <c r="B320" s="124" t="s">
        <v>3362</v>
      </c>
      <c r="C320" s="353">
        <f>C178+C182+C186</f>
        <v>0</v>
      </c>
      <c r="D320" s="353">
        <f>D178+D182+D186</f>
        <v>0</v>
      </c>
      <c r="E320" s="353">
        <f>E178+E182+E186</f>
        <v>0</v>
      </c>
    </row>
    <row r="321" spans="1:5" x14ac:dyDescent="0.2">
      <c r="A321" s="85" t="s">
        <v>3365</v>
      </c>
      <c r="B321" s="124" t="s">
        <v>3365</v>
      </c>
      <c r="C321" s="353">
        <f t="shared" ref="C321:C323" si="13">C179+C183+C187</f>
        <v>0</v>
      </c>
      <c r="D321" s="353">
        <f t="shared" ref="D321" si="14">D179+D183+D187</f>
        <v>0</v>
      </c>
      <c r="E321" s="353">
        <f t="shared" ref="E321" si="15">E179+E183+E187</f>
        <v>0</v>
      </c>
    </row>
    <row r="322" spans="1:5" x14ac:dyDescent="0.2">
      <c r="A322" s="85" t="s">
        <v>3368</v>
      </c>
      <c r="B322" s="124" t="s">
        <v>3368</v>
      </c>
      <c r="C322" s="353">
        <f t="shared" si="13"/>
        <v>0</v>
      </c>
      <c r="D322" s="353">
        <f t="shared" ref="D322" si="16">D180+D184+D188</f>
        <v>0</v>
      </c>
      <c r="E322" s="353">
        <f t="shared" ref="E322" si="17">E180+E184+E188</f>
        <v>0</v>
      </c>
    </row>
    <row r="323" spans="1:5" x14ac:dyDescent="0.2">
      <c r="A323" s="85" t="s">
        <v>3371</v>
      </c>
      <c r="B323" s="124" t="s">
        <v>3371</v>
      </c>
      <c r="C323" s="353">
        <f t="shared" si="13"/>
        <v>0</v>
      </c>
      <c r="D323" s="353">
        <f t="shared" ref="D323" si="18">D181+D185+D189</f>
        <v>0</v>
      </c>
      <c r="E323" s="353">
        <f t="shared" ref="E323" si="19">E181+E185+E189</f>
        <v>0</v>
      </c>
    </row>
    <row r="324" spans="1:5" x14ac:dyDescent="0.2">
      <c r="C324" s="352"/>
      <c r="D324" s="352"/>
      <c r="E324" s="352"/>
    </row>
    <row r="325" spans="1:5" x14ac:dyDescent="0.2">
      <c r="C325" s="352"/>
      <c r="D325" s="352"/>
      <c r="E325" s="352"/>
    </row>
    <row r="326" spans="1:5" x14ac:dyDescent="0.2">
      <c r="C326" s="352"/>
      <c r="D326" s="352"/>
      <c r="E326" s="352"/>
    </row>
    <row r="327" spans="1:5" x14ac:dyDescent="0.2">
      <c r="C327" s="352"/>
      <c r="D327" s="352"/>
      <c r="E327" s="352"/>
    </row>
    <row r="328" spans="1:5" x14ac:dyDescent="0.2">
      <c r="C328" s="352"/>
      <c r="D328" s="352"/>
      <c r="E328" s="352"/>
    </row>
    <row r="329" spans="1:5" x14ac:dyDescent="0.2">
      <c r="C329" s="352"/>
      <c r="D329" s="352"/>
      <c r="E329" s="352"/>
    </row>
    <row r="330" spans="1:5" x14ac:dyDescent="0.2">
      <c r="C330" s="352"/>
      <c r="D330" s="352"/>
      <c r="E330" s="352"/>
    </row>
    <row r="331" spans="1:5" x14ac:dyDescent="0.2">
      <c r="C331" s="352"/>
      <c r="D331" s="352"/>
      <c r="E331" s="352"/>
    </row>
    <row r="332" spans="1:5" x14ac:dyDescent="0.2">
      <c r="C332" s="352"/>
      <c r="D332" s="352"/>
      <c r="E332" s="352"/>
    </row>
    <row r="333" spans="1:5" x14ac:dyDescent="0.2">
      <c r="C333" s="352"/>
      <c r="D333" s="352"/>
      <c r="E333" s="352"/>
    </row>
    <row r="334" spans="1:5" x14ac:dyDescent="0.2">
      <c r="C334" s="352"/>
      <c r="D334" s="352"/>
      <c r="E334" s="352"/>
    </row>
    <row r="335" spans="1:5" x14ac:dyDescent="0.2">
      <c r="C335" s="352"/>
      <c r="D335" s="352"/>
      <c r="E335" s="352"/>
    </row>
    <row r="336" spans="1:5" x14ac:dyDescent="0.2">
      <c r="C336" s="352"/>
      <c r="D336" s="352"/>
      <c r="E336" s="352"/>
    </row>
    <row r="337" spans="3:5" x14ac:dyDescent="0.2">
      <c r="C337" s="352"/>
      <c r="D337" s="352"/>
      <c r="E337" s="352"/>
    </row>
    <row r="338" spans="3:5" x14ac:dyDescent="0.2">
      <c r="C338" s="352"/>
      <c r="D338" s="352"/>
      <c r="E338" s="352"/>
    </row>
    <row r="339" spans="3:5" x14ac:dyDescent="0.2">
      <c r="C339" s="352"/>
      <c r="D339" s="352"/>
      <c r="E339" s="352"/>
    </row>
    <row r="340" spans="3:5" x14ac:dyDescent="0.2">
      <c r="C340" s="352"/>
      <c r="D340" s="352"/>
      <c r="E340" s="352"/>
    </row>
    <row r="341" spans="3:5" x14ac:dyDescent="0.2">
      <c r="C341" s="352"/>
      <c r="D341" s="352"/>
      <c r="E341" s="352"/>
    </row>
    <row r="342" spans="3:5" x14ac:dyDescent="0.2">
      <c r="C342" s="352"/>
      <c r="D342" s="352"/>
      <c r="E342" s="352"/>
    </row>
    <row r="343" spans="3:5" x14ac:dyDescent="0.2">
      <c r="C343" s="352"/>
      <c r="D343" s="352"/>
      <c r="E343" s="352"/>
    </row>
    <row r="344" spans="3:5" x14ac:dyDescent="0.2">
      <c r="C344" s="352"/>
      <c r="D344" s="352"/>
      <c r="E344" s="352"/>
    </row>
    <row r="345" spans="3:5" x14ac:dyDescent="0.2">
      <c r="C345" s="352"/>
      <c r="D345" s="352"/>
      <c r="E345" s="352"/>
    </row>
    <row r="346" spans="3:5" x14ac:dyDescent="0.2">
      <c r="C346" s="352"/>
      <c r="D346" s="352"/>
      <c r="E346" s="352"/>
    </row>
    <row r="347" spans="3:5" x14ac:dyDescent="0.2">
      <c r="C347" s="352"/>
      <c r="D347" s="352"/>
      <c r="E347" s="352"/>
    </row>
    <row r="348" spans="3:5" x14ac:dyDescent="0.2">
      <c r="C348" s="352"/>
      <c r="D348" s="352"/>
      <c r="E348" s="352"/>
    </row>
    <row r="349" spans="3:5" x14ac:dyDescent="0.2">
      <c r="C349" s="352"/>
      <c r="D349" s="352"/>
      <c r="E349" s="352"/>
    </row>
    <row r="350" spans="3:5" x14ac:dyDescent="0.2">
      <c r="C350" s="352"/>
      <c r="D350" s="352"/>
      <c r="E350" s="352"/>
    </row>
    <row r="351" spans="3:5" x14ac:dyDescent="0.2">
      <c r="C351" s="352"/>
      <c r="D351" s="352"/>
      <c r="E351" s="352"/>
    </row>
    <row r="352" spans="3:5" x14ac:dyDescent="0.2">
      <c r="C352" s="352"/>
      <c r="D352" s="352"/>
      <c r="E352" s="352"/>
    </row>
    <row r="353" spans="3:5" x14ac:dyDescent="0.2">
      <c r="C353" s="352"/>
      <c r="D353" s="352"/>
      <c r="E353" s="352"/>
    </row>
    <row r="354" spans="3:5" x14ac:dyDescent="0.2">
      <c r="C354" s="352"/>
      <c r="D354" s="352"/>
      <c r="E354" s="352"/>
    </row>
    <row r="355" spans="3:5" x14ac:dyDescent="0.2">
      <c r="C355" s="352"/>
      <c r="D355" s="352"/>
      <c r="E355" s="352"/>
    </row>
    <row r="356" spans="3:5" x14ac:dyDescent="0.2">
      <c r="C356" s="352"/>
      <c r="D356" s="352"/>
      <c r="E356" s="352"/>
    </row>
  </sheetData>
  <autoFilter ref="A4:E285" xr:uid="{EB5386B5-848D-4219-B3B4-E07124F355A5}"/>
  <pageMargins left="0.7" right="0.7" top="0.75" bottom="0.75" header="0.3" footer="0.3"/>
  <pageSetup paperSize="9" orientation="portrait" r:id="rId1"/>
  <ignoredErrors>
    <ignoredError sqref="C297:C305 C287:C295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C588C-ED51-4603-95CF-9CA55C48CE9F}">
  <sheetPr codeName="Foglio5">
    <tabColor theme="0" tint="-0.499984740745262"/>
    <outlinePr summaryBelow="0"/>
  </sheetPr>
  <dimension ref="A1:E141"/>
  <sheetViews>
    <sheetView showGridLines="0" zoomScaleNormal="100" workbookViewId="0">
      <pane xSplit="2" ySplit="4" topLeftCell="C5" activePane="bottomRight" state="frozen"/>
      <selection activeCell="C122" sqref="C122"/>
      <selection pane="topRight" activeCell="C122" sqref="C122"/>
      <selection pane="bottomLeft" activeCell="C122" sqref="C122"/>
      <selection pane="bottomRight" activeCell="C14" sqref="C14"/>
    </sheetView>
  </sheetViews>
  <sheetFormatPr defaultColWidth="9.109375" defaultRowHeight="10.199999999999999" x14ac:dyDescent="0.2"/>
  <cols>
    <col min="1" max="1" width="17" style="32" bestFit="1" customWidth="1"/>
    <col min="2" max="2" width="73.44140625" style="32" bestFit="1" customWidth="1"/>
    <col min="3" max="3" width="11.5546875" style="32" bestFit="1" customWidth="1"/>
    <col min="4" max="4" width="10.5546875" style="32" bestFit="1" customWidth="1"/>
    <col min="5" max="5" width="8.5546875" style="32" bestFit="1" customWidth="1"/>
    <col min="6" max="6" width="9.109375" style="32"/>
    <col min="7" max="7" width="7.5546875" style="32" bestFit="1" customWidth="1"/>
    <col min="8" max="8" width="9.5546875" style="32" bestFit="1" customWidth="1"/>
    <col min="9" max="9" width="4" style="32" bestFit="1" customWidth="1"/>
    <col min="10" max="16384" width="9.109375" style="32"/>
  </cols>
  <sheetData>
    <row r="1" spans="1:5" x14ac:dyDescent="0.2">
      <c r="B1" s="563" t="s">
        <v>785</v>
      </c>
    </row>
    <row r="4" spans="1:5" s="384" customFormat="1" ht="20.399999999999999" x14ac:dyDescent="0.2">
      <c r="B4" s="363" t="s">
        <v>27</v>
      </c>
      <c r="C4" s="363" t="str">
        <f>Ambiti!B4</f>
        <v>BUSTO ARSIZIO</v>
      </c>
      <c r="D4" s="363" t="str">
        <f>Ambiti!C4</f>
        <v>FAGNANO OLONA</v>
      </c>
      <c r="E4" s="363" t="str">
        <f>Ambiti!D4</f>
        <v>VENEGONO SUPERIORE</v>
      </c>
    </row>
    <row r="5" spans="1:5" x14ac:dyDescent="0.2">
      <c r="A5" s="35" t="s">
        <v>3111</v>
      </c>
      <c r="B5" s="33" t="s">
        <v>1</v>
      </c>
      <c r="C5" s="34">
        <f>SUM(C6:C11)</f>
        <v>1140922.45</v>
      </c>
      <c r="D5" s="34">
        <f>SUM(D6:D11)</f>
        <v>117764.87</v>
      </c>
      <c r="E5" s="34">
        <f>SUM(E6:E11)</f>
        <v>0</v>
      </c>
    </row>
    <row r="6" spans="1:5" x14ac:dyDescent="0.2">
      <c r="A6" s="35" t="s">
        <v>5021</v>
      </c>
      <c r="B6" s="36" t="s">
        <v>28</v>
      </c>
      <c r="C6" s="37">
        <f>[2]Export_CO!B6</f>
        <v>154473.37</v>
      </c>
      <c r="D6" s="37">
        <f>[2]Export_CO!C6</f>
        <v>1403.38</v>
      </c>
      <c r="E6" s="37">
        <f>[2]Export_CO!D6</f>
        <v>0</v>
      </c>
    </row>
    <row r="7" spans="1:5" x14ac:dyDescent="0.2">
      <c r="A7" s="35" t="s">
        <v>5022</v>
      </c>
      <c r="B7" s="38" t="s">
        <v>29</v>
      </c>
      <c r="C7" s="39">
        <f>[2]Export_CO!B7</f>
        <v>176518.82</v>
      </c>
      <c r="D7" s="39">
        <f>[2]Export_CO!C7</f>
        <v>25581.41</v>
      </c>
      <c r="E7" s="39">
        <f>[2]Export_CO!D7</f>
        <v>0</v>
      </c>
    </row>
    <row r="8" spans="1:5" x14ac:dyDescent="0.2">
      <c r="A8" s="35" t="s">
        <v>5023</v>
      </c>
      <c r="B8" s="38" t="s">
        <v>30</v>
      </c>
      <c r="C8" s="39">
        <f>[2]Export_CO!B8</f>
        <v>64671.29</v>
      </c>
      <c r="D8" s="39">
        <f>[2]Export_CO!C8</f>
        <v>4638.16</v>
      </c>
      <c r="E8" s="39">
        <f>[2]Export_CO!D8</f>
        <v>0</v>
      </c>
    </row>
    <row r="9" spans="1:5" x14ac:dyDescent="0.2">
      <c r="A9" s="35" t="s">
        <v>5024</v>
      </c>
      <c r="B9" s="38" t="s">
        <v>31</v>
      </c>
      <c r="C9" s="39">
        <f>[2]Export_CO!B9</f>
        <v>748883.39999999991</v>
      </c>
      <c r="D9" s="39">
        <f>[2]Export_CO!C9</f>
        <v>87164.160000000003</v>
      </c>
      <c r="E9" s="39">
        <f>[2]Export_CO!D9</f>
        <v>0</v>
      </c>
    </row>
    <row r="10" spans="1:5" x14ac:dyDescent="0.2">
      <c r="A10" s="35" t="s">
        <v>5025</v>
      </c>
      <c r="B10" s="38" t="s">
        <v>32</v>
      </c>
      <c r="C10" s="39">
        <f>[2]Export_CO!B10</f>
        <v>-5509.53</v>
      </c>
      <c r="D10" s="39">
        <f>[2]Export_CO!C10</f>
        <v>-1022.24</v>
      </c>
      <c r="E10" s="39">
        <f>[2]Export_CO!D10</f>
        <v>0</v>
      </c>
    </row>
    <row r="11" spans="1:5" x14ac:dyDescent="0.2">
      <c r="A11" s="35" t="s">
        <v>5026</v>
      </c>
      <c r="B11" s="40" t="s">
        <v>33</v>
      </c>
      <c r="C11" s="41">
        <f>[2]Export_CO!B11</f>
        <v>1885.1</v>
      </c>
      <c r="D11" s="41">
        <f>[2]Export_CO!C11</f>
        <v>0</v>
      </c>
      <c r="E11" s="41">
        <f>[2]Export_CO!D11</f>
        <v>0</v>
      </c>
    </row>
    <row r="12" spans="1:5" x14ac:dyDescent="0.2">
      <c r="A12" s="35" t="s">
        <v>3117</v>
      </c>
      <c r="B12" s="42" t="s">
        <v>3</v>
      </c>
      <c r="C12" s="34">
        <f>SUM(C13:C18)</f>
        <v>0</v>
      </c>
      <c r="D12" s="34">
        <f>SUM(D13:D18)</f>
        <v>183.31</v>
      </c>
      <c r="E12" s="34">
        <f>SUM(E13:E18)</f>
        <v>0</v>
      </c>
    </row>
    <row r="13" spans="1:5" x14ac:dyDescent="0.2">
      <c r="A13" s="35" t="s">
        <v>5027</v>
      </c>
      <c r="B13" s="36" t="s">
        <v>34</v>
      </c>
      <c r="C13" s="37">
        <f>[2]Export_CO!B13</f>
        <v>0</v>
      </c>
      <c r="D13" s="37">
        <f>[2]Export_CO!C13</f>
        <v>0</v>
      </c>
      <c r="E13" s="37">
        <f>[2]Export_CO!D13</f>
        <v>0</v>
      </c>
    </row>
    <row r="14" spans="1:5" x14ac:dyDescent="0.2">
      <c r="A14" s="35" t="s">
        <v>5028</v>
      </c>
      <c r="B14" s="998" t="s">
        <v>35</v>
      </c>
      <c r="C14" s="993">
        <f>IN_CTS_CTR_RC!C77</f>
        <v>0</v>
      </c>
      <c r="D14" s="993">
        <f>IN_CTS_CTR_RC!D77</f>
        <v>183.31</v>
      </c>
      <c r="E14" s="993">
        <f>IN_CTS_CTR_RC!E77</f>
        <v>0</v>
      </c>
    </row>
    <row r="15" spans="1:5" x14ac:dyDescent="0.2">
      <c r="A15" s="35" t="s">
        <v>5029</v>
      </c>
      <c r="B15" s="38" t="s">
        <v>36</v>
      </c>
      <c r="C15" s="39">
        <f>[2]Export_CO!B15</f>
        <v>0</v>
      </c>
      <c r="D15" s="39">
        <f>[2]Export_CO!C15</f>
        <v>0</v>
      </c>
      <c r="E15" s="39">
        <f>[2]Export_CO!D15</f>
        <v>0</v>
      </c>
    </row>
    <row r="16" spans="1:5" x14ac:dyDescent="0.2">
      <c r="A16" s="35" t="s">
        <v>5030</v>
      </c>
      <c r="B16" s="38" t="s">
        <v>37</v>
      </c>
      <c r="C16" s="39">
        <f>[2]Export_CO!B16</f>
        <v>0</v>
      </c>
      <c r="D16" s="39">
        <f>[2]Export_CO!C16</f>
        <v>0</v>
      </c>
      <c r="E16" s="39">
        <f>[2]Export_CO!D16</f>
        <v>0</v>
      </c>
    </row>
    <row r="17" spans="1:5" x14ac:dyDescent="0.2">
      <c r="A17" s="35" t="s">
        <v>5031</v>
      </c>
      <c r="B17" s="38" t="s">
        <v>38</v>
      </c>
      <c r="C17" s="39">
        <f>[2]Export_CO!B17</f>
        <v>0</v>
      </c>
      <c r="D17" s="39">
        <f>[2]Export_CO!C17</f>
        <v>0</v>
      </c>
      <c r="E17" s="39">
        <f>[2]Export_CO!D17</f>
        <v>0</v>
      </c>
    </row>
    <row r="18" spans="1:5" x14ac:dyDescent="0.2">
      <c r="A18" s="35" t="s">
        <v>5032</v>
      </c>
      <c r="B18" s="40" t="s">
        <v>39</v>
      </c>
      <c r="C18" s="41">
        <f>[2]Export_CO!B18</f>
        <v>0</v>
      </c>
      <c r="D18" s="41">
        <f>[2]Export_CO!C18</f>
        <v>0</v>
      </c>
      <c r="E18" s="41">
        <f>[2]Export_CO!D18</f>
        <v>0</v>
      </c>
    </row>
    <row r="19" spans="1:5" x14ac:dyDescent="0.2">
      <c r="A19" s="35" t="s">
        <v>3123</v>
      </c>
      <c r="B19" s="42" t="s">
        <v>4</v>
      </c>
      <c r="C19" s="34">
        <f>SUM(C20:C25)</f>
        <v>3115908.44</v>
      </c>
      <c r="D19" s="34">
        <f>SUM(D20:D25)</f>
        <v>546969.90999999992</v>
      </c>
      <c r="E19" s="34">
        <f>SUM(E20:E25)</f>
        <v>0</v>
      </c>
    </row>
    <row r="20" spans="1:5" x14ac:dyDescent="0.2">
      <c r="A20" s="35" t="s">
        <v>5033</v>
      </c>
      <c r="B20" s="36" t="s">
        <v>40</v>
      </c>
      <c r="C20" s="37">
        <f>[2]Export_CO!B20</f>
        <v>0</v>
      </c>
      <c r="D20" s="37">
        <f>[2]Export_CO!C20</f>
        <v>0</v>
      </c>
      <c r="E20" s="37">
        <f>[2]Export_CO!D20</f>
        <v>0</v>
      </c>
    </row>
    <row r="21" spans="1:5" x14ac:dyDescent="0.2">
      <c r="A21" s="35" t="s">
        <v>5034</v>
      </c>
      <c r="B21" s="998" t="s">
        <v>41</v>
      </c>
      <c r="C21" s="993">
        <f>IN_CTS_CTR_RC!C61</f>
        <v>3115908.44</v>
      </c>
      <c r="D21" s="993">
        <f>IN_CTS_CTR_RC!D61</f>
        <v>546969.90999999992</v>
      </c>
      <c r="E21" s="993">
        <f>IN_CTS_CTR_RC!E61</f>
        <v>0</v>
      </c>
    </row>
    <row r="22" spans="1:5" x14ac:dyDescent="0.2">
      <c r="A22" s="35" t="s">
        <v>5035</v>
      </c>
      <c r="B22" s="38" t="s">
        <v>42</v>
      </c>
      <c r="C22" s="39">
        <f>[2]Export_CO!B22</f>
        <v>0</v>
      </c>
      <c r="D22" s="39">
        <f>[2]Export_CO!C22</f>
        <v>0</v>
      </c>
      <c r="E22" s="39">
        <f>[2]Export_CO!D22</f>
        <v>0</v>
      </c>
    </row>
    <row r="23" spans="1:5" x14ac:dyDescent="0.2">
      <c r="A23" s="35" t="s">
        <v>5036</v>
      </c>
      <c r="B23" s="38" t="s">
        <v>43</v>
      </c>
      <c r="C23" s="39">
        <f>[2]Export_CO!B23</f>
        <v>0</v>
      </c>
      <c r="D23" s="39">
        <f>[2]Export_CO!C23</f>
        <v>0</v>
      </c>
      <c r="E23" s="39">
        <f>[2]Export_CO!D23</f>
        <v>0</v>
      </c>
    </row>
    <row r="24" spans="1:5" x14ac:dyDescent="0.2">
      <c r="A24" s="35" t="s">
        <v>5037</v>
      </c>
      <c r="B24" s="38" t="s">
        <v>44</v>
      </c>
      <c r="C24" s="39">
        <f>[2]Export_CO!B24</f>
        <v>0</v>
      </c>
      <c r="D24" s="39">
        <f>[2]Export_CO!C24</f>
        <v>0</v>
      </c>
      <c r="E24" s="39">
        <f>[2]Export_CO!D24</f>
        <v>0</v>
      </c>
    </row>
    <row r="25" spans="1:5" x14ac:dyDescent="0.2">
      <c r="A25" s="35" t="s">
        <v>5038</v>
      </c>
      <c r="B25" s="40" t="s">
        <v>45</v>
      </c>
      <c r="C25" s="41">
        <f>[2]Export_CO!B25</f>
        <v>0</v>
      </c>
      <c r="D25" s="41">
        <f>[2]Export_CO!C25</f>
        <v>0</v>
      </c>
      <c r="E25" s="41">
        <f>[2]Export_CO!D25</f>
        <v>0</v>
      </c>
    </row>
    <row r="26" spans="1:5" x14ac:dyDescent="0.2">
      <c r="A26" s="35" t="s">
        <v>3129</v>
      </c>
      <c r="B26" s="42" t="s">
        <v>5</v>
      </c>
      <c r="C26" s="34">
        <f>SUM(C27:C32)</f>
        <v>4257735.419999999</v>
      </c>
      <c r="D26" s="34">
        <f>SUM(D27:D32)</f>
        <v>421352.4</v>
      </c>
      <c r="E26" s="34">
        <f>SUM(E27:E32)</f>
        <v>0</v>
      </c>
    </row>
    <row r="27" spans="1:5" x14ac:dyDescent="0.2">
      <c r="A27" s="35" t="s">
        <v>5039</v>
      </c>
      <c r="B27" s="36" t="s">
        <v>46</v>
      </c>
      <c r="C27" s="37">
        <f>[2]Export_CO!B27</f>
        <v>575751.38</v>
      </c>
      <c r="D27" s="37">
        <f>[2]Export_CO!C27</f>
        <v>4797.62</v>
      </c>
      <c r="E27" s="37">
        <f>[2]Export_CO!D27</f>
        <v>0</v>
      </c>
    </row>
    <row r="28" spans="1:5" x14ac:dyDescent="0.2">
      <c r="A28" s="35" t="s">
        <v>5040</v>
      </c>
      <c r="B28" s="38" t="s">
        <v>47</v>
      </c>
      <c r="C28" s="39">
        <f>[2]Export_CO!B28</f>
        <v>649847</v>
      </c>
      <c r="D28" s="39">
        <f>[2]Export_CO!C28</f>
        <v>90903.73</v>
      </c>
      <c r="E28" s="39">
        <f>[2]Export_CO!D28</f>
        <v>0</v>
      </c>
    </row>
    <row r="29" spans="1:5" x14ac:dyDescent="0.2">
      <c r="A29" s="35" t="s">
        <v>5041</v>
      </c>
      <c r="B29" s="38" t="s">
        <v>48</v>
      </c>
      <c r="C29" s="39">
        <f>[2]Export_CO!B29</f>
        <v>241691.91999999998</v>
      </c>
      <c r="D29" s="39">
        <f>[2]Export_CO!C29</f>
        <v>16444.93</v>
      </c>
      <c r="E29" s="39">
        <f>[2]Export_CO!D29</f>
        <v>0</v>
      </c>
    </row>
    <row r="30" spans="1:5" x14ac:dyDescent="0.2">
      <c r="A30" s="35" t="s">
        <v>5042</v>
      </c>
      <c r="B30" s="38" t="s">
        <v>49</v>
      </c>
      <c r="C30" s="39">
        <f>[2]Export_CO!B30</f>
        <v>2801247.48</v>
      </c>
      <c r="D30" s="39">
        <f>[2]Export_CO!C30</f>
        <v>312536.65000000002</v>
      </c>
      <c r="E30" s="39">
        <f>[2]Export_CO!D30</f>
        <v>0</v>
      </c>
    </row>
    <row r="31" spans="1:5" x14ac:dyDescent="0.2">
      <c r="A31" s="35" t="s">
        <v>5043</v>
      </c>
      <c r="B31" s="38" t="s">
        <v>50</v>
      </c>
      <c r="C31" s="39">
        <f>[2]Export_CO!B31</f>
        <v>-20996.46</v>
      </c>
      <c r="D31" s="39">
        <f>[2]Export_CO!C31</f>
        <v>-3330.53</v>
      </c>
      <c r="E31" s="39">
        <f>[2]Export_CO!D31</f>
        <v>0</v>
      </c>
    </row>
    <row r="32" spans="1:5" x14ac:dyDescent="0.2">
      <c r="A32" s="35" t="s">
        <v>5044</v>
      </c>
      <c r="B32" s="40" t="s">
        <v>51</v>
      </c>
      <c r="C32" s="41">
        <f>[2]Export_CO!B32</f>
        <v>10194.1</v>
      </c>
      <c r="D32" s="41">
        <f>[2]Export_CO!C32</f>
        <v>0</v>
      </c>
      <c r="E32" s="41">
        <f>[2]Export_CO!D32</f>
        <v>0</v>
      </c>
    </row>
    <row r="33" spans="1:5" x14ac:dyDescent="0.2">
      <c r="A33" s="7" t="s">
        <v>3254</v>
      </c>
      <c r="B33" s="42" t="s">
        <v>6</v>
      </c>
      <c r="C33" s="34">
        <f>SUM(C34:C35)</f>
        <v>909953.94</v>
      </c>
      <c r="D33" s="34">
        <f>SUM(D34:D35)</f>
        <v>61018.43</v>
      </c>
      <c r="E33" s="34">
        <f>SUM(E34:E35)</f>
        <v>0</v>
      </c>
    </row>
    <row r="34" spans="1:5" x14ac:dyDescent="0.2">
      <c r="A34" s="7" t="s">
        <v>5045</v>
      </c>
      <c r="B34" s="36" t="s">
        <v>254</v>
      </c>
      <c r="C34" s="37">
        <f>[2]Export_CO!B34</f>
        <v>863754.37999999989</v>
      </c>
      <c r="D34" s="37">
        <f>[2]Export_CO!C34</f>
        <v>57778.43</v>
      </c>
      <c r="E34" s="37">
        <f>[2]Export_CO!D34</f>
        <v>0</v>
      </c>
    </row>
    <row r="35" spans="1:5" x14ac:dyDescent="0.2">
      <c r="A35" s="7" t="s">
        <v>5046</v>
      </c>
      <c r="B35" s="40" t="s">
        <v>255</v>
      </c>
      <c r="C35" s="41">
        <f>[2]Export_CO!B35</f>
        <v>46199.56</v>
      </c>
      <c r="D35" s="41">
        <f>[2]Export_CO!C35</f>
        <v>3240</v>
      </c>
      <c r="E35" s="41">
        <f>[2]Export_CO!D35</f>
        <v>0</v>
      </c>
    </row>
    <row r="36" spans="1:5" x14ac:dyDescent="0.2">
      <c r="A36" s="7" t="s">
        <v>3255</v>
      </c>
      <c r="B36" s="42" t="s">
        <v>52</v>
      </c>
      <c r="C36" s="34">
        <f>SUM(C37:C38)</f>
        <v>737378.09</v>
      </c>
      <c r="D36" s="34">
        <f>SUM(D37:D38)</f>
        <v>79332.09</v>
      </c>
      <c r="E36" s="34">
        <f>SUM(E37:E38)</f>
        <v>0</v>
      </c>
    </row>
    <row r="37" spans="1:5" x14ac:dyDescent="0.2">
      <c r="A37" s="7" t="s">
        <v>5047</v>
      </c>
      <c r="B37" s="36" t="s">
        <v>256</v>
      </c>
      <c r="C37" s="37">
        <f>[2]Export_CO!B37</f>
        <v>737378.09</v>
      </c>
      <c r="D37" s="37">
        <f>[2]Export_CO!C37</f>
        <v>79332.09</v>
      </c>
      <c r="E37" s="37">
        <f>[2]Export_CO!D37</f>
        <v>0</v>
      </c>
    </row>
    <row r="38" spans="1:5" x14ac:dyDescent="0.2">
      <c r="A38" s="7" t="s">
        <v>5048</v>
      </c>
      <c r="B38" s="40" t="s">
        <v>257</v>
      </c>
      <c r="C38" s="41">
        <f>[2]Export_CO!B38</f>
        <v>0</v>
      </c>
      <c r="D38" s="41">
        <f>[2]Export_CO!C38</f>
        <v>0</v>
      </c>
      <c r="E38" s="41">
        <f>[2]Export_CO!D38</f>
        <v>0</v>
      </c>
    </row>
    <row r="39" spans="1:5" x14ac:dyDescent="0.2">
      <c r="A39" s="35" t="s">
        <v>3154</v>
      </c>
      <c r="B39" s="42" t="s">
        <v>11</v>
      </c>
      <c r="C39" s="34">
        <f>SUM(C40:C45)</f>
        <v>2379841.4900000002</v>
      </c>
      <c r="D39" s="34">
        <f>SUM(D40:D45)</f>
        <v>0</v>
      </c>
      <c r="E39" s="34">
        <f>SUM(E40:E45)</f>
        <v>0</v>
      </c>
    </row>
    <row r="40" spans="1:5" x14ac:dyDescent="0.2">
      <c r="A40" s="35" t="s">
        <v>5049</v>
      </c>
      <c r="B40" s="36" t="s">
        <v>53</v>
      </c>
      <c r="C40" s="37">
        <f>[2]Export_CO!B40</f>
        <v>190999.58</v>
      </c>
      <c r="D40" s="37">
        <f>[2]Export_CO!C40</f>
        <v>0</v>
      </c>
      <c r="E40" s="37">
        <f>[2]Export_CO!D40</f>
        <v>0</v>
      </c>
    </row>
    <row r="41" spans="1:5" x14ac:dyDescent="0.2">
      <c r="A41" s="35" t="s">
        <v>5050</v>
      </c>
      <c r="B41" s="38" t="s">
        <v>54</v>
      </c>
      <c r="C41" s="39">
        <f>[2]Export_CO!B41</f>
        <v>274260.5</v>
      </c>
      <c r="D41" s="39">
        <f>[2]Export_CO!C41</f>
        <v>0</v>
      </c>
      <c r="E41" s="39">
        <f>[2]Export_CO!D41</f>
        <v>0</v>
      </c>
    </row>
    <row r="42" spans="1:5" x14ac:dyDescent="0.2">
      <c r="A42" s="35" t="s">
        <v>5051</v>
      </c>
      <c r="B42" s="38" t="s">
        <v>55</v>
      </c>
      <c r="C42" s="39">
        <f>[2]Export_CO!B42</f>
        <v>185026.73</v>
      </c>
      <c r="D42" s="39">
        <f>[2]Export_CO!C42</f>
        <v>0</v>
      </c>
      <c r="E42" s="39">
        <f>[2]Export_CO!D42</f>
        <v>0</v>
      </c>
    </row>
    <row r="43" spans="1:5" x14ac:dyDescent="0.2">
      <c r="A43" s="35" t="s">
        <v>5052</v>
      </c>
      <c r="B43" s="38" t="s">
        <v>56</v>
      </c>
      <c r="C43" s="39">
        <f>[2]Export_CO!B43</f>
        <v>1725514.37</v>
      </c>
      <c r="D43" s="39">
        <f>[2]Export_CO!C43</f>
        <v>0</v>
      </c>
      <c r="E43" s="39">
        <f>[2]Export_CO!D43</f>
        <v>0</v>
      </c>
    </row>
    <row r="44" spans="1:5" x14ac:dyDescent="0.2">
      <c r="A44" s="35" t="s">
        <v>5053</v>
      </c>
      <c r="B44" s="38" t="s">
        <v>57</v>
      </c>
      <c r="C44" s="39">
        <f>[2]Export_CO!B44</f>
        <v>0</v>
      </c>
      <c r="D44" s="39">
        <f>[2]Export_CO!C44</f>
        <v>0</v>
      </c>
      <c r="E44" s="39">
        <f>[2]Export_CO!D44</f>
        <v>0</v>
      </c>
    </row>
    <row r="45" spans="1:5" x14ac:dyDescent="0.2">
      <c r="A45" s="35" t="s">
        <v>5054</v>
      </c>
      <c r="B45" s="40" t="s">
        <v>58</v>
      </c>
      <c r="C45" s="41">
        <f>[2]Export_CO!B45</f>
        <v>4040.3100000000004</v>
      </c>
      <c r="D45" s="41">
        <f>[2]Export_CO!C45</f>
        <v>0</v>
      </c>
      <c r="E45" s="41">
        <f>[2]Export_CO!D45</f>
        <v>0</v>
      </c>
    </row>
    <row r="46" spans="1:5" x14ac:dyDescent="0.2">
      <c r="A46" s="35" t="s">
        <v>3160</v>
      </c>
      <c r="B46" s="42" t="s">
        <v>13</v>
      </c>
      <c r="C46" s="34">
        <f>+SUM(C47:C52)</f>
        <v>595220</v>
      </c>
      <c r="D46" s="34">
        <f>+SUM(D47:D52)</f>
        <v>0</v>
      </c>
      <c r="E46" s="34">
        <f>+SUM(E47:E52)</f>
        <v>0</v>
      </c>
    </row>
    <row r="47" spans="1:5" x14ac:dyDescent="0.2">
      <c r="A47" s="35" t="s">
        <v>5055</v>
      </c>
      <c r="B47" s="36" t="s">
        <v>59</v>
      </c>
      <c r="C47" s="37">
        <f>[2]Export_CO!B47</f>
        <v>0</v>
      </c>
      <c r="D47" s="37">
        <f>[2]Export_CO!C47</f>
        <v>0</v>
      </c>
      <c r="E47" s="37">
        <f>[2]Export_CO!D47</f>
        <v>0</v>
      </c>
    </row>
    <row r="48" spans="1:5" x14ac:dyDescent="0.2">
      <c r="A48" s="35" t="s">
        <v>5056</v>
      </c>
      <c r="B48" s="38" t="s">
        <v>60</v>
      </c>
      <c r="C48" s="39">
        <f>[2]Export_CO!B48</f>
        <v>595220</v>
      </c>
      <c r="D48" s="39">
        <f>[2]Export_CO!C48</f>
        <v>0</v>
      </c>
      <c r="E48" s="39">
        <f>[2]Export_CO!D48</f>
        <v>0</v>
      </c>
    </row>
    <row r="49" spans="1:5" x14ac:dyDescent="0.2">
      <c r="A49" s="35" t="s">
        <v>5057</v>
      </c>
      <c r="B49" s="38" t="s">
        <v>61</v>
      </c>
      <c r="C49" s="39">
        <f>[2]Export_CO!B49</f>
        <v>0</v>
      </c>
      <c r="D49" s="39">
        <f>[2]Export_CO!C49</f>
        <v>0</v>
      </c>
      <c r="E49" s="39">
        <f>[2]Export_CO!D49</f>
        <v>0</v>
      </c>
    </row>
    <row r="50" spans="1:5" x14ac:dyDescent="0.2">
      <c r="A50" s="35" t="s">
        <v>5058</v>
      </c>
      <c r="B50" s="38" t="s">
        <v>62</v>
      </c>
      <c r="C50" s="39">
        <f>[2]Export_CO!B50</f>
        <v>0</v>
      </c>
      <c r="D50" s="39">
        <f>[2]Export_CO!C50</f>
        <v>0</v>
      </c>
      <c r="E50" s="39">
        <f>[2]Export_CO!D50</f>
        <v>0</v>
      </c>
    </row>
    <row r="51" spans="1:5" x14ac:dyDescent="0.2">
      <c r="A51" s="35" t="s">
        <v>5059</v>
      </c>
      <c r="B51" s="38" t="s">
        <v>63</v>
      </c>
      <c r="C51" s="39">
        <f>[2]Export_CO!B51</f>
        <v>0</v>
      </c>
      <c r="D51" s="39">
        <f>[2]Export_CO!C51</f>
        <v>0</v>
      </c>
      <c r="E51" s="39">
        <f>[2]Export_CO!D51</f>
        <v>0</v>
      </c>
    </row>
    <row r="52" spans="1:5" x14ac:dyDescent="0.2">
      <c r="A52" s="35" t="s">
        <v>5060</v>
      </c>
      <c r="B52" s="40" t="s">
        <v>64</v>
      </c>
      <c r="C52" s="41">
        <f>[2]Export_CO!B52</f>
        <v>0</v>
      </c>
      <c r="D52" s="41">
        <f>[2]Export_CO!C52</f>
        <v>0</v>
      </c>
      <c r="E52" s="41">
        <f>[2]Export_CO!D52</f>
        <v>0</v>
      </c>
    </row>
    <row r="53" spans="1:5" x14ac:dyDescent="0.2">
      <c r="A53" s="35" t="s">
        <v>3166</v>
      </c>
      <c r="B53" s="42" t="s">
        <v>14</v>
      </c>
      <c r="C53" s="34">
        <f>SUM(C54:C59)</f>
        <v>1382537.46</v>
      </c>
      <c r="D53" s="34">
        <f>SUM(D54:D59)</f>
        <v>51011.649999999994</v>
      </c>
      <c r="E53" s="34">
        <f>SUM(E54:E59)</f>
        <v>0</v>
      </c>
    </row>
    <row r="54" spans="1:5" x14ac:dyDescent="0.2">
      <c r="A54" s="35" t="s">
        <v>5061</v>
      </c>
      <c r="B54" s="36" t="s">
        <v>65</v>
      </c>
      <c r="C54" s="37">
        <f>[2]Export_CO!B54</f>
        <v>0</v>
      </c>
      <c r="D54" s="37">
        <f>[2]Export_CO!C54</f>
        <v>0</v>
      </c>
      <c r="E54" s="37">
        <f>[2]Export_CO!D54</f>
        <v>0</v>
      </c>
    </row>
    <row r="55" spans="1:5" x14ac:dyDescent="0.2">
      <c r="A55" s="35" t="s">
        <v>5062</v>
      </c>
      <c r="B55" s="38" t="s">
        <v>66</v>
      </c>
      <c r="C55" s="39">
        <f>[2]Export_CO!B55</f>
        <v>1387780</v>
      </c>
      <c r="D55" s="39">
        <f>[2]Export_CO!C55</f>
        <v>51520.63</v>
      </c>
      <c r="E55" s="39">
        <f>[2]Export_CO!D55</f>
        <v>0</v>
      </c>
    </row>
    <row r="56" spans="1:5" x14ac:dyDescent="0.2">
      <c r="A56" s="35" t="s">
        <v>5063</v>
      </c>
      <c r="B56" s="38" t="s">
        <v>67</v>
      </c>
      <c r="C56" s="39">
        <f>[2]Export_CO!B56</f>
        <v>0</v>
      </c>
      <c r="D56" s="39">
        <f>[2]Export_CO!C56</f>
        <v>0</v>
      </c>
      <c r="E56" s="39">
        <f>[2]Export_CO!D56</f>
        <v>0</v>
      </c>
    </row>
    <row r="57" spans="1:5" x14ac:dyDescent="0.2">
      <c r="A57" s="35" t="s">
        <v>5064</v>
      </c>
      <c r="B57" s="38" t="s">
        <v>68</v>
      </c>
      <c r="C57" s="39">
        <f>[2]Export_CO!B57</f>
        <v>0</v>
      </c>
      <c r="D57" s="39">
        <f>[2]Export_CO!C57</f>
        <v>0</v>
      </c>
      <c r="E57" s="39">
        <f>[2]Export_CO!D57</f>
        <v>0</v>
      </c>
    </row>
    <row r="58" spans="1:5" x14ac:dyDescent="0.2">
      <c r="A58" s="35" t="s">
        <v>5065</v>
      </c>
      <c r="B58" s="38" t="s">
        <v>69</v>
      </c>
      <c r="C58" s="39">
        <f>[2]Export_CO!B58</f>
        <v>0</v>
      </c>
      <c r="D58" s="39">
        <f>[2]Export_CO!C58</f>
        <v>0</v>
      </c>
      <c r="E58" s="39">
        <f>[2]Export_CO!D58</f>
        <v>0</v>
      </c>
    </row>
    <row r="59" spans="1:5" x14ac:dyDescent="0.2">
      <c r="A59" s="35" t="s">
        <v>5066</v>
      </c>
      <c r="B59" s="40" t="s">
        <v>70</v>
      </c>
      <c r="C59" s="41">
        <f>[2]Export_CO!B59</f>
        <v>-5242.54</v>
      </c>
      <c r="D59" s="41">
        <f>[2]Export_CO!C59</f>
        <v>-508.98</v>
      </c>
      <c r="E59" s="41">
        <f>[2]Export_CO!D59</f>
        <v>0</v>
      </c>
    </row>
    <row r="60" spans="1:5" x14ac:dyDescent="0.2">
      <c r="A60" s="35" t="s">
        <v>3172</v>
      </c>
      <c r="B60" s="42" t="s">
        <v>15</v>
      </c>
      <c r="C60" s="34">
        <f>SUM(C61:C66)</f>
        <v>0</v>
      </c>
      <c r="D60" s="34">
        <f>SUM(D61:D66)</f>
        <v>0</v>
      </c>
      <c r="E60" s="34">
        <f>SUM(E61:E66)</f>
        <v>0</v>
      </c>
    </row>
    <row r="61" spans="1:5" x14ac:dyDescent="0.2">
      <c r="A61" s="35" t="s">
        <v>5067</v>
      </c>
      <c r="B61" s="36" t="s">
        <v>71</v>
      </c>
      <c r="C61" s="37">
        <f>[2]Export_CO!B61</f>
        <v>0</v>
      </c>
      <c r="D61" s="37">
        <f>[2]Export_CO!C61</f>
        <v>0</v>
      </c>
      <c r="E61" s="37">
        <f>[2]Export_CO!D61</f>
        <v>0</v>
      </c>
    </row>
    <row r="62" spans="1:5" x14ac:dyDescent="0.2">
      <c r="A62" s="35" t="s">
        <v>5068</v>
      </c>
      <c r="B62" s="38" t="s">
        <v>72</v>
      </c>
      <c r="C62" s="39">
        <f>[2]Export_CO!B62</f>
        <v>0</v>
      </c>
      <c r="D62" s="39">
        <f>[2]Export_CO!C62</f>
        <v>0</v>
      </c>
      <c r="E62" s="39">
        <f>[2]Export_CO!D62</f>
        <v>0</v>
      </c>
    </row>
    <row r="63" spans="1:5" x14ac:dyDescent="0.2">
      <c r="A63" s="35" t="s">
        <v>5069</v>
      </c>
      <c r="B63" s="38" t="s">
        <v>73</v>
      </c>
      <c r="C63" s="39">
        <f>[2]Export_CO!B63</f>
        <v>0</v>
      </c>
      <c r="D63" s="39">
        <f>[2]Export_CO!C63</f>
        <v>0</v>
      </c>
      <c r="E63" s="39">
        <f>[2]Export_CO!D63</f>
        <v>0</v>
      </c>
    </row>
    <row r="64" spans="1:5" x14ac:dyDescent="0.2">
      <c r="A64" s="35" t="s">
        <v>5070</v>
      </c>
      <c r="B64" s="38" t="s">
        <v>74</v>
      </c>
      <c r="C64" s="39">
        <f>[2]Export_CO!B64</f>
        <v>0</v>
      </c>
      <c r="D64" s="39">
        <f>[2]Export_CO!C64</f>
        <v>0</v>
      </c>
      <c r="E64" s="39">
        <f>[2]Export_CO!D64</f>
        <v>0</v>
      </c>
    </row>
    <row r="65" spans="1:5" x14ac:dyDescent="0.2">
      <c r="A65" s="35" t="s">
        <v>5071</v>
      </c>
      <c r="B65" s="38" t="s">
        <v>75</v>
      </c>
      <c r="C65" s="39">
        <f>[2]Export_CO!B65</f>
        <v>0</v>
      </c>
      <c r="D65" s="39">
        <f>[2]Export_CO!C65</f>
        <v>0</v>
      </c>
      <c r="E65" s="39">
        <f>[2]Export_CO!D65</f>
        <v>0</v>
      </c>
    </row>
    <row r="66" spans="1:5" x14ac:dyDescent="0.2">
      <c r="A66" s="35" t="s">
        <v>5072</v>
      </c>
      <c r="B66" s="40" t="s">
        <v>76</v>
      </c>
      <c r="C66" s="41">
        <f>[2]Export_CO!B66</f>
        <v>0</v>
      </c>
      <c r="D66" s="41">
        <f>[2]Export_CO!C66</f>
        <v>0</v>
      </c>
      <c r="E66" s="41">
        <f>[2]Export_CO!D66</f>
        <v>0</v>
      </c>
    </row>
    <row r="67" spans="1:5" ht="11.4" x14ac:dyDescent="0.2">
      <c r="A67" s="35" t="s">
        <v>3178</v>
      </c>
      <c r="B67" s="42" t="s">
        <v>16</v>
      </c>
      <c r="C67" s="34">
        <f>SUM(C68:C73)</f>
        <v>0</v>
      </c>
      <c r="D67" s="34">
        <f>SUM(D68:D73)</f>
        <v>0</v>
      </c>
      <c r="E67" s="34">
        <f>SUM(E68:E73)</f>
        <v>0</v>
      </c>
    </row>
    <row r="68" spans="1:5" x14ac:dyDescent="0.2">
      <c r="A68" s="35" t="s">
        <v>5073</v>
      </c>
      <c r="B68" s="36" t="s">
        <v>77</v>
      </c>
      <c r="C68" s="37">
        <f>[2]Export_CO!B68</f>
        <v>0</v>
      </c>
      <c r="D68" s="37">
        <f>[2]Export_CO!C68</f>
        <v>0</v>
      </c>
      <c r="E68" s="37">
        <f>[2]Export_CO!D68</f>
        <v>0</v>
      </c>
    </row>
    <row r="69" spans="1:5" x14ac:dyDescent="0.2">
      <c r="A69" s="35" t="s">
        <v>5074</v>
      </c>
      <c r="B69" s="38" t="s">
        <v>78</v>
      </c>
      <c r="C69" s="39">
        <f>[2]Export_CO!B69</f>
        <v>0</v>
      </c>
      <c r="D69" s="39">
        <f>[2]Export_CO!C69</f>
        <v>0</v>
      </c>
      <c r="E69" s="39">
        <f>[2]Export_CO!D69</f>
        <v>0</v>
      </c>
    </row>
    <row r="70" spans="1:5" x14ac:dyDescent="0.2">
      <c r="A70" s="35" t="s">
        <v>5075</v>
      </c>
      <c r="B70" s="38" t="s">
        <v>79</v>
      </c>
      <c r="C70" s="39">
        <f>[2]Export_CO!B70</f>
        <v>0</v>
      </c>
      <c r="D70" s="39">
        <f>[2]Export_CO!C70</f>
        <v>0</v>
      </c>
      <c r="E70" s="39">
        <f>[2]Export_CO!D70</f>
        <v>0</v>
      </c>
    </row>
    <row r="71" spans="1:5" x14ac:dyDescent="0.2">
      <c r="A71" s="35" t="s">
        <v>5076</v>
      </c>
      <c r="B71" s="38" t="s">
        <v>80</v>
      </c>
      <c r="C71" s="39">
        <f>[2]Export_CO!B71</f>
        <v>0</v>
      </c>
      <c r="D71" s="39">
        <f>[2]Export_CO!C71</f>
        <v>0</v>
      </c>
      <c r="E71" s="39">
        <f>[2]Export_CO!D71</f>
        <v>0</v>
      </c>
    </row>
    <row r="72" spans="1:5" x14ac:dyDescent="0.2">
      <c r="A72" s="35" t="s">
        <v>5077</v>
      </c>
      <c r="B72" s="38" t="s">
        <v>81</v>
      </c>
      <c r="C72" s="39">
        <f>[2]Export_CO!B72</f>
        <v>0</v>
      </c>
      <c r="D72" s="39">
        <f>[2]Export_CO!C72</f>
        <v>0</v>
      </c>
      <c r="E72" s="39">
        <f>[2]Export_CO!D72</f>
        <v>0</v>
      </c>
    </row>
    <row r="73" spans="1:5" x14ac:dyDescent="0.2">
      <c r="A73" s="35" t="s">
        <v>5078</v>
      </c>
      <c r="B73" s="40" t="s">
        <v>82</v>
      </c>
      <c r="C73" s="41">
        <f>[2]Export_CO!B73</f>
        <v>0</v>
      </c>
      <c r="D73" s="41">
        <f>[2]Export_CO!C73</f>
        <v>0</v>
      </c>
      <c r="E73" s="41">
        <f>[2]Export_CO!D73</f>
        <v>0</v>
      </c>
    </row>
    <row r="74" spans="1:5" x14ac:dyDescent="0.2">
      <c r="A74" s="35" t="s">
        <v>3202</v>
      </c>
      <c r="B74" s="42" t="s">
        <v>19</v>
      </c>
      <c r="C74" s="34">
        <f>SUM(C75:C86)</f>
        <v>899319</v>
      </c>
      <c r="D74" s="34">
        <f>SUM(D75:D86)</f>
        <v>0</v>
      </c>
      <c r="E74" s="34">
        <f>SUM(E75:E86)</f>
        <v>0</v>
      </c>
    </row>
    <row r="75" spans="1:5" x14ac:dyDescent="0.2">
      <c r="A75" s="35" t="s">
        <v>5079</v>
      </c>
      <c r="B75" s="36" t="s">
        <v>259</v>
      </c>
      <c r="C75" s="37">
        <f>[2]Export_CO!B75</f>
        <v>0</v>
      </c>
      <c r="D75" s="37">
        <f>[2]Export_CO!C75</f>
        <v>0</v>
      </c>
      <c r="E75" s="37">
        <f>[2]Export_CO!D75</f>
        <v>0</v>
      </c>
    </row>
    <row r="76" spans="1:5" x14ac:dyDescent="0.2">
      <c r="A76" s="35" t="s">
        <v>5080</v>
      </c>
      <c r="B76" s="38" t="s">
        <v>260</v>
      </c>
      <c r="C76" s="39">
        <f>[2]Export_CO!B76</f>
        <v>899319</v>
      </c>
      <c r="D76" s="39">
        <f>[2]Export_CO!C76</f>
        <v>0</v>
      </c>
      <c r="E76" s="39">
        <f>[2]Export_CO!D76</f>
        <v>0</v>
      </c>
    </row>
    <row r="77" spans="1:5" x14ac:dyDescent="0.2">
      <c r="A77" s="35" t="s">
        <v>5081</v>
      </c>
      <c r="B77" s="338" t="s">
        <v>261</v>
      </c>
      <c r="C77" s="337">
        <f>[2]Export_CO!B77</f>
        <v>0</v>
      </c>
      <c r="D77" s="337">
        <f>[2]Export_CO!C77</f>
        <v>0</v>
      </c>
      <c r="E77" s="337">
        <f>[2]Export_CO!D77</f>
        <v>0</v>
      </c>
    </row>
    <row r="78" spans="1:5" x14ac:dyDescent="0.2">
      <c r="A78" s="35" t="s">
        <v>5082</v>
      </c>
      <c r="B78" s="338" t="s">
        <v>83</v>
      </c>
      <c r="C78" s="337">
        <f>[2]Export_CO!B78</f>
        <v>0</v>
      </c>
      <c r="D78" s="337">
        <f>[2]Export_CO!C78</f>
        <v>0</v>
      </c>
      <c r="E78" s="337">
        <f>[2]Export_CO!D78</f>
        <v>0</v>
      </c>
    </row>
    <row r="79" spans="1:5" x14ac:dyDescent="0.2">
      <c r="A79" s="35" t="s">
        <v>5083</v>
      </c>
      <c r="B79" s="338" t="s">
        <v>262</v>
      </c>
      <c r="C79" s="337">
        <f>[2]Export_CO!B79</f>
        <v>0</v>
      </c>
      <c r="D79" s="337">
        <f>[2]Export_CO!C79</f>
        <v>0</v>
      </c>
      <c r="E79" s="337">
        <f>[2]Export_CO!D79</f>
        <v>0</v>
      </c>
    </row>
    <row r="80" spans="1:5" x14ac:dyDescent="0.2">
      <c r="A80" s="35" t="s">
        <v>5084</v>
      </c>
      <c r="B80" s="338" t="s">
        <v>263</v>
      </c>
      <c r="C80" s="337">
        <f>[2]Export_CO!B80</f>
        <v>0</v>
      </c>
      <c r="D80" s="337">
        <f>[2]Export_CO!C80</f>
        <v>0</v>
      </c>
      <c r="E80" s="337">
        <f>[2]Export_CO!D80</f>
        <v>0</v>
      </c>
    </row>
    <row r="81" spans="1:5" x14ac:dyDescent="0.2">
      <c r="A81" s="35" t="s">
        <v>5085</v>
      </c>
      <c r="B81" s="338" t="s">
        <v>264</v>
      </c>
      <c r="C81" s="337">
        <f>[2]Export_CO!B81</f>
        <v>0</v>
      </c>
      <c r="D81" s="337">
        <f>[2]Export_CO!C81</f>
        <v>0</v>
      </c>
      <c r="E81" s="337">
        <f>[2]Export_CO!D81</f>
        <v>0</v>
      </c>
    </row>
    <row r="82" spans="1:5" x14ac:dyDescent="0.2">
      <c r="A82" s="35" t="s">
        <v>5086</v>
      </c>
      <c r="B82" s="338" t="s">
        <v>265</v>
      </c>
      <c r="C82" s="337">
        <f>[2]Export_CO!B82</f>
        <v>0</v>
      </c>
      <c r="D82" s="337">
        <f>[2]Export_CO!C82</f>
        <v>0</v>
      </c>
      <c r="E82" s="337">
        <f>[2]Export_CO!D82</f>
        <v>0</v>
      </c>
    </row>
    <row r="83" spans="1:5" x14ac:dyDescent="0.2">
      <c r="A83" s="35" t="s">
        <v>5087</v>
      </c>
      <c r="B83" s="338" t="s">
        <v>266</v>
      </c>
      <c r="C83" s="337">
        <f>[2]Export_CO!B83</f>
        <v>0</v>
      </c>
      <c r="D83" s="337">
        <f>[2]Export_CO!C83</f>
        <v>0</v>
      </c>
      <c r="E83" s="337">
        <f>[2]Export_CO!D83</f>
        <v>0</v>
      </c>
    </row>
    <row r="84" spans="1:5" x14ac:dyDescent="0.2">
      <c r="A84" s="35" t="s">
        <v>5088</v>
      </c>
      <c r="B84" s="338" t="s">
        <v>267</v>
      </c>
      <c r="C84" s="337">
        <f>[2]Export_CO!B84</f>
        <v>0</v>
      </c>
      <c r="D84" s="337">
        <f>[2]Export_CO!C84</f>
        <v>0</v>
      </c>
      <c r="E84" s="337">
        <f>[2]Export_CO!D84</f>
        <v>0</v>
      </c>
    </row>
    <row r="85" spans="1:5" x14ac:dyDescent="0.2">
      <c r="A85" s="35" t="s">
        <v>5089</v>
      </c>
      <c r="B85" s="338" t="s">
        <v>268</v>
      </c>
      <c r="C85" s="337">
        <f>[2]Export_CO!B85</f>
        <v>0</v>
      </c>
      <c r="D85" s="337">
        <f>[2]Export_CO!C85</f>
        <v>0</v>
      </c>
      <c r="E85" s="337">
        <f>[2]Export_CO!D85</f>
        <v>0</v>
      </c>
    </row>
    <row r="86" spans="1:5" x14ac:dyDescent="0.2">
      <c r="A86" s="35" t="s">
        <v>5090</v>
      </c>
      <c r="B86" s="338" t="s">
        <v>269</v>
      </c>
      <c r="C86" s="41">
        <f>[2]Export_CO!B86</f>
        <v>0</v>
      </c>
      <c r="D86" s="41">
        <f>[2]Export_CO!C86</f>
        <v>0</v>
      </c>
      <c r="E86" s="41">
        <f>[2]Export_CO!D86</f>
        <v>0</v>
      </c>
    </row>
    <row r="87" spans="1:5" x14ac:dyDescent="0.2">
      <c r="A87" s="85" t="s">
        <v>3190</v>
      </c>
      <c r="B87" s="36" t="s">
        <v>270</v>
      </c>
      <c r="C87" s="37">
        <f>[2]Export_CO!B87</f>
        <v>0</v>
      </c>
      <c r="D87" s="37">
        <f>[2]Export_CO!C87</f>
        <v>0</v>
      </c>
      <c r="E87" s="37">
        <f>[2]Export_CO!D87</f>
        <v>0</v>
      </c>
    </row>
    <row r="88" spans="1:5" x14ac:dyDescent="0.2">
      <c r="A88" s="85" t="s">
        <v>3193</v>
      </c>
      <c r="B88" s="38" t="s">
        <v>271</v>
      </c>
      <c r="C88" s="39">
        <f>[2]Export_CO!B88</f>
        <v>899319</v>
      </c>
      <c r="D88" s="39">
        <f>[2]Export_CO!C88</f>
        <v>0</v>
      </c>
      <c r="E88" s="39">
        <f>[2]Export_CO!D88</f>
        <v>0</v>
      </c>
    </row>
    <row r="89" spans="1:5" x14ac:dyDescent="0.2">
      <c r="A89" s="85" t="s">
        <v>3196</v>
      </c>
      <c r="B89" s="38" t="s">
        <v>272</v>
      </c>
      <c r="C89" s="39">
        <f>[2]Export_CO!B89</f>
        <v>0</v>
      </c>
      <c r="D89" s="39">
        <f>[2]Export_CO!C89</f>
        <v>0</v>
      </c>
      <c r="E89" s="39">
        <f>[2]Export_CO!D89</f>
        <v>0</v>
      </c>
    </row>
    <row r="90" spans="1:5" x14ac:dyDescent="0.2">
      <c r="A90" s="85" t="s">
        <v>3199</v>
      </c>
      <c r="B90" s="40" t="s">
        <v>273</v>
      </c>
      <c r="C90" s="41">
        <f>[2]Export_CO!B90</f>
        <v>0</v>
      </c>
      <c r="D90" s="41">
        <f>[2]Export_CO!C90</f>
        <v>0</v>
      </c>
      <c r="E90" s="41">
        <f>[2]Export_CO!D90</f>
        <v>0</v>
      </c>
    </row>
    <row r="91" spans="1:5" x14ac:dyDescent="0.2">
      <c r="A91" s="35"/>
      <c r="B91" s="43" t="s">
        <v>84</v>
      </c>
      <c r="C91" s="35">
        <f>SUM(C75:C86)-SUM(C87:C90)</f>
        <v>0</v>
      </c>
      <c r="D91" s="35">
        <f>SUM(D75:D86)-SUM(D87:D90)</f>
        <v>0</v>
      </c>
      <c r="E91" s="35">
        <f>SUM(E75:E86)-SUM(E87:E90)</f>
        <v>0</v>
      </c>
    </row>
    <row r="92" spans="1:5" x14ac:dyDescent="0.2">
      <c r="A92" s="35"/>
      <c r="B92" s="44"/>
    </row>
    <row r="93" spans="1:5" x14ac:dyDescent="0.2">
      <c r="A93" s="35"/>
      <c r="B93" s="45" t="s">
        <v>85</v>
      </c>
      <c r="C93" s="35">
        <f>C5+C12+C19+C26+C33+C36+C46+C39+C53+C60+C67+C74-[2]Export_CO!B93</f>
        <v>0</v>
      </c>
      <c r="D93" s="35">
        <f>D5+D12+D19+D26+D33+D36+D46+D39+D53+D60+D67+D74-[2]Export_CO!C93</f>
        <v>0</v>
      </c>
      <c r="E93" s="35">
        <f>E5+E12+E19+E26+E33+E36+E46+E39+E53+E60+E67+E74-[2]Export_CO!D93</f>
        <v>0</v>
      </c>
    </row>
    <row r="94" spans="1:5" x14ac:dyDescent="0.2">
      <c r="A94" s="35"/>
      <c r="B94" s="45"/>
      <c r="C94" s="35"/>
      <c r="D94" s="35"/>
      <c r="E94" s="35"/>
    </row>
    <row r="95" spans="1:5" x14ac:dyDescent="0.2">
      <c r="A95" s="35" t="s">
        <v>5091</v>
      </c>
      <c r="B95" s="129" t="s">
        <v>274</v>
      </c>
      <c r="C95" s="34">
        <f>[2]Export_CO!B95</f>
        <v>0</v>
      </c>
      <c r="D95" s="34">
        <f>[2]Export_CO!C95</f>
        <v>0</v>
      </c>
      <c r="E95" s="34">
        <f>[2]Export_CO!D95</f>
        <v>0</v>
      </c>
    </row>
    <row r="96" spans="1:5" x14ac:dyDescent="0.2">
      <c r="A96" s="35"/>
    </row>
    <row r="97" spans="1:5" x14ac:dyDescent="0.2">
      <c r="A97" s="35"/>
      <c r="B97" s="34" t="s">
        <v>86</v>
      </c>
      <c r="C97" s="34">
        <f>SUM(C98:C108)</f>
        <v>0</v>
      </c>
      <c r="D97" s="34">
        <f>SUM(D98:D108)</f>
        <v>0</v>
      </c>
      <c r="E97" s="34">
        <f>SUM(E98:E108)</f>
        <v>0</v>
      </c>
    </row>
    <row r="98" spans="1:5" x14ac:dyDescent="0.2">
      <c r="A98" s="35" t="s">
        <v>5092</v>
      </c>
      <c r="B98" s="46" t="s">
        <v>87</v>
      </c>
      <c r="C98" s="46">
        <f>[2]Export_CO!B98</f>
        <v>0</v>
      </c>
      <c r="D98" s="46">
        <f>[2]Export_CO!C98</f>
        <v>0</v>
      </c>
      <c r="E98" s="46">
        <f>[2]Export_CO!D98</f>
        <v>0</v>
      </c>
    </row>
    <row r="99" spans="1:5" x14ac:dyDescent="0.2">
      <c r="A99" s="35" t="s">
        <v>5093</v>
      </c>
      <c r="B99" s="39" t="s">
        <v>88</v>
      </c>
      <c r="C99" s="39">
        <f>[2]Export_CO!B99</f>
        <v>0</v>
      </c>
      <c r="D99" s="39">
        <f>[2]Export_CO!C99</f>
        <v>0</v>
      </c>
      <c r="E99" s="39">
        <f>[2]Export_CO!D99</f>
        <v>0</v>
      </c>
    </row>
    <row r="100" spans="1:5" x14ac:dyDescent="0.2">
      <c r="A100" s="35" t="s">
        <v>5094</v>
      </c>
      <c r="B100" s="39" t="s">
        <v>89</v>
      </c>
      <c r="C100" s="39">
        <f>[2]Export_CO!B100</f>
        <v>0</v>
      </c>
      <c r="D100" s="39">
        <f>[2]Export_CO!C100</f>
        <v>0</v>
      </c>
      <c r="E100" s="39">
        <f>[2]Export_CO!D100</f>
        <v>0</v>
      </c>
    </row>
    <row r="101" spans="1:5" x14ac:dyDescent="0.2">
      <c r="A101" s="35" t="s">
        <v>5095</v>
      </c>
      <c r="B101" s="39" t="s">
        <v>90</v>
      </c>
      <c r="C101" s="39">
        <f>[2]Export_CO!B101</f>
        <v>0</v>
      </c>
      <c r="D101" s="39">
        <f>[2]Export_CO!C101</f>
        <v>0</v>
      </c>
      <c r="E101" s="39">
        <f>[2]Export_CO!D101</f>
        <v>0</v>
      </c>
    </row>
    <row r="102" spans="1:5" x14ac:dyDescent="0.2">
      <c r="A102" s="35" t="s">
        <v>5096</v>
      </c>
      <c r="B102" s="39" t="s">
        <v>91</v>
      </c>
      <c r="C102" s="39">
        <f>[2]Export_CO!B102</f>
        <v>0</v>
      </c>
      <c r="D102" s="39">
        <f>[2]Export_CO!C102</f>
        <v>0</v>
      </c>
      <c r="E102" s="39">
        <f>[2]Export_CO!D102</f>
        <v>0</v>
      </c>
    </row>
    <row r="103" spans="1:5" x14ac:dyDescent="0.2">
      <c r="A103" s="35" t="s">
        <v>5097</v>
      </c>
      <c r="B103" s="39" t="s">
        <v>92</v>
      </c>
      <c r="C103" s="39">
        <f>[2]Export_CO!B103</f>
        <v>0</v>
      </c>
      <c r="D103" s="39">
        <f>[2]Export_CO!C103</f>
        <v>0</v>
      </c>
      <c r="E103" s="39">
        <f>[2]Export_CO!D103</f>
        <v>0</v>
      </c>
    </row>
    <row r="104" spans="1:5" x14ac:dyDescent="0.2">
      <c r="A104" s="35" t="s">
        <v>5098</v>
      </c>
      <c r="B104" s="39" t="s">
        <v>93</v>
      </c>
      <c r="C104" s="39">
        <f>[2]Export_CO!B104</f>
        <v>0</v>
      </c>
      <c r="D104" s="39">
        <f>[2]Export_CO!C104</f>
        <v>0</v>
      </c>
      <c r="E104" s="39">
        <f>[2]Export_CO!D104</f>
        <v>0</v>
      </c>
    </row>
    <row r="105" spans="1:5" x14ac:dyDescent="0.2">
      <c r="A105" s="35" t="s">
        <v>5099</v>
      </c>
      <c r="B105" s="39" t="s">
        <v>94</v>
      </c>
      <c r="C105" s="39">
        <f>[2]Export_CO!B105</f>
        <v>0</v>
      </c>
      <c r="D105" s="39">
        <f>[2]Export_CO!C105</f>
        <v>0</v>
      </c>
      <c r="E105" s="39">
        <f>[2]Export_CO!D105</f>
        <v>0</v>
      </c>
    </row>
    <row r="106" spans="1:5" x14ac:dyDescent="0.2">
      <c r="A106" s="35" t="s">
        <v>5100</v>
      </c>
      <c r="B106" s="39" t="s">
        <v>95</v>
      </c>
      <c r="C106" s="39">
        <f>[2]Export_CO!B106</f>
        <v>0</v>
      </c>
      <c r="D106" s="39">
        <f>[2]Export_CO!C106</f>
        <v>0</v>
      </c>
      <c r="E106" s="39">
        <f>[2]Export_CO!D106</f>
        <v>0</v>
      </c>
    </row>
    <row r="107" spans="1:5" x14ac:dyDescent="0.2">
      <c r="A107" s="35" t="s">
        <v>6487</v>
      </c>
      <c r="B107" s="39" t="s">
        <v>6488</v>
      </c>
      <c r="C107" s="39">
        <f>[2]Export_CO!B107</f>
        <v>0</v>
      </c>
      <c r="D107" s="39">
        <f>[2]Export_CO!C107</f>
        <v>0</v>
      </c>
      <c r="E107" s="39">
        <f>[2]Export_CO!D107</f>
        <v>0</v>
      </c>
    </row>
    <row r="108" spans="1:5" x14ac:dyDescent="0.2">
      <c r="A108" s="35"/>
      <c r="B108" s="39" t="s">
        <v>96</v>
      </c>
      <c r="C108" s="47">
        <f>[2]Export_CO!B108</f>
        <v>0</v>
      </c>
      <c r="D108" s="47">
        <f>[2]Export_CO!C108</f>
        <v>0</v>
      </c>
      <c r="E108" s="47">
        <f>[2]Export_CO!D108</f>
        <v>0</v>
      </c>
    </row>
    <row r="109" spans="1:5" x14ac:dyDescent="0.2">
      <c r="A109" s="35" t="s">
        <v>5101</v>
      </c>
      <c r="B109" s="39" t="s">
        <v>97</v>
      </c>
      <c r="C109" s="39">
        <f>[2]Export_CO!B109</f>
        <v>0</v>
      </c>
      <c r="D109" s="39">
        <f>[2]Export_CO!C109</f>
        <v>0</v>
      </c>
      <c r="E109" s="39">
        <f>[2]Export_CO!D109</f>
        <v>0</v>
      </c>
    </row>
    <row r="110" spans="1:5" x14ac:dyDescent="0.2">
      <c r="A110" s="35" t="s">
        <v>5102</v>
      </c>
      <c r="B110" s="39" t="s">
        <v>98</v>
      </c>
      <c r="C110" s="39">
        <f>[2]Export_CO!B110</f>
        <v>0</v>
      </c>
      <c r="D110" s="39">
        <f>[2]Export_CO!C110</f>
        <v>0</v>
      </c>
      <c r="E110" s="39">
        <f>[2]Export_CO!D110</f>
        <v>0</v>
      </c>
    </row>
    <row r="111" spans="1:5" x14ac:dyDescent="0.2">
      <c r="A111" s="35" t="s">
        <v>5103</v>
      </c>
      <c r="B111" s="39" t="s">
        <v>99</v>
      </c>
      <c r="C111" s="39">
        <f>[2]Export_CO!B111</f>
        <v>0</v>
      </c>
      <c r="D111" s="39">
        <f>[2]Export_CO!C111</f>
        <v>0</v>
      </c>
      <c r="E111" s="39">
        <f>[2]Export_CO!D111</f>
        <v>0</v>
      </c>
    </row>
    <row r="112" spans="1:5" x14ac:dyDescent="0.2">
      <c r="A112" s="35" t="s">
        <v>5104</v>
      </c>
      <c r="B112" s="41" t="s">
        <v>100</v>
      </c>
      <c r="C112" s="41">
        <f>[2]Export_CO!B112</f>
        <v>0</v>
      </c>
      <c r="D112" s="41">
        <f>[2]Export_CO!C112</f>
        <v>0</v>
      </c>
      <c r="E112" s="41">
        <f>[2]Export_CO!D112</f>
        <v>0</v>
      </c>
    </row>
    <row r="113" spans="1:5" x14ac:dyDescent="0.2">
      <c r="A113" s="35"/>
      <c r="B113" s="43"/>
      <c r="C113" s="35"/>
      <c r="D113" s="35"/>
      <c r="E113" s="35"/>
    </row>
    <row r="114" spans="1:5" x14ac:dyDescent="0.2">
      <c r="A114" s="35"/>
    </row>
    <row r="115" spans="1:5" x14ac:dyDescent="0.2">
      <c r="A115" s="35"/>
      <c r="B115" s="129" t="s">
        <v>189</v>
      </c>
    </row>
    <row r="116" spans="1:5" x14ac:dyDescent="0.2">
      <c r="A116" s="35" t="s">
        <v>5105</v>
      </c>
      <c r="B116" s="37" t="s">
        <v>193</v>
      </c>
      <c r="C116" s="37">
        <f t="shared" ref="C116:E117" si="0">C6+C13+C20+C27+C40+C47+C54+C61+C68</f>
        <v>921224.33</v>
      </c>
      <c r="D116" s="37">
        <f>D6+D13+D20+D27+D40+D47+D54+D61+D68</f>
        <v>6201</v>
      </c>
      <c r="E116" s="37">
        <f t="shared" si="0"/>
        <v>0</v>
      </c>
    </row>
    <row r="117" spans="1:5" x14ac:dyDescent="0.2">
      <c r="A117" s="35" t="s">
        <v>5106</v>
      </c>
      <c r="B117" s="41" t="s">
        <v>194</v>
      </c>
      <c r="C117" s="41">
        <f t="shared" si="0"/>
        <v>6199534.7599999998</v>
      </c>
      <c r="D117" s="41">
        <f>D7+D14+D21+D28+D41+D48+D55+D62+D69</f>
        <v>715158.98999999987</v>
      </c>
      <c r="E117" s="41">
        <f t="shared" si="0"/>
        <v>0</v>
      </c>
    </row>
    <row r="118" spans="1:5" x14ac:dyDescent="0.2">
      <c r="A118" s="122" t="s">
        <v>5107</v>
      </c>
      <c r="B118" s="128" t="s">
        <v>195</v>
      </c>
      <c r="C118" s="128">
        <f>C116+C117</f>
        <v>7120759.0899999999</v>
      </c>
      <c r="D118" s="128">
        <f>D116+D117</f>
        <v>721359.98999999987</v>
      </c>
      <c r="E118" s="128">
        <f>E116+E117</f>
        <v>0</v>
      </c>
    </row>
    <row r="119" spans="1:5" x14ac:dyDescent="0.2">
      <c r="A119" s="35"/>
    </row>
    <row r="120" spans="1:5" x14ac:dyDescent="0.2">
      <c r="A120" s="123" t="s">
        <v>5108</v>
      </c>
      <c r="B120" s="127" t="s">
        <v>196</v>
      </c>
      <c r="C120" s="127">
        <f>[2]Export_CO!B120</f>
        <v>15631576.09</v>
      </c>
      <c r="D120" s="127">
        <f>[2]Export_CO!C120</f>
        <v>1129334.76</v>
      </c>
      <c r="E120" s="127">
        <f>[2]Export_CO!D120</f>
        <v>0</v>
      </c>
    </row>
    <row r="121" spans="1:5" x14ac:dyDescent="0.2">
      <c r="A121" s="35"/>
    </row>
    <row r="122" spans="1:5" x14ac:dyDescent="0.2">
      <c r="A122" s="122" t="s">
        <v>5109</v>
      </c>
      <c r="B122" s="127" t="s">
        <v>197</v>
      </c>
      <c r="C122" s="127">
        <f>[2]Export_CO!B122</f>
        <v>2578084.6487835948</v>
      </c>
      <c r="D122" s="127">
        <f>[2]Export_CO!C122</f>
        <v>423369.3112164053</v>
      </c>
      <c r="E122" s="127">
        <f>[2]Export_CO!D122</f>
        <v>0</v>
      </c>
    </row>
    <row r="123" spans="1:5" x14ac:dyDescent="0.2">
      <c r="A123" s="122" t="s">
        <v>5110</v>
      </c>
      <c r="B123" s="37" t="s">
        <v>190</v>
      </c>
      <c r="C123" s="37">
        <f>[2]Export_CO!B123</f>
        <v>544206.23382549558</v>
      </c>
      <c r="D123" s="37">
        <f>[2]Export_CO!C123</f>
        <v>89368.756174504466</v>
      </c>
      <c r="E123" s="37">
        <f>[2]Export_CO!D123</f>
        <v>0</v>
      </c>
    </row>
    <row r="124" spans="1:5" x14ac:dyDescent="0.2">
      <c r="A124" s="122" t="s">
        <v>5111</v>
      </c>
      <c r="B124" s="39" t="s">
        <v>191</v>
      </c>
      <c r="C124" s="39">
        <f>[2]Export_CO!B124</f>
        <v>2033878.4149580994</v>
      </c>
      <c r="D124" s="39">
        <f>[2]Export_CO!C124</f>
        <v>334000.55504190084</v>
      </c>
      <c r="E124" s="39">
        <f>[2]Export_CO!D124</f>
        <v>0</v>
      </c>
    </row>
    <row r="125" spans="1:5" x14ac:dyDescent="0.2">
      <c r="A125" s="122" t="s">
        <v>5112</v>
      </c>
      <c r="B125" s="41" t="s">
        <v>192</v>
      </c>
      <c r="C125" s="41">
        <f>[2]Export_CO!B125</f>
        <v>0</v>
      </c>
      <c r="D125" s="41">
        <f>[2]Export_CO!C125</f>
        <v>0</v>
      </c>
      <c r="E125" s="41">
        <f>[2]Export_CO!D125</f>
        <v>0</v>
      </c>
    </row>
    <row r="126" spans="1:5" x14ac:dyDescent="0.2">
      <c r="A126" s="35"/>
    </row>
    <row r="127" spans="1:5" x14ac:dyDescent="0.2">
      <c r="A127" s="85" t="s">
        <v>786</v>
      </c>
      <c r="B127" s="450" t="s">
        <v>536</v>
      </c>
      <c r="C127" s="452">
        <f>[2]Export_CO!B127</f>
        <v>0</v>
      </c>
      <c r="D127" s="452">
        <f>[2]Export_CO!C127</f>
        <v>0</v>
      </c>
      <c r="E127" s="452">
        <f>[2]Export_CO!D127</f>
        <v>0</v>
      </c>
    </row>
    <row r="128" spans="1:5" x14ac:dyDescent="0.2">
      <c r="A128" s="85" t="s">
        <v>787</v>
      </c>
      <c r="B128" s="451" t="s">
        <v>537</v>
      </c>
      <c r="C128" s="453">
        <f>[2]Export_CO!B128</f>
        <v>0</v>
      </c>
      <c r="D128" s="453">
        <f>[2]Export_CO!C128</f>
        <v>0</v>
      </c>
      <c r="E128" s="453">
        <f>[2]Export_CO!D128</f>
        <v>0</v>
      </c>
    </row>
    <row r="130" spans="1:5" x14ac:dyDescent="0.2">
      <c r="A130" s="85" t="s">
        <v>788</v>
      </c>
      <c r="B130" s="450" t="s">
        <v>538</v>
      </c>
      <c r="C130" s="452">
        <f>[2]Export_CO!B130</f>
        <v>0</v>
      </c>
      <c r="D130" s="452">
        <f>[2]Export_CO!C130</f>
        <v>0</v>
      </c>
      <c r="E130" s="452">
        <f>[2]Export_CO!D130</f>
        <v>0</v>
      </c>
    </row>
    <row r="131" spans="1:5" x14ac:dyDescent="0.2">
      <c r="A131" s="85" t="s">
        <v>789</v>
      </c>
      <c r="B131" s="451" t="s">
        <v>539</v>
      </c>
      <c r="C131" s="453">
        <f>[2]Export_CO!B131</f>
        <v>50000</v>
      </c>
      <c r="D131" s="453">
        <f>[2]Export_CO!C131</f>
        <v>0</v>
      </c>
      <c r="E131" s="453">
        <f>[2]Export_CO!D131</f>
        <v>0</v>
      </c>
    </row>
    <row r="133" spans="1:5" x14ac:dyDescent="0.2">
      <c r="A133" s="85" t="s">
        <v>790</v>
      </c>
      <c r="B133" s="450" t="s">
        <v>540</v>
      </c>
      <c r="C133" s="452">
        <f>[2]Export_CO!B133</f>
        <v>0</v>
      </c>
      <c r="D133" s="452">
        <f>[2]Export_CO!C133</f>
        <v>0</v>
      </c>
      <c r="E133" s="452">
        <f>[2]Export_CO!D133</f>
        <v>0</v>
      </c>
    </row>
    <row r="134" spans="1:5" x14ac:dyDescent="0.2">
      <c r="A134" s="85" t="s">
        <v>791</v>
      </c>
      <c r="B134" s="451" t="s">
        <v>541</v>
      </c>
      <c r="C134" s="453">
        <f>[2]Export_CO!B134</f>
        <v>0</v>
      </c>
      <c r="D134" s="453">
        <f>[2]Export_CO!C134</f>
        <v>0</v>
      </c>
      <c r="E134" s="453">
        <f>[2]Export_CO!D134</f>
        <v>0</v>
      </c>
    </row>
    <row r="136" spans="1:5" x14ac:dyDescent="0.2">
      <c r="A136" s="7" t="s">
        <v>6501</v>
      </c>
      <c r="B136" s="37" t="s">
        <v>6489</v>
      </c>
      <c r="C136" s="37">
        <f>[2]Export_CO!B136</f>
        <v>802277.03999999992</v>
      </c>
      <c r="D136" s="37">
        <f>[2]Export_CO!C136</f>
        <v>57148.47</v>
      </c>
      <c r="E136" s="37">
        <f>[2]Export_CO!D136</f>
        <v>0</v>
      </c>
    </row>
    <row r="137" spans="1:5" x14ac:dyDescent="0.2">
      <c r="A137" s="7" t="s">
        <v>6502</v>
      </c>
      <c r="B137" s="39" t="s">
        <v>6490</v>
      </c>
      <c r="C137" s="39">
        <f>[2]Export_CO!B137</f>
        <v>0</v>
      </c>
      <c r="D137" s="39">
        <f>[2]Export_CO!C137</f>
        <v>0</v>
      </c>
      <c r="E137" s="39">
        <f>[2]Export_CO!D137</f>
        <v>0</v>
      </c>
    </row>
    <row r="138" spans="1:5" x14ac:dyDescent="0.2">
      <c r="A138" s="7" t="s">
        <v>6503</v>
      </c>
      <c r="B138" s="39" t="s">
        <v>6491</v>
      </c>
      <c r="C138" s="39">
        <f>[2]Export_CO!B138</f>
        <v>61477.34</v>
      </c>
      <c r="D138" s="39">
        <f>[2]Export_CO!C138</f>
        <v>629.96</v>
      </c>
      <c r="E138" s="39">
        <f>[2]Export_CO!D138</f>
        <v>0</v>
      </c>
    </row>
    <row r="139" spans="1:5" x14ac:dyDescent="0.2">
      <c r="A139" s="7" t="s">
        <v>6504</v>
      </c>
      <c r="B139" s="39" t="s">
        <v>6492</v>
      </c>
      <c r="C139" s="39">
        <f>[2]Export_CO!B139</f>
        <v>46199.56</v>
      </c>
      <c r="D139" s="39">
        <f>[2]Export_CO!C139</f>
        <v>3240</v>
      </c>
      <c r="E139" s="39">
        <f>[2]Export_CO!D139</f>
        <v>0</v>
      </c>
    </row>
    <row r="140" spans="1:5" x14ac:dyDescent="0.2">
      <c r="A140" s="7" t="s">
        <v>6505</v>
      </c>
      <c r="B140" s="39" t="s">
        <v>6493</v>
      </c>
      <c r="C140" s="39">
        <f>[2]Export_CO!B140</f>
        <v>0</v>
      </c>
      <c r="D140" s="39">
        <f>[2]Export_CO!C140</f>
        <v>0</v>
      </c>
      <c r="E140" s="39">
        <f>[2]Export_CO!D140</f>
        <v>0</v>
      </c>
    </row>
    <row r="141" spans="1:5" x14ac:dyDescent="0.2">
      <c r="A141" s="7" t="s">
        <v>6506</v>
      </c>
      <c r="B141" s="41" t="s">
        <v>6494</v>
      </c>
      <c r="C141" s="41">
        <f>[2]Export_CO!B141</f>
        <v>0</v>
      </c>
      <c r="D141" s="41">
        <f>[2]Export_CO!C141</f>
        <v>0</v>
      </c>
      <c r="E141" s="41">
        <f>[2]Export_CO!D141</f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2E24F-8D1B-4518-A2BB-8856C1742BDA}">
  <sheetPr codeName="Foglio6">
    <tabColor theme="0" tint="-0.499984740745262"/>
    <outlinePr summaryBelow="0"/>
  </sheetPr>
  <dimension ref="A1:E141"/>
  <sheetViews>
    <sheetView showGridLines="0" zoomScaleNormal="100" workbookViewId="0">
      <pane xSplit="2" ySplit="4" topLeftCell="C5" activePane="bottomRight" state="frozen"/>
      <selection activeCell="B114" sqref="B114"/>
      <selection pane="topRight" activeCell="B114" sqref="B114"/>
      <selection pane="bottomLeft" activeCell="B114" sqref="B114"/>
      <selection pane="bottomRight" activeCell="C21" sqref="C21"/>
    </sheetView>
  </sheetViews>
  <sheetFormatPr defaultColWidth="9.109375" defaultRowHeight="10.199999999999999" x14ac:dyDescent="0.2"/>
  <cols>
    <col min="1" max="1" width="17" style="32" bestFit="1" customWidth="1"/>
    <col min="2" max="2" width="73.44140625" style="32" bestFit="1" customWidth="1"/>
    <col min="3" max="3" width="11.5546875" style="32" bestFit="1" customWidth="1"/>
    <col min="4" max="4" width="10.5546875" style="32" bestFit="1" customWidth="1"/>
    <col min="5" max="5" width="11.6640625" style="32" bestFit="1" customWidth="1"/>
    <col min="6" max="16384" width="9.109375" style="32"/>
  </cols>
  <sheetData>
    <row r="1" spans="1:5" x14ac:dyDescent="0.2">
      <c r="B1" s="563" t="s">
        <v>785</v>
      </c>
    </row>
    <row r="4" spans="1:5" s="384" customFormat="1" ht="20.399999999999999" x14ac:dyDescent="0.2">
      <c r="B4" s="363" t="s">
        <v>27</v>
      </c>
      <c r="C4" s="363" t="str">
        <f>Ambiti!B4</f>
        <v>BUSTO ARSIZIO</v>
      </c>
      <c r="D4" s="363" t="str">
        <f>Ambiti!C4</f>
        <v>FAGNANO OLONA</v>
      </c>
      <c r="E4" s="363" t="str">
        <f>Ambiti!D4</f>
        <v>VENEGONO SUPERIORE</v>
      </c>
    </row>
    <row r="5" spans="1:5" x14ac:dyDescent="0.2">
      <c r="A5" s="35" t="s">
        <v>3268</v>
      </c>
      <c r="B5" s="33" t="s">
        <v>1</v>
      </c>
      <c r="C5" s="34">
        <f>SUM(C6:C11)</f>
        <v>1143781.0300000003</v>
      </c>
      <c r="D5" s="34">
        <f>SUM(D6:D11)</f>
        <v>120120.16740000001</v>
      </c>
      <c r="E5" s="34">
        <f>SUM(E6:E11)</f>
        <v>104613.75</v>
      </c>
    </row>
    <row r="6" spans="1:5" x14ac:dyDescent="0.2">
      <c r="A6" s="35" t="s">
        <v>5113</v>
      </c>
      <c r="B6" s="36" t="s">
        <v>28</v>
      </c>
      <c r="C6" s="37">
        <f>IF(IN_Anagrafica!$B$12="SI",
[3]Export_CO!B6*(1+'Parametri MTR-3'!$I$6),
[3]Export_CO!B6)</f>
        <v>125057.40000000001</v>
      </c>
      <c r="D6" s="37">
        <f>+'Import CO_24'!D6*(1+'Parametri MTR-3'!$I$6)</f>
        <v>1431.4476000000002</v>
      </c>
      <c r="E6" s="37">
        <f>IF(IN_Anagrafica!$B$12="SI",
[3]Export_CO!D6*(1+'Parametri MTR-3'!$I$6),
[3]Export_CO!D6)</f>
        <v>13965.22</v>
      </c>
    </row>
    <row r="7" spans="1:5" x14ac:dyDescent="0.2">
      <c r="A7" s="35" t="s">
        <v>5114</v>
      </c>
      <c r="B7" s="38" t="s">
        <v>29</v>
      </c>
      <c r="C7" s="39">
        <f>IF(IN_Anagrafica!$B$12="SI",
[3]Export_CO!B7*(1+'Parametri MTR-3'!$I$6),
[3]Export_CO!B7)</f>
        <v>270009.28999999998</v>
      </c>
      <c r="D7" s="39">
        <f>+'Import CO_24'!D7*(1+'Parametri MTR-3'!$I$6)</f>
        <v>26093.038199999999</v>
      </c>
      <c r="E7" s="39">
        <f>IF(IN_Anagrafica!$B$12="SI",
[3]Export_CO!D7*(1+'Parametri MTR-3'!$I$6),
[3]Export_CO!D7)</f>
        <v>37164.800000000003</v>
      </c>
    </row>
    <row r="8" spans="1:5" x14ac:dyDescent="0.2">
      <c r="A8" s="35" t="s">
        <v>5115</v>
      </c>
      <c r="B8" s="38" t="s">
        <v>30</v>
      </c>
      <c r="C8" s="39">
        <f>IF(IN_Anagrafica!$B$12="SI",
[3]Export_CO!B8*(1+'Parametri MTR-3'!$I$6),
[3]Export_CO!B8)</f>
        <v>57538.400000000001</v>
      </c>
      <c r="D8" s="39">
        <f>+'Import CO_24'!D8*(1+'Parametri MTR-3'!$I$6)</f>
        <v>4730.9232000000002</v>
      </c>
      <c r="E8" s="39">
        <f>IF(IN_Anagrafica!$B$12="SI",
[3]Export_CO!D8*(1+'Parametri MTR-3'!$I$6),
[3]Export_CO!D8)</f>
        <v>643.57000000000005</v>
      </c>
    </row>
    <row r="9" spans="1:5" x14ac:dyDescent="0.2">
      <c r="A9" s="35" t="s">
        <v>5116</v>
      </c>
      <c r="B9" s="38" t="s">
        <v>31</v>
      </c>
      <c r="C9" s="39">
        <f>IF(IN_Anagrafica!$B$12="SI",
[3]Export_CO!B9*(1+'Parametri MTR-3'!$I$6),
[3]Export_CO!B9)</f>
        <v>681254</v>
      </c>
      <c r="D9" s="39">
        <f>+'Import CO_24'!D9*(1+'Parametri MTR-3'!$I$6)</f>
        <v>88907.443200000009</v>
      </c>
      <c r="E9" s="39">
        <f>IF(IN_Anagrafica!$B$12="SI",
[3]Export_CO!D9*(1+'Parametri MTR-3'!$I$6),
[3]Export_CO!D9)</f>
        <v>51937.85</v>
      </c>
    </row>
    <row r="10" spans="1:5" x14ac:dyDescent="0.2">
      <c r="A10" s="35" t="s">
        <v>5117</v>
      </c>
      <c r="B10" s="38" t="s">
        <v>32</v>
      </c>
      <c r="C10" s="39">
        <f>IF(IN_Anagrafica!$B$12="SI",
[3]Export_CO!B10*(1+'Parametri MTR-3'!$I$6),
[3]Export_CO!B10)</f>
        <v>-62.16</v>
      </c>
      <c r="D10" s="39">
        <f>+'Import CO_24'!D10*(1+'Parametri MTR-3'!$I$6)</f>
        <v>-1042.6848</v>
      </c>
      <c r="E10" s="39">
        <f>IF(IN_Anagrafica!$B$12="SI",
[3]Export_CO!D10*(1+'Parametri MTR-3'!$I$6),
[3]Export_CO!D10)</f>
        <v>0</v>
      </c>
    </row>
    <row r="11" spans="1:5" x14ac:dyDescent="0.2">
      <c r="A11" s="35" t="s">
        <v>5118</v>
      </c>
      <c r="B11" s="40" t="s">
        <v>33</v>
      </c>
      <c r="C11" s="41">
        <f>IF(IN_Anagrafica!$B$12="SI",
[3]Export_CO!B11*(1+'Parametri MTR-3'!$I$6),
[3]Export_CO!B11)</f>
        <v>9984.1</v>
      </c>
      <c r="D11" s="41">
        <f>+'Import CO_24'!D11*(1+'Parametri MTR-3'!$I$6)</f>
        <v>0</v>
      </c>
      <c r="E11" s="41">
        <f>IF(IN_Anagrafica!$B$12="SI",
[3]Export_CO!D11*(1+'Parametri MTR-3'!$I$6),
[3]Export_CO!D11)</f>
        <v>902.31</v>
      </c>
    </row>
    <row r="12" spans="1:5" x14ac:dyDescent="0.2">
      <c r="A12" s="35" t="s">
        <v>3274</v>
      </c>
      <c r="B12" s="42" t="s">
        <v>3</v>
      </c>
      <c r="C12" s="34">
        <f>SUM(C13:C18)</f>
        <v>0</v>
      </c>
      <c r="D12" s="34">
        <f>SUM(D13:D18)</f>
        <v>186.97620000000001</v>
      </c>
      <c r="E12" s="34">
        <f>SUM(E13:E18)</f>
        <v>188532.03</v>
      </c>
    </row>
    <row r="13" spans="1:5" x14ac:dyDescent="0.2">
      <c r="A13" s="35" t="s">
        <v>5119</v>
      </c>
      <c r="B13" s="36" t="s">
        <v>34</v>
      </c>
      <c r="C13" s="37">
        <f>IF(IN_Anagrafica!$B$12="SI",
[3]Export_CO!B13*(1+'Parametri MTR-3'!$I$6),
[3]Export_CO!B13)</f>
        <v>0</v>
      </c>
      <c r="D13" s="37">
        <f>+'Import CO_24'!D13*(1+'Parametri MTR-3'!$I$6)</f>
        <v>0</v>
      </c>
      <c r="E13" s="37">
        <f>IF(IN_Anagrafica!$B$12="SI",
[3]Export_CO!D13*(1+'Parametri MTR-3'!$I$6),
[3]Export_CO!D13)</f>
        <v>0</v>
      </c>
    </row>
    <row r="14" spans="1:5" x14ac:dyDescent="0.2">
      <c r="A14" s="35" t="s">
        <v>5120</v>
      </c>
      <c r="B14" s="998" t="s">
        <v>35</v>
      </c>
      <c r="C14" s="993">
        <f>IN_CTS_CTR_RC!C109</f>
        <v>0</v>
      </c>
      <c r="D14" s="993">
        <f>IN_CTS_CTR_RC!D109</f>
        <v>186.97620000000001</v>
      </c>
      <c r="E14" s="993">
        <f>IN_CTS_CTR_RC!E109</f>
        <v>188532.03</v>
      </c>
    </row>
    <row r="15" spans="1:5" x14ac:dyDescent="0.2">
      <c r="A15" s="35" t="s">
        <v>5121</v>
      </c>
      <c r="B15" s="38" t="s">
        <v>36</v>
      </c>
      <c r="C15" s="39">
        <f>IF(IN_Anagrafica!$B$12="SI",
[3]Export_CO!B15*(1+'Parametri MTR-3'!$I$6),
[3]Export_CO!B15)</f>
        <v>0</v>
      </c>
      <c r="D15" s="39">
        <f>+'Import CO_24'!D15*(1+'Parametri MTR-3'!$I$6)</f>
        <v>0</v>
      </c>
      <c r="E15" s="39">
        <f>IF(IN_Anagrafica!$B$12="SI",
[3]Export_CO!D15*(1+'Parametri MTR-3'!$I$6),
[3]Export_CO!D15)</f>
        <v>0</v>
      </c>
    </row>
    <row r="16" spans="1:5" x14ac:dyDescent="0.2">
      <c r="A16" s="35" t="s">
        <v>5122</v>
      </c>
      <c r="B16" s="38" t="s">
        <v>37</v>
      </c>
      <c r="C16" s="39">
        <f>IF(IN_Anagrafica!$B$12="SI",
[3]Export_CO!B16*(1+'Parametri MTR-3'!$I$6),
[3]Export_CO!B16)</f>
        <v>0</v>
      </c>
      <c r="D16" s="39">
        <f>+'Import CO_24'!D16*(1+'Parametri MTR-3'!$I$6)</f>
        <v>0</v>
      </c>
      <c r="E16" s="39">
        <f>IF(IN_Anagrafica!$B$12="SI",
[3]Export_CO!D16*(1+'Parametri MTR-3'!$I$6),
[3]Export_CO!D16)</f>
        <v>0</v>
      </c>
    </row>
    <row r="17" spans="1:5" x14ac:dyDescent="0.2">
      <c r="A17" s="35" t="s">
        <v>5123</v>
      </c>
      <c r="B17" s="38" t="s">
        <v>38</v>
      </c>
      <c r="C17" s="39">
        <f>IF(IN_Anagrafica!$B$12="SI",
[3]Export_CO!B17*(1+'Parametri MTR-3'!$I$6),
[3]Export_CO!B17)</f>
        <v>0</v>
      </c>
      <c r="D17" s="39">
        <f>+'Import CO_24'!D17*(1+'Parametri MTR-3'!$I$6)</f>
        <v>0</v>
      </c>
      <c r="E17" s="39">
        <f>IF(IN_Anagrafica!$B$12="SI",
[3]Export_CO!D17*(1+'Parametri MTR-3'!$I$6),
[3]Export_CO!D17)</f>
        <v>0</v>
      </c>
    </row>
    <row r="18" spans="1:5" x14ac:dyDescent="0.2">
      <c r="A18" s="35" t="s">
        <v>5124</v>
      </c>
      <c r="B18" s="40" t="s">
        <v>39</v>
      </c>
      <c r="C18" s="41">
        <f>IF(IN_Anagrafica!$B$12="SI",
[3]Export_CO!B18*(1+'Parametri MTR-3'!$I$6),
[3]Export_CO!B18)</f>
        <v>0</v>
      </c>
      <c r="D18" s="41">
        <f>+'Import CO_24'!D18*(1+'Parametri MTR-3'!$I$6)</f>
        <v>0</v>
      </c>
      <c r="E18" s="41">
        <f>IF(IN_Anagrafica!$B$12="SI",
[3]Export_CO!D18*(1+'Parametri MTR-3'!$I$6),
[3]Export_CO!D18)</f>
        <v>0</v>
      </c>
    </row>
    <row r="19" spans="1:5" x14ac:dyDescent="0.2">
      <c r="A19" s="35" t="s">
        <v>3280</v>
      </c>
      <c r="B19" s="42" t="s">
        <v>4</v>
      </c>
      <c r="C19" s="34">
        <f>SUM(C20:C25)</f>
        <v>2652068.9500000002</v>
      </c>
      <c r="D19" s="34">
        <f>SUM(D20:D25)</f>
        <v>557909.30819999997</v>
      </c>
      <c r="E19" s="34">
        <f>SUM(E20:E25)</f>
        <v>0</v>
      </c>
    </row>
    <row r="20" spans="1:5" x14ac:dyDescent="0.2">
      <c r="A20" s="35" t="s">
        <v>5125</v>
      </c>
      <c r="B20" s="36" t="s">
        <v>40</v>
      </c>
      <c r="C20" s="37">
        <f>IF(IN_Anagrafica!$B$12="SI",
[3]Export_CO!B20*(1+'Parametri MTR-3'!$I$6),
[3]Export_CO!B20)</f>
        <v>0</v>
      </c>
      <c r="D20" s="37">
        <f>+'Import CO_24'!D20*(1+'Parametri MTR-3'!$I$6)</f>
        <v>0</v>
      </c>
      <c r="E20" s="37">
        <f>IF(IN_Anagrafica!$B$12="SI",
[3]Export_CO!D20*(1+'Parametri MTR-3'!$I$6),
[3]Export_CO!D20)</f>
        <v>0</v>
      </c>
    </row>
    <row r="21" spans="1:5" x14ac:dyDescent="0.2">
      <c r="A21" s="35" t="s">
        <v>5126</v>
      </c>
      <c r="B21" s="998" t="s">
        <v>41</v>
      </c>
      <c r="C21" s="993">
        <f>IN_CTS_CTR_RC!C93</f>
        <v>2652068.9500000002</v>
      </c>
      <c r="D21" s="993">
        <f>IN_CTS_CTR_RC!D93</f>
        <v>557909.30819999997</v>
      </c>
      <c r="E21" s="993">
        <f>IN_CTS_CTR_RC!E93</f>
        <v>0</v>
      </c>
    </row>
    <row r="22" spans="1:5" x14ac:dyDescent="0.2">
      <c r="A22" s="35" t="s">
        <v>5127</v>
      </c>
      <c r="B22" s="38" t="s">
        <v>42</v>
      </c>
      <c r="C22" s="39">
        <f>IF(IN_Anagrafica!$B$12="SI",
[3]Export_CO!B22*(1+'Parametri MTR-3'!$I$6),
[3]Export_CO!B22)</f>
        <v>0</v>
      </c>
      <c r="D22" s="39">
        <f>+'Import CO_24'!D22*(1+'Parametri MTR-3'!$I$6)</f>
        <v>0</v>
      </c>
      <c r="E22" s="39">
        <f>IF(IN_Anagrafica!$B$12="SI",
[3]Export_CO!D22*(1+'Parametri MTR-3'!$I$6),
[3]Export_CO!D22)</f>
        <v>0</v>
      </c>
    </row>
    <row r="23" spans="1:5" x14ac:dyDescent="0.2">
      <c r="A23" s="35" t="s">
        <v>5128</v>
      </c>
      <c r="B23" s="38" t="s">
        <v>43</v>
      </c>
      <c r="C23" s="39">
        <f>IF(IN_Anagrafica!$B$12="SI",
[3]Export_CO!B23*(1+'Parametri MTR-3'!$I$6),
[3]Export_CO!B23)</f>
        <v>0</v>
      </c>
      <c r="D23" s="39">
        <f>+'Import CO_24'!D23*(1+'Parametri MTR-3'!$I$6)</f>
        <v>0</v>
      </c>
      <c r="E23" s="39">
        <f>IF(IN_Anagrafica!$B$12="SI",
[3]Export_CO!D23*(1+'Parametri MTR-3'!$I$6),
[3]Export_CO!D23)</f>
        <v>0</v>
      </c>
    </row>
    <row r="24" spans="1:5" x14ac:dyDescent="0.2">
      <c r="A24" s="35" t="s">
        <v>5129</v>
      </c>
      <c r="B24" s="38" t="s">
        <v>44</v>
      </c>
      <c r="C24" s="39">
        <f>IF(IN_Anagrafica!$B$12="SI",
[3]Export_CO!B24*(1+'Parametri MTR-3'!$I$6),
[3]Export_CO!B24)</f>
        <v>0</v>
      </c>
      <c r="D24" s="39">
        <f>+'Import CO_24'!D24*(1+'Parametri MTR-3'!$I$6)</f>
        <v>0</v>
      </c>
      <c r="E24" s="39">
        <f>IF(IN_Anagrafica!$B$12="SI",
[3]Export_CO!D24*(1+'Parametri MTR-3'!$I$6),
[3]Export_CO!D24)</f>
        <v>0</v>
      </c>
    </row>
    <row r="25" spans="1:5" x14ac:dyDescent="0.2">
      <c r="A25" s="35" t="s">
        <v>5130</v>
      </c>
      <c r="B25" s="40" t="s">
        <v>45</v>
      </c>
      <c r="C25" s="41">
        <f>IF(IN_Anagrafica!$B$12="SI",
[3]Export_CO!B25*(1+'Parametri MTR-3'!$I$6),
[3]Export_CO!B25)</f>
        <v>0</v>
      </c>
      <c r="D25" s="41">
        <f>+'Import CO_24'!D25*(1+'Parametri MTR-3'!$I$6)</f>
        <v>0</v>
      </c>
      <c r="E25" s="41">
        <f>IF(IN_Anagrafica!$B$12="SI",
[3]Export_CO!D25*(1+'Parametri MTR-3'!$I$6),
[3]Export_CO!D25)</f>
        <v>0</v>
      </c>
    </row>
    <row r="26" spans="1:5" x14ac:dyDescent="0.2">
      <c r="A26" s="35" t="s">
        <v>3286</v>
      </c>
      <c r="B26" s="42" t="s">
        <v>5</v>
      </c>
      <c r="C26" s="34">
        <f>SUM(C27:C32)</f>
        <v>5028132.1399999997</v>
      </c>
      <c r="D26" s="34">
        <f>SUM(D27:D32)</f>
        <v>429779.44800000003</v>
      </c>
      <c r="E26" s="34">
        <f>SUM(E27:E32)</f>
        <v>418725.38000000006</v>
      </c>
    </row>
    <row r="27" spans="1:5" x14ac:dyDescent="0.2">
      <c r="A27" s="35" t="s">
        <v>5131</v>
      </c>
      <c r="B27" s="36" t="s">
        <v>46</v>
      </c>
      <c r="C27" s="37">
        <f>IF(IN_Anagrafica!$B$12="SI",
[3]Export_CO!B27*(1+'Parametri MTR-3'!$I$6),
[3]Export_CO!B27)</f>
        <v>558289.04999999993</v>
      </c>
      <c r="D27" s="37">
        <f>+'Import CO_24'!D27*(1+'Parametri MTR-3'!$I$6)</f>
        <v>4893.5724</v>
      </c>
      <c r="E27" s="37">
        <f>IF(IN_Anagrafica!$B$12="SI",
[3]Export_CO!D27*(1+'Parametri MTR-3'!$I$6),
[3]Export_CO!D27)</f>
        <v>58270.740000000005</v>
      </c>
    </row>
    <row r="28" spans="1:5" x14ac:dyDescent="0.2">
      <c r="A28" s="35" t="s">
        <v>5132</v>
      </c>
      <c r="B28" s="38" t="s">
        <v>47</v>
      </c>
      <c r="C28" s="39">
        <f>IF(IN_Anagrafica!$B$12="SI",
[3]Export_CO!B28*(1+'Parametri MTR-3'!$I$6),
[3]Export_CO!B28)</f>
        <v>1162435.02</v>
      </c>
      <c r="D28" s="39">
        <f>+'Import CO_24'!D28*(1+'Parametri MTR-3'!$I$6)</f>
        <v>92721.804600000003</v>
      </c>
      <c r="E28" s="39">
        <f>IF(IN_Anagrafica!$B$12="SI",
[3]Export_CO!D28*(1+'Parametri MTR-3'!$I$6),
[3]Export_CO!D28)</f>
        <v>147809.79</v>
      </c>
    </row>
    <row r="29" spans="1:5" x14ac:dyDescent="0.2">
      <c r="A29" s="35" t="s">
        <v>5133</v>
      </c>
      <c r="B29" s="38" t="s">
        <v>48</v>
      </c>
      <c r="C29" s="39">
        <f>IF(IN_Anagrafica!$B$12="SI",
[3]Export_CO!B29*(1+'Parametri MTR-3'!$I$6),
[3]Export_CO!B29)</f>
        <v>242789.82</v>
      </c>
      <c r="D29" s="39">
        <f>+'Import CO_24'!D29*(1+'Parametri MTR-3'!$I$6)</f>
        <v>16773.828600000001</v>
      </c>
      <c r="E29" s="39">
        <f>IF(IN_Anagrafica!$B$12="SI",
[3]Export_CO!D29*(1+'Parametri MTR-3'!$I$6),
[3]Export_CO!D29)</f>
        <v>2885.32</v>
      </c>
    </row>
    <row r="30" spans="1:5" x14ac:dyDescent="0.2">
      <c r="A30" s="35" t="s">
        <v>5134</v>
      </c>
      <c r="B30" s="38" t="s">
        <v>49</v>
      </c>
      <c r="C30" s="39">
        <f>IF(IN_Anagrafica!$B$12="SI",
[3]Export_CO!B30*(1+'Parametri MTR-3'!$I$6),
[3]Export_CO!B30)</f>
        <v>3020274.86</v>
      </c>
      <c r="D30" s="39">
        <f>+'Import CO_24'!D30*(1+'Parametri MTR-3'!$I$6)</f>
        <v>318787.38300000003</v>
      </c>
      <c r="E30" s="39">
        <f>IF(IN_Anagrafica!$B$12="SI",
[3]Export_CO!D30*(1+'Parametri MTR-3'!$I$6),
[3]Export_CO!D30)</f>
        <v>205957.72</v>
      </c>
    </row>
    <row r="31" spans="1:5" x14ac:dyDescent="0.2">
      <c r="A31" s="35" t="s">
        <v>5135</v>
      </c>
      <c r="B31" s="38" t="s">
        <v>50</v>
      </c>
      <c r="C31" s="39">
        <f>IF(IN_Anagrafica!$B$12="SI",
[3]Export_CO!B31*(1+'Parametri MTR-3'!$I$6),
[3]Export_CO!B31)</f>
        <v>-270.62</v>
      </c>
      <c r="D31" s="39">
        <f>+'Import CO_24'!D31*(1+'Parametri MTR-3'!$I$6)</f>
        <v>-3397.1406000000002</v>
      </c>
      <c r="E31" s="39">
        <f>IF(IN_Anagrafica!$B$12="SI",
[3]Export_CO!D31*(1+'Parametri MTR-3'!$I$6),
[3]Export_CO!D31)</f>
        <v>0</v>
      </c>
    </row>
    <row r="32" spans="1:5" x14ac:dyDescent="0.2">
      <c r="A32" s="35" t="s">
        <v>5136</v>
      </c>
      <c r="B32" s="40" t="s">
        <v>51</v>
      </c>
      <c r="C32" s="41">
        <f>IF(IN_Anagrafica!$B$12="SI",
[3]Export_CO!B32*(1+'Parametri MTR-3'!$I$6),
[3]Export_CO!B32)</f>
        <v>44614.009999999995</v>
      </c>
      <c r="D32" s="41">
        <f>+'Import CO_24'!D32*(1+'Parametri MTR-3'!$I$6)</f>
        <v>0</v>
      </c>
      <c r="E32" s="41">
        <f>IF(IN_Anagrafica!$B$12="SI",
[3]Export_CO!D32*(1+'Parametri MTR-3'!$I$6),
[3]Export_CO!D32)</f>
        <v>3801.81</v>
      </c>
    </row>
    <row r="33" spans="1:5" x14ac:dyDescent="0.2">
      <c r="A33" s="7" t="s">
        <v>5137</v>
      </c>
      <c r="B33" s="42" t="s">
        <v>6</v>
      </c>
      <c r="C33" s="34">
        <f>SUM(C34:C35)</f>
        <v>761854.14</v>
      </c>
      <c r="D33" s="34">
        <f>SUM(D34:D35)</f>
        <v>62238.798600000002</v>
      </c>
      <c r="E33" s="34">
        <f>SUM(E34:E35)</f>
        <v>47492.01</v>
      </c>
    </row>
    <row r="34" spans="1:5" x14ac:dyDescent="0.2">
      <c r="A34" s="7" t="s">
        <v>5138</v>
      </c>
      <c r="B34" s="36" t="s">
        <v>254</v>
      </c>
      <c r="C34" s="37">
        <f>IF(IN_Anagrafica!$B$12="SI",
[3]Export_CO!B34*(1+'Parametri MTR-3'!$I$6),
[3]Export_CO!B34)</f>
        <v>735237.04</v>
      </c>
      <c r="D34" s="37">
        <f>+'Import CO_24'!D34*(1+'Parametri MTR-3'!$I$6)</f>
        <v>58933.998599999999</v>
      </c>
      <c r="E34" s="37">
        <f>IF(IN_Anagrafica!$B$12="SI",
[3]Export_CO!D34*(1+'Parametri MTR-3'!$I$6),
[3]Export_CO!D34)</f>
        <v>47492.01</v>
      </c>
    </row>
    <row r="35" spans="1:5" x14ac:dyDescent="0.2">
      <c r="A35" s="7" t="s">
        <v>5139</v>
      </c>
      <c r="B35" s="40" t="s">
        <v>255</v>
      </c>
      <c r="C35" s="41">
        <f>IF(IN_Anagrafica!$B$12="SI",
[3]Export_CO!B35*(1+'Parametri MTR-3'!$I$6),
[3]Export_CO!B35)</f>
        <v>26617.1</v>
      </c>
      <c r="D35" s="41">
        <f>+'Import CO_24'!D35*(1+'Parametri MTR-3'!$I$6)</f>
        <v>3304.8</v>
      </c>
      <c r="E35" s="41">
        <f>IF(IN_Anagrafica!$B$12="SI",
[3]Export_CO!D35*(1+'Parametri MTR-3'!$I$6),
[3]Export_CO!D35)</f>
        <v>0</v>
      </c>
    </row>
    <row r="36" spans="1:5" x14ac:dyDescent="0.2">
      <c r="A36" s="7" t="s">
        <v>5140</v>
      </c>
      <c r="B36" s="42" t="s">
        <v>52</v>
      </c>
      <c r="C36" s="34">
        <f>SUM(C37:C38)</f>
        <v>671335.83</v>
      </c>
      <c r="D36" s="34">
        <f>SUM(D37:D38)</f>
        <v>80918.731799999994</v>
      </c>
      <c r="E36" s="34">
        <f>SUM(E37:E38)</f>
        <v>40885.03</v>
      </c>
    </row>
    <row r="37" spans="1:5" x14ac:dyDescent="0.2">
      <c r="A37" s="7" t="s">
        <v>5141</v>
      </c>
      <c r="B37" s="36" t="s">
        <v>256</v>
      </c>
      <c r="C37" s="37">
        <f>IF(IN_Anagrafica!$B$12="SI",
[3]Export_CO!B37*(1+'Parametri MTR-3'!$I$6),
[3]Export_CO!B37)</f>
        <v>671335.83</v>
      </c>
      <c r="D37" s="37">
        <f>+'Import CO_24'!D37*(1+'Parametri MTR-3'!$I$6)</f>
        <v>80918.731799999994</v>
      </c>
      <c r="E37" s="37">
        <f>IF(IN_Anagrafica!$B$12="SI",
[3]Export_CO!D37*(1+'Parametri MTR-3'!$I$6),
[3]Export_CO!D37)</f>
        <v>40885.03</v>
      </c>
    </row>
    <row r="38" spans="1:5" x14ac:dyDescent="0.2">
      <c r="A38" s="7" t="s">
        <v>5142</v>
      </c>
      <c r="B38" s="40" t="s">
        <v>257</v>
      </c>
      <c r="C38" s="41">
        <f>IF(IN_Anagrafica!$B$12="SI",
[3]Export_CO!B38*(1+'Parametri MTR-3'!$I$6),
[3]Export_CO!B38)</f>
        <v>0</v>
      </c>
      <c r="D38" s="41">
        <f>+'Import CO_24'!D38*(1+'Parametri MTR-3'!$I$6)</f>
        <v>0</v>
      </c>
      <c r="E38" s="41">
        <f>IF(IN_Anagrafica!$B$12="SI",
[3]Export_CO!D38*(1+'Parametri MTR-3'!$I$6),
[3]Export_CO!D38)</f>
        <v>0</v>
      </c>
    </row>
    <row r="39" spans="1:5" x14ac:dyDescent="0.2">
      <c r="A39" s="35" t="s">
        <v>3311</v>
      </c>
      <c r="B39" s="42" t="s">
        <v>11</v>
      </c>
      <c r="C39" s="34">
        <f>SUM(C40:C45)</f>
        <v>2352757.6199999996</v>
      </c>
      <c r="D39" s="34">
        <f>SUM(D40:D45)</f>
        <v>0</v>
      </c>
      <c r="E39" s="34">
        <f>SUM(E40:E45)</f>
        <v>52166.45</v>
      </c>
    </row>
    <row r="40" spans="1:5" x14ac:dyDescent="0.2">
      <c r="A40" s="35" t="s">
        <v>5143</v>
      </c>
      <c r="B40" s="36" t="s">
        <v>53</v>
      </c>
      <c r="C40" s="37">
        <f>IF(IN_Anagrafica!$B$12="SI",
[3]Export_CO!B40*(1+'Parametri MTR-3'!$I$6),
[3]Export_CO!B40)</f>
        <v>173307</v>
      </c>
      <c r="D40" s="37">
        <f>+'Import CO_24'!D40*(1+'Parametri MTR-3'!$I$6)</f>
        <v>0</v>
      </c>
      <c r="E40" s="37">
        <f>IF(IN_Anagrafica!$B$12="SI",
[3]Export_CO!D40*(1+'Parametri MTR-3'!$I$6),
[3]Export_CO!D40)</f>
        <v>0</v>
      </c>
    </row>
    <row r="41" spans="1:5" x14ac:dyDescent="0.2">
      <c r="A41" s="35" t="s">
        <v>5144</v>
      </c>
      <c r="B41" s="38" t="s">
        <v>54</v>
      </c>
      <c r="C41" s="39">
        <f>IF(IN_Anagrafica!$B$12="SI",
[3]Export_CO!B41*(1+'Parametri MTR-3'!$I$6),
[3]Export_CO!B41)</f>
        <v>286705.51</v>
      </c>
      <c r="D41" s="39">
        <f>+'Import CO_24'!D41*(1+'Parametri MTR-3'!$I$6)</f>
        <v>0</v>
      </c>
      <c r="E41" s="39">
        <f>IF(IN_Anagrafica!$B$12="SI",
[3]Export_CO!D41*(1+'Parametri MTR-3'!$I$6),
[3]Export_CO!D41)</f>
        <v>52166.45</v>
      </c>
    </row>
    <row r="42" spans="1:5" x14ac:dyDescent="0.2">
      <c r="A42" s="35" t="s">
        <v>5145</v>
      </c>
      <c r="B42" s="38" t="s">
        <v>55</v>
      </c>
      <c r="C42" s="39">
        <f>IF(IN_Anagrafica!$B$12="SI",
[3]Export_CO!B42*(1+'Parametri MTR-3'!$I$6),
[3]Export_CO!B42)</f>
        <v>176510.35</v>
      </c>
      <c r="D42" s="39">
        <f>+'Import CO_24'!D42*(1+'Parametri MTR-3'!$I$6)</f>
        <v>0</v>
      </c>
      <c r="E42" s="39">
        <f>IF(IN_Anagrafica!$B$12="SI",
[3]Export_CO!D42*(1+'Parametri MTR-3'!$I$6),
[3]Export_CO!D42)</f>
        <v>0</v>
      </c>
    </row>
    <row r="43" spans="1:5" x14ac:dyDescent="0.2">
      <c r="A43" s="35" t="s">
        <v>5146</v>
      </c>
      <c r="B43" s="38" t="s">
        <v>56</v>
      </c>
      <c r="C43" s="39">
        <f>IF(IN_Anagrafica!$B$12="SI",
[3]Export_CO!B43*(1+'Parametri MTR-3'!$I$6),
[3]Export_CO!B43)</f>
        <v>1716357.73</v>
      </c>
      <c r="D43" s="39">
        <f>+'Import CO_24'!D43*(1+'Parametri MTR-3'!$I$6)</f>
        <v>0</v>
      </c>
      <c r="E43" s="39">
        <f>IF(IN_Anagrafica!$B$12="SI",
[3]Export_CO!D43*(1+'Parametri MTR-3'!$I$6),
[3]Export_CO!D43)</f>
        <v>0</v>
      </c>
    </row>
    <row r="44" spans="1:5" x14ac:dyDescent="0.2">
      <c r="A44" s="35" t="s">
        <v>5147</v>
      </c>
      <c r="B44" s="38" t="s">
        <v>57</v>
      </c>
      <c r="C44" s="39">
        <f>IF(IN_Anagrafica!$B$12="SI",
[3]Export_CO!B44*(1+'Parametri MTR-3'!$I$6),
[3]Export_CO!B44)</f>
        <v>0</v>
      </c>
      <c r="D44" s="39">
        <f>+'Import CO_24'!D44*(1+'Parametri MTR-3'!$I$6)</f>
        <v>0</v>
      </c>
      <c r="E44" s="39">
        <f>IF(IN_Anagrafica!$B$12="SI",
[3]Export_CO!D44*(1+'Parametri MTR-3'!$I$6),
[3]Export_CO!D44)</f>
        <v>0</v>
      </c>
    </row>
    <row r="45" spans="1:5" x14ac:dyDescent="0.2">
      <c r="A45" s="35" t="s">
        <v>5148</v>
      </c>
      <c r="B45" s="40" t="s">
        <v>58</v>
      </c>
      <c r="C45" s="41">
        <f>IF(IN_Anagrafica!$B$12="SI",
[3]Export_CO!B45*(1+'Parametri MTR-3'!$I$6),
[3]Export_CO!B45)</f>
        <v>-122.97000000000025</v>
      </c>
      <c r="D45" s="41">
        <f>+'Import CO_24'!D45*(1+'Parametri MTR-3'!$I$6)</f>
        <v>0</v>
      </c>
      <c r="E45" s="41">
        <f>IF(IN_Anagrafica!$B$12="SI",
[3]Export_CO!D45*(1+'Parametri MTR-3'!$I$6),
[3]Export_CO!D45)</f>
        <v>0</v>
      </c>
    </row>
    <row r="46" spans="1:5" x14ac:dyDescent="0.2">
      <c r="A46" s="35" t="s">
        <v>3317</v>
      </c>
      <c r="B46" s="42" t="s">
        <v>13</v>
      </c>
      <c r="C46" s="34">
        <f>+SUM(C47:C52)</f>
        <v>646779.08000000007</v>
      </c>
      <c r="D46" s="34">
        <f>+SUM(D47:D52)</f>
        <v>0</v>
      </c>
      <c r="E46" s="34">
        <f>+SUM(E47:E52)</f>
        <v>0</v>
      </c>
    </row>
    <row r="47" spans="1:5" x14ac:dyDescent="0.2">
      <c r="A47" s="35" t="s">
        <v>5149</v>
      </c>
      <c r="B47" s="36" t="s">
        <v>59</v>
      </c>
      <c r="C47" s="37">
        <f>IF(IN_Anagrafica!$B$12="SI",
[3]Export_CO!B47*(1+'Parametri MTR-3'!$I$6),
[3]Export_CO!B47)</f>
        <v>77.209999999999994</v>
      </c>
      <c r="D47" s="37">
        <f>+'Import CO_24'!D47*(1+'Parametri MTR-3'!$I$6)</f>
        <v>0</v>
      </c>
      <c r="E47" s="37">
        <f>IF(IN_Anagrafica!$B$12="SI",
[3]Export_CO!D47*(1+'Parametri MTR-3'!$I$6),
[3]Export_CO!D47)</f>
        <v>0</v>
      </c>
    </row>
    <row r="48" spans="1:5" x14ac:dyDescent="0.2">
      <c r="A48" s="35" t="s">
        <v>5150</v>
      </c>
      <c r="B48" s="38" t="s">
        <v>60</v>
      </c>
      <c r="C48" s="39">
        <f>IF(IN_Anagrafica!$B$12="SI",
[3]Export_CO!B48*(1+'Parametri MTR-3'!$I$6),
[3]Export_CO!B48)</f>
        <v>264631.40999999997</v>
      </c>
      <c r="D48" s="39">
        <f>+'Import CO_24'!D48*(1+'Parametri MTR-3'!$I$6)</f>
        <v>0</v>
      </c>
      <c r="E48" s="39">
        <f>IF(IN_Anagrafica!$B$12="SI",
[3]Export_CO!D48*(1+'Parametri MTR-3'!$I$6),
[3]Export_CO!D48)</f>
        <v>0</v>
      </c>
    </row>
    <row r="49" spans="1:5" x14ac:dyDescent="0.2">
      <c r="A49" s="35" t="s">
        <v>5151</v>
      </c>
      <c r="B49" s="38" t="s">
        <v>61</v>
      </c>
      <c r="C49" s="39">
        <f>IF(IN_Anagrafica!$B$12="SI",
[3]Export_CO!B49*(1+'Parametri MTR-3'!$I$6),
[3]Export_CO!B49)</f>
        <v>26109.25</v>
      </c>
      <c r="D49" s="39">
        <f>+'Import CO_24'!D49*(1+'Parametri MTR-3'!$I$6)</f>
        <v>0</v>
      </c>
      <c r="E49" s="39">
        <f>IF(IN_Anagrafica!$B$12="SI",
[3]Export_CO!D49*(1+'Parametri MTR-3'!$I$6),
[3]Export_CO!D49)</f>
        <v>0</v>
      </c>
    </row>
    <row r="50" spans="1:5" x14ac:dyDescent="0.2">
      <c r="A50" s="35" t="s">
        <v>5152</v>
      </c>
      <c r="B50" s="38" t="s">
        <v>62</v>
      </c>
      <c r="C50" s="39">
        <f>IF(IN_Anagrafica!$B$12="SI",
[3]Export_CO!B50*(1+'Parametri MTR-3'!$I$6),
[3]Export_CO!B50)</f>
        <v>355961.21</v>
      </c>
      <c r="D50" s="39">
        <f>+'Import CO_24'!D50*(1+'Parametri MTR-3'!$I$6)</f>
        <v>0</v>
      </c>
      <c r="E50" s="39">
        <f>IF(IN_Anagrafica!$B$12="SI",
[3]Export_CO!D50*(1+'Parametri MTR-3'!$I$6),
[3]Export_CO!D50)</f>
        <v>0</v>
      </c>
    </row>
    <row r="51" spans="1:5" x14ac:dyDescent="0.2">
      <c r="A51" s="35" t="s">
        <v>5153</v>
      </c>
      <c r="B51" s="38" t="s">
        <v>63</v>
      </c>
      <c r="C51" s="39">
        <f>IF(IN_Anagrafica!$B$12="SI",
[3]Export_CO!B51*(1+'Parametri MTR-3'!$I$6),
[3]Export_CO!B51)</f>
        <v>0</v>
      </c>
      <c r="D51" s="39">
        <f>+'Import CO_24'!D51*(1+'Parametri MTR-3'!$I$6)</f>
        <v>0</v>
      </c>
      <c r="E51" s="39">
        <f>IF(IN_Anagrafica!$B$12="SI",
[3]Export_CO!D51*(1+'Parametri MTR-3'!$I$6),
[3]Export_CO!D51)</f>
        <v>0</v>
      </c>
    </row>
    <row r="52" spans="1:5" x14ac:dyDescent="0.2">
      <c r="A52" s="35" t="s">
        <v>5154</v>
      </c>
      <c r="B52" s="40" t="s">
        <v>64</v>
      </c>
      <c r="C52" s="41">
        <f>IF(IN_Anagrafica!$B$12="SI",
[3]Export_CO!B52*(1+'Parametri MTR-3'!$I$6),
[3]Export_CO!B52)</f>
        <v>0</v>
      </c>
      <c r="D52" s="41">
        <f>+'Import CO_24'!D52*(1+'Parametri MTR-3'!$I$6)</f>
        <v>0</v>
      </c>
      <c r="E52" s="41">
        <f>IF(IN_Anagrafica!$B$12="SI",
[3]Export_CO!D52*(1+'Parametri MTR-3'!$I$6),
[3]Export_CO!D52)</f>
        <v>0</v>
      </c>
    </row>
    <row r="53" spans="1:5" x14ac:dyDescent="0.2">
      <c r="A53" s="35" t="s">
        <v>3323</v>
      </c>
      <c r="B53" s="42" t="s">
        <v>14</v>
      </c>
      <c r="C53" s="34">
        <f>SUM(C54:C59)</f>
        <v>1729957.8599999999</v>
      </c>
      <c r="D53" s="34">
        <f>SUM(D54:D59)</f>
        <v>52031.883000000002</v>
      </c>
      <c r="E53" s="34">
        <f>SUM(E54:E59)</f>
        <v>48000</v>
      </c>
    </row>
    <row r="54" spans="1:5" x14ac:dyDescent="0.2">
      <c r="A54" s="35" t="s">
        <v>5155</v>
      </c>
      <c r="B54" s="36" t="s">
        <v>65</v>
      </c>
      <c r="C54" s="37">
        <f>IF(IN_Anagrafica!$B$12="SI",
[3]Export_CO!B54*(1+'Parametri MTR-3'!$I$6),
[3]Export_CO!B54)</f>
        <v>0</v>
      </c>
      <c r="D54" s="37">
        <f>+'Import CO_24'!D54*(1+'Parametri MTR-3'!$I$6)</f>
        <v>0</v>
      </c>
      <c r="E54" s="37">
        <f>IF(IN_Anagrafica!$B$12="SI",
[3]Export_CO!D54*(1+'Parametri MTR-3'!$I$6),
[3]Export_CO!D54)</f>
        <v>0</v>
      </c>
    </row>
    <row r="55" spans="1:5" x14ac:dyDescent="0.2">
      <c r="A55" s="35" t="s">
        <v>5156</v>
      </c>
      <c r="B55" s="38" t="s">
        <v>66</v>
      </c>
      <c r="C55" s="39">
        <f>IF(IN_Anagrafica!$B$12="SI",
[3]Export_CO!B55*(1+'Parametri MTR-3'!$I$6),
[3]Export_CO!B55)</f>
        <v>1745407.8599999999</v>
      </c>
      <c r="D55" s="39">
        <f>+'Import CO_24'!D55*(1+'Parametri MTR-3'!$I$6)</f>
        <v>52551.042600000001</v>
      </c>
      <c r="E55" s="39">
        <f>IF(IN_Anagrafica!$B$12="SI",
[3]Export_CO!D55*(1+'Parametri MTR-3'!$I$6),
[3]Export_CO!D55)</f>
        <v>48000</v>
      </c>
    </row>
    <row r="56" spans="1:5" x14ac:dyDescent="0.2">
      <c r="A56" s="35" t="s">
        <v>5157</v>
      </c>
      <c r="B56" s="38" t="s">
        <v>67</v>
      </c>
      <c r="C56" s="39">
        <f>IF(IN_Anagrafica!$B$12="SI",
[3]Export_CO!B56*(1+'Parametri MTR-3'!$I$6),
[3]Export_CO!B56)</f>
        <v>0</v>
      </c>
      <c r="D56" s="39">
        <f>+'Import CO_24'!D56*(1+'Parametri MTR-3'!$I$6)</f>
        <v>0</v>
      </c>
      <c r="E56" s="39">
        <f>IF(IN_Anagrafica!$B$12="SI",
[3]Export_CO!D56*(1+'Parametri MTR-3'!$I$6),
[3]Export_CO!D56)</f>
        <v>0</v>
      </c>
    </row>
    <row r="57" spans="1:5" x14ac:dyDescent="0.2">
      <c r="A57" s="35" t="s">
        <v>5158</v>
      </c>
      <c r="B57" s="38" t="s">
        <v>68</v>
      </c>
      <c r="C57" s="39">
        <f>IF(IN_Anagrafica!$B$12="SI",
[3]Export_CO!B57*(1+'Parametri MTR-3'!$I$6),
[3]Export_CO!B57)</f>
        <v>0</v>
      </c>
      <c r="D57" s="39">
        <f>+'Import CO_24'!D57*(1+'Parametri MTR-3'!$I$6)</f>
        <v>0</v>
      </c>
      <c r="E57" s="39">
        <f>IF(IN_Anagrafica!$B$12="SI",
[3]Export_CO!D57*(1+'Parametri MTR-3'!$I$6),
[3]Export_CO!D57)</f>
        <v>0</v>
      </c>
    </row>
    <row r="58" spans="1:5" x14ac:dyDescent="0.2">
      <c r="A58" s="35" t="s">
        <v>5159</v>
      </c>
      <c r="B58" s="38" t="s">
        <v>69</v>
      </c>
      <c r="C58" s="39">
        <f>IF(IN_Anagrafica!$B$12="SI",
[3]Export_CO!B58*(1+'Parametri MTR-3'!$I$6),
[3]Export_CO!B58)</f>
        <v>0</v>
      </c>
      <c r="D58" s="39">
        <f>+'Import CO_24'!D58*(1+'Parametri MTR-3'!$I$6)</f>
        <v>0</v>
      </c>
      <c r="E58" s="39">
        <f>IF(IN_Anagrafica!$B$12="SI",
[3]Export_CO!D58*(1+'Parametri MTR-3'!$I$6),
[3]Export_CO!D58)</f>
        <v>0</v>
      </c>
    </row>
    <row r="59" spans="1:5" x14ac:dyDescent="0.2">
      <c r="A59" s="35" t="s">
        <v>5160</v>
      </c>
      <c r="B59" s="40" t="s">
        <v>70</v>
      </c>
      <c r="C59" s="41">
        <f>IF(IN_Anagrafica!$B$12="SI",
[3]Export_CO!B59*(1+'Parametri MTR-3'!$I$6),
[3]Export_CO!B59)</f>
        <v>-15450</v>
      </c>
      <c r="D59" s="41">
        <f>+'Import CO_24'!D59*(1+'Parametri MTR-3'!$I$6)</f>
        <v>-519.15960000000007</v>
      </c>
      <c r="E59" s="41">
        <f>IF(IN_Anagrafica!$B$12="SI",
[3]Export_CO!D59*(1+'Parametri MTR-3'!$I$6),
[3]Export_CO!D59)</f>
        <v>0</v>
      </c>
    </row>
    <row r="60" spans="1:5" x14ac:dyDescent="0.2">
      <c r="A60" s="35" t="s">
        <v>3329</v>
      </c>
      <c r="B60" s="42" t="s">
        <v>15</v>
      </c>
      <c r="C60" s="34">
        <f>SUM(C61:C66)</f>
        <v>0</v>
      </c>
      <c r="D60" s="34">
        <f>SUM(D61:D66)</f>
        <v>0</v>
      </c>
      <c r="E60" s="34">
        <f>SUM(E61:E66)</f>
        <v>0</v>
      </c>
    </row>
    <row r="61" spans="1:5" x14ac:dyDescent="0.2">
      <c r="A61" s="35" t="s">
        <v>5161</v>
      </c>
      <c r="B61" s="36" t="s">
        <v>71</v>
      </c>
      <c r="C61" s="37">
        <f>IF(IN_Anagrafica!$B$12="SI",
[3]Export_CO!B61*(1+'Parametri MTR-3'!$I$6),
[3]Export_CO!B61)</f>
        <v>0</v>
      </c>
      <c r="D61" s="37">
        <f>+'Import CO_24'!D61*(1+'Parametri MTR-3'!$I$6)</f>
        <v>0</v>
      </c>
      <c r="E61" s="37">
        <f>IF(IN_Anagrafica!$B$12="SI",
[3]Export_CO!D61*(1+'Parametri MTR-3'!$I$6),
[3]Export_CO!D61)</f>
        <v>0</v>
      </c>
    </row>
    <row r="62" spans="1:5" x14ac:dyDescent="0.2">
      <c r="A62" s="35" t="s">
        <v>5162</v>
      </c>
      <c r="B62" s="38" t="s">
        <v>72</v>
      </c>
      <c r="C62" s="39">
        <f>IF(IN_Anagrafica!$B$12="SI",
[3]Export_CO!B62*(1+'Parametri MTR-3'!$I$6),
[3]Export_CO!B62)</f>
        <v>0</v>
      </c>
      <c r="D62" s="39">
        <f>+'Import CO_24'!D62*(1+'Parametri MTR-3'!$I$6)</f>
        <v>0</v>
      </c>
      <c r="E62" s="39">
        <f>IF(IN_Anagrafica!$B$12="SI",
[3]Export_CO!D62*(1+'Parametri MTR-3'!$I$6),
[3]Export_CO!D62)</f>
        <v>0</v>
      </c>
    </row>
    <row r="63" spans="1:5" x14ac:dyDescent="0.2">
      <c r="A63" s="35" t="s">
        <v>5163</v>
      </c>
      <c r="B63" s="38" t="s">
        <v>73</v>
      </c>
      <c r="C63" s="39">
        <f>IF(IN_Anagrafica!$B$12="SI",
[3]Export_CO!B63*(1+'Parametri MTR-3'!$I$6),
[3]Export_CO!B63)</f>
        <v>0</v>
      </c>
      <c r="D63" s="39">
        <f>+'Import CO_24'!D63*(1+'Parametri MTR-3'!$I$6)</f>
        <v>0</v>
      </c>
      <c r="E63" s="39">
        <f>IF(IN_Anagrafica!$B$12="SI",
[3]Export_CO!D63*(1+'Parametri MTR-3'!$I$6),
[3]Export_CO!D63)</f>
        <v>0</v>
      </c>
    </row>
    <row r="64" spans="1:5" x14ac:dyDescent="0.2">
      <c r="A64" s="35" t="s">
        <v>5164</v>
      </c>
      <c r="B64" s="38" t="s">
        <v>74</v>
      </c>
      <c r="C64" s="39">
        <f>IF(IN_Anagrafica!$B$12="SI",
[3]Export_CO!B64*(1+'Parametri MTR-3'!$I$6),
[3]Export_CO!B64)</f>
        <v>0</v>
      </c>
      <c r="D64" s="39">
        <f>+'Import CO_24'!D64*(1+'Parametri MTR-3'!$I$6)</f>
        <v>0</v>
      </c>
      <c r="E64" s="39">
        <f>IF(IN_Anagrafica!$B$12="SI",
[3]Export_CO!D64*(1+'Parametri MTR-3'!$I$6),
[3]Export_CO!D64)</f>
        <v>0</v>
      </c>
    </row>
    <row r="65" spans="1:5" x14ac:dyDescent="0.2">
      <c r="A65" s="35" t="s">
        <v>5165</v>
      </c>
      <c r="B65" s="38" t="s">
        <v>75</v>
      </c>
      <c r="C65" s="39">
        <f>IF(IN_Anagrafica!$B$12="SI",
[3]Export_CO!B65*(1+'Parametri MTR-3'!$I$6),
[3]Export_CO!B65)</f>
        <v>0</v>
      </c>
      <c r="D65" s="39">
        <f>+'Import CO_24'!D65*(1+'Parametri MTR-3'!$I$6)</f>
        <v>0</v>
      </c>
      <c r="E65" s="39">
        <f>IF(IN_Anagrafica!$B$12="SI",
[3]Export_CO!D65*(1+'Parametri MTR-3'!$I$6),
[3]Export_CO!D65)</f>
        <v>0</v>
      </c>
    </row>
    <row r="66" spans="1:5" x14ac:dyDescent="0.2">
      <c r="A66" s="35" t="s">
        <v>5166</v>
      </c>
      <c r="B66" s="40" t="s">
        <v>76</v>
      </c>
      <c r="C66" s="41">
        <f>IF(IN_Anagrafica!$B$12="SI",
[3]Export_CO!B66*(1+'Parametri MTR-3'!$I$6),
[3]Export_CO!B66)</f>
        <v>0</v>
      </c>
      <c r="D66" s="41">
        <f>+'Import CO_24'!D66*(1+'Parametri MTR-3'!$I$6)</f>
        <v>0</v>
      </c>
      <c r="E66" s="41">
        <f>IF(IN_Anagrafica!$B$12="SI",
[3]Export_CO!D66*(1+'Parametri MTR-3'!$I$6),
[3]Export_CO!D66)</f>
        <v>0</v>
      </c>
    </row>
    <row r="67" spans="1:5" ht="11.4" x14ac:dyDescent="0.2">
      <c r="A67" s="35" t="s">
        <v>3335</v>
      </c>
      <c r="B67" s="42" t="s">
        <v>16</v>
      </c>
      <c r="C67" s="34">
        <f>SUM(C68:C73)</f>
        <v>0</v>
      </c>
      <c r="D67" s="34">
        <f>SUM(D68:D73)</f>
        <v>0</v>
      </c>
      <c r="E67" s="34">
        <f>SUM(E68:E73)</f>
        <v>0</v>
      </c>
    </row>
    <row r="68" spans="1:5" x14ac:dyDescent="0.2">
      <c r="A68" s="35" t="s">
        <v>5167</v>
      </c>
      <c r="B68" s="36" t="s">
        <v>77</v>
      </c>
      <c r="C68" s="37">
        <f>IF(IN_Anagrafica!$B$12="SI",
[3]Export_CO!B68*(1+'Parametri MTR-3'!$I$6),
[3]Export_CO!B68)</f>
        <v>0</v>
      </c>
      <c r="D68" s="37">
        <f>+'Import CO_24'!D68*(1+'Parametri MTR-3'!$I$6)</f>
        <v>0</v>
      </c>
      <c r="E68" s="37">
        <f>IF(IN_Anagrafica!$B$12="SI",
[3]Export_CO!D68*(1+'Parametri MTR-3'!$I$6),
[3]Export_CO!D68)</f>
        <v>0</v>
      </c>
    </row>
    <row r="69" spans="1:5" x14ac:dyDescent="0.2">
      <c r="A69" s="35" t="s">
        <v>5168</v>
      </c>
      <c r="B69" s="38" t="s">
        <v>78</v>
      </c>
      <c r="C69" s="39">
        <f>IF(IN_Anagrafica!$B$12="SI",
[3]Export_CO!B69*(1+'Parametri MTR-3'!$I$6),
[3]Export_CO!B69)</f>
        <v>0</v>
      </c>
      <c r="D69" s="39">
        <f>+'Import CO_24'!D69*(1+'Parametri MTR-3'!$I$6)</f>
        <v>0</v>
      </c>
      <c r="E69" s="39">
        <f>IF(IN_Anagrafica!$B$12="SI",
[3]Export_CO!D69*(1+'Parametri MTR-3'!$I$6),
[3]Export_CO!D69)</f>
        <v>0</v>
      </c>
    </row>
    <row r="70" spans="1:5" x14ac:dyDescent="0.2">
      <c r="A70" s="35" t="s">
        <v>5169</v>
      </c>
      <c r="B70" s="38" t="s">
        <v>79</v>
      </c>
      <c r="C70" s="39">
        <f>IF(IN_Anagrafica!$B$12="SI",
[3]Export_CO!B70*(1+'Parametri MTR-3'!$I$6),
[3]Export_CO!B70)</f>
        <v>0</v>
      </c>
      <c r="D70" s="39">
        <f>+'Import CO_24'!D70*(1+'Parametri MTR-3'!$I$6)</f>
        <v>0</v>
      </c>
      <c r="E70" s="39">
        <f>IF(IN_Anagrafica!$B$12="SI",
[3]Export_CO!D70*(1+'Parametri MTR-3'!$I$6),
[3]Export_CO!D70)</f>
        <v>0</v>
      </c>
    </row>
    <row r="71" spans="1:5" x14ac:dyDescent="0.2">
      <c r="A71" s="35" t="s">
        <v>5170</v>
      </c>
      <c r="B71" s="38" t="s">
        <v>80</v>
      </c>
      <c r="C71" s="39">
        <f>IF(IN_Anagrafica!$B$12="SI",
[3]Export_CO!B71*(1+'Parametri MTR-3'!$I$6),
[3]Export_CO!B71)</f>
        <v>0</v>
      </c>
      <c r="D71" s="39">
        <f>+'Import CO_24'!D71*(1+'Parametri MTR-3'!$I$6)</f>
        <v>0</v>
      </c>
      <c r="E71" s="39">
        <f>IF(IN_Anagrafica!$B$12="SI",
[3]Export_CO!D71*(1+'Parametri MTR-3'!$I$6),
[3]Export_CO!D71)</f>
        <v>0</v>
      </c>
    </row>
    <row r="72" spans="1:5" x14ac:dyDescent="0.2">
      <c r="A72" s="35" t="s">
        <v>5171</v>
      </c>
      <c r="B72" s="38" t="s">
        <v>81</v>
      </c>
      <c r="C72" s="39">
        <f>IF(IN_Anagrafica!$B$12="SI",
[3]Export_CO!B72*(1+'Parametri MTR-3'!$I$6),
[3]Export_CO!B72)</f>
        <v>0</v>
      </c>
      <c r="D72" s="39">
        <f>+'Import CO_24'!D72*(1+'Parametri MTR-3'!$I$6)</f>
        <v>0</v>
      </c>
      <c r="E72" s="39">
        <f>IF(IN_Anagrafica!$B$12="SI",
[3]Export_CO!D72*(1+'Parametri MTR-3'!$I$6),
[3]Export_CO!D72)</f>
        <v>0</v>
      </c>
    </row>
    <row r="73" spans="1:5" x14ac:dyDescent="0.2">
      <c r="A73" s="35" t="s">
        <v>5172</v>
      </c>
      <c r="B73" s="40" t="s">
        <v>82</v>
      </c>
      <c r="C73" s="41">
        <f>IF(IN_Anagrafica!$B$12="SI",
[3]Export_CO!B73*(1+'Parametri MTR-3'!$I$6),
[3]Export_CO!B73)</f>
        <v>0</v>
      </c>
      <c r="D73" s="41">
        <f>+'Import CO_24'!D73*(1+'Parametri MTR-3'!$I$6)</f>
        <v>0</v>
      </c>
      <c r="E73" s="41">
        <f>IF(IN_Anagrafica!$B$12="SI",
[3]Export_CO!D73*(1+'Parametri MTR-3'!$I$6),
[3]Export_CO!D73)</f>
        <v>0</v>
      </c>
    </row>
    <row r="74" spans="1:5" x14ac:dyDescent="0.2">
      <c r="A74" s="35" t="s">
        <v>3359</v>
      </c>
      <c r="B74" s="42" t="s">
        <v>19</v>
      </c>
      <c r="C74" s="34">
        <f>SUM(C75:C86)</f>
        <v>899319</v>
      </c>
      <c r="D74" s="34">
        <f>SUM(D75:D86)</f>
        <v>0</v>
      </c>
      <c r="E74" s="34">
        <f>SUM(E75:E86)</f>
        <v>0</v>
      </c>
    </row>
    <row r="75" spans="1:5" x14ac:dyDescent="0.2">
      <c r="A75" s="35" t="s">
        <v>5173</v>
      </c>
      <c r="B75" s="36" t="s">
        <v>259</v>
      </c>
      <c r="C75" s="37">
        <f>IF(IN_Anagrafica!$B$12="SI",
[3]Export_CO!B75*(1+'Parametri MTR-3'!$I$6),
[3]Export_CO!B75)</f>
        <v>0</v>
      </c>
      <c r="D75" s="37">
        <f>+'Import CO_24'!D75*(1+'Parametri MTR-3'!$I$6)</f>
        <v>0</v>
      </c>
      <c r="E75" s="37">
        <f>IF(IN_Anagrafica!$B$12="SI",
[3]Export_CO!D75*(1+'Parametri MTR-3'!$I$6),
[3]Export_CO!D75)</f>
        <v>0</v>
      </c>
    </row>
    <row r="76" spans="1:5" x14ac:dyDescent="0.2">
      <c r="A76" s="35" t="s">
        <v>5174</v>
      </c>
      <c r="B76" s="38" t="s">
        <v>260</v>
      </c>
      <c r="C76" s="39">
        <f>IF(IN_Anagrafica!$B$12="SI",
[3]Export_CO!B76*(1+'Parametri MTR-3'!$I$6),
[3]Export_CO!B76)</f>
        <v>899319</v>
      </c>
      <c r="D76" s="39">
        <f>+'Import CO_24'!D76*(1+'Parametri MTR-3'!$I$6)</f>
        <v>0</v>
      </c>
      <c r="E76" s="39">
        <f>IF(IN_Anagrafica!$B$12="SI",
[3]Export_CO!D76*(1+'Parametri MTR-3'!$I$6),
[3]Export_CO!D76)</f>
        <v>0</v>
      </c>
    </row>
    <row r="77" spans="1:5" x14ac:dyDescent="0.2">
      <c r="A77" s="35" t="s">
        <v>5175</v>
      </c>
      <c r="B77" s="338" t="s">
        <v>261</v>
      </c>
      <c r="C77" s="337">
        <f>IF(IN_Anagrafica!$B$12="SI",
[3]Export_CO!B77*(1+'Parametri MTR-3'!$I$6),
[3]Export_CO!B77)</f>
        <v>0</v>
      </c>
      <c r="D77" s="337">
        <f>+'Import CO_24'!D77*(1+'Parametri MTR-3'!$I$6)</f>
        <v>0</v>
      </c>
      <c r="E77" s="337">
        <f>IF(IN_Anagrafica!$B$12="SI",
[3]Export_CO!D77*(1+'Parametri MTR-3'!$I$6),
[3]Export_CO!D77)</f>
        <v>0</v>
      </c>
    </row>
    <row r="78" spans="1:5" x14ac:dyDescent="0.2">
      <c r="A78" s="35" t="s">
        <v>5176</v>
      </c>
      <c r="B78" s="338" t="s">
        <v>83</v>
      </c>
      <c r="C78" s="337">
        <f>IF(IN_Anagrafica!$B$12="SI",
[3]Export_CO!B78*(1+'Parametri MTR-3'!$I$6),
[3]Export_CO!B78)</f>
        <v>0</v>
      </c>
      <c r="D78" s="337">
        <f>+'Import CO_24'!D78*(1+'Parametri MTR-3'!$I$6)</f>
        <v>0</v>
      </c>
      <c r="E78" s="337">
        <f>IF(IN_Anagrafica!$B$12="SI",
[3]Export_CO!D78*(1+'Parametri MTR-3'!$I$6),
[3]Export_CO!D78)</f>
        <v>0</v>
      </c>
    </row>
    <row r="79" spans="1:5" x14ac:dyDescent="0.2">
      <c r="A79" s="35" t="s">
        <v>5177</v>
      </c>
      <c r="B79" s="338" t="s">
        <v>262</v>
      </c>
      <c r="C79" s="337">
        <f>IF(IN_Anagrafica!$B$12="SI",
[3]Export_CO!B79*(1+'Parametri MTR-3'!$I$6),
[3]Export_CO!B79)</f>
        <v>0</v>
      </c>
      <c r="D79" s="337">
        <f>+'Import CO_24'!D79*(1+'Parametri MTR-3'!$I$6)</f>
        <v>0</v>
      </c>
      <c r="E79" s="337">
        <f>IF(IN_Anagrafica!$B$12="SI",
[3]Export_CO!D79*(1+'Parametri MTR-3'!$I$6),
[3]Export_CO!D79)</f>
        <v>0</v>
      </c>
    </row>
    <row r="80" spans="1:5" x14ac:dyDescent="0.2">
      <c r="A80" s="35" t="s">
        <v>5178</v>
      </c>
      <c r="B80" s="338" t="s">
        <v>263</v>
      </c>
      <c r="C80" s="337">
        <f>IF(IN_Anagrafica!$B$12="SI",
[3]Export_CO!B80*(1+'Parametri MTR-3'!$I$6),
[3]Export_CO!B80)</f>
        <v>0</v>
      </c>
      <c r="D80" s="337">
        <f>+'Import CO_24'!D80*(1+'Parametri MTR-3'!$I$6)</f>
        <v>0</v>
      </c>
      <c r="E80" s="337">
        <f>IF(IN_Anagrafica!$B$12="SI",
[3]Export_CO!D80*(1+'Parametri MTR-3'!$I$6),
[3]Export_CO!D80)</f>
        <v>0</v>
      </c>
    </row>
    <row r="81" spans="1:5" x14ac:dyDescent="0.2">
      <c r="A81" s="35" t="s">
        <v>5179</v>
      </c>
      <c r="B81" s="338" t="s">
        <v>264</v>
      </c>
      <c r="C81" s="337">
        <f>IF(IN_Anagrafica!$B$12="SI",
[3]Export_CO!B81*(1+'Parametri MTR-3'!$I$6),
[3]Export_CO!B81)</f>
        <v>0</v>
      </c>
      <c r="D81" s="337">
        <f>+'Import CO_24'!D81*(1+'Parametri MTR-3'!$I$6)</f>
        <v>0</v>
      </c>
      <c r="E81" s="337">
        <f>IF(IN_Anagrafica!$B$12="SI",
[3]Export_CO!D81*(1+'Parametri MTR-3'!$I$6),
[3]Export_CO!D81)</f>
        <v>0</v>
      </c>
    </row>
    <row r="82" spans="1:5" x14ac:dyDescent="0.2">
      <c r="A82" s="35" t="s">
        <v>5180</v>
      </c>
      <c r="B82" s="338" t="s">
        <v>265</v>
      </c>
      <c r="C82" s="337">
        <f>IF(IN_Anagrafica!$B$12="SI",
[3]Export_CO!B82*(1+'Parametri MTR-3'!$I$6),
[3]Export_CO!B82)</f>
        <v>0</v>
      </c>
      <c r="D82" s="337">
        <f>+'Import CO_24'!D82*(1+'Parametri MTR-3'!$I$6)</f>
        <v>0</v>
      </c>
      <c r="E82" s="337">
        <f>IF(IN_Anagrafica!$B$12="SI",
[3]Export_CO!D82*(1+'Parametri MTR-3'!$I$6),
[3]Export_CO!D82)</f>
        <v>0</v>
      </c>
    </row>
    <row r="83" spans="1:5" x14ac:dyDescent="0.2">
      <c r="A83" s="35" t="s">
        <v>5181</v>
      </c>
      <c r="B83" s="338" t="s">
        <v>266</v>
      </c>
      <c r="C83" s="337">
        <f>IF(IN_Anagrafica!$B$12="SI",
[3]Export_CO!B83*(1+'Parametri MTR-3'!$I$6),
[3]Export_CO!B83)</f>
        <v>0</v>
      </c>
      <c r="D83" s="337">
        <f>+'Import CO_24'!D83*(1+'Parametri MTR-3'!$I$6)</f>
        <v>0</v>
      </c>
      <c r="E83" s="337">
        <f>IF(IN_Anagrafica!$B$12="SI",
[3]Export_CO!D83*(1+'Parametri MTR-3'!$I$6),
[3]Export_CO!D83)</f>
        <v>0</v>
      </c>
    </row>
    <row r="84" spans="1:5" x14ac:dyDescent="0.2">
      <c r="A84" s="35" t="s">
        <v>5182</v>
      </c>
      <c r="B84" s="338" t="s">
        <v>267</v>
      </c>
      <c r="C84" s="337">
        <f>IF(IN_Anagrafica!$B$12="SI",
[3]Export_CO!B84*(1+'Parametri MTR-3'!$I$6),
[3]Export_CO!B84)</f>
        <v>0</v>
      </c>
      <c r="D84" s="337">
        <f>+'Import CO_24'!D84*(1+'Parametri MTR-3'!$I$6)</f>
        <v>0</v>
      </c>
      <c r="E84" s="337">
        <f>IF(IN_Anagrafica!$B$12="SI",
[3]Export_CO!D84*(1+'Parametri MTR-3'!$I$6),
[3]Export_CO!D84)</f>
        <v>0</v>
      </c>
    </row>
    <row r="85" spans="1:5" x14ac:dyDescent="0.2">
      <c r="A85" s="35" t="s">
        <v>5183</v>
      </c>
      <c r="B85" s="338" t="s">
        <v>268</v>
      </c>
      <c r="C85" s="337">
        <f>IF(IN_Anagrafica!$B$12="SI",
[3]Export_CO!B85*(1+'Parametri MTR-3'!$I$6),
[3]Export_CO!B85)</f>
        <v>0</v>
      </c>
      <c r="D85" s="337">
        <f>+'Import CO_24'!D85*(1+'Parametri MTR-3'!$I$6)</f>
        <v>0</v>
      </c>
      <c r="E85" s="337">
        <f>IF(IN_Anagrafica!$B$12="SI",
[3]Export_CO!D85*(1+'Parametri MTR-3'!$I$6),
[3]Export_CO!D85)</f>
        <v>0</v>
      </c>
    </row>
    <row r="86" spans="1:5" x14ac:dyDescent="0.2">
      <c r="A86" s="35" t="s">
        <v>5184</v>
      </c>
      <c r="B86" s="338" t="s">
        <v>269</v>
      </c>
      <c r="C86" s="41">
        <f>IF(IN_Anagrafica!$B$12="SI",
[3]Export_CO!B86*(1+'Parametri MTR-3'!$I$6),
[3]Export_CO!B86)</f>
        <v>0</v>
      </c>
      <c r="D86" s="41">
        <f>+'Import CO_24'!D86*(1+'Parametri MTR-3'!$I$6)</f>
        <v>0</v>
      </c>
      <c r="E86" s="41">
        <f>IF(IN_Anagrafica!$B$12="SI",
[3]Export_CO!D86*(1+'Parametri MTR-3'!$I$6),
[3]Export_CO!D86)</f>
        <v>0</v>
      </c>
    </row>
    <row r="87" spans="1:5" x14ac:dyDescent="0.2">
      <c r="A87" s="85" t="s">
        <v>3347</v>
      </c>
      <c r="B87" s="36" t="s">
        <v>270</v>
      </c>
      <c r="C87" s="37">
        <f>IF(IN_Anagrafica!$B$12="SI",
[3]Export_CO!B87*(1+'Parametri MTR-3'!$I$6),
[3]Export_CO!B87)</f>
        <v>0</v>
      </c>
      <c r="D87" s="37">
        <f>+'Import CO_24'!D87*(1+'Parametri MTR-3'!$I$6)</f>
        <v>0</v>
      </c>
      <c r="E87" s="37">
        <f>IF(IN_Anagrafica!$B$12="SI",
[3]Export_CO!D87*(1+'Parametri MTR-3'!$I$6),
[3]Export_CO!D87)</f>
        <v>0</v>
      </c>
    </row>
    <row r="88" spans="1:5" x14ac:dyDescent="0.2">
      <c r="A88" s="85" t="s">
        <v>3350</v>
      </c>
      <c r="B88" s="38" t="s">
        <v>271</v>
      </c>
      <c r="C88" s="39">
        <f>IF(IN_Anagrafica!$B$12="SI",
[3]Export_CO!B88*(1+'Parametri MTR-3'!$I$6),
[3]Export_CO!B88)</f>
        <v>899319</v>
      </c>
      <c r="D88" s="39">
        <f>+'Import CO_24'!D88*(1+'Parametri MTR-3'!$I$6)</f>
        <v>0</v>
      </c>
      <c r="E88" s="39">
        <f>IF(IN_Anagrafica!$B$12="SI",
[3]Export_CO!D88*(1+'Parametri MTR-3'!$I$6),
[3]Export_CO!D88)</f>
        <v>0</v>
      </c>
    </row>
    <row r="89" spans="1:5" x14ac:dyDescent="0.2">
      <c r="A89" s="85" t="s">
        <v>3353</v>
      </c>
      <c r="B89" s="38" t="s">
        <v>272</v>
      </c>
      <c r="C89" s="39">
        <f>IF(IN_Anagrafica!$B$12="SI",
[3]Export_CO!B89*(1+'Parametri MTR-3'!$I$6),
[3]Export_CO!B89)</f>
        <v>0</v>
      </c>
      <c r="D89" s="39">
        <f>+'Import CO_24'!D89*(1+'Parametri MTR-3'!$I$6)</f>
        <v>0</v>
      </c>
      <c r="E89" s="39">
        <f>IF(IN_Anagrafica!$B$12="SI",
[3]Export_CO!D89*(1+'Parametri MTR-3'!$I$6),
[3]Export_CO!D89)</f>
        <v>0</v>
      </c>
    </row>
    <row r="90" spans="1:5" x14ac:dyDescent="0.2">
      <c r="A90" s="85" t="s">
        <v>3356</v>
      </c>
      <c r="B90" s="40" t="s">
        <v>273</v>
      </c>
      <c r="C90" s="41">
        <f>IF(IN_Anagrafica!$B$12="SI",
[3]Export_CO!B90*(1+'Parametri MTR-3'!$I$6),
[3]Export_CO!B90)</f>
        <v>0</v>
      </c>
      <c r="D90" s="41">
        <f>+'Import CO_24'!D90*(1+'Parametri MTR-3'!$I$6)</f>
        <v>0</v>
      </c>
      <c r="E90" s="41">
        <f>IF(IN_Anagrafica!$B$12="SI",
[3]Export_CO!D90*(1+'Parametri MTR-3'!$I$6),
[3]Export_CO!D90)</f>
        <v>0</v>
      </c>
    </row>
    <row r="91" spans="1:5" x14ac:dyDescent="0.2">
      <c r="A91" s="35"/>
      <c r="B91" s="43" t="s">
        <v>84</v>
      </c>
      <c r="C91" s="35">
        <f>SUM(C75:C86)-SUM(C87:C90)</f>
        <v>0</v>
      </c>
      <c r="D91" s="35">
        <f>SUM(D75:D86)-SUM(D87:D90)</f>
        <v>0</v>
      </c>
      <c r="E91" s="35">
        <f>SUM(E75:E86)-SUM(E87:E90)</f>
        <v>0</v>
      </c>
    </row>
    <row r="92" spans="1:5" x14ac:dyDescent="0.2">
      <c r="A92" s="35"/>
      <c r="B92" s="44"/>
    </row>
    <row r="93" spans="1:5" x14ac:dyDescent="0.2">
      <c r="A93" s="35"/>
      <c r="B93" s="45" t="s">
        <v>85</v>
      </c>
      <c r="C93" s="35"/>
      <c r="D93" s="35"/>
      <c r="E93" s="35"/>
    </row>
    <row r="94" spans="1:5" x14ac:dyDescent="0.2">
      <c r="A94" s="35"/>
      <c r="B94" s="45"/>
      <c r="C94" s="35"/>
      <c r="D94" s="35"/>
      <c r="E94" s="35"/>
    </row>
    <row r="95" spans="1:5" x14ac:dyDescent="0.2">
      <c r="A95" s="35" t="s">
        <v>5185</v>
      </c>
      <c r="B95" s="129" t="s">
        <v>274</v>
      </c>
      <c r="C95" s="34">
        <f>IF(IN_Anagrafica!$B$12="SI",
[3]Export_CO!B95*(1+'Parametri MTR-3'!$I$6),
[3]Export_CO!B95)</f>
        <v>0</v>
      </c>
      <c r="D95" s="34">
        <f>IF(IN_Anagrafica!$B$12="SI",
[3]Export_CO!C95*(1+'Parametri MTR-3'!$I$6),
[3]Export_CO!C95)</f>
        <v>0</v>
      </c>
      <c r="E95" s="34">
        <f>IF(IN_Anagrafica!$B$12="SI",
[3]Export_CO!D95*(1+'Parametri MTR-3'!$I$6),
[3]Export_CO!D95)</f>
        <v>0</v>
      </c>
    </row>
    <row r="96" spans="1:5" x14ac:dyDescent="0.2">
      <c r="A96" s="35"/>
    </row>
    <row r="97" spans="1:5" x14ac:dyDescent="0.2">
      <c r="A97" s="35"/>
      <c r="B97" s="34" t="s">
        <v>86</v>
      </c>
      <c r="C97" s="34">
        <f>SUM(C98:C108)</f>
        <v>0</v>
      </c>
      <c r="D97" s="34">
        <f>SUM(D98:D108)</f>
        <v>0</v>
      </c>
      <c r="E97" s="34">
        <f>SUM(E98:E108)</f>
        <v>0</v>
      </c>
    </row>
    <row r="98" spans="1:5" x14ac:dyDescent="0.2">
      <c r="A98" s="35" t="s">
        <v>5186</v>
      </c>
      <c r="B98" s="46" t="s">
        <v>87</v>
      </c>
      <c r="C98" s="46">
        <f>IF(IN_Anagrafica!$B$12="SI",
[3]Export_CO!B98*(1+'Parametri MTR-3'!$I$6),
[3]Export_CO!B98)</f>
        <v>0</v>
      </c>
      <c r="D98" s="46">
        <f>+'Import CO_24'!D98*(1+'Parametri MTR-3'!$I$6)</f>
        <v>0</v>
      </c>
      <c r="E98" s="46">
        <f>IF(IN_Anagrafica!$B$12="SI",
[3]Export_CO!D98*(1+'Parametri MTR-3'!$I$6),
[3]Export_CO!D98)</f>
        <v>0</v>
      </c>
    </row>
    <row r="99" spans="1:5" x14ac:dyDescent="0.2">
      <c r="A99" s="35" t="s">
        <v>5187</v>
      </c>
      <c r="B99" s="39" t="s">
        <v>88</v>
      </c>
      <c r="C99" s="39">
        <f>IF(IN_Anagrafica!$B$12="SI",
[3]Export_CO!B99*(1+'Parametri MTR-3'!$I$6),
[3]Export_CO!B99)</f>
        <v>0</v>
      </c>
      <c r="D99" s="39">
        <f>+'Import CO_24'!D99*(1+'Parametri MTR-3'!$I$6)</f>
        <v>0</v>
      </c>
      <c r="E99" s="39">
        <f>IF(IN_Anagrafica!$B$12="SI",
[3]Export_CO!D99*(1+'Parametri MTR-3'!$I$6),
[3]Export_CO!D99)</f>
        <v>0</v>
      </c>
    </row>
    <row r="100" spans="1:5" x14ac:dyDescent="0.2">
      <c r="A100" s="35" t="s">
        <v>5188</v>
      </c>
      <c r="B100" s="39" t="s">
        <v>89</v>
      </c>
      <c r="C100" s="39">
        <f>IF(IN_Anagrafica!$B$12="SI",
[3]Export_CO!B100*(1+'Parametri MTR-3'!$I$6),
[3]Export_CO!B100)</f>
        <v>0</v>
      </c>
      <c r="D100" s="39">
        <f>+'Import CO_24'!D100*(1+'Parametri MTR-3'!$I$6)</f>
        <v>0</v>
      </c>
      <c r="E100" s="39">
        <f>IF(IN_Anagrafica!$B$12="SI",
[3]Export_CO!D100*(1+'Parametri MTR-3'!$I$6),
[3]Export_CO!D100)</f>
        <v>0</v>
      </c>
    </row>
    <row r="101" spans="1:5" x14ac:dyDescent="0.2">
      <c r="A101" s="35" t="s">
        <v>5189</v>
      </c>
      <c r="B101" s="39" t="s">
        <v>90</v>
      </c>
      <c r="C101" s="39">
        <f>IF(IN_Anagrafica!$B$12="SI",
[3]Export_CO!B101*(1+'Parametri MTR-3'!$I$6),
[3]Export_CO!B101)</f>
        <v>0</v>
      </c>
      <c r="D101" s="39">
        <f>+'Import CO_24'!D101*(1+'Parametri MTR-3'!$I$6)</f>
        <v>0</v>
      </c>
      <c r="E101" s="39">
        <f>IF(IN_Anagrafica!$B$12="SI",
[3]Export_CO!D101*(1+'Parametri MTR-3'!$I$6),
[3]Export_CO!D101)</f>
        <v>0</v>
      </c>
    </row>
    <row r="102" spans="1:5" x14ac:dyDescent="0.2">
      <c r="A102" s="35" t="s">
        <v>5190</v>
      </c>
      <c r="B102" s="39" t="s">
        <v>91</v>
      </c>
      <c r="C102" s="39">
        <f>IF(IN_Anagrafica!$B$12="SI",
[3]Export_CO!B102*(1+'Parametri MTR-3'!$I$6),
[3]Export_CO!B102)</f>
        <v>0</v>
      </c>
      <c r="D102" s="39">
        <f>+'Import CO_24'!D102*(1+'Parametri MTR-3'!$I$6)</f>
        <v>0</v>
      </c>
      <c r="E102" s="39">
        <f>IF(IN_Anagrafica!$B$12="SI",
[3]Export_CO!D102*(1+'Parametri MTR-3'!$I$6),
[3]Export_CO!D102)</f>
        <v>0</v>
      </c>
    </row>
    <row r="103" spans="1:5" x14ac:dyDescent="0.2">
      <c r="A103" s="35" t="s">
        <v>5191</v>
      </c>
      <c r="B103" s="39" t="s">
        <v>92</v>
      </c>
      <c r="C103" s="39">
        <f>IF(IN_Anagrafica!$B$12="SI",
[3]Export_CO!B103*(1+'Parametri MTR-3'!$I$6),
[3]Export_CO!B103)</f>
        <v>0</v>
      </c>
      <c r="D103" s="39">
        <f>+'Import CO_24'!D103*(1+'Parametri MTR-3'!$I$6)</f>
        <v>0</v>
      </c>
      <c r="E103" s="39">
        <f>IF(IN_Anagrafica!$B$12="SI",
[3]Export_CO!D103*(1+'Parametri MTR-3'!$I$6),
[3]Export_CO!D103)</f>
        <v>0</v>
      </c>
    </row>
    <row r="104" spans="1:5" x14ac:dyDescent="0.2">
      <c r="A104" s="35" t="s">
        <v>5192</v>
      </c>
      <c r="B104" s="39" t="s">
        <v>93</v>
      </c>
      <c r="C104" s="39">
        <f>IF(IN_Anagrafica!$B$12="SI",
[3]Export_CO!B104*(1+'Parametri MTR-3'!$I$6),
[3]Export_CO!B104)</f>
        <v>0</v>
      </c>
      <c r="D104" s="39">
        <f>+'Import CO_24'!D104*(1+'Parametri MTR-3'!$I$6)</f>
        <v>0</v>
      </c>
      <c r="E104" s="39">
        <f>IF(IN_Anagrafica!$B$12="SI",
[3]Export_CO!D104*(1+'Parametri MTR-3'!$I$6),
[3]Export_CO!D104)</f>
        <v>0</v>
      </c>
    </row>
    <row r="105" spans="1:5" x14ac:dyDescent="0.2">
      <c r="A105" s="35" t="s">
        <v>5193</v>
      </c>
      <c r="B105" s="39" t="s">
        <v>94</v>
      </c>
      <c r="C105" s="39">
        <f>IF(IN_Anagrafica!$B$12="SI",
[3]Export_CO!B105*(1+'Parametri MTR-3'!$I$6),
[3]Export_CO!B105)</f>
        <v>0</v>
      </c>
      <c r="D105" s="39">
        <f>+'Import CO_24'!D105*(1+'Parametri MTR-3'!$I$6)</f>
        <v>0</v>
      </c>
      <c r="E105" s="39">
        <f>IF(IN_Anagrafica!$B$12="SI",
[3]Export_CO!D105*(1+'Parametri MTR-3'!$I$6),
[3]Export_CO!D105)</f>
        <v>0</v>
      </c>
    </row>
    <row r="106" spans="1:5" x14ac:dyDescent="0.2">
      <c r="A106" s="35" t="s">
        <v>5194</v>
      </c>
      <c r="B106" s="39" t="s">
        <v>95</v>
      </c>
      <c r="C106" s="39">
        <f>IF(IN_Anagrafica!$B$12="SI",
[3]Export_CO!B106*(1+'Parametri MTR-3'!$I$6),
[3]Export_CO!B106)</f>
        <v>0</v>
      </c>
      <c r="D106" s="39">
        <f>+'Import CO_24'!D106*(1+'Parametri MTR-3'!$I$6)</f>
        <v>0</v>
      </c>
      <c r="E106" s="39">
        <f>IF(IN_Anagrafica!$B$12="SI",
[3]Export_CO!D106*(1+'Parametri MTR-3'!$I$6),
[3]Export_CO!D106)</f>
        <v>0</v>
      </c>
    </row>
    <row r="107" spans="1:5" x14ac:dyDescent="0.2">
      <c r="A107" s="35" t="s">
        <v>6487</v>
      </c>
      <c r="B107" s="39" t="s">
        <v>6488</v>
      </c>
      <c r="C107" s="39">
        <f>IF(IN_Anagrafica!$B$12="SI",
[3]Export_CO!B107*(1+'Parametri MTR-3'!$I$6),
[3]Export_CO!B107)</f>
        <v>0</v>
      </c>
      <c r="D107" s="39">
        <f>+'Import CO_24'!D107*(1+'Parametri MTR-3'!$I$6)</f>
        <v>0</v>
      </c>
      <c r="E107" s="39">
        <f>IF(IN_Anagrafica!$B$12="SI",
[3]Export_CO!D107*(1+'Parametri MTR-3'!$I$6),
[3]Export_CO!D107)</f>
        <v>0</v>
      </c>
    </row>
    <row r="108" spans="1:5" x14ac:dyDescent="0.2">
      <c r="A108" s="35"/>
      <c r="B108" s="39" t="s">
        <v>96</v>
      </c>
      <c r="C108" s="47">
        <f>IF(IN_Anagrafica!$B$12="SI",
[3]Export_CO!B108*(1+'Parametri MTR-3'!$I$6),
[3]Export_CO!B108)</f>
        <v>0</v>
      </c>
      <c r="D108" s="47">
        <f>+'Import CO_24'!D108*(1+'Parametri MTR-3'!$I$6)</f>
        <v>0</v>
      </c>
      <c r="E108" s="47">
        <f>IF(IN_Anagrafica!$B$12="SI",
[3]Export_CO!D108*(1+'Parametri MTR-3'!$I$6),
[3]Export_CO!D108)</f>
        <v>0</v>
      </c>
    </row>
    <row r="109" spans="1:5" x14ac:dyDescent="0.2">
      <c r="A109" s="35" t="s">
        <v>5195</v>
      </c>
      <c r="B109" s="39" t="s">
        <v>97</v>
      </c>
      <c r="C109" s="39">
        <f>IF(IN_Anagrafica!$B$12="SI",
[3]Export_CO!B109*(1+'Parametri MTR-3'!$I$6),
[3]Export_CO!B109)</f>
        <v>0</v>
      </c>
      <c r="D109" s="39">
        <f>+'Import CO_24'!D109*(1+'Parametri MTR-3'!$I$6)</f>
        <v>0</v>
      </c>
      <c r="E109" s="39">
        <f>IF(IN_Anagrafica!$B$12="SI",
[3]Export_CO!D109*(1+'Parametri MTR-3'!$I$6),
[3]Export_CO!D109)</f>
        <v>0</v>
      </c>
    </row>
    <row r="110" spans="1:5" x14ac:dyDescent="0.2">
      <c r="A110" s="35" t="s">
        <v>5196</v>
      </c>
      <c r="B110" s="39" t="s">
        <v>98</v>
      </c>
      <c r="C110" s="39">
        <f>IF(IN_Anagrafica!$B$12="SI",
[3]Export_CO!B110*(1+'Parametri MTR-3'!$I$6),
[3]Export_CO!B110)</f>
        <v>0</v>
      </c>
      <c r="D110" s="39">
        <f>+'Import CO_24'!D110*(1+'Parametri MTR-3'!$I$6)</f>
        <v>0</v>
      </c>
      <c r="E110" s="39">
        <f>IF(IN_Anagrafica!$B$12="SI",
[3]Export_CO!D110*(1+'Parametri MTR-3'!$I$6),
[3]Export_CO!D110)</f>
        <v>0</v>
      </c>
    </row>
    <row r="111" spans="1:5" x14ac:dyDescent="0.2">
      <c r="A111" s="35" t="s">
        <v>5197</v>
      </c>
      <c r="B111" s="39" t="s">
        <v>99</v>
      </c>
      <c r="C111" s="39">
        <f>IF(IN_Anagrafica!$B$12="SI",
[3]Export_CO!B111*(1+'Parametri MTR-3'!$I$6),
[3]Export_CO!B111)</f>
        <v>0</v>
      </c>
      <c r="D111" s="39">
        <f>+'Import CO_24'!D111*(1+'Parametri MTR-3'!$I$6)</f>
        <v>0</v>
      </c>
      <c r="E111" s="39">
        <f>IF(IN_Anagrafica!$B$12="SI",
[3]Export_CO!D111*(1+'Parametri MTR-3'!$I$6),
[3]Export_CO!D111)</f>
        <v>0</v>
      </c>
    </row>
    <row r="112" spans="1:5" x14ac:dyDescent="0.2">
      <c r="A112" s="35" t="s">
        <v>5198</v>
      </c>
      <c r="B112" s="41" t="s">
        <v>100</v>
      </c>
      <c r="C112" s="41">
        <f>IF(IN_Anagrafica!$B$12="SI",
[3]Export_CO!B112*(1+'Parametri MTR-3'!$I$6),
[3]Export_CO!B112)</f>
        <v>0</v>
      </c>
      <c r="D112" s="41">
        <f>+'Import CO_24'!D112*(1+'Parametri MTR-3'!$I$6)</f>
        <v>0</v>
      </c>
      <c r="E112" s="41">
        <f>IF(IN_Anagrafica!$B$12="SI",
[3]Export_CO!D112*(1+'Parametri MTR-3'!$I$6),
[3]Export_CO!D112)</f>
        <v>0</v>
      </c>
    </row>
    <row r="113" spans="1:5" x14ac:dyDescent="0.2">
      <c r="A113" s="35"/>
      <c r="B113" s="43"/>
      <c r="C113" s="35"/>
      <c r="D113" s="35"/>
      <c r="E113" s="35"/>
    </row>
    <row r="114" spans="1:5" x14ac:dyDescent="0.2">
      <c r="A114" s="35"/>
    </row>
    <row r="115" spans="1:5" x14ac:dyDescent="0.2">
      <c r="A115" s="35"/>
      <c r="B115" s="129" t="s">
        <v>189</v>
      </c>
    </row>
    <row r="116" spans="1:5" x14ac:dyDescent="0.2">
      <c r="A116" s="35" t="s">
        <v>5199</v>
      </c>
      <c r="B116" s="37" t="s">
        <v>193</v>
      </c>
      <c r="C116" s="37">
        <f t="shared" ref="C116:E117" si="0">C6+C13+C20+C27+C40+C47+C54+C61+C68</f>
        <v>856730.65999999992</v>
      </c>
      <c r="D116" s="37">
        <f t="shared" si="0"/>
        <v>6325.02</v>
      </c>
      <c r="E116" s="37">
        <f t="shared" si="0"/>
        <v>72235.960000000006</v>
      </c>
    </row>
    <row r="117" spans="1:5" x14ac:dyDescent="0.2">
      <c r="A117" s="35" t="s">
        <v>5200</v>
      </c>
      <c r="B117" s="41" t="s">
        <v>194</v>
      </c>
      <c r="C117" s="41">
        <f t="shared" si="0"/>
        <v>6381258.040000001</v>
      </c>
      <c r="D117" s="41">
        <f t="shared" si="0"/>
        <v>729462.16980000003</v>
      </c>
      <c r="E117" s="41">
        <f t="shared" si="0"/>
        <v>473673.07</v>
      </c>
    </row>
    <row r="118" spans="1:5" x14ac:dyDescent="0.2">
      <c r="A118" s="122" t="s">
        <v>5201</v>
      </c>
      <c r="B118" s="128" t="s">
        <v>195</v>
      </c>
      <c r="C118" s="128">
        <f>C116+C117</f>
        <v>7237988.7000000011</v>
      </c>
      <c r="D118" s="128">
        <f>D116+D117</f>
        <v>735787.18980000005</v>
      </c>
      <c r="E118" s="128">
        <f>E116+E117</f>
        <v>545909.03</v>
      </c>
    </row>
    <row r="119" spans="1:5" x14ac:dyDescent="0.2">
      <c r="A119" s="35"/>
    </row>
    <row r="120" spans="1:5" x14ac:dyDescent="0.2">
      <c r="A120" s="123" t="s">
        <v>5202</v>
      </c>
      <c r="B120" s="127" t="s">
        <v>196</v>
      </c>
      <c r="C120" s="127">
        <f>IF(IN_Anagrafica!$B$12="SI",
[3]Export_CO!B120*(1+'Parametri MTR-3'!$I$6),
[3]Export_CO!B120)</f>
        <v>14504625.279999999</v>
      </c>
      <c r="D120" s="127">
        <f>+'Import CO_24'!D120*(1+'Parametri MTR-3'!$I$6)</f>
        <v>1151921.4552</v>
      </c>
      <c r="E120" s="127">
        <f>IF(IN_Anagrafica!$B$12="SI",
[3]Export_CO!D120*(1+'Parametri MTR-3'!$I$6),
[3]Export_CO!D120)</f>
        <v>1935401.68</v>
      </c>
    </row>
    <row r="121" spans="1:5" x14ac:dyDescent="0.2">
      <c r="A121" s="35"/>
    </row>
    <row r="122" spans="1:5" x14ac:dyDescent="0.2">
      <c r="A122" s="122" t="s">
        <v>5203</v>
      </c>
      <c r="B122" s="127" t="s">
        <v>197</v>
      </c>
      <c r="C122" s="127">
        <f>[3]Export_CO!B122</f>
        <v>988341.67339806445</v>
      </c>
      <c r="D122" s="127">
        <f>+'Import CO_24'!D122*(1+'Parametri MTR-3'!$I$6)</f>
        <v>431836.69744073343</v>
      </c>
      <c r="E122" s="127">
        <f>[3]Export_CO!D122</f>
        <v>100251.46125347161</v>
      </c>
    </row>
    <row r="123" spans="1:5" x14ac:dyDescent="0.2">
      <c r="A123" s="122" t="s">
        <v>5204</v>
      </c>
      <c r="B123" s="37" t="s">
        <v>190</v>
      </c>
      <c r="C123" s="37">
        <f>[3]Export_CO!B123</f>
        <v>333869.89483903546</v>
      </c>
      <c r="D123" s="37">
        <f>+'Import CO_24'!D123*(1+'Parametri MTR-3'!$I$6)</f>
        <v>91156.131297994551</v>
      </c>
      <c r="E123" s="37">
        <f>[3]Export_CO!D123</f>
        <v>33865.762951265795</v>
      </c>
    </row>
    <row r="124" spans="1:5" x14ac:dyDescent="0.2">
      <c r="A124" s="122" t="s">
        <v>5205</v>
      </c>
      <c r="B124" s="39" t="s">
        <v>191</v>
      </c>
      <c r="C124" s="39">
        <f>[3]Export_CO!B124</f>
        <v>654471.77855902899</v>
      </c>
      <c r="D124" s="39">
        <f>+'Import CO_24'!D124*(1+'Parametri MTR-3'!$I$6)</f>
        <v>340680.56614273885</v>
      </c>
      <c r="E124" s="39">
        <f>[3]Export_CO!D124</f>
        <v>66385.698302205827</v>
      </c>
    </row>
    <row r="125" spans="1:5" x14ac:dyDescent="0.2">
      <c r="A125" s="122" t="s">
        <v>5206</v>
      </c>
      <c r="B125" s="41" t="s">
        <v>192</v>
      </c>
      <c r="C125" s="41">
        <f>[3]Export_CO!B125</f>
        <v>0</v>
      </c>
      <c r="D125" s="41">
        <f>+'Import CO_24'!D125*(1+'Parametri MTR-3'!$I$6)</f>
        <v>0</v>
      </c>
      <c r="E125" s="41">
        <f>[3]Export_CO!D125</f>
        <v>0</v>
      </c>
    </row>
    <row r="126" spans="1:5" x14ac:dyDescent="0.2">
      <c r="A126" s="35"/>
    </row>
    <row r="127" spans="1:5" x14ac:dyDescent="0.2">
      <c r="A127" s="85" t="s">
        <v>1758</v>
      </c>
      <c r="B127" s="450" t="s">
        <v>536</v>
      </c>
      <c r="C127" s="452">
        <f>IF(IN_Anagrafica!$B$12="SI",
[3]Export_CO!B127*(1+'Parametri MTR-3'!$I$6),
[3]Export_CO!B127)</f>
        <v>0</v>
      </c>
      <c r="D127" s="452">
        <f>+'Import CO_24'!D127*(1+'Parametri MTR-3'!$I$6)</f>
        <v>0</v>
      </c>
      <c r="E127" s="452">
        <f>IF(IN_Anagrafica!$B$12="SI",
[3]Export_CO!D127*(1+'Parametri MTR-3'!$I$6),
[3]Export_CO!D127)</f>
        <v>0</v>
      </c>
    </row>
    <row r="128" spans="1:5" x14ac:dyDescent="0.2">
      <c r="A128" s="85" t="s">
        <v>1759</v>
      </c>
      <c r="B128" s="451" t="s">
        <v>537</v>
      </c>
      <c r="C128" s="453">
        <f>IF(IN_Anagrafica!$B$12="SI",
[3]Export_CO!B128*(1+'Parametri MTR-3'!$I$6),
[3]Export_CO!B128)</f>
        <v>0</v>
      </c>
      <c r="D128" s="453">
        <f>+'Import CO_24'!D128*(1+'Parametri MTR-3'!$I$6)</f>
        <v>0</v>
      </c>
      <c r="E128" s="453">
        <f>IF(IN_Anagrafica!$B$12="SI",
[3]Export_CO!D128*(1+'Parametri MTR-3'!$I$6),
[3]Export_CO!D128)</f>
        <v>0</v>
      </c>
    </row>
    <row r="130" spans="1:5" x14ac:dyDescent="0.2">
      <c r="A130" s="85" t="s">
        <v>1760</v>
      </c>
      <c r="B130" s="450" t="s">
        <v>538</v>
      </c>
      <c r="C130" s="452">
        <f>IF(IN_Anagrafica!$B$12="SI",
[3]Export_CO!B130*(1+'Parametri MTR-3'!$I$6),
[3]Export_CO!B130)</f>
        <v>0</v>
      </c>
      <c r="D130" s="452">
        <f>+'Import CO_24'!D130*(1+'Parametri MTR-3'!$I$6)</f>
        <v>0</v>
      </c>
      <c r="E130" s="452">
        <f>IF(IN_Anagrafica!$B$12="SI",
[3]Export_CO!D130*(1+'Parametri MTR-3'!$I$6),
[3]Export_CO!D130)</f>
        <v>0</v>
      </c>
    </row>
    <row r="131" spans="1:5" x14ac:dyDescent="0.2">
      <c r="A131" s="85" t="s">
        <v>1761</v>
      </c>
      <c r="B131" s="451" t="s">
        <v>539</v>
      </c>
      <c r="C131" s="453">
        <f>IF(IN_Anagrafica!$B$12="SI",
[3]Export_CO!B131*(1+'Parametri MTR-3'!$I$6),
[3]Export_CO!B131)</f>
        <v>0</v>
      </c>
      <c r="D131" s="453">
        <f>+'Import CO_24'!D131*(1+'Parametri MTR-3'!$I$6)</f>
        <v>0</v>
      </c>
      <c r="E131" s="453">
        <f>IF(IN_Anagrafica!$B$12="SI",
[3]Export_CO!D131*(1+'Parametri MTR-3'!$I$6),
[3]Export_CO!D131)</f>
        <v>0</v>
      </c>
    </row>
    <row r="133" spans="1:5" x14ac:dyDescent="0.2">
      <c r="A133" s="85" t="s">
        <v>1762</v>
      </c>
      <c r="B133" s="450" t="s">
        <v>540</v>
      </c>
      <c r="C133" s="452">
        <f>IF(IN_Anagrafica!$B$12="SI",
[3]Export_CO!B133*(1+'Parametri MTR-3'!$I$6),
[3]Export_CO!B133)</f>
        <v>0</v>
      </c>
      <c r="D133" s="452">
        <f>+'Import CO_24'!D133*(1+'Parametri MTR-3'!$I$6)</f>
        <v>0</v>
      </c>
      <c r="E133" s="452">
        <f>IF(IN_Anagrafica!$B$12="SI",
[3]Export_CO!D133*(1+'Parametri MTR-3'!$I$6),
[3]Export_CO!D133)</f>
        <v>0</v>
      </c>
    </row>
    <row r="134" spans="1:5" x14ac:dyDescent="0.2">
      <c r="A134" s="85" t="s">
        <v>1763</v>
      </c>
      <c r="B134" s="451" t="s">
        <v>541</v>
      </c>
      <c r="C134" s="453">
        <f>IF(IN_Anagrafica!$B$12="SI",
[3]Export_CO!B134*(1+'Parametri MTR-3'!$I$6),
[3]Export_CO!B134)</f>
        <v>0</v>
      </c>
      <c r="D134" s="453">
        <f>+'Import CO_24'!D134*(1+'Parametri MTR-3'!$I$6)</f>
        <v>0</v>
      </c>
      <c r="E134" s="453">
        <f>IF(IN_Anagrafica!$B$12="SI",
[3]Export_CO!D134*(1+'Parametri MTR-3'!$I$6),
[3]Export_CO!D134)</f>
        <v>0</v>
      </c>
    </row>
    <row r="136" spans="1:5" x14ac:dyDescent="0.2">
      <c r="A136" s="7" t="s">
        <v>6495</v>
      </c>
      <c r="B136" s="37" t="s">
        <v>6489</v>
      </c>
      <c r="C136" s="37">
        <f>IF(IN_Anagrafica!$B$12="SI",
[3]Export_CO!B136*(1+'Parametri MTR-3'!$I$6),
[3]Export_CO!B136)</f>
        <v>691188.35</v>
      </c>
      <c r="D136" s="37">
        <f>+'Import CO_24'!D136*(1+'Parametri MTR-3'!$I$6)</f>
        <v>58291.439400000003</v>
      </c>
      <c r="E136" s="37">
        <f>IF(IN_Anagrafica!$B$12="SI",
[3]Export_CO!D136*(1+'Parametri MTR-3'!$I$6),
[3]Export_CO!D136)</f>
        <v>47492.01</v>
      </c>
    </row>
    <row r="137" spans="1:5" x14ac:dyDescent="0.2">
      <c r="A137" s="7" t="s">
        <v>6496</v>
      </c>
      <c r="B137" s="39" t="s">
        <v>6490</v>
      </c>
      <c r="C137" s="39">
        <f>IF(IN_Anagrafica!$B$12="SI",
[3]Export_CO!B137*(1+'Parametri MTR-3'!$I$6),
[3]Export_CO!B137)</f>
        <v>0</v>
      </c>
      <c r="D137" s="39">
        <f>+'Import CO_24'!D137*(1+'Parametri MTR-3'!$I$6)</f>
        <v>0</v>
      </c>
      <c r="E137" s="39">
        <f>IF(IN_Anagrafica!$B$12="SI",
[3]Export_CO!D137*(1+'Parametri MTR-3'!$I$6),
[3]Export_CO!D137)</f>
        <v>0</v>
      </c>
    </row>
    <row r="138" spans="1:5" x14ac:dyDescent="0.2">
      <c r="A138" s="7" t="s">
        <v>6499</v>
      </c>
      <c r="B138" s="39" t="s">
        <v>6491</v>
      </c>
      <c r="C138" s="39">
        <f>IF(IN_Anagrafica!$B$12="SI",
[3]Export_CO!B138*(1+'Parametri MTR-3'!$I$6),
[3]Export_CO!B138)</f>
        <v>44048.69</v>
      </c>
      <c r="D138" s="39">
        <f>+'Import CO_24'!D138*(1+'Parametri MTR-3'!$I$6)</f>
        <v>642.55920000000003</v>
      </c>
      <c r="E138" s="39">
        <f>IF(IN_Anagrafica!$B$12="SI",
[3]Export_CO!D138*(1+'Parametri MTR-3'!$I$6),
[3]Export_CO!D138)</f>
        <v>0</v>
      </c>
    </row>
    <row r="139" spans="1:5" x14ac:dyDescent="0.2">
      <c r="A139" s="7" t="s">
        <v>6497</v>
      </c>
      <c r="B139" s="39" t="s">
        <v>6492</v>
      </c>
      <c r="C139" s="39">
        <f>IF(IN_Anagrafica!$B$12="SI",
[3]Export_CO!B139*(1+'Parametri MTR-3'!$I$6),
[3]Export_CO!B139)</f>
        <v>26617.1</v>
      </c>
      <c r="D139" s="39">
        <f>+'Import CO_24'!D139*(1+'Parametri MTR-3'!$I$6)</f>
        <v>3304.8</v>
      </c>
      <c r="E139" s="39">
        <f>IF(IN_Anagrafica!$B$12="SI",
[3]Export_CO!D139*(1+'Parametri MTR-3'!$I$6),
[3]Export_CO!D139)</f>
        <v>0</v>
      </c>
    </row>
    <row r="140" spans="1:5" x14ac:dyDescent="0.2">
      <c r="A140" s="7" t="s">
        <v>6498</v>
      </c>
      <c r="B140" s="39" t="s">
        <v>6493</v>
      </c>
      <c r="C140" s="39">
        <f>IF(IN_Anagrafica!$B$12="SI",
[3]Export_CO!B140*(1+'Parametri MTR-3'!$I$6),
[3]Export_CO!B140)</f>
        <v>0</v>
      </c>
      <c r="D140" s="39">
        <f>+'Import CO_24'!D140*(1+'Parametri MTR-3'!$I$6)</f>
        <v>0</v>
      </c>
      <c r="E140" s="39">
        <f>IF(IN_Anagrafica!$B$12="SI",
[3]Export_CO!D140*(1+'Parametri MTR-3'!$I$6),
[3]Export_CO!D140)</f>
        <v>0</v>
      </c>
    </row>
    <row r="141" spans="1:5" x14ac:dyDescent="0.2">
      <c r="A141" s="7" t="s">
        <v>6500</v>
      </c>
      <c r="B141" s="41" t="s">
        <v>6494</v>
      </c>
      <c r="C141" s="41">
        <f>IF(IN_Anagrafica!$B$12="SI",
[3]Export_CO!B141*(1+'Parametri MTR-3'!$I$6),
[3]Export_CO!B141)</f>
        <v>0</v>
      </c>
      <c r="D141" s="41">
        <f>+'Import CO_24'!D141*(1+'Parametri MTR-3'!$I$6)</f>
        <v>0</v>
      </c>
      <c r="E141" s="41">
        <f>IF(IN_Anagrafica!$B$12="SI",
[3]Export_CO!D141*(1+'Parametri MTR-3'!$I$6),
[3]Export_CO!D141)</f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64B974-FDD5-4994-A94D-179C197EA8FD}">
  <sheetPr codeName="Foglio11">
    <tabColor rgb="FFFFFFCC"/>
  </sheetPr>
  <dimension ref="A1:E460"/>
  <sheetViews>
    <sheetView showGridLines="0" zoomScaleNormal="100" workbookViewId="0">
      <pane xSplit="2" ySplit="3" topLeftCell="C426" activePane="bottomRight" state="frozen"/>
      <selection pane="topRight" activeCell="C1" sqref="C1"/>
      <selection pane="bottomLeft" activeCell="A4" sqref="A4"/>
      <selection pane="bottomRight" activeCell="C198" sqref="C198"/>
    </sheetView>
  </sheetViews>
  <sheetFormatPr defaultColWidth="9.109375" defaultRowHeight="10.199999999999999" outlineLevelRow="1" x14ac:dyDescent="0.2"/>
  <cols>
    <col min="1" max="1" width="16.33203125" style="85" customWidth="1"/>
    <col min="2" max="2" width="71.6640625" style="51" bestFit="1" customWidth="1"/>
    <col min="3" max="5" width="17.5546875" style="61" customWidth="1"/>
    <col min="6" max="16384" width="9.109375" style="51"/>
  </cols>
  <sheetData>
    <row r="1" spans="1:5" x14ac:dyDescent="0.2">
      <c r="B1" s="454" t="s">
        <v>1369</v>
      </c>
    </row>
    <row r="2" spans="1:5" x14ac:dyDescent="0.2">
      <c r="C2" s="378" t="str">
        <f>IF(AND(C422="ok",C423="ok",C429="ok",C430="ok",C429="ok",C436="ok",C437="ok",C443="ok",C444="ok",C448="ok",C452="ok",C456="ok",C460="ok"),"Range OK","Range errati")</f>
        <v>Range errati</v>
      </c>
      <c r="D2" s="378" t="str">
        <f>IF(AND(D422="ok",D423="ok",D429="ok",D430="ok",D429="ok",D436="ok",D437="ok",D443="ok",D444="ok",D448="ok",D452="ok",D456="ok",D460="ok"),"Range OK","Range errati")</f>
        <v>Range errati</v>
      </c>
      <c r="E2" s="378" t="str">
        <f>IF(AND(E422="ok",E423="ok",E429="ok",E430="ok",E429="ok",E436="ok",E437="ok",E443="ok",E444="ok",E448="ok",E452="ok",E456="ok",E460="ok"),"Range OK","Range errati")</f>
        <v>Range errati</v>
      </c>
    </row>
    <row r="3" spans="1:5" s="345" customFormat="1" x14ac:dyDescent="0.3">
      <c r="A3" s="342"/>
      <c r="B3" s="343"/>
      <c r="C3" s="344" t="str">
        <f>Ambiti!B4</f>
        <v>BUSTO ARSIZIO</v>
      </c>
      <c r="D3" s="344" t="str">
        <f>Ambiti!C4</f>
        <v>FAGNANO OLONA</v>
      </c>
      <c r="E3" s="344" t="str">
        <f>Ambiti!D4</f>
        <v>VENEGONO SUPERIORE</v>
      </c>
    </row>
    <row r="4" spans="1:5" x14ac:dyDescent="0.2">
      <c r="B4" s="58"/>
      <c r="C4" s="57"/>
      <c r="D4" s="57"/>
      <c r="E4" s="57"/>
    </row>
    <row r="5" spans="1:5" x14ac:dyDescent="0.2">
      <c r="B5" s="454" t="s">
        <v>1206</v>
      </c>
      <c r="C5" s="57"/>
      <c r="D5" s="57"/>
      <c r="E5" s="57"/>
    </row>
    <row r="6" spans="1:5" outlineLevel="1" x14ac:dyDescent="0.2">
      <c r="B6" s="69">
        <v>2026</v>
      </c>
    </row>
    <row r="7" spans="1:5" outlineLevel="1" x14ac:dyDescent="0.2">
      <c r="A7" s="85" t="s">
        <v>245</v>
      </c>
      <c r="B7" s="198" t="s">
        <v>955</v>
      </c>
      <c r="C7" s="584">
        <v>0.79210000000000003</v>
      </c>
      <c r="D7" s="584">
        <v>0.76519999999999999</v>
      </c>
      <c r="E7" s="584">
        <v>0.76219999999999999</v>
      </c>
    </row>
    <row r="8" spans="1:5" ht="11.4" outlineLevel="1" x14ac:dyDescent="0.25">
      <c r="A8" s="85" t="s">
        <v>956</v>
      </c>
      <c r="B8" s="63" t="s">
        <v>1207</v>
      </c>
      <c r="C8" s="64" t="s">
        <v>275</v>
      </c>
      <c r="D8" s="64" t="s">
        <v>276</v>
      </c>
      <c r="E8" s="64" t="s">
        <v>276</v>
      </c>
    </row>
    <row r="9" spans="1:5" ht="11.4" outlineLevel="1" x14ac:dyDescent="0.25">
      <c r="A9" s="85" t="s">
        <v>560</v>
      </c>
      <c r="B9" s="198" t="s">
        <v>1208</v>
      </c>
      <c r="C9" s="583">
        <v>0.68</v>
      </c>
      <c r="D9" s="583">
        <v>0.45</v>
      </c>
      <c r="E9" s="583">
        <v>0</v>
      </c>
    </row>
    <row r="10" spans="1:5" s="137" customFormat="1" ht="11.4" outlineLevel="1" x14ac:dyDescent="0.25">
      <c r="A10" s="85" t="s">
        <v>6455</v>
      </c>
      <c r="B10" s="465" t="s">
        <v>1221</v>
      </c>
      <c r="C10" s="586" t="str" cm="1">
        <f t="array" ref="C10">IFERROR(INDEX('Parametri MTR-3'!$Y$18:$Y$26,MATCH(1,(C9&gt;='Parametri MTR-3'!$V$18:$V$26)*(C9&lt;'Parametri MTR-3'!$W$18:$W$26),0)),0)</f>
        <v>C</v>
      </c>
      <c r="D10" s="586" t="str" cm="1">
        <f t="array" ref="D10">IFERROR(INDEX('Parametri MTR-3'!$Y$18:$Y$26,MATCH(1,(D9&gt;='Parametri MTR-3'!$V$18:$V$26)*(D9&lt;'Parametri MTR-3'!$W$18:$W$26),0)),0)</f>
        <v>E</v>
      </c>
      <c r="E10" s="586" t="str" cm="1">
        <f t="array" ref="E10">IFERROR(INDEX('Parametri MTR-3'!$Y$18:$Y$26,MATCH(1,(E9&gt;='Parametri MTR-3'!$V$18:$V$26)*(E9&lt;'Parametri MTR-3'!$W$18:$W$26),0)),0)</f>
        <v>I</v>
      </c>
    </row>
    <row r="11" spans="1:5" ht="11.4" outlineLevel="1" x14ac:dyDescent="0.25">
      <c r="A11" s="85" t="s">
        <v>6456</v>
      </c>
      <c r="B11" s="590" t="s">
        <v>1235</v>
      </c>
      <c r="C11" s="588">
        <f>IFERROR(MIN(C9+INDEX('Parametri MTR-3'!$X$18:$X$26,MATCH(C10,'Parametri MTR-3'!$Y$18:$Y$26,0))+INDEX('Parametri MTR-3'!$X$18:$X$26,MATCH(C36,'Parametri MTR-3'!$Y$18:$Y$26)),0.85),"errore")</f>
        <v>0.72000000000000008</v>
      </c>
      <c r="D11" s="588">
        <f>IFERROR(MIN(D9+INDEX('Parametri MTR-3'!$X$18:$X$26,MATCH(D10,'Parametri MTR-3'!$Y$18:$Y$26,0))+INDEX('Parametri MTR-3'!$X$18:$X$26,MATCH(D36,'Parametri MTR-3'!$Y$18:$Y$26)),0.85),"errore")</f>
        <v>0.51</v>
      </c>
      <c r="E11" s="588">
        <f>IFERROR(MIN(E9+INDEX('Parametri MTR-3'!$X$18:$X$26,MATCH(E10,'Parametri MTR-3'!$Y$18:$Y$26,0))+INDEX('Parametri MTR-3'!$X$18:$X$26,MATCH(E36,'Parametri MTR-3'!$Y$18:$Y$26)),0.85),"errore")</f>
        <v>0.1</v>
      </c>
    </row>
    <row r="12" spans="1:5" s="137" customFormat="1" ht="11.4" outlineLevel="1" x14ac:dyDescent="0.25">
      <c r="A12" s="85" t="s">
        <v>6460</v>
      </c>
      <c r="B12" s="465" t="s">
        <v>1230</v>
      </c>
      <c r="C12" s="586" t="str" cm="1">
        <f t="array" ref="C12">IFERROR(INDEX('Parametri MTR-3'!$Y$18:$Y$26,MATCH(1,(C11&gt;='Parametri MTR-3'!$V$18:$V$26)*(C11&lt;'Parametri MTR-3'!$W$18:$W$26),0)),0)</f>
        <v>C</v>
      </c>
      <c r="D12" s="586" t="str" cm="1">
        <f t="array" ref="D12">IFERROR(INDEX('Parametri MTR-3'!$Y$18:$Y$26,MATCH(1,(D11&gt;='Parametri MTR-3'!$V$18:$V$26)*(D11&lt;'Parametri MTR-3'!$W$18:$W$26),0)),0)</f>
        <v>E</v>
      </c>
      <c r="E12" s="586" t="str" cm="1">
        <f t="array" ref="E12">IFERROR(INDEX('Parametri MTR-3'!$Y$18:$Y$26,MATCH(1,(E11&gt;='Parametri MTR-3'!$V$18:$V$26)*(E11&lt;'Parametri MTR-3'!$W$18:$W$26),0)),0)</f>
        <v>I</v>
      </c>
    </row>
    <row r="13" spans="1:5" ht="11.4" outlineLevel="1" x14ac:dyDescent="0.25">
      <c r="A13" s="85" t="s">
        <v>948</v>
      </c>
      <c r="B13" s="449" t="s">
        <v>1218</v>
      </c>
      <c r="C13" s="587">
        <f>'R1-R2'!C21</f>
        <v>0.67830737475829184</v>
      </c>
      <c r="D13" s="587">
        <f>'R1-R2'!D21</f>
        <v>0.44675035191520296</v>
      </c>
      <c r="E13" s="587">
        <f>'R1-R2'!E21</f>
        <v>0</v>
      </c>
    </row>
    <row r="14" spans="1:5" s="137" customFormat="1" ht="11.4" outlineLevel="1" x14ac:dyDescent="0.25">
      <c r="A14" s="85" t="s">
        <v>6457</v>
      </c>
      <c r="B14" s="465" t="s">
        <v>1222</v>
      </c>
      <c r="C14" s="586" t="str" cm="1">
        <f t="array" ref="C14">IFERROR(INDEX('Parametri MTR-3'!$Y$18:$Y$26,MATCH(1,(C13&gt;='Parametri MTR-3'!$V$18:$V$26)*(C13&lt;'Parametri MTR-3'!$W$18:$W$26),0)),0)</f>
        <v>C</v>
      </c>
      <c r="D14" s="586" t="str" cm="1">
        <f t="array" ref="D14">IFERROR(INDEX('Parametri MTR-3'!$Y$18:$Y$26,MATCH(1,(D13&gt;='Parametri MTR-3'!$V$18:$V$26)*(D13&lt;'Parametri MTR-3'!$W$18:$W$26),0)),0)</f>
        <v>F</v>
      </c>
      <c r="E14" s="586" t="str" cm="1">
        <f t="array" ref="E14">IFERROR(INDEX('Parametri MTR-3'!$Y$18:$Y$26,MATCH(1,(E13&gt;='Parametri MTR-3'!$V$18:$V$26)*(E13&lt;'Parametri MTR-3'!$W$18:$W$26),0)),0)</f>
        <v>I</v>
      </c>
    </row>
    <row r="15" spans="1:5" ht="11.4" outlineLevel="1" x14ac:dyDescent="0.25">
      <c r="A15" s="85" t="s">
        <v>6458</v>
      </c>
      <c r="B15" s="590" t="s">
        <v>1236</v>
      </c>
      <c r="C15" s="588">
        <f>IFERROR(MIN(C13+INDEX('Parametri MTR-3'!$X$18:$X$26,MATCH(C14,'Parametri MTR-3'!$Y$18:$Y$26,0))+INDEX('Parametri MTR-3'!$X$18:$X$26,MATCH(C40,'Parametri MTR-3'!$Y$18:$Y$26)),0.85),"errore")</f>
        <v>0.71830737475829187</v>
      </c>
      <c r="D15" s="588">
        <f>IFERROR(MIN(D13+INDEX('Parametri MTR-3'!$X$18:$X$26,MATCH(D14,'Parametri MTR-3'!$Y$18:$Y$26,0))+INDEX('Parametri MTR-3'!$X$18:$X$26,MATCH(D40,'Parametri MTR-3'!$Y$18:$Y$26)),0.85),"errore")</f>
        <v>0.51675035191520302</v>
      </c>
      <c r="E15" s="588">
        <f>IFERROR(MIN(E13+INDEX('Parametri MTR-3'!$X$18:$X$26,MATCH(E14,'Parametri MTR-3'!$Y$18:$Y$26,0))+INDEX('Parametri MTR-3'!$X$18:$X$26,MATCH(E40,'Parametri MTR-3'!$Y$18:$Y$26)),0.85),"errore")</f>
        <v>0.1</v>
      </c>
    </row>
    <row r="16" spans="1:5" s="137" customFormat="1" ht="11.4" outlineLevel="1" x14ac:dyDescent="0.25">
      <c r="A16" s="85" t="s">
        <v>6461</v>
      </c>
      <c r="B16" s="465" t="s">
        <v>1223</v>
      </c>
      <c r="C16" s="586" t="str" cm="1">
        <f t="array" ref="C16">IFERROR(INDEX('Parametri MTR-3'!$Y$18:$Y$26,MATCH(1,(C15&gt;='Parametri MTR-3'!$V$18:$V$26)*(C15&lt;'Parametri MTR-3'!$W$18:$W$26),0)),0)</f>
        <v>C</v>
      </c>
      <c r="D16" s="586" t="str" cm="1">
        <f t="array" ref="D16">IFERROR(INDEX('Parametri MTR-3'!$Y$18:$Y$26,MATCH(1,(D15&gt;='Parametri MTR-3'!$V$18:$V$26)*(D15&lt;'Parametri MTR-3'!$W$18:$W$26),0)),0)</f>
        <v>E</v>
      </c>
      <c r="E16" s="586" t="str" cm="1">
        <f t="array" ref="E16">IFERROR(INDEX('Parametri MTR-3'!$Y$18:$Y$26,MATCH(1,(E15&gt;='Parametri MTR-3'!$V$18:$V$26)*(E15&lt;'Parametri MTR-3'!$W$18:$W$26),0)),0)</f>
        <v>I</v>
      </c>
    </row>
    <row r="17" spans="1:5" ht="11.4" outlineLevel="1" x14ac:dyDescent="0.25">
      <c r="A17" s="85" t="s">
        <v>957</v>
      </c>
      <c r="B17" s="528" t="s">
        <v>1220</v>
      </c>
      <c r="C17" s="529" t="str">
        <f>IF(C13="","NON SODDISFACENTE",
IF(OR(C13&gt;0.85,C13&gt;=C11),"SODDISFACENTE","NON SODDISFACENTE"))</f>
        <v>NON SODDISFACENTE</v>
      </c>
      <c r="D17" s="529" t="str">
        <f>IF(D13="","NON SODDISFACENTE",
IF(OR(D13&gt;0.85,D13&gt;=D11),"SODDISFACENTE","NON SODDISFACENTE"))</f>
        <v>NON SODDISFACENTE</v>
      </c>
      <c r="E17" s="529" t="str">
        <f>IF(E13="","NON SODDISFACENTE",
IF(OR(E13&gt;0.85,E13&gt;=E11),"SODDISFACENTE","NON SODDISFACENTE"))</f>
        <v>NON SODDISFACENTE</v>
      </c>
    </row>
    <row r="18" spans="1:5" outlineLevel="1" x14ac:dyDescent="0.2">
      <c r="B18" s="82"/>
      <c r="C18" s="577"/>
      <c r="D18" s="577"/>
      <c r="E18" s="577"/>
    </row>
    <row r="19" spans="1:5" ht="11.4" outlineLevel="1" x14ac:dyDescent="0.25">
      <c r="B19" s="56" t="s">
        <v>958</v>
      </c>
      <c r="C19" s="60" t="str">
        <f>IF(C8="SODDISFACENTE","-0,2&lt;ɣ1≤0",
IF(C8="NON SODDISFACENTE","-0,4≤ɣ1≤-0,2","-"))</f>
        <v>-0,2&lt;ɣ1≤0</v>
      </c>
      <c r="D19" s="60" t="str">
        <f>IF(D8="SODDISFACENTE","-0,2&lt;ɣ1≤0",
IF(D8="NON SODDISFACENTE","-0,4≤ɣ1≤-0,2","-"))</f>
        <v>-0,4≤ɣ1≤-0,2</v>
      </c>
      <c r="E19" s="60" t="str">
        <f>IF(E8="SODDISFACENTE","-0,2&lt;ɣ1≤0",
IF(E8="NON SODDISFACENTE","-0,4≤ɣ1≤-0,2","-"))</f>
        <v>-0,4≤ɣ1≤-0,2</v>
      </c>
    </row>
    <row r="20" spans="1:5" ht="11.4" outlineLevel="1" x14ac:dyDescent="0.25">
      <c r="A20" s="85" t="s">
        <v>966</v>
      </c>
      <c r="B20" s="55" t="s">
        <v>959</v>
      </c>
      <c r="C20" s="592">
        <v>0</v>
      </c>
      <c r="D20" s="592">
        <v>0</v>
      </c>
      <c r="E20" s="592">
        <v>0</v>
      </c>
    </row>
    <row r="21" spans="1:5" ht="11.4" outlineLevel="1" x14ac:dyDescent="0.25">
      <c r="B21" s="56" t="s">
        <v>961</v>
      </c>
      <c r="C21" s="60" t="str">
        <f>IF(C17="SODDISFACENTE","-0,15&lt;ɣ2≤0",
IF(C17="NON SODDISFACENTE","-0,3≤ɣ2≤-0,15","-"))</f>
        <v>-0,3≤ɣ2≤-0,15</v>
      </c>
      <c r="D21" s="60" t="str">
        <f>IF(D17="SODDISFACENTE","-0,15&lt;ɣ2≤0",
IF(D17="NON SODDISFACENTE","-0,3≤ɣ2≤-0,15","-"))</f>
        <v>-0,3≤ɣ2≤-0,15</v>
      </c>
      <c r="E21" s="60" t="str">
        <f>IF(E17="SODDISFACENTE","-0,15&lt;ɣ2≤0",
IF(E17="NON SODDISFACENTE","-0,3≤ɣ2≤-0,15","-"))</f>
        <v>-0,3≤ɣ2≤-0,15</v>
      </c>
    </row>
    <row r="22" spans="1:5" ht="11.4" outlineLevel="1" x14ac:dyDescent="0.25">
      <c r="A22" s="85" t="s">
        <v>967</v>
      </c>
      <c r="B22" s="55" t="s">
        <v>960</v>
      </c>
      <c r="C22" s="592">
        <v>0</v>
      </c>
      <c r="D22" s="592">
        <v>0</v>
      </c>
      <c r="E22" s="592">
        <v>0</v>
      </c>
    </row>
    <row r="23" spans="1:5" ht="11.4" outlineLevel="1" x14ac:dyDescent="0.25">
      <c r="B23" s="56" t="s">
        <v>962</v>
      </c>
      <c r="C23" s="383">
        <f>C20+C22</f>
        <v>0</v>
      </c>
      <c r="D23" s="383">
        <f>D20+D22</f>
        <v>0</v>
      </c>
      <c r="E23" s="383">
        <f>E20+E22</f>
        <v>0</v>
      </c>
    </row>
    <row r="24" spans="1:5" ht="11.4" outlineLevel="1" x14ac:dyDescent="0.25">
      <c r="B24" s="56" t="s">
        <v>963</v>
      </c>
      <c r="C24" s="383">
        <f>1+C23</f>
        <v>1</v>
      </c>
      <c r="D24" s="383">
        <f>1+D23</f>
        <v>1</v>
      </c>
      <c r="E24" s="383">
        <f>1+E23</f>
        <v>1</v>
      </c>
    </row>
    <row r="25" spans="1:5" outlineLevel="1" x14ac:dyDescent="0.2">
      <c r="B25" s="56" t="s">
        <v>1261</v>
      </c>
      <c r="C25" s="383" t="str">
        <f>IF(C24&lt;=0.5,"LIVELLO INSODDISFACENTE O INTERMEDIO","LIVELLO AVANZATO")</f>
        <v>LIVELLO AVANZATO</v>
      </c>
      <c r="D25" s="383" t="str">
        <f>IF(D24&lt;=0.5,"LIVELLO INSODDISFACENTE O INTERMEDIO","LIVELLO AVANZATO")</f>
        <v>LIVELLO AVANZATO</v>
      </c>
      <c r="E25" s="383" t="str">
        <f>IF(E24&lt;=0.5,"LIVELLO INSODDISFACENTE O INTERMEDIO","LIVELLO AVANZATO")</f>
        <v>LIVELLO AVANZATO</v>
      </c>
    </row>
    <row r="26" spans="1:5" outlineLevel="1" x14ac:dyDescent="0.2">
      <c r="B26" s="82"/>
      <c r="C26" s="577"/>
      <c r="D26" s="577"/>
      <c r="E26" s="577"/>
    </row>
    <row r="27" spans="1:5" ht="11.4" outlineLevel="1" x14ac:dyDescent="0.25">
      <c r="A27" s="85" t="s">
        <v>1262</v>
      </c>
      <c r="B27" s="449" t="s">
        <v>1263</v>
      </c>
      <c r="C27" s="587">
        <f>'R1-R2'!C25</f>
        <v>0.56000000000000005</v>
      </c>
      <c r="D27" s="587">
        <f>'R1-R2'!D25</f>
        <v>0.56000000000000005</v>
      </c>
      <c r="E27" s="587">
        <f>'R1-R2'!E25</f>
        <v>0.56000000000000005</v>
      </c>
    </row>
    <row r="28" spans="1:5" s="137" customFormat="1" ht="11.4" outlineLevel="1" x14ac:dyDescent="0.25">
      <c r="A28" s="85" t="s">
        <v>6462</v>
      </c>
      <c r="B28" s="465" t="s">
        <v>1264</v>
      </c>
      <c r="C28" s="586" t="str" cm="1">
        <f t="array" ref="C28">IFERROR(INDEX('Parametri MTR-3'!$Y$33:$Y$39,MATCH(1,(C27&gt;='Parametri MTR-3'!$V$33:$V$39)*(C27&lt;'Parametri MTR-3'!$W$33:$W$39),0)),0)</f>
        <v>G</v>
      </c>
      <c r="D28" s="586" t="str" cm="1">
        <f t="array" ref="D28">IFERROR(INDEX('Parametri MTR-3'!$Y$33:$Y$39,MATCH(1,(D27&gt;='Parametri MTR-3'!$V$33:$V$39)*(D27&lt;'Parametri MTR-3'!$W$33:$W$39),0)),0)</f>
        <v>G</v>
      </c>
      <c r="E28" s="586" t="str" cm="1">
        <f t="array" ref="E28">IFERROR(INDEX('Parametri MTR-3'!$Y$33:$Y$39,MATCH(1,(E27&gt;='Parametri MTR-3'!$V$33:$V$39)*(E27&lt;'Parametri MTR-3'!$W$33:$W$39),0)),0)</f>
        <v>G</v>
      </c>
    </row>
    <row r="29" spans="1:5" ht="11.4" outlineLevel="1" x14ac:dyDescent="0.25">
      <c r="A29" s="85" t="s">
        <v>6463</v>
      </c>
      <c r="B29" s="590" t="s">
        <v>1265</v>
      </c>
      <c r="C29" s="588">
        <f>IFERROR(C53+INDEX('Parametri MTR-3'!$X$33:$X$39,MATCH(C54,'Parametri MTR-3'!$Y$33:$Y$39,0))+INDEX('Parametri MTR-3'!$X$33:$X$39,MATCH(C54,'Parametri MTR-3'!$Y$33:$Y$39)),"errore")</f>
        <v>0.66000000000000014</v>
      </c>
      <c r="D29" s="588">
        <f>IFERROR(D53+INDEX('Parametri MTR-3'!$X$33:$X$39,MATCH(D54,'Parametri MTR-3'!$Y$33:$Y$39,0))+INDEX('Parametri MTR-3'!$X$33:$X$39,MATCH(D54,'Parametri MTR-3'!$Y$33:$Y$39)),"errore")</f>
        <v>0.66000000000000014</v>
      </c>
      <c r="E29" s="588">
        <f>IFERROR(E53+INDEX('Parametri MTR-3'!$X$33:$X$39,MATCH(E54,'Parametri MTR-3'!$Y$33:$Y$39,0))+INDEX('Parametri MTR-3'!$X$33:$X$39,MATCH(E54,'Parametri MTR-3'!$Y$33:$Y$39)),"errore")</f>
        <v>0.66000000000000014</v>
      </c>
    </row>
    <row r="30" spans="1:5" s="137" customFormat="1" ht="11.4" outlineLevel="1" x14ac:dyDescent="0.25">
      <c r="A30" s="85" t="s">
        <v>6464</v>
      </c>
      <c r="B30" s="465" t="s">
        <v>1273</v>
      </c>
      <c r="C30" s="586" t="str" cm="1">
        <f t="array" ref="C30">IFERROR(INDEX('Parametri MTR-3'!$Y$18:$Y$26,MATCH(1,(C29&gt;='Parametri MTR-3'!$V$18:$V$26)*(C29&lt;'Parametri MTR-3'!$W$18:$W$26),0)),0)</f>
        <v>C</v>
      </c>
      <c r="D30" s="586" t="str" cm="1">
        <f t="array" ref="D30">IFERROR(INDEX('Parametri MTR-3'!$Y$18:$Y$26,MATCH(1,(D29&gt;='Parametri MTR-3'!$V$18:$V$26)*(D29&lt;'Parametri MTR-3'!$W$18:$W$26),0)),0)</f>
        <v>C</v>
      </c>
      <c r="E30" s="586" t="str" cm="1">
        <f t="array" ref="E30">IFERROR(INDEX('Parametri MTR-3'!$Y$18:$Y$26,MATCH(1,(E29&gt;='Parametri MTR-3'!$V$18:$V$26)*(E29&lt;'Parametri MTR-3'!$W$18:$W$26),0)),0)</f>
        <v>C</v>
      </c>
    </row>
    <row r="31" spans="1:5" outlineLevel="1" x14ac:dyDescent="0.2">
      <c r="B31" s="82"/>
      <c r="C31" s="577"/>
      <c r="D31" s="577"/>
      <c r="E31" s="577"/>
    </row>
    <row r="32" spans="1:5" outlineLevel="1" x14ac:dyDescent="0.2">
      <c r="B32" s="69">
        <v>2027</v>
      </c>
    </row>
    <row r="33" spans="1:5" outlineLevel="1" x14ac:dyDescent="0.2">
      <c r="A33" s="85" t="s">
        <v>246</v>
      </c>
      <c r="B33" s="198" t="s">
        <v>969</v>
      </c>
      <c r="C33" s="584">
        <v>0.81310000000000004</v>
      </c>
      <c r="D33" s="584">
        <v>0.77190000000000003</v>
      </c>
      <c r="E33" s="584">
        <v>0.79579999999999995</v>
      </c>
    </row>
    <row r="34" spans="1:5" ht="11.4" outlineLevel="1" x14ac:dyDescent="0.25">
      <c r="A34" s="85" t="s">
        <v>979</v>
      </c>
      <c r="B34" s="63" t="s">
        <v>1224</v>
      </c>
      <c r="C34" s="64" t="s">
        <v>275</v>
      </c>
      <c r="D34" s="64" t="s">
        <v>276</v>
      </c>
      <c r="E34" s="64" t="s">
        <v>276</v>
      </c>
    </row>
    <row r="35" spans="1:5" ht="11.4" outlineLevel="1" x14ac:dyDescent="0.25">
      <c r="A35" s="85" t="s">
        <v>561</v>
      </c>
      <c r="B35" s="449" t="s">
        <v>1225</v>
      </c>
      <c r="C35" s="587">
        <f t="shared" ref="C35" si="0">C9</f>
        <v>0.68</v>
      </c>
      <c r="D35" s="587">
        <f t="shared" ref="D35:E35" si="1">D9</f>
        <v>0.45</v>
      </c>
      <c r="E35" s="587">
        <f t="shared" si="1"/>
        <v>0</v>
      </c>
    </row>
    <row r="36" spans="1:5" s="137" customFormat="1" ht="11.4" outlineLevel="1" x14ac:dyDescent="0.25">
      <c r="A36" s="85" t="s">
        <v>6465</v>
      </c>
      <c r="B36" s="465" t="s">
        <v>1226</v>
      </c>
      <c r="C36" s="586" t="str" cm="1">
        <f t="array" ref="C36">IFERROR(INDEX('Parametri MTR-3'!$Y$18:$Y$26,MATCH(1,(C35&gt;='Parametri MTR-3'!$V$18:$V$26)*(C35&lt;'Parametri MTR-3'!$W$18:$W$26),0)),0)</f>
        <v>C</v>
      </c>
      <c r="D36" s="586" t="str" cm="1">
        <f t="array" ref="D36">IFERROR(INDEX('Parametri MTR-3'!$Y$18:$Y$26,MATCH(1,(D35&gt;='Parametri MTR-3'!$V$18:$V$26)*(D35&lt;'Parametri MTR-3'!$W$18:$W$26),0)),0)</f>
        <v>E</v>
      </c>
      <c r="E36" s="586" t="str" cm="1">
        <f t="array" ref="E36">IFERROR(INDEX('Parametri MTR-3'!$Y$18:$Y$26,MATCH(1,(E35&gt;='Parametri MTR-3'!$V$18:$V$26)*(E35&lt;'Parametri MTR-3'!$W$18:$W$26),0)),0)</f>
        <v>I</v>
      </c>
    </row>
    <row r="37" spans="1:5" ht="11.4" outlineLevel="1" x14ac:dyDescent="0.25">
      <c r="A37" s="85" t="s">
        <v>6466</v>
      </c>
      <c r="B37" s="202" t="s">
        <v>1227</v>
      </c>
      <c r="C37" s="588">
        <f t="shared" ref="C37" si="2">C11</f>
        <v>0.72000000000000008</v>
      </c>
      <c r="D37" s="588">
        <f t="shared" ref="D37:E37" si="3">D11</f>
        <v>0.51</v>
      </c>
      <c r="E37" s="588">
        <f t="shared" si="3"/>
        <v>0.1</v>
      </c>
    </row>
    <row r="38" spans="1:5" s="137" customFormat="1" ht="11.4" outlineLevel="1" x14ac:dyDescent="0.25">
      <c r="A38" s="85" t="s">
        <v>6469</v>
      </c>
      <c r="B38" s="465" t="s">
        <v>1231</v>
      </c>
      <c r="C38" s="586" t="str">
        <f>C12</f>
        <v>C</v>
      </c>
      <c r="D38" s="586" t="str">
        <f>D12</f>
        <v>E</v>
      </c>
      <c r="E38" s="586" t="str">
        <f>E12</f>
        <v>I</v>
      </c>
    </row>
    <row r="39" spans="1:5" ht="11.4" outlineLevel="1" x14ac:dyDescent="0.25">
      <c r="A39" s="85" t="s">
        <v>970</v>
      </c>
      <c r="B39" s="449" t="s">
        <v>1229</v>
      </c>
      <c r="C39" s="587">
        <f t="shared" ref="C39" si="4">C13</f>
        <v>0.67830737475829184</v>
      </c>
      <c r="D39" s="587">
        <f t="shared" ref="D39:E39" si="5">D13</f>
        <v>0.44675035191520296</v>
      </c>
      <c r="E39" s="587">
        <f t="shared" si="5"/>
        <v>0</v>
      </c>
    </row>
    <row r="40" spans="1:5" s="137" customFormat="1" ht="11.4" outlineLevel="1" x14ac:dyDescent="0.25">
      <c r="A40" s="85" t="s">
        <v>6467</v>
      </c>
      <c r="B40" s="465" t="s">
        <v>1228</v>
      </c>
      <c r="C40" s="586" t="str" cm="1">
        <f t="array" ref="C40">IFERROR(INDEX('Parametri MTR-3'!$Y$18:$Y$26,MATCH(1,(C39&gt;='Parametri MTR-3'!$V$18:$V$26)*(C39&lt;'Parametri MTR-3'!$W$18:$W$26),0)),0)</f>
        <v>C</v>
      </c>
      <c r="D40" s="586" t="str" cm="1">
        <f t="array" ref="D40">IFERROR(INDEX('Parametri MTR-3'!$Y$18:$Y$26,MATCH(1,(D39&gt;='Parametri MTR-3'!$V$18:$V$26)*(D39&lt;'Parametri MTR-3'!$W$18:$W$26),0)),0)</f>
        <v>F</v>
      </c>
      <c r="E40" s="586" t="str" cm="1">
        <f t="array" ref="E40">IFERROR(INDEX('Parametri MTR-3'!$Y$18:$Y$26,MATCH(1,(E39&gt;='Parametri MTR-3'!$V$18:$V$26)*(E39&lt;'Parametri MTR-3'!$W$18:$W$26),0)),0)</f>
        <v>I</v>
      </c>
    </row>
    <row r="41" spans="1:5" ht="11.4" outlineLevel="1" x14ac:dyDescent="0.25">
      <c r="A41" s="85" t="s">
        <v>6468</v>
      </c>
      <c r="B41" s="202" t="s">
        <v>1232</v>
      </c>
      <c r="C41" s="588">
        <f t="shared" ref="C41" si="6">C15</f>
        <v>0.71830737475829187</v>
      </c>
      <c r="D41" s="588">
        <f t="shared" ref="D41:E41" si="7">D15</f>
        <v>0.51675035191520302</v>
      </c>
      <c r="E41" s="588">
        <f t="shared" si="7"/>
        <v>0.1</v>
      </c>
    </row>
    <row r="42" spans="1:5" s="137" customFormat="1" ht="11.4" outlineLevel="1" x14ac:dyDescent="0.25">
      <c r="A42" s="85" t="s">
        <v>6470</v>
      </c>
      <c r="B42" s="465" t="s">
        <v>1233</v>
      </c>
      <c r="C42" s="586" t="str">
        <f>C16</f>
        <v>C</v>
      </c>
      <c r="D42" s="586" t="str">
        <f>D16</f>
        <v>E</v>
      </c>
      <c r="E42" s="586" t="str">
        <f>E16</f>
        <v>I</v>
      </c>
    </row>
    <row r="43" spans="1:5" ht="11.4" outlineLevel="1" x14ac:dyDescent="0.25">
      <c r="A43" s="85" t="s">
        <v>980</v>
      </c>
      <c r="B43" s="528" t="s">
        <v>1234</v>
      </c>
      <c r="C43" s="529" t="str">
        <f>IF(C39="","NON SODDISFACENTE",
IF(OR(C39&gt;0.85,C39&gt;=C37),"SODDISFACENTE","NON SODDISFACENTE"))</f>
        <v>NON SODDISFACENTE</v>
      </c>
      <c r="D43" s="529" t="str">
        <f>IF(D39="","NON SODDISFACENTE",
IF(OR(D39&gt;0.85,D39&gt;=D37),"SODDISFACENTE","NON SODDISFACENTE"))</f>
        <v>NON SODDISFACENTE</v>
      </c>
      <c r="E43" s="529" t="str">
        <f>IF(E39="","NON SODDISFACENTE",
IF(OR(E39&gt;0.85,E39&gt;=E37),"SODDISFACENTE","NON SODDISFACENTE"))</f>
        <v>NON SODDISFACENTE</v>
      </c>
    </row>
    <row r="44" spans="1:5" outlineLevel="1" x14ac:dyDescent="0.2">
      <c r="B44" s="82"/>
      <c r="C44" s="577"/>
      <c r="D44" s="577"/>
      <c r="E44" s="577"/>
    </row>
    <row r="45" spans="1:5" ht="11.4" outlineLevel="1" x14ac:dyDescent="0.25">
      <c r="B45" s="56" t="s">
        <v>971</v>
      </c>
      <c r="C45" s="60" t="str">
        <f>IF(C34="SODDISFACENTE","-0,2&lt;ɣ1≤0",
IF(C34="NON SODDISFACENTE","-0,4≤ɣ1≤-0,2","-"))</f>
        <v>-0,2&lt;ɣ1≤0</v>
      </c>
      <c r="D45" s="60" t="str">
        <f>IF(D34="SODDISFACENTE","-0,2&lt;ɣ1≤0",
IF(D34="NON SODDISFACENTE","-0,4≤ɣ1≤-0,2","-"))</f>
        <v>-0,4≤ɣ1≤-0,2</v>
      </c>
      <c r="E45" s="60" t="str">
        <f>IF(E34="SODDISFACENTE","-0,2&lt;ɣ1≤0",
IF(E34="NON SODDISFACENTE","-0,4≤ɣ1≤-0,2","-"))</f>
        <v>-0,4≤ɣ1≤-0,2</v>
      </c>
    </row>
    <row r="46" spans="1:5" ht="11.4" outlineLevel="1" x14ac:dyDescent="0.25">
      <c r="A46" s="85" t="s">
        <v>981</v>
      </c>
      <c r="B46" s="55" t="s">
        <v>972</v>
      </c>
      <c r="C46" s="592">
        <v>0</v>
      </c>
      <c r="D46" s="592">
        <v>0</v>
      </c>
      <c r="E46" s="592">
        <v>0</v>
      </c>
    </row>
    <row r="47" spans="1:5" ht="11.4" outlineLevel="1" x14ac:dyDescent="0.25">
      <c r="B47" s="56" t="s">
        <v>973</v>
      </c>
      <c r="C47" s="60" t="str">
        <f>IF(C43="SODDISFACENTE","-0,15&lt;ɣ2≤0",
IF(C43="NON SODDISFACENTE","-0,3≤ɣ2≤-0,15","-"))</f>
        <v>-0,3≤ɣ2≤-0,15</v>
      </c>
      <c r="D47" s="60" t="str">
        <f>IF(D43="SODDISFACENTE","-0,15&lt;ɣ2≤0",
IF(D43="NON SODDISFACENTE","-0,3≤ɣ2≤-0,15","-"))</f>
        <v>-0,3≤ɣ2≤-0,15</v>
      </c>
      <c r="E47" s="60" t="str">
        <f>IF(E43="SODDISFACENTE","-0,15&lt;ɣ2≤0",
IF(E43="NON SODDISFACENTE","-0,3≤ɣ2≤-0,15","-"))</f>
        <v>-0,3≤ɣ2≤-0,15</v>
      </c>
    </row>
    <row r="48" spans="1:5" ht="11.4" outlineLevel="1" x14ac:dyDescent="0.25">
      <c r="A48" s="85" t="s">
        <v>982</v>
      </c>
      <c r="B48" s="55" t="s">
        <v>974</v>
      </c>
      <c r="C48" s="592">
        <v>0</v>
      </c>
      <c r="D48" s="592">
        <v>0</v>
      </c>
      <c r="E48" s="592">
        <v>0</v>
      </c>
    </row>
    <row r="49" spans="1:5" ht="11.4" outlineLevel="1" x14ac:dyDescent="0.25">
      <c r="B49" s="56" t="s">
        <v>975</v>
      </c>
      <c r="C49" s="383">
        <f>C46+C48</f>
        <v>0</v>
      </c>
      <c r="D49" s="383">
        <f>D46+D48</f>
        <v>0</v>
      </c>
      <c r="E49" s="383">
        <f>E46+E48</f>
        <v>0</v>
      </c>
    </row>
    <row r="50" spans="1:5" ht="11.4" outlineLevel="1" x14ac:dyDescent="0.25">
      <c r="B50" s="56" t="s">
        <v>976</v>
      </c>
      <c r="C50" s="383">
        <f>1+C49</f>
        <v>1</v>
      </c>
      <c r="D50" s="383">
        <f>1+D49</f>
        <v>1</v>
      </c>
      <c r="E50" s="383">
        <f>1+E49</f>
        <v>1</v>
      </c>
    </row>
    <row r="51" spans="1:5" outlineLevel="1" x14ac:dyDescent="0.2">
      <c r="B51" s="56" t="s">
        <v>1261</v>
      </c>
      <c r="C51" s="383" t="str">
        <f>IF(C50&lt;=0.5,"LIVELLO INSODDISFACENTE O INTERMEDIO","LIVELLO AVANZATO")</f>
        <v>LIVELLO AVANZATO</v>
      </c>
      <c r="D51" s="383" t="str">
        <f>IF(D50&lt;=0.5,"LIVELLO INSODDISFACENTE O INTERMEDIO","LIVELLO AVANZATO")</f>
        <v>LIVELLO AVANZATO</v>
      </c>
      <c r="E51" s="383" t="str">
        <f>IF(E50&lt;=0.5,"LIVELLO INSODDISFACENTE O INTERMEDIO","LIVELLO AVANZATO")</f>
        <v>LIVELLO AVANZATO</v>
      </c>
    </row>
    <row r="52" spans="1:5" outlineLevel="1" x14ac:dyDescent="0.2">
      <c r="B52" s="82"/>
      <c r="C52" s="577"/>
      <c r="D52" s="577"/>
      <c r="E52" s="577"/>
    </row>
    <row r="53" spans="1:5" ht="11.4" outlineLevel="1" x14ac:dyDescent="0.25">
      <c r="A53" s="85" t="s">
        <v>1268</v>
      </c>
      <c r="B53" s="449" t="s">
        <v>1269</v>
      </c>
      <c r="C53" s="587">
        <f>C27</f>
        <v>0.56000000000000005</v>
      </c>
      <c r="D53" s="587">
        <f>D27</f>
        <v>0.56000000000000005</v>
      </c>
      <c r="E53" s="587">
        <f>E27</f>
        <v>0.56000000000000005</v>
      </c>
    </row>
    <row r="54" spans="1:5" ht="11.4" outlineLevel="1" x14ac:dyDescent="0.25">
      <c r="A54" s="85" t="s">
        <v>6471</v>
      </c>
      <c r="B54" s="465" t="s">
        <v>1270</v>
      </c>
      <c r="C54" s="586" t="str" cm="1">
        <f t="array" ref="C54">IFERROR(INDEX('Parametri MTR-3'!$Y$33:$Y$39,MATCH(1,(C53&gt;='Parametri MTR-3'!$V$33:$V$39)*(C53&lt;'Parametri MTR-3'!$W$33:$W$39),0)),0)</f>
        <v>G</v>
      </c>
      <c r="D54" s="586" t="str" cm="1">
        <f t="array" ref="D54">IFERROR(INDEX('Parametri MTR-3'!$Y$33:$Y$39,MATCH(1,(D53&gt;='Parametri MTR-3'!$V$33:$V$39)*(D53&lt;'Parametri MTR-3'!$W$33:$W$39),0)),0)</f>
        <v>G</v>
      </c>
      <c r="E54" s="586" t="str" cm="1">
        <f t="array" ref="E54">IFERROR(INDEX('Parametri MTR-3'!$Y$33:$Y$39,MATCH(1,(E53&gt;='Parametri MTR-3'!$V$33:$V$39)*(E53&lt;'Parametri MTR-3'!$W$33:$W$39),0)),0)</f>
        <v>G</v>
      </c>
    </row>
    <row r="55" spans="1:5" ht="11.4" outlineLevel="1" x14ac:dyDescent="0.25">
      <c r="A55" s="85" t="s">
        <v>6472</v>
      </c>
      <c r="B55" s="590" t="s">
        <v>1271</v>
      </c>
      <c r="C55" s="588">
        <f>C29</f>
        <v>0.66000000000000014</v>
      </c>
      <c r="D55" s="588">
        <f>D29</f>
        <v>0.66000000000000014</v>
      </c>
      <c r="E55" s="588">
        <f>E29</f>
        <v>0.66000000000000014</v>
      </c>
    </row>
    <row r="56" spans="1:5" ht="11.4" outlineLevel="1" x14ac:dyDescent="0.25">
      <c r="A56" s="85" t="s">
        <v>6473</v>
      </c>
      <c r="B56" s="465" t="s">
        <v>1274</v>
      </c>
      <c r="C56" s="586" t="str" cm="1">
        <f t="array" ref="C56">IFERROR(INDEX('Parametri MTR-3'!$Y$18:$Y$26,MATCH(1,(C55&gt;='Parametri MTR-3'!$V$18:$V$26)*(C55&lt;'Parametri MTR-3'!$W$18:$W$26),0)),0)</f>
        <v>C</v>
      </c>
      <c r="D56" s="586" t="str" cm="1">
        <f t="array" ref="D56">IFERROR(INDEX('Parametri MTR-3'!$Y$18:$Y$26,MATCH(1,(D55&gt;='Parametri MTR-3'!$V$18:$V$26)*(D55&lt;'Parametri MTR-3'!$W$18:$W$26),0)),0)</f>
        <v>C</v>
      </c>
      <c r="E56" s="586" t="str" cm="1">
        <f t="array" ref="E56">IFERROR(INDEX('Parametri MTR-3'!$Y$18:$Y$26,MATCH(1,(E55&gt;='Parametri MTR-3'!$V$18:$V$26)*(E55&lt;'Parametri MTR-3'!$W$18:$W$26),0)),0)</f>
        <v>C</v>
      </c>
    </row>
    <row r="57" spans="1:5" outlineLevel="1" x14ac:dyDescent="0.2">
      <c r="B57" s="82"/>
      <c r="C57" s="577"/>
      <c r="D57" s="577"/>
      <c r="E57" s="577"/>
    </row>
    <row r="58" spans="1:5" outlineLevel="1" x14ac:dyDescent="0.2">
      <c r="B58" s="69">
        <v>2028</v>
      </c>
    </row>
    <row r="59" spans="1:5" outlineLevel="1" x14ac:dyDescent="0.2">
      <c r="A59" s="85" t="s">
        <v>1237</v>
      </c>
      <c r="B59" s="449" t="s">
        <v>1238</v>
      </c>
      <c r="C59" s="591">
        <f t="shared" ref="C59" si="8">C33</f>
        <v>0.81310000000000004</v>
      </c>
      <c r="D59" s="591">
        <f t="shared" ref="D59:E59" si="9">D33</f>
        <v>0.77190000000000003</v>
      </c>
      <c r="E59" s="591">
        <f t="shared" si="9"/>
        <v>0.79579999999999995</v>
      </c>
    </row>
    <row r="60" spans="1:5" ht="11.4" outlineLevel="1" x14ac:dyDescent="0.25">
      <c r="A60" s="85" t="s">
        <v>1239</v>
      </c>
      <c r="B60" s="171" t="s">
        <v>1240</v>
      </c>
      <c r="C60" s="221" t="str">
        <f t="shared" ref="C60" si="10">C34</f>
        <v>SODDISFACENTE</v>
      </c>
      <c r="D60" s="221" t="str">
        <f t="shared" ref="D60:E60" si="11">D34</f>
        <v>NON SODDISFACENTE</v>
      </c>
      <c r="E60" s="221" t="str">
        <f t="shared" si="11"/>
        <v>NON SODDISFACENTE</v>
      </c>
    </row>
    <row r="61" spans="1:5" ht="11.4" outlineLevel="1" x14ac:dyDescent="0.25">
      <c r="A61" s="85" t="s">
        <v>948</v>
      </c>
      <c r="B61" s="449" t="s">
        <v>1241</v>
      </c>
      <c r="C61" s="587">
        <f t="shared" ref="C61" si="12">C35</f>
        <v>0.68</v>
      </c>
      <c r="D61" s="587">
        <f t="shared" ref="D61:E61" si="13">D35</f>
        <v>0.45</v>
      </c>
      <c r="E61" s="587">
        <f t="shared" si="13"/>
        <v>0</v>
      </c>
    </row>
    <row r="62" spans="1:5" s="137" customFormat="1" ht="11.4" outlineLevel="1" x14ac:dyDescent="0.25">
      <c r="A62" s="85" t="s">
        <v>6457</v>
      </c>
      <c r="B62" s="465" t="s">
        <v>1222</v>
      </c>
      <c r="C62" s="586" t="str" cm="1">
        <f t="array" ref="C62">IFERROR(INDEX('Parametri MTR-3'!$Y$18:$Y$26,MATCH(1,(C61&gt;='Parametri MTR-3'!$V$18:$V$26)*(C61&lt;'Parametri MTR-3'!$W$18:$W$26),0)),0)</f>
        <v>C</v>
      </c>
      <c r="D62" s="586" t="str" cm="1">
        <f t="array" ref="D62">IFERROR(INDEX('Parametri MTR-3'!$Y$18:$Y$26,MATCH(1,(D61&gt;='Parametri MTR-3'!$V$18:$V$26)*(D61&lt;'Parametri MTR-3'!$W$18:$W$26),0)),0)</f>
        <v>E</v>
      </c>
      <c r="E62" s="586" t="str" cm="1">
        <f t="array" ref="E62">IFERROR(INDEX('Parametri MTR-3'!$Y$18:$Y$26,MATCH(1,(E61&gt;='Parametri MTR-3'!$V$18:$V$26)*(E61&lt;'Parametri MTR-3'!$W$18:$W$26),0)),0)</f>
        <v>I</v>
      </c>
    </row>
    <row r="63" spans="1:5" ht="11.4" outlineLevel="1" x14ac:dyDescent="0.25">
      <c r="A63" s="85" t="s">
        <v>6458</v>
      </c>
      <c r="B63" s="202" t="s">
        <v>1219</v>
      </c>
      <c r="C63" s="588">
        <f t="shared" ref="C63" si="14">C37</f>
        <v>0.72000000000000008</v>
      </c>
      <c r="D63" s="588">
        <f t="shared" ref="D63:E63" si="15">D37</f>
        <v>0.51</v>
      </c>
      <c r="E63" s="588">
        <f t="shared" si="15"/>
        <v>0.1</v>
      </c>
    </row>
    <row r="64" spans="1:5" s="137" customFormat="1" ht="11.4" outlineLevel="1" x14ac:dyDescent="0.25">
      <c r="A64" s="85" t="s">
        <v>6461</v>
      </c>
      <c r="B64" s="465" t="s">
        <v>1233</v>
      </c>
      <c r="C64" s="586" t="str" cm="1">
        <f t="array" ref="C64">IFERROR(INDEX('Parametri MTR-3'!$Y$18:$Y$26,MATCH(1,(C63&gt;='Parametri MTR-3'!$V$18:$V$26)*(C63&lt;'Parametri MTR-3'!$W$18:$W$26),0)),0)</f>
        <v>C</v>
      </c>
      <c r="D64" s="586" t="str" cm="1">
        <f t="array" ref="D64">IFERROR(INDEX('Parametri MTR-3'!$Y$18:$Y$26,MATCH(1,(D63&gt;='Parametri MTR-3'!$V$18:$V$26)*(D63&lt;'Parametri MTR-3'!$W$18:$W$26),0)),0)</f>
        <v>E</v>
      </c>
      <c r="E64" s="586" t="str" cm="1">
        <f t="array" ref="E64">IFERROR(INDEX('Parametri MTR-3'!$Y$18:$Y$26,MATCH(1,(E63&gt;='Parametri MTR-3'!$V$18:$V$26)*(E63&lt;'Parametri MTR-3'!$W$18:$W$26),0)),0)</f>
        <v>I</v>
      </c>
    </row>
    <row r="65" spans="1:5" ht="11.4" outlineLevel="1" x14ac:dyDescent="0.25">
      <c r="A65" s="85" t="s">
        <v>1242</v>
      </c>
      <c r="B65" s="449" t="s">
        <v>1243</v>
      </c>
      <c r="C65" s="587">
        <f t="shared" ref="C65" si="16">C39</f>
        <v>0.67830737475829184</v>
      </c>
      <c r="D65" s="587">
        <f t="shared" ref="D65:E65" si="17">D39</f>
        <v>0.44675035191520296</v>
      </c>
      <c r="E65" s="587">
        <f t="shared" si="17"/>
        <v>0</v>
      </c>
    </row>
    <row r="66" spans="1:5" s="137" customFormat="1" ht="11.4" outlineLevel="1" x14ac:dyDescent="0.25">
      <c r="A66" s="85" t="s">
        <v>6459</v>
      </c>
      <c r="B66" s="465" t="s">
        <v>1223</v>
      </c>
      <c r="C66" s="586" t="str" cm="1">
        <f t="array" ref="C66">IFERROR(INDEX('Parametri MTR-3'!$Y$18:$Y$26,MATCH(1,(C65&gt;='Parametri MTR-3'!$V$18:$V$26)*(C65&lt;'Parametri MTR-3'!$W$18:$W$26),0)),0)</f>
        <v>C</v>
      </c>
      <c r="D66" s="586" t="str" cm="1">
        <f t="array" ref="D66">IFERROR(INDEX('Parametri MTR-3'!$Y$18:$Y$26,MATCH(1,(D65&gt;='Parametri MTR-3'!$V$18:$V$26)*(D65&lt;'Parametri MTR-3'!$W$18:$W$26),0)),0)</f>
        <v>F</v>
      </c>
      <c r="E66" s="586" t="str" cm="1">
        <f t="array" ref="E66">IFERROR(INDEX('Parametri MTR-3'!$Y$18:$Y$26,MATCH(1,(E65&gt;='Parametri MTR-3'!$V$18:$V$26)*(E65&lt;'Parametri MTR-3'!$W$18:$W$26),0)),0)</f>
        <v>I</v>
      </c>
    </row>
    <row r="67" spans="1:5" ht="11.4" outlineLevel="1" x14ac:dyDescent="0.25">
      <c r="A67" s="85" t="s">
        <v>6474</v>
      </c>
      <c r="B67" s="202" t="s">
        <v>1244</v>
      </c>
      <c r="C67" s="588">
        <f t="shared" ref="C67" si="18">C41</f>
        <v>0.71830737475829187</v>
      </c>
      <c r="D67" s="588">
        <f t="shared" ref="D67:E67" si="19">D41</f>
        <v>0.51675035191520302</v>
      </c>
      <c r="E67" s="588">
        <f t="shared" si="19"/>
        <v>0.1</v>
      </c>
    </row>
    <row r="68" spans="1:5" s="137" customFormat="1" ht="11.4" outlineLevel="1" x14ac:dyDescent="0.25">
      <c r="A68" s="85" t="s">
        <v>6475</v>
      </c>
      <c r="B68" s="465" t="s">
        <v>1245</v>
      </c>
      <c r="C68" s="586" t="str" cm="1">
        <f t="array" ref="C68">IFERROR(INDEX('Parametri MTR-3'!$Y$18:$Y$26,MATCH(1,(C67&gt;='Parametri MTR-3'!$V$18:$V$26)*(C67&lt;'Parametri MTR-3'!$W$18:$W$26),0)),0)</f>
        <v>C</v>
      </c>
      <c r="D68" s="586" t="str" cm="1">
        <f t="array" ref="D68">IFERROR(INDEX('Parametri MTR-3'!$Y$18:$Y$26,MATCH(1,(D67&gt;='Parametri MTR-3'!$V$18:$V$26)*(D67&lt;'Parametri MTR-3'!$W$18:$W$26),0)),0)</f>
        <v>E</v>
      </c>
      <c r="E68" s="586" t="str" cm="1">
        <f t="array" ref="E68">IFERROR(INDEX('Parametri MTR-3'!$Y$18:$Y$26,MATCH(1,(E67&gt;='Parametri MTR-3'!$V$18:$V$26)*(E67&lt;'Parametri MTR-3'!$W$18:$W$26),0)),0)</f>
        <v>I</v>
      </c>
    </row>
    <row r="69" spans="1:5" ht="11.4" outlineLevel="1" x14ac:dyDescent="0.25">
      <c r="A69" s="85" t="s">
        <v>1246</v>
      </c>
      <c r="B69" s="528" t="s">
        <v>1247</v>
      </c>
      <c r="C69" s="529" t="str">
        <f>IF(C65="","NON SODDISFACENTE",
IF(OR(C65&gt;0.85,C65&gt;=C63),"SODDISFACENTE","NON SODDISFACENTE"))</f>
        <v>NON SODDISFACENTE</v>
      </c>
      <c r="D69" s="529" t="str">
        <f>IF(D65="","NON SODDISFACENTE",
IF(OR(D65&gt;0.85,D65&gt;=D63),"SODDISFACENTE","NON SODDISFACENTE"))</f>
        <v>NON SODDISFACENTE</v>
      </c>
      <c r="E69" s="529" t="str">
        <f>IF(E65="","NON SODDISFACENTE",
IF(OR(E65&gt;0.85,E65&gt;=E63),"SODDISFACENTE","NON SODDISFACENTE"))</f>
        <v>NON SODDISFACENTE</v>
      </c>
    </row>
    <row r="70" spans="1:5" outlineLevel="1" x14ac:dyDescent="0.2">
      <c r="B70" s="82"/>
      <c r="C70" s="57"/>
      <c r="D70" s="57"/>
      <c r="E70" s="57"/>
    </row>
    <row r="71" spans="1:5" ht="11.4" outlineLevel="1" x14ac:dyDescent="0.25">
      <c r="B71" s="56" t="s">
        <v>1292</v>
      </c>
      <c r="C71" s="60" t="str">
        <f>IF(C60="SODDISFACENTE","-0,2&lt;ɣ1≤0",
IF(C60="NON SODDISFACENTE","-0,4≤ɣ1≤-0,2","-"))</f>
        <v>-0,2&lt;ɣ1≤0</v>
      </c>
      <c r="D71" s="60" t="str">
        <f>IF(D60="SODDISFACENTE","-0,2&lt;ɣ1≤0",
IF(D60="NON SODDISFACENTE","-0,4≤ɣ1≤-0,2","-"))</f>
        <v>-0,4≤ɣ1≤-0,2</v>
      </c>
      <c r="E71" s="60" t="str">
        <f>IF(E60="SODDISFACENTE","-0,2&lt;ɣ1≤0",
IF(E60="NON SODDISFACENTE","-0,4≤ɣ1≤-0,2","-"))</f>
        <v>-0,4≤ɣ1≤-0,2</v>
      </c>
    </row>
    <row r="72" spans="1:5" ht="11.4" outlineLevel="1" x14ac:dyDescent="0.25">
      <c r="A72" s="85" t="s">
        <v>1290</v>
      </c>
      <c r="B72" s="55" t="s">
        <v>1293</v>
      </c>
      <c r="C72" s="592">
        <v>0</v>
      </c>
      <c r="D72" s="592">
        <v>0</v>
      </c>
      <c r="E72" s="592">
        <v>0</v>
      </c>
    </row>
    <row r="73" spans="1:5" ht="11.4" outlineLevel="1" x14ac:dyDescent="0.25">
      <c r="B73" s="56" t="s">
        <v>1294</v>
      </c>
      <c r="C73" s="60" t="str">
        <f>IF(C69="SODDISFACENTE","-0,15&lt;ɣ2≤0",
IF(C69="NON SODDISFACENTE","-0,3≤ɣ2≤-0,15","-"))</f>
        <v>-0,3≤ɣ2≤-0,15</v>
      </c>
      <c r="D73" s="60" t="str">
        <f>IF(D69="SODDISFACENTE","-0,15&lt;ɣ2≤0",
IF(D69="NON SODDISFACENTE","-0,3≤ɣ2≤-0,15","-"))</f>
        <v>-0,3≤ɣ2≤-0,15</v>
      </c>
      <c r="E73" s="60" t="str">
        <f>IF(E69="SODDISFACENTE","-0,15&lt;ɣ2≤0",
IF(E69="NON SODDISFACENTE","-0,3≤ɣ2≤-0,15","-"))</f>
        <v>-0,3≤ɣ2≤-0,15</v>
      </c>
    </row>
    <row r="74" spans="1:5" ht="11.4" outlineLevel="1" x14ac:dyDescent="0.25">
      <c r="A74" s="85" t="s">
        <v>1291</v>
      </c>
      <c r="B74" s="55" t="s">
        <v>1295</v>
      </c>
      <c r="C74" s="592">
        <v>0</v>
      </c>
      <c r="D74" s="592">
        <v>0</v>
      </c>
      <c r="E74" s="592">
        <v>0</v>
      </c>
    </row>
    <row r="75" spans="1:5" ht="11.4" outlineLevel="1" x14ac:dyDescent="0.25">
      <c r="B75" s="56" t="s">
        <v>1296</v>
      </c>
      <c r="C75" s="383">
        <f>C72+C74</f>
        <v>0</v>
      </c>
      <c r="D75" s="383">
        <f>D72+D74</f>
        <v>0</v>
      </c>
      <c r="E75" s="383">
        <f>E72+E74</f>
        <v>0</v>
      </c>
    </row>
    <row r="76" spans="1:5" ht="11.4" outlineLevel="1" x14ac:dyDescent="0.25">
      <c r="B76" s="56" t="s">
        <v>1297</v>
      </c>
      <c r="C76" s="383">
        <f>1+C75</f>
        <v>1</v>
      </c>
      <c r="D76" s="383">
        <f>1+D75</f>
        <v>1</v>
      </c>
      <c r="E76" s="383">
        <f>1+E75</f>
        <v>1</v>
      </c>
    </row>
    <row r="77" spans="1:5" outlineLevel="1" x14ac:dyDescent="0.2">
      <c r="B77" s="56" t="s">
        <v>1261</v>
      </c>
      <c r="C77" s="383" t="str">
        <f>IF(C76&lt;=0.5,"LIVELLO INSODDISFACENTE O INTERMEDIO","LIVELLO AVANZATO")</f>
        <v>LIVELLO AVANZATO</v>
      </c>
      <c r="D77" s="383" t="str">
        <f>IF(D76&lt;=0.5,"LIVELLO INSODDISFACENTE O INTERMEDIO","LIVELLO AVANZATO")</f>
        <v>LIVELLO AVANZATO</v>
      </c>
      <c r="E77" s="383" t="str">
        <f>IF(E76&lt;=0.5,"LIVELLO INSODDISFACENTE O INTERMEDIO","LIVELLO AVANZATO")</f>
        <v>LIVELLO AVANZATO</v>
      </c>
    </row>
    <row r="78" spans="1:5" outlineLevel="1" x14ac:dyDescent="0.2">
      <c r="B78" s="82"/>
      <c r="C78" s="57"/>
      <c r="D78" s="57"/>
      <c r="E78" s="57"/>
    </row>
    <row r="79" spans="1:5" ht="11.4" outlineLevel="1" x14ac:dyDescent="0.25">
      <c r="A79" s="85" t="s">
        <v>1275</v>
      </c>
      <c r="B79" s="449" t="s">
        <v>1276</v>
      </c>
      <c r="C79" s="587">
        <f>C53</f>
        <v>0.56000000000000005</v>
      </c>
      <c r="D79" s="587">
        <f>D53</f>
        <v>0.56000000000000005</v>
      </c>
      <c r="E79" s="587">
        <f>E53</f>
        <v>0.56000000000000005</v>
      </c>
    </row>
    <row r="80" spans="1:5" ht="11.4" outlineLevel="1" x14ac:dyDescent="0.25">
      <c r="A80" s="85" t="s">
        <v>6476</v>
      </c>
      <c r="B80" s="465" t="s">
        <v>1266</v>
      </c>
      <c r="C80" s="586" t="str" cm="1">
        <f t="array" ref="C80">IFERROR(INDEX('Parametri MTR-3'!$Y$33:$Y$39,MATCH(1,(C79&gt;='Parametri MTR-3'!$V$33:$V$39)*(C79&lt;'Parametri MTR-3'!$W$33:$W$39),0)),0)</f>
        <v>G</v>
      </c>
      <c r="D80" s="586" t="str" cm="1">
        <f t="array" ref="D80">IFERROR(INDEX('Parametri MTR-3'!$Y$33:$Y$39,MATCH(1,(D79&gt;='Parametri MTR-3'!$V$33:$V$39)*(D79&lt;'Parametri MTR-3'!$W$33:$W$39),0)),0)</f>
        <v>G</v>
      </c>
      <c r="E80" s="586" t="str" cm="1">
        <f t="array" ref="E80">IFERROR(INDEX('Parametri MTR-3'!$Y$33:$Y$39,MATCH(1,(E79&gt;='Parametri MTR-3'!$V$33:$V$39)*(E79&lt;'Parametri MTR-3'!$W$33:$W$39),0)),0)</f>
        <v>G</v>
      </c>
    </row>
    <row r="81" spans="1:5" ht="11.4" outlineLevel="1" x14ac:dyDescent="0.25">
      <c r="A81" s="85" t="s">
        <v>6477</v>
      </c>
      <c r="B81" s="590" t="s">
        <v>1277</v>
      </c>
      <c r="C81" s="588">
        <f>C55</f>
        <v>0.66000000000000014</v>
      </c>
      <c r="D81" s="588">
        <f>D55</f>
        <v>0.66000000000000014</v>
      </c>
      <c r="E81" s="588">
        <f>E55</f>
        <v>0.66000000000000014</v>
      </c>
    </row>
    <row r="82" spans="1:5" ht="11.4" outlineLevel="1" x14ac:dyDescent="0.25">
      <c r="A82" s="85" t="s">
        <v>6478</v>
      </c>
      <c r="B82" s="465" t="s">
        <v>1278</v>
      </c>
      <c r="C82" s="586" t="str" cm="1">
        <f t="array" ref="C82">IFERROR(INDEX('Parametri MTR-3'!$Y$18:$Y$26,MATCH(1,(C81&gt;='Parametri MTR-3'!$V$18:$V$26)*(C81&lt;'Parametri MTR-3'!$W$18:$W$26),0)),0)</f>
        <v>C</v>
      </c>
      <c r="D82" s="586" t="str" cm="1">
        <f t="array" ref="D82">IFERROR(INDEX('Parametri MTR-3'!$Y$18:$Y$26,MATCH(1,(D81&gt;='Parametri MTR-3'!$V$18:$V$26)*(D81&lt;'Parametri MTR-3'!$W$18:$W$26),0)),0)</f>
        <v>C</v>
      </c>
      <c r="E82" s="586" t="str" cm="1">
        <f t="array" ref="E82">IFERROR(INDEX('Parametri MTR-3'!$Y$18:$Y$26,MATCH(1,(E81&gt;='Parametri MTR-3'!$V$18:$V$26)*(E81&lt;'Parametri MTR-3'!$W$18:$W$26),0)),0)</f>
        <v>C</v>
      </c>
    </row>
    <row r="83" spans="1:5" outlineLevel="1" x14ac:dyDescent="0.2">
      <c r="B83" s="82"/>
      <c r="C83" s="577"/>
      <c r="D83" s="577"/>
      <c r="E83" s="577"/>
    </row>
    <row r="84" spans="1:5" outlineLevel="1" x14ac:dyDescent="0.2">
      <c r="B84" s="69">
        <v>2029</v>
      </c>
    </row>
    <row r="85" spans="1:5" outlineLevel="1" x14ac:dyDescent="0.2">
      <c r="A85" s="85" t="s">
        <v>1249</v>
      </c>
      <c r="B85" s="449" t="s">
        <v>1248</v>
      </c>
      <c r="C85" s="591">
        <f t="shared" ref="C85:E87" si="20">C59</f>
        <v>0.81310000000000004</v>
      </c>
      <c r="D85" s="591">
        <f t="shared" si="20"/>
        <v>0.77190000000000003</v>
      </c>
      <c r="E85" s="591">
        <f t="shared" si="20"/>
        <v>0.79579999999999995</v>
      </c>
    </row>
    <row r="86" spans="1:5" ht="11.4" outlineLevel="1" x14ac:dyDescent="0.25">
      <c r="A86" s="85" t="s">
        <v>1250</v>
      </c>
      <c r="B86" s="171" t="s">
        <v>1251</v>
      </c>
      <c r="C86" s="221" t="str">
        <f t="shared" si="20"/>
        <v>SODDISFACENTE</v>
      </c>
      <c r="D86" s="221" t="str">
        <f t="shared" si="20"/>
        <v>NON SODDISFACENTE</v>
      </c>
      <c r="E86" s="221" t="str">
        <f t="shared" si="20"/>
        <v>NON SODDISFACENTE</v>
      </c>
    </row>
    <row r="87" spans="1:5" ht="11.4" outlineLevel="1" x14ac:dyDescent="0.25">
      <c r="A87" s="85" t="s">
        <v>970</v>
      </c>
      <c r="B87" s="449" t="s">
        <v>1252</v>
      </c>
      <c r="C87" s="587">
        <f t="shared" si="20"/>
        <v>0.68</v>
      </c>
      <c r="D87" s="587">
        <f t="shared" si="20"/>
        <v>0.45</v>
      </c>
      <c r="E87" s="587">
        <f t="shared" si="20"/>
        <v>0</v>
      </c>
    </row>
    <row r="88" spans="1:5" s="137" customFormat="1" ht="11.4" outlineLevel="1" x14ac:dyDescent="0.25">
      <c r="A88" s="85" t="s">
        <v>6467</v>
      </c>
      <c r="B88" s="465" t="s">
        <v>1228</v>
      </c>
      <c r="C88" s="586" t="str" cm="1">
        <f t="array" ref="C88">IFERROR(INDEX('Parametri MTR-3'!$Y$18:$Y$26,MATCH(1,(C87&gt;='Parametri MTR-3'!$V$18:$V$26)*(C87&lt;'Parametri MTR-3'!$W$18:$W$26),0)),0)</f>
        <v>C</v>
      </c>
      <c r="D88" s="586" t="str" cm="1">
        <f t="array" ref="D88">IFERROR(INDEX('Parametri MTR-3'!$Y$18:$Y$26,MATCH(1,(D87&gt;='Parametri MTR-3'!$V$18:$V$26)*(D87&lt;'Parametri MTR-3'!$W$18:$W$26),0)),0)</f>
        <v>E</v>
      </c>
      <c r="E88" s="586" t="str" cm="1">
        <f t="array" ref="E88">IFERROR(INDEX('Parametri MTR-3'!$Y$18:$Y$26,MATCH(1,(E87&gt;='Parametri MTR-3'!$V$18:$V$26)*(E87&lt;'Parametri MTR-3'!$W$18:$W$26),0)),0)</f>
        <v>I</v>
      </c>
    </row>
    <row r="89" spans="1:5" ht="11.4" outlineLevel="1" x14ac:dyDescent="0.25">
      <c r="A89" s="85" t="s">
        <v>6468</v>
      </c>
      <c r="B89" s="202" t="s">
        <v>1232</v>
      </c>
      <c r="C89" s="588">
        <f>C63</f>
        <v>0.72000000000000008</v>
      </c>
      <c r="D89" s="588">
        <f>D63</f>
        <v>0.51</v>
      </c>
      <c r="E89" s="588">
        <f>E63</f>
        <v>0.1</v>
      </c>
    </row>
    <row r="90" spans="1:5" s="137" customFormat="1" ht="11.4" outlineLevel="1" x14ac:dyDescent="0.25">
      <c r="A90" s="85" t="s">
        <v>6470</v>
      </c>
      <c r="B90" s="465" t="s">
        <v>1253</v>
      </c>
      <c r="C90" s="586" t="str" cm="1">
        <f t="array" ref="C90">IFERROR(INDEX('Parametri MTR-3'!$Y$18:$Y$26,MATCH(1,(C89&gt;='Parametri MTR-3'!$V$18:$V$26)*(C89&lt;'Parametri MTR-3'!$W$18:$W$26),0)),0)</f>
        <v>C</v>
      </c>
      <c r="D90" s="586" t="str" cm="1">
        <f t="array" ref="D90">IFERROR(INDEX('Parametri MTR-3'!$Y$18:$Y$26,MATCH(1,(D89&gt;='Parametri MTR-3'!$V$18:$V$26)*(D89&lt;'Parametri MTR-3'!$W$18:$W$26),0)),0)</f>
        <v>E</v>
      </c>
      <c r="E90" s="586" t="str" cm="1">
        <f t="array" ref="E90">IFERROR(INDEX('Parametri MTR-3'!$Y$18:$Y$26,MATCH(1,(E89&gt;='Parametri MTR-3'!$V$18:$V$26)*(E89&lt;'Parametri MTR-3'!$W$18:$W$26),0)),0)</f>
        <v>I</v>
      </c>
    </row>
    <row r="91" spans="1:5" ht="11.4" outlineLevel="1" x14ac:dyDescent="0.25">
      <c r="A91" s="85" t="s">
        <v>1255</v>
      </c>
      <c r="B91" s="449" t="s">
        <v>1254</v>
      </c>
      <c r="C91" s="587">
        <f>C65</f>
        <v>0.67830737475829184</v>
      </c>
      <c r="D91" s="587">
        <f>D65</f>
        <v>0.44675035191520296</v>
      </c>
      <c r="E91" s="587">
        <f>E65</f>
        <v>0</v>
      </c>
    </row>
    <row r="92" spans="1:5" s="137" customFormat="1" ht="11.4" outlineLevel="1" x14ac:dyDescent="0.25">
      <c r="A92" s="85" t="s">
        <v>6479</v>
      </c>
      <c r="B92" s="465" t="s">
        <v>1256</v>
      </c>
      <c r="C92" s="586" t="str" cm="1">
        <f t="array" ref="C92">IFERROR(INDEX('Parametri MTR-3'!$Y$18:$Y$26,MATCH(1,(C91&gt;='Parametri MTR-3'!$V$18:$V$26)*(C91&lt;'Parametri MTR-3'!$W$18:$W$26),0)),0)</f>
        <v>C</v>
      </c>
      <c r="D92" s="586" t="str" cm="1">
        <f t="array" ref="D92">IFERROR(INDEX('Parametri MTR-3'!$Y$18:$Y$26,MATCH(1,(D91&gt;='Parametri MTR-3'!$V$18:$V$26)*(D91&lt;'Parametri MTR-3'!$W$18:$W$26),0)),0)</f>
        <v>F</v>
      </c>
      <c r="E92" s="586" t="str" cm="1">
        <f t="array" ref="E92">IFERROR(INDEX('Parametri MTR-3'!$Y$18:$Y$26,MATCH(1,(E91&gt;='Parametri MTR-3'!$V$18:$V$26)*(E91&lt;'Parametri MTR-3'!$W$18:$W$26),0)),0)</f>
        <v>I</v>
      </c>
    </row>
    <row r="93" spans="1:5" ht="11.4" outlineLevel="1" x14ac:dyDescent="0.25">
      <c r="A93" s="85" t="s">
        <v>6480</v>
      </c>
      <c r="B93" s="202" t="s">
        <v>1257</v>
      </c>
      <c r="C93" s="588">
        <f>C67</f>
        <v>0.71830737475829187</v>
      </c>
      <c r="D93" s="588">
        <f>D67</f>
        <v>0.51675035191520302</v>
      </c>
      <c r="E93" s="588">
        <f>E67</f>
        <v>0.1</v>
      </c>
    </row>
    <row r="94" spans="1:5" s="137" customFormat="1" ht="11.4" outlineLevel="1" x14ac:dyDescent="0.25">
      <c r="A94" s="85" t="s">
        <v>6481</v>
      </c>
      <c r="B94" s="465" t="s">
        <v>1258</v>
      </c>
      <c r="C94" s="586" t="str" cm="1">
        <f t="array" ref="C94">IFERROR(INDEX('Parametri MTR-3'!$Y$18:$Y$26,MATCH(1,(C93&gt;='Parametri MTR-3'!$V$18:$V$26)*(C93&lt;'Parametri MTR-3'!$W$18:$W$26),0)),0)</f>
        <v>C</v>
      </c>
      <c r="D94" s="586" t="str" cm="1">
        <f t="array" ref="D94">IFERROR(INDEX('Parametri MTR-3'!$Y$18:$Y$26,MATCH(1,(D93&gt;='Parametri MTR-3'!$V$18:$V$26)*(D93&lt;'Parametri MTR-3'!$W$18:$W$26),0)),0)</f>
        <v>E</v>
      </c>
      <c r="E94" s="586" t="str" cm="1">
        <f t="array" ref="E94">IFERROR(INDEX('Parametri MTR-3'!$Y$18:$Y$26,MATCH(1,(E93&gt;='Parametri MTR-3'!$V$18:$V$26)*(E93&lt;'Parametri MTR-3'!$W$18:$W$26),0)),0)</f>
        <v>I</v>
      </c>
    </row>
    <row r="95" spans="1:5" ht="11.4" outlineLevel="1" x14ac:dyDescent="0.25">
      <c r="A95" s="85" t="s">
        <v>1259</v>
      </c>
      <c r="B95" s="528" t="s">
        <v>1260</v>
      </c>
      <c r="C95" s="529" t="str">
        <f>IF(C91="","NON SODDISFACENTE",
IF(OR(C91&gt;0.85,C91&gt;=C89),"SODDISFACENTE","NON SODDISFACENTE"))</f>
        <v>NON SODDISFACENTE</v>
      </c>
      <c r="D95" s="529" t="str">
        <f>IF(D91="","NON SODDISFACENTE",
IF(OR(D91&gt;0.85,D91&gt;=D89),"SODDISFACENTE","NON SODDISFACENTE"))</f>
        <v>NON SODDISFACENTE</v>
      </c>
      <c r="E95" s="529" t="str">
        <f>IF(E91="","NON SODDISFACENTE",
IF(OR(E91&gt;0.85,E91&gt;=E89),"SODDISFACENTE","NON SODDISFACENTE"))</f>
        <v>NON SODDISFACENTE</v>
      </c>
    </row>
    <row r="96" spans="1:5" outlineLevel="1" x14ac:dyDescent="0.2">
      <c r="B96" s="82"/>
      <c r="C96" s="57"/>
      <c r="D96" s="57"/>
      <c r="E96" s="57"/>
    </row>
    <row r="97" spans="1:5" ht="11.4" outlineLevel="1" x14ac:dyDescent="0.25">
      <c r="B97" s="56" t="s">
        <v>1298</v>
      </c>
      <c r="C97" s="60" t="str">
        <f>IF(C86="SODDISFACENTE","-0,2&lt;ɣ1≤0",
IF(C86="NON SODDISFACENTE","-0,4≤ɣ1≤-0,2","-"))</f>
        <v>-0,2&lt;ɣ1≤0</v>
      </c>
      <c r="D97" s="60" t="str">
        <f>IF(D86="SODDISFACENTE","-0,2&lt;ɣ1≤0",
IF(D86="NON SODDISFACENTE","-0,4≤ɣ1≤-0,2","-"))</f>
        <v>-0,4≤ɣ1≤-0,2</v>
      </c>
      <c r="E97" s="60" t="str">
        <f>IF(E86="SODDISFACENTE","-0,2&lt;ɣ1≤0",
IF(E86="NON SODDISFACENTE","-0,4≤ɣ1≤-0,2","-"))</f>
        <v>-0,4≤ɣ1≤-0,2</v>
      </c>
    </row>
    <row r="98" spans="1:5" ht="11.4" outlineLevel="1" x14ac:dyDescent="0.25">
      <c r="A98" s="85" t="s">
        <v>1304</v>
      </c>
      <c r="B98" s="55" t="s">
        <v>1299</v>
      </c>
      <c r="C98" s="592">
        <v>0</v>
      </c>
      <c r="D98" s="592">
        <v>0</v>
      </c>
      <c r="E98" s="592">
        <v>0</v>
      </c>
    </row>
    <row r="99" spans="1:5" ht="11.4" outlineLevel="1" x14ac:dyDescent="0.25">
      <c r="B99" s="56" t="s">
        <v>1300</v>
      </c>
      <c r="C99" s="60" t="str">
        <f>IF(C95="SODDISFACENTE","-0,15&lt;ɣ2≤0",
IF(C95="NON SODDISFACENTE","-0,3≤ɣ2≤-0,15","-"))</f>
        <v>-0,3≤ɣ2≤-0,15</v>
      </c>
      <c r="D99" s="60" t="str">
        <f>IF(D95="SODDISFACENTE","-0,15&lt;ɣ2≤0",
IF(D95="NON SODDISFACENTE","-0,3≤ɣ2≤-0,15","-"))</f>
        <v>-0,3≤ɣ2≤-0,15</v>
      </c>
      <c r="E99" s="60" t="str">
        <f>IF(E95="SODDISFACENTE","-0,15&lt;ɣ2≤0",
IF(E95="NON SODDISFACENTE","-0,3≤ɣ2≤-0,15","-"))</f>
        <v>-0,3≤ɣ2≤-0,15</v>
      </c>
    </row>
    <row r="100" spans="1:5" ht="11.4" outlineLevel="1" x14ac:dyDescent="0.25">
      <c r="A100" s="85" t="s">
        <v>1305</v>
      </c>
      <c r="B100" s="55" t="s">
        <v>1301</v>
      </c>
      <c r="C100" s="592">
        <v>0</v>
      </c>
      <c r="D100" s="592">
        <v>0</v>
      </c>
      <c r="E100" s="592">
        <v>0</v>
      </c>
    </row>
    <row r="101" spans="1:5" ht="11.4" outlineLevel="1" x14ac:dyDescent="0.25">
      <c r="B101" s="56" t="s">
        <v>1302</v>
      </c>
      <c r="C101" s="383">
        <f>C98+C100</f>
        <v>0</v>
      </c>
      <c r="D101" s="383">
        <f>D98+D100</f>
        <v>0</v>
      </c>
      <c r="E101" s="383">
        <f>E98+E100</f>
        <v>0</v>
      </c>
    </row>
    <row r="102" spans="1:5" ht="11.4" outlineLevel="1" x14ac:dyDescent="0.25">
      <c r="B102" s="56" t="s">
        <v>1303</v>
      </c>
      <c r="C102" s="383">
        <f>1+C101</f>
        <v>1</v>
      </c>
      <c r="D102" s="383">
        <f>1+D101</f>
        <v>1</v>
      </c>
      <c r="E102" s="383">
        <f>1+E101</f>
        <v>1</v>
      </c>
    </row>
    <row r="103" spans="1:5" outlineLevel="1" x14ac:dyDescent="0.2">
      <c r="B103" s="56" t="s">
        <v>1261</v>
      </c>
      <c r="C103" s="383" t="str">
        <f>IF(C102&lt;=0.5,"LIVELLO INSODDISFACENTE O INTERMEDIO","LIVELLO AVANZATO")</f>
        <v>LIVELLO AVANZATO</v>
      </c>
      <c r="D103" s="383" t="str">
        <f>IF(D102&lt;=0.5,"LIVELLO INSODDISFACENTE O INTERMEDIO","LIVELLO AVANZATO")</f>
        <v>LIVELLO AVANZATO</v>
      </c>
      <c r="E103" s="383" t="str">
        <f>IF(E102&lt;=0.5,"LIVELLO INSODDISFACENTE O INTERMEDIO","LIVELLO AVANZATO")</f>
        <v>LIVELLO AVANZATO</v>
      </c>
    </row>
    <row r="104" spans="1:5" outlineLevel="1" x14ac:dyDescent="0.2">
      <c r="B104" s="82"/>
      <c r="C104" s="57"/>
      <c r="D104" s="57"/>
      <c r="E104" s="57"/>
    </row>
    <row r="105" spans="1:5" ht="11.4" outlineLevel="1" x14ac:dyDescent="0.25">
      <c r="A105" s="85" t="s">
        <v>1279</v>
      </c>
      <c r="B105" s="449" t="s">
        <v>1280</v>
      </c>
      <c r="C105" s="587">
        <f>C79</f>
        <v>0.56000000000000005</v>
      </c>
      <c r="D105" s="587">
        <f>D79</f>
        <v>0.56000000000000005</v>
      </c>
      <c r="E105" s="587">
        <f>E79</f>
        <v>0.56000000000000005</v>
      </c>
    </row>
    <row r="106" spans="1:5" ht="11.4" outlineLevel="1" x14ac:dyDescent="0.25">
      <c r="A106" s="85" t="s">
        <v>6482</v>
      </c>
      <c r="B106" s="465" t="s">
        <v>1272</v>
      </c>
      <c r="C106" s="586" t="str" cm="1">
        <f t="array" ref="C106">IFERROR(INDEX('Parametri MTR-3'!$Y$33:$Y$39,MATCH(1,(C105&gt;='Parametri MTR-3'!$V$33:$V$39)*(C105&lt;'Parametri MTR-3'!$W$33:$W$39),0)),0)</f>
        <v>G</v>
      </c>
      <c r="D106" s="586" t="str" cm="1">
        <f t="array" ref="D106">IFERROR(INDEX('Parametri MTR-3'!$Y$33:$Y$39,MATCH(1,(D105&gt;='Parametri MTR-3'!$V$33:$V$39)*(D105&lt;'Parametri MTR-3'!$W$33:$W$39),0)),0)</f>
        <v>G</v>
      </c>
      <c r="E106" s="586" t="str" cm="1">
        <f t="array" ref="E106">IFERROR(INDEX('Parametri MTR-3'!$Y$33:$Y$39,MATCH(1,(E105&gt;='Parametri MTR-3'!$V$33:$V$39)*(E105&lt;'Parametri MTR-3'!$W$33:$W$39),0)),0)</f>
        <v>G</v>
      </c>
    </row>
    <row r="107" spans="1:5" ht="11.4" outlineLevel="1" x14ac:dyDescent="0.25">
      <c r="A107" s="85" t="s">
        <v>6483</v>
      </c>
      <c r="B107" s="590" t="s">
        <v>1281</v>
      </c>
      <c r="C107" s="588">
        <f>C81</f>
        <v>0.66000000000000014</v>
      </c>
      <c r="D107" s="588">
        <f>D81</f>
        <v>0.66000000000000014</v>
      </c>
      <c r="E107" s="588">
        <f>E81</f>
        <v>0.66000000000000014</v>
      </c>
    </row>
    <row r="108" spans="1:5" ht="11.4" outlineLevel="1" x14ac:dyDescent="0.25">
      <c r="A108" s="85" t="s">
        <v>6484</v>
      </c>
      <c r="B108" s="465" t="s">
        <v>1282</v>
      </c>
      <c r="C108" s="586" t="str" cm="1">
        <f t="array" ref="C108">IFERROR(INDEX('Parametri MTR-3'!$Y$18:$Y$26,MATCH(1,(C107&gt;='Parametri MTR-3'!$V$18:$V$26)*(C107&lt;'Parametri MTR-3'!$W$18:$W$26),0)),0)</f>
        <v>C</v>
      </c>
      <c r="D108" s="586" t="str" cm="1">
        <f t="array" ref="D108">IFERROR(INDEX('Parametri MTR-3'!$Y$18:$Y$26,MATCH(1,(D107&gt;='Parametri MTR-3'!$V$18:$V$26)*(D107&lt;'Parametri MTR-3'!$W$18:$W$26),0)),0)</f>
        <v>C</v>
      </c>
      <c r="E108" s="586" t="str" cm="1">
        <f t="array" ref="E108">IFERROR(INDEX('Parametri MTR-3'!$Y$18:$Y$26,MATCH(1,(E107&gt;='Parametri MTR-3'!$V$18:$V$26)*(E107&lt;'Parametri MTR-3'!$W$18:$W$26),0)),0)</f>
        <v>C</v>
      </c>
    </row>
    <row r="109" spans="1:5" x14ac:dyDescent="0.2">
      <c r="B109" s="82"/>
      <c r="C109" s="57"/>
      <c r="D109" s="57"/>
      <c r="E109" s="57"/>
    </row>
    <row r="110" spans="1:5" x14ac:dyDescent="0.2">
      <c r="B110" s="454" t="s">
        <v>1283</v>
      </c>
      <c r="C110" s="57"/>
      <c r="D110" s="57"/>
      <c r="E110" s="57"/>
    </row>
    <row r="111" spans="1:5" outlineLevel="1" x14ac:dyDescent="0.2">
      <c r="B111" s="69">
        <v>2026</v>
      </c>
      <c r="C111" s="57"/>
      <c r="D111" s="57"/>
      <c r="E111" s="57"/>
    </row>
    <row r="112" spans="1:5" ht="11.4" outlineLevel="1" x14ac:dyDescent="0.25">
      <c r="B112" s="56" t="s">
        <v>964</v>
      </c>
      <c r="C112" s="68" t="str">
        <f>IF(AND(C19='Parametri MTR-3'!$B$88,C21='Parametri MTR-3'!$B$92),"[0.2-0.4]",
IF(AND(C19='Parametri MTR-3'!$B$89,C21='Parametri MTR-3'!$B$92),"(0.4-0.55]",
IF(AND(C19='Parametri MTR-3'!$B$88,C21='Parametri MTR-3'!$B$93),"(0.55-0.7]",
IF(AND(C19='Parametri MTR-3'!$B$89,C21='Parametri MTR-3'!$B$93),"(0.7-0.9]",))))</f>
        <v>(0.55-0.7]</v>
      </c>
      <c r="D112" s="68" t="str">
        <f>IF(AND(D19='Parametri MTR-3'!$B$88,D21='Parametri MTR-3'!$B$92),"[0.2-0.4]",
IF(AND(D19='Parametri MTR-3'!$B$89,D21='Parametri MTR-3'!$B$92),"(0.4-0.55]",
IF(AND(D19='Parametri MTR-3'!$B$88,D21='Parametri MTR-3'!$B$93),"(0.55-0.7]",
IF(AND(D19='Parametri MTR-3'!$B$89,D21='Parametri MTR-3'!$B$93),"(0.7-0.9]",))))</f>
        <v>(0.7-0.9]</v>
      </c>
      <c r="E112" s="68" t="str">
        <f>IF(AND(E19='Parametri MTR-3'!$B$88,E21='Parametri MTR-3'!$B$92),"[0.2-0.4]",
IF(AND(E19='Parametri MTR-3'!$B$89,E21='Parametri MTR-3'!$B$92),"(0.4-0.55]",
IF(AND(E19='Parametri MTR-3'!$B$88,E21='Parametri MTR-3'!$B$93),"(0.55-0.7]",
IF(AND(E19='Parametri MTR-3'!$B$89,E21='Parametri MTR-3'!$B$93),"(0.7-0.9]",))))</f>
        <v>(0.7-0.9]</v>
      </c>
    </row>
    <row r="113" spans="1:5" ht="11.4" outlineLevel="1" x14ac:dyDescent="0.25">
      <c r="A113" s="85" t="s">
        <v>968</v>
      </c>
      <c r="B113" s="55" t="s">
        <v>965</v>
      </c>
      <c r="C113" s="592">
        <v>0.7</v>
      </c>
      <c r="D113" s="592">
        <v>0</v>
      </c>
      <c r="E113" s="592">
        <v>0</v>
      </c>
    </row>
    <row r="114" spans="1:5" outlineLevel="1" x14ac:dyDescent="0.2">
      <c r="B114" s="82"/>
      <c r="C114" s="57"/>
      <c r="D114" s="57"/>
      <c r="E114" s="57"/>
    </row>
    <row r="115" spans="1:5" outlineLevel="1" x14ac:dyDescent="0.2">
      <c r="B115" s="69">
        <v>2027</v>
      </c>
      <c r="C115" s="57"/>
      <c r="D115" s="57"/>
      <c r="E115" s="57"/>
    </row>
    <row r="116" spans="1:5" ht="11.4" outlineLevel="1" x14ac:dyDescent="0.25">
      <c r="B116" s="56" t="s">
        <v>977</v>
      </c>
      <c r="C116" s="68" t="str">
        <f>IF(AND(C45='Parametri MTR-3'!$B$88,C47='Parametri MTR-3'!$B$92),"[0.2-0.4]",
IF(AND(C45='Parametri MTR-3'!$B$89,C47='Parametri MTR-3'!$B$92),"(0.4-0.55]",
IF(AND(C45='Parametri MTR-3'!$B$88,C47='Parametri MTR-3'!$B$93),"(0.55-0.7]",
IF(AND(C45='Parametri MTR-3'!$B$89,C47='Parametri MTR-3'!$B$93),"(0.7-0.9]",))))</f>
        <v>(0.55-0.7]</v>
      </c>
      <c r="D116" s="68" t="str">
        <f>IF(AND(D45='Parametri MTR-3'!$B$88,D47='Parametri MTR-3'!$B$92),"[0.2-0.4]",
IF(AND(D45='Parametri MTR-3'!$B$89,D47='Parametri MTR-3'!$B$92),"(0.4-0.55]",
IF(AND(D45='Parametri MTR-3'!$B$88,D47='Parametri MTR-3'!$B$93),"(0.55-0.7]",
IF(AND(D45='Parametri MTR-3'!$B$89,D47='Parametri MTR-3'!$B$93),"(0.7-0.9]",))))</f>
        <v>(0.7-0.9]</v>
      </c>
      <c r="E116" s="68" t="str">
        <f>IF(AND(E45='Parametri MTR-3'!$B$88,E47='Parametri MTR-3'!$B$92),"[0.2-0.4]",
IF(AND(E45='Parametri MTR-3'!$B$89,E47='Parametri MTR-3'!$B$92),"(0.4-0.55]",
IF(AND(E45='Parametri MTR-3'!$B$88,E47='Parametri MTR-3'!$B$93),"(0.55-0.7]",
IF(AND(E45='Parametri MTR-3'!$B$89,E47='Parametri MTR-3'!$B$93),"(0.7-0.9]",))))</f>
        <v>(0.7-0.9]</v>
      </c>
    </row>
    <row r="117" spans="1:5" ht="11.4" outlineLevel="1" x14ac:dyDescent="0.25">
      <c r="A117" s="85" t="s">
        <v>983</v>
      </c>
      <c r="B117" s="55" t="s">
        <v>978</v>
      </c>
      <c r="C117" s="592">
        <f>C113</f>
        <v>0.7</v>
      </c>
      <c r="D117" s="592">
        <v>0</v>
      </c>
      <c r="E117" s="592">
        <v>0</v>
      </c>
    </row>
    <row r="118" spans="1:5" outlineLevel="1" x14ac:dyDescent="0.2">
      <c r="B118" s="82"/>
      <c r="C118" s="57"/>
      <c r="D118" s="57"/>
      <c r="E118" s="57"/>
    </row>
    <row r="119" spans="1:5" outlineLevel="1" x14ac:dyDescent="0.2">
      <c r="B119" s="69">
        <v>2028</v>
      </c>
      <c r="C119" s="57"/>
      <c r="D119" s="57"/>
      <c r="E119" s="57"/>
    </row>
    <row r="120" spans="1:5" ht="11.4" outlineLevel="1" x14ac:dyDescent="0.25">
      <c r="B120" s="56" t="s">
        <v>1284</v>
      </c>
      <c r="C120" s="68" t="str">
        <f>IF(AND(C71='Parametri MTR-3'!$B$88,C73='Parametri MTR-3'!$B$92),"[0.2-0.4]",
IF(AND(C71='Parametri MTR-3'!$B$89,C73='Parametri MTR-3'!$B$92),"(0.4-0.55]",
IF(AND(C71='Parametri MTR-3'!$B$88,C73='Parametri MTR-3'!$B$93),"(0.55-0.7]",
IF(AND(C71='Parametri MTR-3'!$B$89,C73='Parametri MTR-3'!$B$93),"(0.7-0.9]",))))</f>
        <v>(0.55-0.7]</v>
      </c>
      <c r="D120" s="68" t="str">
        <f>IF(AND(D71='Parametri MTR-3'!$B$88,D73='Parametri MTR-3'!$B$92),"[0.2-0.4]",
IF(AND(D71='Parametri MTR-3'!$B$89,D73='Parametri MTR-3'!$B$92),"(0.4-0.55]",
IF(AND(D71='Parametri MTR-3'!$B$88,D73='Parametri MTR-3'!$B$93),"(0.55-0.7]",
IF(AND(D71='Parametri MTR-3'!$B$89,D73='Parametri MTR-3'!$B$93),"(0.7-0.9]",))))</f>
        <v>(0.7-0.9]</v>
      </c>
      <c r="E120" s="68" t="str">
        <f>IF(AND(E71='Parametri MTR-3'!$B$88,E73='Parametri MTR-3'!$B$92),"[0.2-0.4]",
IF(AND(E71='Parametri MTR-3'!$B$89,E73='Parametri MTR-3'!$B$92),"(0.4-0.55]",
IF(AND(E71='Parametri MTR-3'!$B$88,E73='Parametri MTR-3'!$B$93),"(0.55-0.7]",
IF(AND(E71='Parametri MTR-3'!$B$89,E73='Parametri MTR-3'!$B$93),"(0.7-0.9]",))))</f>
        <v>(0.7-0.9]</v>
      </c>
    </row>
    <row r="121" spans="1:5" ht="11.4" outlineLevel="1" x14ac:dyDescent="0.25">
      <c r="A121" s="85" t="s">
        <v>1288</v>
      </c>
      <c r="B121" s="55" t="s">
        <v>1286</v>
      </c>
      <c r="C121" s="592">
        <f>C113</f>
        <v>0.7</v>
      </c>
      <c r="D121" s="592">
        <v>0</v>
      </c>
      <c r="E121" s="592">
        <v>0</v>
      </c>
    </row>
    <row r="122" spans="1:5" outlineLevel="1" x14ac:dyDescent="0.2">
      <c r="B122" s="82"/>
      <c r="C122" s="57"/>
      <c r="D122" s="57"/>
      <c r="E122" s="57"/>
    </row>
    <row r="123" spans="1:5" outlineLevel="1" x14ac:dyDescent="0.2">
      <c r="B123" s="69">
        <v>2029</v>
      </c>
      <c r="C123" s="57"/>
      <c r="D123" s="57"/>
      <c r="E123" s="57"/>
    </row>
    <row r="124" spans="1:5" ht="11.4" outlineLevel="1" x14ac:dyDescent="0.25">
      <c r="B124" s="56" t="s">
        <v>1285</v>
      </c>
      <c r="C124" s="68" t="str">
        <f>IF(AND(C97='Parametri MTR-3'!$B$88,C99='Parametri MTR-3'!$B$92),"[0.2-0.4]",
IF(AND(C97='Parametri MTR-3'!$B$89,C99='Parametri MTR-3'!$B$92),"(0.4-0.55]",
IF(AND(C97='Parametri MTR-3'!$B$88,C99='Parametri MTR-3'!$B$93),"(0.55-0.7]",
IF(AND(C97='Parametri MTR-3'!$B$89,C99='Parametri MTR-3'!$B$93),"(0.7-0.9]",))))</f>
        <v>(0.55-0.7]</v>
      </c>
      <c r="D124" s="68" t="str">
        <f>IF(AND(D97='Parametri MTR-3'!$B$88,D99='Parametri MTR-3'!$B$92),"[0.2-0.4]",
IF(AND(D97='Parametri MTR-3'!$B$89,D99='Parametri MTR-3'!$B$92),"(0.4-0.55]",
IF(AND(D97='Parametri MTR-3'!$B$88,D99='Parametri MTR-3'!$B$93),"(0.55-0.7]",
IF(AND(D97='Parametri MTR-3'!$B$89,D99='Parametri MTR-3'!$B$93),"(0.7-0.9]",))))</f>
        <v>(0.7-0.9]</v>
      </c>
      <c r="E124" s="68" t="str">
        <f>IF(AND(E97='Parametri MTR-3'!$B$88,E99='Parametri MTR-3'!$B$92),"[0.2-0.4]",
IF(AND(E97='Parametri MTR-3'!$B$89,E99='Parametri MTR-3'!$B$92),"(0.4-0.55]",
IF(AND(E97='Parametri MTR-3'!$B$88,E99='Parametri MTR-3'!$B$93),"(0.55-0.7]",
IF(AND(E97='Parametri MTR-3'!$B$89,E99='Parametri MTR-3'!$B$93),"(0.7-0.9]",))))</f>
        <v>(0.7-0.9]</v>
      </c>
    </row>
    <row r="125" spans="1:5" ht="11.4" outlineLevel="1" x14ac:dyDescent="0.25">
      <c r="A125" s="85" t="s">
        <v>1289</v>
      </c>
      <c r="B125" s="55" t="s">
        <v>1287</v>
      </c>
      <c r="C125" s="592">
        <f>C113</f>
        <v>0.7</v>
      </c>
      <c r="D125" s="592">
        <v>0</v>
      </c>
      <c r="E125" s="592">
        <v>0</v>
      </c>
    </row>
    <row r="126" spans="1:5" x14ac:dyDescent="0.2">
      <c r="B126" s="82"/>
      <c r="C126" s="57"/>
      <c r="D126" s="57"/>
      <c r="E126" s="57"/>
    </row>
    <row r="127" spans="1:5" x14ac:dyDescent="0.2">
      <c r="B127" s="454" t="s">
        <v>1306</v>
      </c>
      <c r="C127" s="1093" t="s">
        <v>8755</v>
      </c>
      <c r="D127" s="1093" t="s">
        <v>8755</v>
      </c>
      <c r="E127" s="1093" t="s">
        <v>8755</v>
      </c>
    </row>
    <row r="128" spans="1:5" outlineLevel="1" x14ac:dyDescent="0.2">
      <c r="B128" s="69">
        <v>2026</v>
      </c>
      <c r="C128" s="57"/>
      <c r="D128" s="57"/>
      <c r="E128" s="57"/>
    </row>
    <row r="129" spans="1:5" ht="11.4" outlineLevel="1" x14ac:dyDescent="0.25">
      <c r="A129" s="85" t="s">
        <v>223</v>
      </c>
      <c r="B129" s="62" t="s">
        <v>984</v>
      </c>
      <c r="C129" s="597">
        <v>8092863.8399999999</v>
      </c>
      <c r="D129" s="597">
        <v>0</v>
      </c>
      <c r="E129" s="597">
        <v>0</v>
      </c>
    </row>
    <row r="130" spans="1:5" ht="11.4" outlineLevel="1" x14ac:dyDescent="0.25">
      <c r="A130" s="85" t="s">
        <v>224</v>
      </c>
      <c r="B130" s="63" t="s">
        <v>985</v>
      </c>
      <c r="C130" s="598">
        <v>8051566.6799999997</v>
      </c>
      <c r="D130" s="598">
        <v>0</v>
      </c>
      <c r="E130" s="598">
        <v>0</v>
      </c>
    </row>
    <row r="131" spans="1:5" ht="11.4" outlineLevel="1" x14ac:dyDescent="0.25">
      <c r="A131" s="85" t="s">
        <v>225</v>
      </c>
      <c r="B131" s="56" t="s">
        <v>986</v>
      </c>
      <c r="C131" s="172">
        <f>C129+C130</f>
        <v>16144430.52</v>
      </c>
      <c r="D131" s="172">
        <f>D129+D130</f>
        <v>0</v>
      </c>
      <c r="E131" s="172">
        <f>E129+E130</f>
        <v>0</v>
      </c>
    </row>
    <row r="132" spans="1:5" outlineLevel="1" x14ac:dyDescent="0.2"/>
    <row r="133" spans="1:5" ht="11.4" outlineLevel="1" x14ac:dyDescent="0.25">
      <c r="A133" s="85" t="s">
        <v>987</v>
      </c>
      <c r="B133" s="55" t="s">
        <v>1307</v>
      </c>
      <c r="C133" s="371">
        <v>33673.17</v>
      </c>
      <c r="D133" s="371">
        <v>5529.759</v>
      </c>
      <c r="E133" s="371">
        <v>0</v>
      </c>
    </row>
    <row r="134" spans="1:5" outlineLevel="1" x14ac:dyDescent="0.2">
      <c r="C134" s="1093"/>
    </row>
    <row r="135" spans="1:5" ht="11.4" outlineLevel="1" x14ac:dyDescent="0.25">
      <c r="A135" s="85" t="s">
        <v>989</v>
      </c>
      <c r="B135" s="56" t="s">
        <v>988</v>
      </c>
      <c r="C135" s="340">
        <f>IFERROR((C131*100)/(C133*1000),"-")</f>
        <v>47.944492662852944</v>
      </c>
      <c r="D135" s="340">
        <f>IFERROR((D131*100)/(D133*1000),"-")</f>
        <v>0</v>
      </c>
      <c r="E135" s="340" t="str">
        <f>IFERROR((E131*100)/(E133*1000),"-")</f>
        <v>-</v>
      </c>
    </row>
    <row r="136" spans="1:5" ht="11.4" outlineLevel="1" x14ac:dyDescent="0.25">
      <c r="A136" s="85" t="s">
        <v>992</v>
      </c>
      <c r="B136" s="55" t="s">
        <v>990</v>
      </c>
      <c r="C136" s="370">
        <v>33.15</v>
      </c>
      <c r="D136" s="370">
        <v>0</v>
      </c>
      <c r="E136" s="370">
        <v>0</v>
      </c>
    </row>
    <row r="137" spans="1:5" ht="11.4" outlineLevel="1" x14ac:dyDescent="0.25">
      <c r="B137" s="65" t="s">
        <v>991</v>
      </c>
      <c r="C137" s="66" t="str">
        <f>IF(C135&gt;C136,"CUeff &gt; Benchmark",
IF(C135&lt;=C136,"CUeff ≤ Benchmark","-"))</f>
        <v>CUeff &gt; Benchmark</v>
      </c>
      <c r="D137" s="66" t="str">
        <f>IF(D135&gt;D136,"CUeff &gt; Benchmark",
IF(D135&lt;=D136,"CUeff ≤ Benchmark","-"))</f>
        <v>CUeff ≤ Benchmark</v>
      </c>
      <c r="E137" s="66" t="str">
        <f>IF(E135&gt;E136,"CUeff &gt; Benchmark",
IF(E135&lt;=E136,"CUeff ≤ Benchmark","-"))</f>
        <v>CUeff &gt; Benchmark</v>
      </c>
    </row>
    <row r="138" spans="1:5" outlineLevel="1" x14ac:dyDescent="0.2">
      <c r="B138" s="82"/>
      <c r="C138" s="57"/>
      <c r="D138" s="57"/>
      <c r="E138" s="57"/>
    </row>
    <row r="139" spans="1:5" outlineLevel="1" x14ac:dyDescent="0.2">
      <c r="B139" s="69">
        <v>2027</v>
      </c>
      <c r="C139" s="57"/>
      <c r="D139" s="57"/>
      <c r="E139" s="57"/>
    </row>
    <row r="140" spans="1:5" ht="11.4" outlineLevel="1" x14ac:dyDescent="0.25">
      <c r="A140" s="85" t="s">
        <v>228</v>
      </c>
      <c r="B140" s="62" t="s">
        <v>994</v>
      </c>
      <c r="C140" s="597">
        <v>9585446.6099999994</v>
      </c>
      <c r="D140" s="597">
        <v>0</v>
      </c>
      <c r="E140" s="597">
        <v>0</v>
      </c>
    </row>
    <row r="141" spans="1:5" ht="11.4" outlineLevel="1" x14ac:dyDescent="0.25">
      <c r="A141" s="85" t="s">
        <v>229</v>
      </c>
      <c r="B141" s="63" t="s">
        <v>995</v>
      </c>
      <c r="C141" s="598">
        <v>6765815.0800000001</v>
      </c>
      <c r="D141" s="598">
        <v>0</v>
      </c>
      <c r="E141" s="598">
        <v>0</v>
      </c>
    </row>
    <row r="142" spans="1:5" ht="11.4" outlineLevel="1" x14ac:dyDescent="0.25">
      <c r="A142" s="85" t="s">
        <v>230</v>
      </c>
      <c r="B142" s="56" t="s">
        <v>996</v>
      </c>
      <c r="C142" s="172">
        <f>C140+C141</f>
        <v>16351261.689999999</v>
      </c>
      <c r="D142" s="172">
        <f>D140+D141</f>
        <v>0</v>
      </c>
      <c r="E142" s="172">
        <f>E140+E141</f>
        <v>0</v>
      </c>
    </row>
    <row r="143" spans="1:5" outlineLevel="1" x14ac:dyDescent="0.2"/>
    <row r="144" spans="1:5" ht="11.4" outlineLevel="1" x14ac:dyDescent="0.25">
      <c r="A144" s="85" t="s">
        <v>997</v>
      </c>
      <c r="B144" s="55" t="s">
        <v>1308</v>
      </c>
      <c r="C144" s="371">
        <v>32680.720000000001</v>
      </c>
      <c r="D144" s="371">
        <v>5269.8230000000003</v>
      </c>
      <c r="E144" s="371">
        <v>3315.1109999999999</v>
      </c>
    </row>
    <row r="145" spans="1:5" outlineLevel="1" x14ac:dyDescent="0.2"/>
    <row r="146" spans="1:5" ht="11.4" outlineLevel="1" x14ac:dyDescent="0.25">
      <c r="A146" s="85" t="s">
        <v>998</v>
      </c>
      <c r="B146" s="56" t="s">
        <v>1000</v>
      </c>
      <c r="C146" s="340">
        <f>IFERROR((C142*100)/(C144*1000),"-")</f>
        <v>50.033358169587451</v>
      </c>
      <c r="D146" s="340">
        <f>IFERROR((D142*100)/(D144*1000),"-")</f>
        <v>0</v>
      </c>
      <c r="E146" s="340">
        <f>IFERROR((E142*100)/(E144*1000),"-")</f>
        <v>0</v>
      </c>
    </row>
    <row r="147" spans="1:5" ht="11.4" outlineLevel="1" x14ac:dyDescent="0.25">
      <c r="A147" s="85" t="s">
        <v>999</v>
      </c>
      <c r="B147" s="55" t="s">
        <v>1001</v>
      </c>
      <c r="C147" s="370">
        <f>C136</f>
        <v>33.15</v>
      </c>
      <c r="D147" s="370">
        <v>0</v>
      </c>
      <c r="E147" s="370">
        <v>0</v>
      </c>
    </row>
    <row r="148" spans="1:5" ht="11.4" outlineLevel="1" x14ac:dyDescent="0.25">
      <c r="B148" s="65" t="s">
        <v>1002</v>
      </c>
      <c r="C148" s="66" t="str">
        <f>IF(C146&gt;C147,"CUeff &gt; Benchmark",
IF(C146&lt;=C147,"CUeff ≤ Benchmark","-"))</f>
        <v>CUeff &gt; Benchmark</v>
      </c>
      <c r="D148" s="66" t="str">
        <f>IF(D146&gt;D147,"CUeff &gt; Benchmark",
IF(D146&lt;=D147,"CUeff ≤ Benchmark","-"))</f>
        <v>CUeff ≤ Benchmark</v>
      </c>
      <c r="E148" s="66" t="str">
        <f>IF(E146&gt;E147,"CUeff &gt; Benchmark",
IF(E146&lt;=E147,"CUeff ≤ Benchmark","-"))</f>
        <v>CUeff ≤ Benchmark</v>
      </c>
    </row>
    <row r="149" spans="1:5" outlineLevel="1" x14ac:dyDescent="0.2">
      <c r="B149" s="82"/>
      <c r="C149" s="57"/>
      <c r="D149" s="57"/>
      <c r="E149" s="57"/>
    </row>
    <row r="150" spans="1:5" outlineLevel="1" x14ac:dyDescent="0.2">
      <c r="B150" s="69">
        <v>2028</v>
      </c>
      <c r="C150" s="57"/>
      <c r="D150" s="57"/>
      <c r="E150" s="57"/>
    </row>
    <row r="151" spans="1:5" ht="11.4" outlineLevel="1" x14ac:dyDescent="0.25">
      <c r="A151" s="85" t="s">
        <v>6557</v>
      </c>
      <c r="B151" s="170" t="s">
        <v>1315</v>
      </c>
      <c r="C151" s="859">
        <f>INDEX(IN_Rimd!$A$3:$AAA$427,MATCH(IN_PAR!$A151,IN_Rimd!$A$3:$A$427,0),MATCH(IN_PAR!C$3,IN_Rimd!$A$3:$AAA$3,0))</f>
        <v>7914332.885408367</v>
      </c>
      <c r="D151" s="859">
        <f>INDEX(IN_Rimd!$A$3:$AAA$427,MATCH(IN_PAR!$A151,IN_Rimd!$A$3:$A$427,0),MATCH(IN_PAR!D$3,IN_Rimd!$A$3:$AAA$3,0))</f>
        <v>1121291.8505976</v>
      </c>
      <c r="E151" s="859">
        <f>INDEX(IN_Rimd!$A$3:$AAA$427,MATCH(IN_PAR!$A151,IN_Rimd!$A$3:$A$427,0),MATCH(IN_PAR!E$3,IN_Rimd!$A$3:$AAA$3,0))</f>
        <v>0</v>
      </c>
    </row>
    <row r="152" spans="1:5" ht="11.4" outlineLevel="1" x14ac:dyDescent="0.25">
      <c r="A152" s="85" t="s">
        <v>6560</v>
      </c>
      <c r="B152" s="171" t="s">
        <v>1316</v>
      </c>
      <c r="C152" s="860">
        <f>INDEX(IN_Rimd!$A$3:$AAA$427,MATCH(IN_PAR!$A152,IN_Rimd!$A$3:$A$427,0),MATCH(IN_PAR!C$3,IN_Rimd!$A$3:$AAA$3,0))</f>
        <v>7531568.5899443226</v>
      </c>
      <c r="D152" s="860">
        <f>INDEX(IN_Rimd!$A$3:$AAA$427,MATCH(IN_PAR!$A152,IN_Rimd!$A$3:$A$427,0),MATCH(IN_PAR!D$3,IN_Rimd!$A$3:$AAA$3,0))</f>
        <v>135159.28338991333</v>
      </c>
      <c r="E152" s="860">
        <f>INDEX(IN_Rimd!$A$3:$AAA$427,MATCH(IN_PAR!$A152,IN_Rimd!$A$3:$A$427,0),MATCH(IN_PAR!E$3,IN_Rimd!$A$3:$AAA$3,0))</f>
        <v>54149.194963047281</v>
      </c>
    </row>
    <row r="153" spans="1:5" ht="11.4" outlineLevel="1" x14ac:dyDescent="0.25">
      <c r="A153" s="85" t="s">
        <v>6561</v>
      </c>
      <c r="B153" s="56" t="s">
        <v>1317</v>
      </c>
      <c r="C153" s="172">
        <f>C151+C152</f>
        <v>15445901.47535269</v>
      </c>
      <c r="D153" s="172">
        <f>D151+D152</f>
        <v>1256451.1339875134</v>
      </c>
      <c r="E153" s="172">
        <f>E151+E152</f>
        <v>54149.194963047281</v>
      </c>
    </row>
    <row r="154" spans="1:5" outlineLevel="1" x14ac:dyDescent="0.2"/>
    <row r="155" spans="1:5" ht="11.4" outlineLevel="1" x14ac:dyDescent="0.25">
      <c r="A155" s="85" t="s">
        <v>1312</v>
      </c>
      <c r="B155" s="335" t="s">
        <v>1318</v>
      </c>
      <c r="C155" s="462">
        <f>C144</f>
        <v>32680.720000000001</v>
      </c>
      <c r="D155" s="462">
        <f>D144</f>
        <v>5269.8230000000003</v>
      </c>
      <c r="E155" s="462">
        <f>E144</f>
        <v>3315.1109999999999</v>
      </c>
    </row>
    <row r="156" spans="1:5" outlineLevel="1" x14ac:dyDescent="0.2"/>
    <row r="157" spans="1:5" ht="11.4" outlineLevel="1" x14ac:dyDescent="0.25">
      <c r="A157" s="85" t="s">
        <v>1313</v>
      </c>
      <c r="B157" s="56" t="s">
        <v>1319</v>
      </c>
      <c r="C157" s="340">
        <f>IFERROR((C153*100)/(C155*1000),"-")</f>
        <v>47.26303911098865</v>
      </c>
      <c r="D157" s="340">
        <f>IFERROR((D153*100)/(D155*1000),"-")</f>
        <v>23.842378273188935</v>
      </c>
      <c r="E157" s="340">
        <f>IFERROR((E153*100)/(E155*1000),"-")</f>
        <v>1.6334051850163473</v>
      </c>
    </row>
    <row r="158" spans="1:5" ht="11.4" outlineLevel="1" x14ac:dyDescent="0.25">
      <c r="A158" s="85" t="s">
        <v>1314</v>
      </c>
      <c r="B158" s="335" t="s">
        <v>1320</v>
      </c>
      <c r="C158" s="375">
        <f>C147</f>
        <v>33.15</v>
      </c>
      <c r="D158" s="375">
        <f>D147</f>
        <v>0</v>
      </c>
      <c r="E158" s="375">
        <f>E147</f>
        <v>0</v>
      </c>
    </row>
    <row r="159" spans="1:5" ht="11.4" outlineLevel="1" x14ac:dyDescent="0.25">
      <c r="B159" s="65" t="s">
        <v>1321</v>
      </c>
      <c r="C159" s="66" t="str">
        <f>IF(C157&gt;C158,"CUeff &gt; Benchmark",
IF(C157&lt;=C158,"CUeff ≤ Benchmark","-"))</f>
        <v>CUeff &gt; Benchmark</v>
      </c>
      <c r="D159" s="66" t="str">
        <f>IF(D157&gt;D158,"CUeff &gt; Benchmark",
IF(D157&lt;=D158,"CUeff ≤ Benchmark","-"))</f>
        <v>CUeff &gt; Benchmark</v>
      </c>
      <c r="E159" s="66" t="str">
        <f>IF(E157&gt;E158,"CUeff &gt; Benchmark",
IF(E157&lt;=E158,"CUeff ≤ Benchmark","-"))</f>
        <v>CUeff &gt; Benchmark</v>
      </c>
    </row>
    <row r="160" spans="1:5" outlineLevel="1" x14ac:dyDescent="0.2">
      <c r="B160" s="82"/>
      <c r="C160" s="57"/>
      <c r="D160" s="57"/>
      <c r="E160" s="57"/>
    </row>
    <row r="161" spans="1:5" outlineLevel="1" x14ac:dyDescent="0.2">
      <c r="B161" s="69">
        <v>2029</v>
      </c>
      <c r="C161" s="57"/>
      <c r="D161" s="57"/>
      <c r="E161" s="57"/>
    </row>
    <row r="162" spans="1:5" ht="11.4" outlineLevel="1" x14ac:dyDescent="0.25">
      <c r="A162" s="85" t="s">
        <v>6585</v>
      </c>
      <c r="B162" s="170" t="s">
        <v>1328</v>
      </c>
      <c r="C162" s="859">
        <f>INDEX(IN_Rimd!$A$3:$AAA$427,MATCH(IN_PAR!$A162,IN_Rimd!$A$3:$A$427,0),MATCH(IN_PAR!C$3,IN_Rimd!$A$3:$AAA$3,0))</f>
        <v>8408263.5876249541</v>
      </c>
      <c r="D162" s="859">
        <f>INDEX(IN_Rimd!$A$3:$AAA$427,MATCH(IN_PAR!$A162,IN_Rimd!$A$3:$A$427,0),MATCH(IN_PAR!D$3,IN_Rimd!$A$3:$AAA$3,0))</f>
        <v>1121291.8505976</v>
      </c>
      <c r="E162" s="859">
        <f>INDEX(IN_Rimd!$A$3:$AAA$427,MATCH(IN_PAR!$A162,IN_Rimd!$A$3:$A$427,0),MATCH(IN_PAR!E$3,IN_Rimd!$A$3:$AAA$3,0))</f>
        <v>720413.61392000003</v>
      </c>
    </row>
    <row r="163" spans="1:5" ht="11.4" outlineLevel="1" x14ac:dyDescent="0.25">
      <c r="A163" s="85" t="s">
        <v>6588</v>
      </c>
      <c r="B163" s="171" t="s">
        <v>1329</v>
      </c>
      <c r="C163" s="860">
        <f>INDEX(IN_Rimd!$A$3:$AAA$427,MATCH(IN_PAR!$A163,IN_Rimd!$A$3:$A$427,0),MATCH(IN_PAR!C$3,IN_Rimd!$A$3:$AAA$3,0))</f>
        <v>7331110.0157594364</v>
      </c>
      <c r="D163" s="860">
        <f>INDEX(IN_Rimd!$A$3:$AAA$427,MATCH(IN_PAR!$A163,IN_Rimd!$A$3:$A$427,0),MATCH(IN_PAR!D$3,IN_Rimd!$A$3:$AAA$3,0))</f>
        <v>129706.70226632972</v>
      </c>
      <c r="E163" s="860">
        <f>INDEX(IN_Rimd!$A$3:$AAA$427,MATCH(IN_PAR!$A163,IN_Rimd!$A$3:$A$427,0),MATCH(IN_PAR!E$3,IN_Rimd!$A$3:$AAA$3,0))</f>
        <v>172831.08220486157</v>
      </c>
    </row>
    <row r="164" spans="1:5" ht="11.4" outlineLevel="1" x14ac:dyDescent="0.25">
      <c r="A164" s="85" t="s">
        <v>6589</v>
      </c>
      <c r="B164" s="56" t="s">
        <v>1330</v>
      </c>
      <c r="C164" s="172">
        <f>C162+C163</f>
        <v>15739373.60338439</v>
      </c>
      <c r="D164" s="172">
        <f>D162+D163</f>
        <v>1250998.5528639297</v>
      </c>
      <c r="E164" s="172">
        <f>E162+E163</f>
        <v>893244.6961248616</v>
      </c>
    </row>
    <row r="165" spans="1:5" outlineLevel="1" x14ac:dyDescent="0.2"/>
    <row r="166" spans="1:5" ht="11.4" outlineLevel="1" x14ac:dyDescent="0.25">
      <c r="A166" s="85" t="s">
        <v>1325</v>
      </c>
      <c r="B166" s="335" t="s">
        <v>1331</v>
      </c>
      <c r="C166" s="462">
        <f>C155</f>
        <v>32680.720000000001</v>
      </c>
      <c r="D166" s="462">
        <f>D155</f>
        <v>5269.8230000000003</v>
      </c>
      <c r="E166" s="462">
        <f>E155</f>
        <v>3315.1109999999999</v>
      </c>
    </row>
    <row r="167" spans="1:5" outlineLevel="1" x14ac:dyDescent="0.2"/>
    <row r="168" spans="1:5" ht="11.4" outlineLevel="1" x14ac:dyDescent="0.25">
      <c r="A168" s="85" t="s">
        <v>1326</v>
      </c>
      <c r="B168" s="56" t="s">
        <v>1332</v>
      </c>
      <c r="C168" s="340">
        <f>IFERROR((C164*100)/(C166*1000),"-")</f>
        <v>48.161036854097432</v>
      </c>
      <c r="D168" s="340">
        <f>IFERROR((D164*100)/(D166*1000),"-")</f>
        <v>23.738910260627915</v>
      </c>
      <c r="E168" s="340">
        <f>IFERROR((E164*100)/(E166*1000),"-")</f>
        <v>26.944639142546404</v>
      </c>
    </row>
    <row r="169" spans="1:5" ht="11.4" outlineLevel="1" x14ac:dyDescent="0.25">
      <c r="A169" s="85" t="s">
        <v>1327</v>
      </c>
      <c r="B169" s="335" t="s">
        <v>1333</v>
      </c>
      <c r="C169" s="375">
        <f>C158</f>
        <v>33.15</v>
      </c>
      <c r="D169" s="375">
        <f>D158</f>
        <v>0</v>
      </c>
      <c r="E169" s="375">
        <f>E158</f>
        <v>0</v>
      </c>
    </row>
    <row r="170" spans="1:5" ht="11.4" outlineLevel="1" x14ac:dyDescent="0.25">
      <c r="B170" s="65" t="s">
        <v>1334</v>
      </c>
      <c r="C170" s="66" t="str">
        <f>IF(C168&gt;C169,"CUeff &gt; Benchmark",
IF(C168&lt;=C169,"CUeff ≤ Benchmark","-"))</f>
        <v>CUeff &gt; Benchmark</v>
      </c>
      <c r="D170" s="66" t="str">
        <f>IF(D168&gt;D169,"CUeff &gt; Benchmark",
IF(D168&lt;=D169,"CUeff ≤ Benchmark","-"))</f>
        <v>CUeff &gt; Benchmark</v>
      </c>
      <c r="E170" s="66" t="str">
        <f>IF(E168&gt;E169,"CUeff &gt; Benchmark",
IF(E168&lt;=E169,"CUeff ≤ Benchmark","-"))</f>
        <v>CUeff &gt; Benchmark</v>
      </c>
    </row>
    <row r="171" spans="1:5" x14ac:dyDescent="0.2">
      <c r="B171" s="82"/>
      <c r="C171" s="57"/>
      <c r="D171" s="57"/>
      <c r="E171" s="57"/>
    </row>
    <row r="172" spans="1:5" x14ac:dyDescent="0.2">
      <c r="B172" s="454" t="s">
        <v>1335</v>
      </c>
      <c r="C172" s="57"/>
      <c r="D172" s="57"/>
      <c r="E172" s="57"/>
    </row>
    <row r="173" spans="1:5" outlineLevel="1" x14ac:dyDescent="0.2">
      <c r="B173" s="69">
        <v>2026</v>
      </c>
      <c r="C173" s="57"/>
      <c r="D173" s="57"/>
      <c r="E173" s="57"/>
    </row>
    <row r="174" spans="1:5" outlineLevel="1" x14ac:dyDescent="0.2">
      <c r="A174" s="85" t="s">
        <v>1336</v>
      </c>
      <c r="B174" s="55" t="s">
        <v>1337</v>
      </c>
      <c r="C174" s="565" t="s">
        <v>1339</v>
      </c>
      <c r="D174" s="565" t="s">
        <v>1339</v>
      </c>
      <c r="E174" s="565" t="s">
        <v>1339</v>
      </c>
    </row>
    <row r="175" spans="1:5" ht="11.4" outlineLevel="1" x14ac:dyDescent="0.25">
      <c r="B175" s="65" t="s">
        <v>1341</v>
      </c>
      <c r="C175" s="66">
        <f>IFERROR(ROUND(C135/C136,3),1.051)</f>
        <v>1.446</v>
      </c>
      <c r="D175" s="66">
        <f>IFERROR(ROUND(D135/D136,3),1.051)</f>
        <v>1.0509999999999999</v>
      </c>
      <c r="E175" s="66">
        <f>IFERROR(ROUND(E135/E136,3),1.051)</f>
        <v>1.0509999999999999</v>
      </c>
    </row>
    <row r="176" spans="1:5" outlineLevel="1" x14ac:dyDescent="0.2">
      <c r="B176" s="67" t="s">
        <v>949</v>
      </c>
      <c r="C176" s="68" t="str">
        <f>IF(AND(C174="consolidamento",C175&gt;1.05),"Schema I",
IF(AND(C174="consolidamento",C175&lt;=1.05),"Schema II",
IF(AND(C174="miglioramento",C175&gt;1.05),"Schema III",
IF(AND(C174="miglioramento",C175&lt;=1.05),"Schema IV",""))))</f>
        <v>Schema I</v>
      </c>
      <c r="D176" s="68" t="str">
        <f>IF(AND(D174="consolidamento",D175&gt;1.05),"Schema I",
IF(AND(D174="consolidamento",D175&lt;=1.05),"Schema II",
IF(AND(D174="miglioramento",D175&gt;1.05),"Schema III",
IF(AND(D174="miglioramento",D175&lt;=1.05),"Schema IV",""))))</f>
        <v>Schema I</v>
      </c>
      <c r="E176" s="68" t="str">
        <f>IF(AND(E174="consolidamento",E175&gt;1.05),"Schema I",
IF(AND(E174="consolidamento",E175&lt;=1.05),"Schema II",
IF(AND(E174="miglioramento",E175&gt;1.05),"Schema III",
IF(AND(E174="miglioramento",E175&lt;=1.05),"Schema IV",""))))</f>
        <v>Schema I</v>
      </c>
    </row>
    <row r="177" spans="1:5" outlineLevel="1" x14ac:dyDescent="0.2">
      <c r="B177" s="82"/>
      <c r="C177" s="57"/>
      <c r="D177" s="57"/>
      <c r="E177" s="57"/>
    </row>
    <row r="178" spans="1:5" outlineLevel="1" x14ac:dyDescent="0.2">
      <c r="B178" s="69">
        <v>2027</v>
      </c>
      <c r="C178" s="57"/>
      <c r="D178" s="57"/>
      <c r="E178" s="57"/>
    </row>
    <row r="179" spans="1:5" outlineLevel="1" x14ac:dyDescent="0.2">
      <c r="A179" s="85" t="s">
        <v>1350</v>
      </c>
      <c r="B179" s="55" t="s">
        <v>1342</v>
      </c>
      <c r="C179" s="565" t="s">
        <v>1339</v>
      </c>
      <c r="D179" s="565" t="s">
        <v>1339</v>
      </c>
      <c r="E179" s="565" t="s">
        <v>1339</v>
      </c>
    </row>
    <row r="180" spans="1:5" ht="11.4" outlineLevel="1" x14ac:dyDescent="0.25">
      <c r="B180" s="65" t="s">
        <v>1343</v>
      </c>
      <c r="C180" s="66">
        <f>IFERROR(ROUND(C140/C141,3),1.051)</f>
        <v>1.417</v>
      </c>
      <c r="D180" s="66">
        <f>IFERROR(ROUND(D140/D141,3),1.051)</f>
        <v>1.0509999999999999</v>
      </c>
      <c r="E180" s="66">
        <f>IFERROR(ROUND(E140/E141,3),1.051)</f>
        <v>1.0509999999999999</v>
      </c>
    </row>
    <row r="181" spans="1:5" outlineLevel="1" x14ac:dyDescent="0.2">
      <c r="B181" s="67" t="s">
        <v>951</v>
      </c>
      <c r="C181" s="68" t="str">
        <f>IF(AND(C179="consolidamento",C180&gt;1.05),"Schema I",
IF(AND(C179="consolidamento",C180&lt;=1.05),"Schema II",
IF(AND(C179="miglioramento",C180&gt;1.05),"Schema III",
IF(AND(C179="miglioramento",C180&lt;=1.05),"Schema IV",""))))</f>
        <v>Schema I</v>
      </c>
      <c r="D181" s="68" t="str">
        <f>IF(AND(D179="consolidamento",D180&gt;1.05),"Schema I",
IF(AND(D179="consolidamento",D180&lt;=1.05),"Schema II",
IF(AND(D179="miglioramento",D180&gt;1.05),"Schema III",
IF(AND(D179="miglioramento",D180&lt;=1.05),"Schema IV",""))))</f>
        <v>Schema I</v>
      </c>
      <c r="E181" s="68" t="str">
        <f>IF(AND(E179="consolidamento",E180&gt;1.05),"Schema I",
IF(AND(E179="consolidamento",E180&lt;=1.05),"Schema II",
IF(AND(E179="miglioramento",E180&gt;1.05),"Schema III",
IF(AND(E179="miglioramento",E180&lt;=1.05),"Schema IV",""))))</f>
        <v>Schema I</v>
      </c>
    </row>
    <row r="182" spans="1:5" outlineLevel="1" x14ac:dyDescent="0.2">
      <c r="B182" s="82"/>
      <c r="C182" s="57"/>
      <c r="D182" s="57"/>
      <c r="E182" s="57"/>
    </row>
    <row r="183" spans="1:5" outlineLevel="1" x14ac:dyDescent="0.2">
      <c r="B183" s="69">
        <v>2028</v>
      </c>
      <c r="C183" s="57"/>
      <c r="D183" s="57"/>
      <c r="E183" s="57"/>
    </row>
    <row r="184" spans="1:5" outlineLevel="1" x14ac:dyDescent="0.2">
      <c r="A184" s="85" t="s">
        <v>1351</v>
      </c>
      <c r="B184" s="55" t="s">
        <v>1344</v>
      </c>
      <c r="C184" s="565" t="s">
        <v>1339</v>
      </c>
      <c r="D184" s="565" t="s">
        <v>1339</v>
      </c>
      <c r="E184" s="565" t="s">
        <v>1339</v>
      </c>
    </row>
    <row r="185" spans="1:5" ht="11.4" outlineLevel="1" x14ac:dyDescent="0.25">
      <c r="B185" s="65" t="s">
        <v>1345</v>
      </c>
      <c r="C185" s="66">
        <f>IFERROR(ROUND(C157/C158,3),1.051)</f>
        <v>1.4259999999999999</v>
      </c>
      <c r="D185" s="66">
        <f>IFERROR(ROUND(D157/D158,3),1.051)</f>
        <v>1.0509999999999999</v>
      </c>
      <c r="E185" s="66">
        <f>IFERROR(ROUND(E157/E158,3),1.051)</f>
        <v>1.0509999999999999</v>
      </c>
    </row>
    <row r="186" spans="1:5" outlineLevel="1" x14ac:dyDescent="0.2">
      <c r="B186" s="67" t="s">
        <v>1349</v>
      </c>
      <c r="C186" s="68" t="str">
        <f>IF(AND(C184="consolidamento",C185&gt;1.05),"Schema I",
IF(AND(C184="consolidamento",C185&lt;=1.05),"Schema II",
IF(AND(C184="miglioramento",C185&gt;1.05),"Schema III",
IF(AND(C184="miglioramento",C185&lt;=1.05),"Schema IV",""))))</f>
        <v>Schema I</v>
      </c>
      <c r="D186" s="68" t="str">
        <f>IF(AND(D184="consolidamento",D185&gt;1.05),"Schema I",
IF(AND(D184="consolidamento",D185&lt;=1.05),"Schema II",
IF(AND(D184="miglioramento",D185&gt;1.05),"Schema III",
IF(AND(D184="miglioramento",D185&lt;=1.05),"Schema IV",""))))</f>
        <v>Schema I</v>
      </c>
      <c r="E186" s="68" t="str">
        <f>IF(AND(E184="consolidamento",E185&gt;1.05),"Schema I",
IF(AND(E184="consolidamento",E185&lt;=1.05),"Schema II",
IF(AND(E184="miglioramento",E185&gt;1.05),"Schema III",
IF(AND(E184="miglioramento",E185&lt;=1.05),"Schema IV",""))))</f>
        <v>Schema I</v>
      </c>
    </row>
    <row r="187" spans="1:5" outlineLevel="1" x14ac:dyDescent="0.2">
      <c r="B187" s="82"/>
      <c r="C187" s="57"/>
      <c r="D187" s="57"/>
      <c r="E187" s="57"/>
    </row>
    <row r="188" spans="1:5" outlineLevel="1" x14ac:dyDescent="0.2">
      <c r="B188" s="69">
        <v>2029</v>
      </c>
      <c r="C188" s="57"/>
      <c r="D188" s="57"/>
      <c r="E188" s="57"/>
    </row>
    <row r="189" spans="1:5" outlineLevel="1" x14ac:dyDescent="0.2">
      <c r="A189" s="85" t="s">
        <v>1352</v>
      </c>
      <c r="B189" s="55" t="s">
        <v>1346</v>
      </c>
      <c r="C189" s="565" t="s">
        <v>1339</v>
      </c>
      <c r="D189" s="565" t="s">
        <v>1339</v>
      </c>
      <c r="E189" s="565" t="s">
        <v>1339</v>
      </c>
    </row>
    <row r="190" spans="1:5" ht="11.4" outlineLevel="1" x14ac:dyDescent="0.25">
      <c r="B190" s="65" t="s">
        <v>1347</v>
      </c>
      <c r="C190" s="66">
        <f>IFERROR(ROUND(C168/C169,3),1.051)</f>
        <v>1.4530000000000001</v>
      </c>
      <c r="D190" s="66">
        <f>IFERROR(ROUND(D168/D169,3),1.051)</f>
        <v>1.0509999999999999</v>
      </c>
      <c r="E190" s="66">
        <f>IFERROR(ROUND(E168/E169,3),1.051)</f>
        <v>1.0509999999999999</v>
      </c>
    </row>
    <row r="191" spans="1:5" outlineLevel="1" x14ac:dyDescent="0.2">
      <c r="B191" s="67" t="s">
        <v>1348</v>
      </c>
      <c r="C191" s="68" t="str">
        <f>IF(AND(C189="consolidamento",C190&gt;1.05),"Schema I",
IF(AND(C189="consolidamento",C190&lt;=1.05),"Schema II",
IF(AND(C189="miglioramento",C190&gt;1.05),"Schema III",
IF(AND(C189="miglioramento",C190&lt;=1.05),"Schema IV",""))))</f>
        <v>Schema I</v>
      </c>
      <c r="D191" s="68" t="str">
        <f>IF(AND(D189="consolidamento",D190&gt;1.05),"Schema I",
IF(AND(D189="consolidamento",D190&lt;=1.05),"Schema II",
IF(AND(D189="miglioramento",D190&gt;1.05),"Schema III",
IF(AND(D189="miglioramento",D190&lt;=1.05),"Schema IV",""))))</f>
        <v>Schema I</v>
      </c>
      <c r="E191" s="68" t="str">
        <f>IF(AND(E189="consolidamento",E190&gt;1.05),"Schema I",
IF(AND(E189="consolidamento",E190&lt;=1.05),"Schema II",
IF(AND(E189="miglioramento",E190&gt;1.05),"Schema III",
IF(AND(E189="miglioramento",E190&lt;=1.05),"Schema IV",""))))</f>
        <v>Schema I</v>
      </c>
    </row>
    <row r="192" spans="1:5" x14ac:dyDescent="0.2">
      <c r="B192" s="82"/>
      <c r="C192" s="57"/>
      <c r="D192" s="57"/>
      <c r="E192" s="57"/>
    </row>
    <row r="193" spans="1:5" x14ac:dyDescent="0.2">
      <c r="B193" s="454" t="s">
        <v>1353</v>
      </c>
      <c r="C193" s="57"/>
      <c r="D193" s="57"/>
      <c r="E193" s="57"/>
    </row>
    <row r="194" spans="1:5" outlineLevel="1" x14ac:dyDescent="0.2">
      <c r="B194" s="69">
        <v>2026</v>
      </c>
      <c r="C194" s="57"/>
      <c r="D194" s="57"/>
      <c r="E194" s="57"/>
    </row>
    <row r="195" spans="1:5" ht="11.4" outlineLevel="1" x14ac:dyDescent="0.2">
      <c r="A195" s="85" t="s">
        <v>1355</v>
      </c>
      <c r="B195" s="20" t="s">
        <v>1354</v>
      </c>
      <c r="C195" s="599">
        <f>'Parametri MTR-3'!$J$4</f>
        <v>1.9E-2</v>
      </c>
      <c r="D195" s="599">
        <f>'Parametri MTR-3'!$J$4</f>
        <v>1.9E-2</v>
      </c>
      <c r="E195" s="599">
        <f>'Parametri MTR-3'!$J$4</f>
        <v>1.9E-2</v>
      </c>
    </row>
    <row r="196" spans="1:5" outlineLevel="1" x14ac:dyDescent="0.2">
      <c r="B196" s="602"/>
      <c r="C196" s="1100" t="s">
        <v>8806</v>
      </c>
      <c r="D196" s="603"/>
      <c r="E196" s="603"/>
    </row>
    <row r="197" spans="1:5" ht="11.4" outlineLevel="1" x14ac:dyDescent="0.25">
      <c r="B197" s="56" t="s">
        <v>1357</v>
      </c>
      <c r="C197" s="60" t="str">
        <f>IF(AND(C25="LIVELLO AVANZATO",C137="Cueff &gt; Benchmark"),"0,1%&lt;Xreg≤0,3%",
IF(AND(C25="LIVELLO INSODDISFACENTE O INTERMEDIO",C137="Cueff &gt; Benchmark"),"0,3%&lt;Xreg≤0,5%",
IF(AND(C25="LIVELLO INSODDISFACENTE O INTERMEDIO",C137="CUeff ≤ Benchmark"),"0,1% &lt;Xreg≤0,3%",
IF(AND(C25="LIVELLO AVANZATO",C137="CUeff ≤ Benchmark"),"Xreg=0,1%","-"))))</f>
        <v>0,1%&lt;Xreg≤0,3%</v>
      </c>
      <c r="D197" s="60" t="str">
        <f>IF(AND(D25="LIVELLO AVANZATO",D137="Cueff &gt; Benchmark"),"0,1%&lt;Xreg≤0,3%",
IF(AND(D25="LIVELLO INSODDISFACENTE O INTERMEDIO",D137="Cueff &gt; Benchmark"),"0,3%&lt;Xreg≤0,5%",
IF(AND(D25="LIVELLO INSODDISFACENTE O INTERMEDIO",D137="CUeff ≤ Benchmark"),"0,1% &lt;Xreg≤0,3%",
IF(AND(D25="LIVELLO AVANZATO",D137="CUeff ≤ Benchmark"),"Xreg=0,1%","-"))))</f>
        <v>Xreg=0,1%</v>
      </c>
      <c r="E197" s="60" t="str">
        <f>IF(AND(E25="LIVELLO AVANZATO",E137="Cueff &gt; Benchmark"),"0,1%&lt;Xreg≤0,3%",
IF(AND(E25="LIVELLO INSODDISFACENTE O INTERMEDIO",E137="Cueff &gt; Benchmark"),"0,3%&lt;Xreg≤0,5%",
IF(AND(E25="LIVELLO INSODDISFACENTE O INTERMEDIO",E137="CUeff ≤ Benchmark"),"0,1% &lt;Xreg≤0,3%",
IF(AND(E25="LIVELLO AVANZATO",E137="CUeff ≤ Benchmark"),"Xreg=0,1%","-"))))</f>
        <v>0,1%&lt;Xreg≤0,3%</v>
      </c>
    </row>
    <row r="198" spans="1:5" ht="11.4" outlineLevel="1" x14ac:dyDescent="0.25">
      <c r="A198" s="85" t="s">
        <v>1362</v>
      </c>
      <c r="B198" s="198" t="s">
        <v>1358</v>
      </c>
      <c r="C198" s="592">
        <v>0</v>
      </c>
      <c r="D198" s="600">
        <v>0</v>
      </c>
      <c r="E198" s="600">
        <v>0</v>
      </c>
    </row>
    <row r="199" spans="1:5" ht="11.4" outlineLevel="1" x14ac:dyDescent="0.25">
      <c r="A199" s="85" t="s">
        <v>1363</v>
      </c>
      <c r="B199" s="199" t="s">
        <v>1364</v>
      </c>
      <c r="C199" s="601">
        <v>0</v>
      </c>
      <c r="D199" s="601">
        <v>0</v>
      </c>
      <c r="E199" s="601">
        <v>0</v>
      </c>
    </row>
    <row r="200" spans="1:5" ht="11.4" outlineLevel="1" x14ac:dyDescent="0.25">
      <c r="A200" s="85" t="s">
        <v>993</v>
      </c>
      <c r="B200" s="56" t="s">
        <v>1356</v>
      </c>
      <c r="C200" s="599">
        <f>C198+C199</f>
        <v>0</v>
      </c>
      <c r="D200" s="599">
        <f>D198+D199</f>
        <v>0</v>
      </c>
      <c r="E200" s="599">
        <f>E198+E199</f>
        <v>0</v>
      </c>
    </row>
    <row r="201" spans="1:5" outlineLevel="1" x14ac:dyDescent="0.2">
      <c r="B201" s="604"/>
      <c r="C201" s="605"/>
      <c r="D201" s="605"/>
      <c r="E201" s="605"/>
    </row>
    <row r="202" spans="1:5" ht="11.4" outlineLevel="1" x14ac:dyDescent="0.25">
      <c r="B202" s="56" t="s">
        <v>1365</v>
      </c>
      <c r="C202" s="599">
        <f>IF(C176="Schema I",MAX(3%-C205,0%),
IF(OR(C176="Schema II",C176="Schema III"),MAX(5%-C205,0%),
IF(C176="Schema IV",MAX(7%-C205,0%),0%)))</f>
        <v>0.03</v>
      </c>
      <c r="D202" s="599">
        <f>IF(D176="Schema I",MAX(3%-D205,0%),
IF(OR(D176="Schema II",D176="Schema III"),MAX(5%-D205,0%),
IF(D176="Schema IV",MAX(7%-D205,0%),0%)))</f>
        <v>0.03</v>
      </c>
      <c r="E202" s="599">
        <f>IF(E176="Schema I",MAX(3%-E205,0%),
IF(OR(E176="Schema II",E176="Schema III"),MAX(5%-E205,0%),
IF(E176="Schema IV",MAX(7%-E205,0%),0%)))</f>
        <v>0.03</v>
      </c>
    </row>
    <row r="203" spans="1:5" ht="11.4" outlineLevel="1" x14ac:dyDescent="0.25">
      <c r="A203" s="85" t="s">
        <v>1366</v>
      </c>
      <c r="B203" s="198" t="s">
        <v>1367</v>
      </c>
      <c r="C203" s="600">
        <v>0</v>
      </c>
      <c r="D203" s="600">
        <v>0</v>
      </c>
      <c r="E203" s="600">
        <v>0</v>
      </c>
    </row>
    <row r="204" spans="1:5" ht="11.4" outlineLevel="1" x14ac:dyDescent="0.25">
      <c r="B204" s="56" t="s">
        <v>1368</v>
      </c>
      <c r="C204" s="599">
        <f>IF(C176="Schema I",MAX(3%-C203,0%),
IF(OR(C176="Schema II",C176="Schema III"),MAX(5%-C203,0%),
IF(C176="Schema IV",MAX(7%-C203,0%),0%)))</f>
        <v>0.03</v>
      </c>
      <c r="D204" s="599">
        <f>IF(D176="Schema I",MAX(3%-D203,0%),
IF(OR(D176="Schema II",D176="Schema III"),MAX(5%-D203,0%),
IF(D176="Schema IV",MAX(7%-D203,0%),0%)))</f>
        <v>0.03</v>
      </c>
      <c r="E204" s="599">
        <f>IF(E176="Schema I",MAX(3%-E203,0%),
IF(OR(E176="Schema II",E176="Schema III"),MAX(5%-E203,0%),
IF(E176="Schema IV",MAX(7%-E203,0%),0%)))</f>
        <v>0.03</v>
      </c>
    </row>
    <row r="205" spans="1:5" ht="11.4" outlineLevel="1" x14ac:dyDescent="0.25">
      <c r="A205" s="85" t="s">
        <v>1371</v>
      </c>
      <c r="B205" s="198" t="s">
        <v>1370</v>
      </c>
      <c r="C205" s="600">
        <v>0</v>
      </c>
      <c r="D205" s="600">
        <v>0</v>
      </c>
      <c r="E205" s="600">
        <v>0</v>
      </c>
    </row>
    <row r="206" spans="1:5" ht="11.4" outlineLevel="1" x14ac:dyDescent="0.25">
      <c r="B206" s="56" t="s">
        <v>1374</v>
      </c>
      <c r="C206" s="599">
        <f>IF(C176="Schema I",3%,
IF(C176="Schema II",5%,
IF(C176="Schema III",5%,
IF(C176="Schema IV",7%,0%))))</f>
        <v>0.03</v>
      </c>
      <c r="D206" s="599">
        <f>IF(D176="Schema I",3%,
IF(D176="Schema II",5%,
IF(D176="Schema III",5%,
IF(D176="Schema IV",7%,0%))))</f>
        <v>0.03</v>
      </c>
      <c r="E206" s="599">
        <f>IF(E176="Schema I",3%,
IF(E176="Schema II",5%,
IF(E176="Schema III",5%,
IF(E176="Schema IV",7%,0%))))</f>
        <v>0.03</v>
      </c>
    </row>
    <row r="207" spans="1:5" ht="11.4" outlineLevel="1" x14ac:dyDescent="0.25">
      <c r="A207" s="85" t="s">
        <v>1372</v>
      </c>
      <c r="B207" s="202" t="s">
        <v>1373</v>
      </c>
      <c r="C207" s="607">
        <f>C203+C205</f>
        <v>0</v>
      </c>
      <c r="D207" s="607">
        <f>D203+D205</f>
        <v>0</v>
      </c>
      <c r="E207" s="607">
        <f>E203+E205</f>
        <v>0</v>
      </c>
    </row>
    <row r="208" spans="1:5" outlineLevel="1" x14ac:dyDescent="0.2">
      <c r="B208" s="604"/>
      <c r="C208" s="605"/>
      <c r="D208" s="605"/>
      <c r="E208" s="605"/>
    </row>
    <row r="209" spans="1:5" ht="11.4" outlineLevel="1" x14ac:dyDescent="0.25">
      <c r="B209" s="56" t="s">
        <v>1375</v>
      </c>
      <c r="C209" s="599">
        <f>IF(C176="Schema I",MIN(3%-C207,0.8*C207),
IF(C176="Schema II",MIN(5%-C207,0.8*C207),
IF(C176="Schema III",MIN(5%-C207,0.8*C207),
IF(C176="Schema IV",MIN(7%-C207,0.8*C207),0))))</f>
        <v>0</v>
      </c>
      <c r="D209" s="599">
        <f>IF(D176="Schema I",MIN(3%-D207,0.8*D207),
IF(D176="Schema II",MIN(5%-D207,0.8*D207),
IF(D176="Schema III",MIN(5%-D207,0.8*D207),
IF(D176="Schema IV",MIN(7%-D207,0.8*D207),0))))</f>
        <v>0</v>
      </c>
      <c r="E209" s="599">
        <f>IF(E176="Schema I",MIN(3%-E207,0.8*E207),
IF(E176="Schema II",MIN(5%-E207,0.8*E207),
IF(E176="Schema III",MIN(5%-E207,0.8*E207),
IF(E176="Schema IV",MIN(7%-E207,0.8*E207),0))))</f>
        <v>0</v>
      </c>
    </row>
    <row r="210" spans="1:5" ht="11.4" outlineLevel="1" x14ac:dyDescent="0.25">
      <c r="A210" s="85" t="s">
        <v>953</v>
      </c>
      <c r="B210" s="55" t="s">
        <v>950</v>
      </c>
      <c r="C210" s="600">
        <v>0</v>
      </c>
      <c r="D210" s="341">
        <v>0</v>
      </c>
      <c r="E210" s="341">
        <v>0</v>
      </c>
    </row>
    <row r="211" spans="1:5" outlineLevel="1" x14ac:dyDescent="0.2"/>
    <row r="212" spans="1:5" ht="11.4" outlineLevel="1" x14ac:dyDescent="0.2">
      <c r="A212" s="85" t="s">
        <v>1376</v>
      </c>
      <c r="B212" s="142" t="s">
        <v>1377</v>
      </c>
      <c r="C212" s="608">
        <f>C195-C200+C207+C210</f>
        <v>1.9E-2</v>
      </c>
      <c r="D212" s="608">
        <f>D195-D200+D207+D210</f>
        <v>1.9E-2</v>
      </c>
      <c r="E212" s="608">
        <f>E195-E200+E207+E210</f>
        <v>1.9E-2</v>
      </c>
    </row>
    <row r="213" spans="1:5" outlineLevel="1" x14ac:dyDescent="0.2">
      <c r="B213" s="137" t="s">
        <v>6747</v>
      </c>
      <c r="C213" s="378" t="str">
        <f>IF((C207+C210)&gt;C206,"no","ok")</f>
        <v>ok</v>
      </c>
      <c r="D213" s="378" t="str">
        <f>IF((D207+D210)&gt;D206,"no","ok")</f>
        <v>ok</v>
      </c>
      <c r="E213" s="378" t="str">
        <f>IF((E207+E210)&gt;E206,"no","ok")</f>
        <v>ok</v>
      </c>
    </row>
    <row r="214" spans="1:5" outlineLevel="1" x14ac:dyDescent="0.2">
      <c r="B214" s="137"/>
      <c r="C214" s="378"/>
      <c r="D214" s="378"/>
      <c r="E214" s="378"/>
    </row>
    <row r="215" spans="1:5" outlineLevel="1" x14ac:dyDescent="0.2">
      <c r="B215" s="69">
        <v>2027</v>
      </c>
      <c r="C215" s="57"/>
      <c r="D215" s="57"/>
      <c r="E215" s="57"/>
    </row>
    <row r="216" spans="1:5" ht="11.4" outlineLevel="1" x14ac:dyDescent="0.2">
      <c r="A216" s="85" t="s">
        <v>1378</v>
      </c>
      <c r="B216" s="20" t="s">
        <v>1385</v>
      </c>
      <c r="C216" s="599">
        <f>'Parametri MTR-3'!$K$4</f>
        <v>1.9E-2</v>
      </c>
      <c r="D216" s="599">
        <f>'Parametri MTR-3'!$K$4</f>
        <v>1.9E-2</v>
      </c>
      <c r="E216" s="599">
        <f>'Parametri MTR-3'!$K$4</f>
        <v>1.9E-2</v>
      </c>
    </row>
    <row r="217" spans="1:5" outlineLevel="1" x14ac:dyDescent="0.2">
      <c r="B217" s="602"/>
      <c r="C217" s="1100" t="s">
        <v>8806</v>
      </c>
      <c r="D217" s="603"/>
      <c r="E217" s="603"/>
    </row>
    <row r="218" spans="1:5" ht="11.4" outlineLevel="1" x14ac:dyDescent="0.25">
      <c r="B218" s="56" t="s">
        <v>1386</v>
      </c>
      <c r="C218" s="60" t="str">
        <f>IF(AND(C51="LIVELLO AVANZATO",C148="Cueff &gt; Benchmark"),"0,1%&lt;Xreg≤0,3%",
IF(AND(C51="LIVELLO INSODDISFACENTE O INTERMEDIO",C148="Cueff &gt; Benchmark"),"0,3%&lt;Xreg≤0,5%",
IF(AND(C51="LIVELLO INSODDISFACENTE O INTERMEDIO",C148="CUeff ≤ Benchmark"),"0,1% &lt;Xreg≤0,3%",
IF(AND(C51="LIVELLO AVANZATO",C148="CUeff ≤ Benchmark"),"Xreg=0,1%","-"))))</f>
        <v>0,1%&lt;Xreg≤0,3%</v>
      </c>
      <c r="D218" s="60" t="str">
        <f>IF(AND(D51="LIVELLO AVANZATO",D148="Cueff &gt; Benchmark"),"0,1%&lt;Xreg≤0,3%",
IF(AND(D51="LIVELLO INSODDISFACENTE O INTERMEDIO",D148="Cueff &gt; Benchmark"),"0,3%&lt;Xreg≤0,5%",
IF(AND(D51="LIVELLO INSODDISFACENTE O INTERMEDIO",D148="CUeff ≤ Benchmark"),"0,1% &lt;Xreg≤0,3%",
IF(AND(D51="LIVELLO AVANZATO",D148="CUeff ≤ Benchmark"),"Xreg=0,1%","-"))))</f>
        <v>Xreg=0,1%</v>
      </c>
      <c r="E218" s="60" t="str">
        <f>IF(AND(E51="LIVELLO AVANZATO",E148="Cueff &gt; Benchmark"),"0,1%&lt;Xreg≤0,3%",
IF(AND(E51="LIVELLO INSODDISFACENTE O INTERMEDIO",E148="Cueff &gt; Benchmark"),"0,3%&lt;Xreg≤0,5%",
IF(AND(E51="LIVELLO INSODDISFACENTE O INTERMEDIO",E148="CUeff ≤ Benchmark"),"0,1% &lt;Xreg≤0,3%",
IF(AND(E51="LIVELLO AVANZATO",E148="CUeff ≤ Benchmark"),"Xreg=0,1%","-"))))</f>
        <v>Xreg=0,1%</v>
      </c>
    </row>
    <row r="219" spans="1:5" ht="11.4" outlineLevel="1" x14ac:dyDescent="0.25">
      <c r="A219" s="85" t="s">
        <v>1379</v>
      </c>
      <c r="B219" s="198" t="s">
        <v>1387</v>
      </c>
      <c r="C219" s="600">
        <f>+C198</f>
        <v>0</v>
      </c>
      <c r="D219" s="600">
        <v>0</v>
      </c>
      <c r="E219" s="600">
        <v>0</v>
      </c>
    </row>
    <row r="220" spans="1:5" ht="11.4" outlineLevel="1" x14ac:dyDescent="0.25">
      <c r="A220" s="85" t="s">
        <v>1380</v>
      </c>
      <c r="B220" s="199" t="s">
        <v>1388</v>
      </c>
      <c r="C220" s="601">
        <v>0</v>
      </c>
      <c r="D220" s="601">
        <v>0</v>
      </c>
      <c r="E220" s="601">
        <v>0</v>
      </c>
    </row>
    <row r="221" spans="1:5" ht="11.4" outlineLevel="1" x14ac:dyDescent="0.25">
      <c r="A221" s="85" t="s">
        <v>1003</v>
      </c>
      <c r="B221" s="56" t="s">
        <v>1004</v>
      </c>
      <c r="C221" s="599">
        <f>C219+C220</f>
        <v>0</v>
      </c>
      <c r="D221" s="599">
        <f>D219+D220</f>
        <v>0</v>
      </c>
      <c r="E221" s="599">
        <f>E219+E220</f>
        <v>0</v>
      </c>
    </row>
    <row r="222" spans="1:5" outlineLevel="1" x14ac:dyDescent="0.2">
      <c r="B222" s="604"/>
      <c r="C222" s="605"/>
      <c r="D222" s="605"/>
      <c r="E222" s="605"/>
    </row>
    <row r="223" spans="1:5" ht="11.4" outlineLevel="1" x14ac:dyDescent="0.25">
      <c r="B223" s="56" t="s">
        <v>1389</v>
      </c>
      <c r="C223" s="599">
        <f>IF(C181="Schema I",MAX(3%-C226,0%),
IF(OR(C181="Schema II",C181="Schema III"),MAX(5%-C226,0%),
IF(C181="Schema IV",MAX(7%-C226,0%),0%)))</f>
        <v>0.03</v>
      </c>
      <c r="D223" s="599">
        <f>IF(D181="Schema I",MAX(3%-D226,0%),
IF(OR(D181="Schema II",D181="Schema III"),MAX(5%-D226,0%),
IF(D181="Schema IV",MAX(7%-D226,0%),0%)))</f>
        <v>0.03</v>
      </c>
      <c r="E223" s="599">
        <f>IF(E181="Schema I",MAX(3%-E226,0%),
IF(OR(E181="Schema II",E181="Schema III"),MAX(5%-E226,0%),
IF(E181="Schema IV",MAX(7%-E226,0%),0%)))</f>
        <v>0.03</v>
      </c>
    </row>
    <row r="224" spans="1:5" ht="11.4" outlineLevel="1" x14ac:dyDescent="0.25">
      <c r="A224" s="85" t="s">
        <v>1381</v>
      </c>
      <c r="B224" s="198" t="s">
        <v>1390</v>
      </c>
      <c r="C224" s="600">
        <v>0</v>
      </c>
      <c r="D224" s="600">
        <v>0</v>
      </c>
      <c r="E224" s="600">
        <v>0</v>
      </c>
    </row>
    <row r="225" spans="1:5" ht="11.4" outlineLevel="1" x14ac:dyDescent="0.25">
      <c r="B225" s="56" t="s">
        <v>1391</v>
      </c>
      <c r="C225" s="599">
        <f>IF(C181="Schema I",MAX(3%-C224,0%),
IF(OR(C181="Schema II",C181="Schema III"),MAX(5%-C224,0%),
IF(C181="Schema IV",MAX(7%-C224,0%),0%)))</f>
        <v>0.03</v>
      </c>
      <c r="D225" s="599">
        <f>IF(D181="Schema I",MAX(3%-D224,0%),
IF(OR(D181="Schema II",D181="Schema III"),MAX(5%-D224,0%),
IF(D181="Schema IV",MAX(7%-D224,0%),0%)))</f>
        <v>0.03</v>
      </c>
      <c r="E225" s="599">
        <f>IF(E181="Schema I",MAX(3%-E224,0%),
IF(OR(E181="Schema II",E181="Schema III"),MAX(5%-E224,0%),
IF(E181="Schema IV",MAX(7%-E224,0%),0%)))</f>
        <v>0.03</v>
      </c>
    </row>
    <row r="226" spans="1:5" ht="11.4" outlineLevel="1" x14ac:dyDescent="0.25">
      <c r="A226" s="85" t="s">
        <v>1382</v>
      </c>
      <c r="B226" s="198" t="s">
        <v>1392</v>
      </c>
      <c r="C226" s="600">
        <v>0</v>
      </c>
      <c r="D226" s="600">
        <v>0</v>
      </c>
      <c r="E226" s="600">
        <v>0</v>
      </c>
    </row>
    <row r="227" spans="1:5" ht="11.4" outlineLevel="1" x14ac:dyDescent="0.25">
      <c r="B227" s="56" t="s">
        <v>1393</v>
      </c>
      <c r="C227" s="599">
        <f>IF(C181="Schema I",3%,
IF(C181="Schema II",5%,
IF(C181="Schema III",
5%,IF(C181="Schema IV",7%,0%))))</f>
        <v>0.03</v>
      </c>
      <c r="D227" s="599">
        <f>IF(D181="Schema I",3%,
IF(D181="Schema II",5%,
IF(D181="Schema III",
5%,IF(D181="Schema IV",7%,0%))))</f>
        <v>0.03</v>
      </c>
      <c r="E227" s="599">
        <f>IF(E181="Schema I",3%,
IF(E181="Schema II",5%,
IF(E181="Schema III",
5%,IF(E181="Schema IV",7%,0%))))</f>
        <v>0.03</v>
      </c>
    </row>
    <row r="228" spans="1:5" ht="11.4" outlineLevel="1" x14ac:dyDescent="0.25">
      <c r="A228" s="85" t="s">
        <v>1383</v>
      </c>
      <c r="B228" s="202" t="s">
        <v>1394</v>
      </c>
      <c r="C228" s="607">
        <f>C224+C226</f>
        <v>0</v>
      </c>
      <c r="D228" s="607">
        <f>D224+D226</f>
        <v>0</v>
      </c>
      <c r="E228" s="607">
        <f>E224+E226</f>
        <v>0</v>
      </c>
    </row>
    <row r="229" spans="1:5" outlineLevel="1" x14ac:dyDescent="0.2">
      <c r="B229" s="604"/>
      <c r="C229" s="605"/>
      <c r="D229" s="605"/>
      <c r="E229" s="605"/>
    </row>
    <row r="230" spans="1:5" ht="11.4" outlineLevel="1" x14ac:dyDescent="0.25">
      <c r="B230" s="56" t="s">
        <v>1395</v>
      </c>
      <c r="C230" s="599">
        <f>IF(C181="Schema I",MIN(3%-C228,0.8*C228),
IF(C181="Schema II",MIN(5%-C228,0.8*C228),
IF(C181="Schema III",MIN(5%-C228,0.8*C228),
IF(C181="Schema IV",MIN(7%-C228,0.8*C228),0))))</f>
        <v>0</v>
      </c>
      <c r="D230" s="599">
        <f>IF(D181="Schema I",MIN(3%-D228,0.8*D228),
IF(D181="Schema II",MIN(5%-D228,0.8*D228),
IF(D181="Schema III",MIN(5%-D228,0.8*D228),
IF(D181="Schema IV",MIN(7%-D228,0.8*D228),0))))</f>
        <v>0</v>
      </c>
      <c r="E230" s="599">
        <f>IF(E181="Schema I",MIN(3%-E228,0.8*E228),
IF(E181="Schema II",MIN(5%-E228,0.8*E228),
IF(E181="Schema III",MIN(5%-E228,0.8*E228),
IF(E181="Schema IV",MIN(7%-E228,0.8*E228),0))))</f>
        <v>0</v>
      </c>
    </row>
    <row r="231" spans="1:5" ht="11.4" outlineLevel="1" x14ac:dyDescent="0.25">
      <c r="A231" s="85" t="s">
        <v>954</v>
      </c>
      <c r="B231" s="55" t="s">
        <v>952</v>
      </c>
      <c r="C231" s="341">
        <v>0</v>
      </c>
      <c r="D231" s="341">
        <v>0</v>
      </c>
      <c r="E231" s="341">
        <v>0</v>
      </c>
    </row>
    <row r="232" spans="1:5" outlineLevel="1" x14ac:dyDescent="0.2"/>
    <row r="233" spans="1:5" ht="11.4" outlineLevel="1" x14ac:dyDescent="0.2">
      <c r="A233" s="85" t="s">
        <v>1384</v>
      </c>
      <c r="B233" s="142" t="s">
        <v>1396</v>
      </c>
      <c r="C233" s="608">
        <f>C216-C221+C228+C231</f>
        <v>1.9E-2</v>
      </c>
      <c r="D233" s="608">
        <f>D216-D221+D228+D231</f>
        <v>1.9E-2</v>
      </c>
      <c r="E233" s="608">
        <f>E216-E221+E228+E231</f>
        <v>1.9E-2</v>
      </c>
    </row>
    <row r="234" spans="1:5" outlineLevel="1" x14ac:dyDescent="0.2">
      <c r="B234" s="137" t="s">
        <v>6747</v>
      </c>
      <c r="C234" s="378" t="str">
        <f>IF((C228+C231)&gt;C227,"no","ok")</f>
        <v>ok</v>
      </c>
      <c r="D234" s="378" t="str">
        <f>IF((D228+D231)&gt;D227,"no","ok")</f>
        <v>ok</v>
      </c>
      <c r="E234" s="378" t="str">
        <f>IF((E228+E231)&gt;E227,"no","ok")</f>
        <v>ok</v>
      </c>
    </row>
    <row r="235" spans="1:5" outlineLevel="1" x14ac:dyDescent="0.2">
      <c r="B235" s="137"/>
      <c r="C235" s="378"/>
      <c r="D235" s="378"/>
      <c r="E235" s="378"/>
    </row>
    <row r="236" spans="1:5" outlineLevel="1" x14ac:dyDescent="0.2">
      <c r="B236" s="69">
        <v>2028</v>
      </c>
      <c r="C236" s="57"/>
      <c r="D236" s="57"/>
      <c r="E236" s="57"/>
    </row>
    <row r="237" spans="1:5" ht="11.4" outlineLevel="1" x14ac:dyDescent="0.2">
      <c r="A237" s="85" t="s">
        <v>1398</v>
      </c>
      <c r="B237" s="20" t="s">
        <v>1397</v>
      </c>
      <c r="C237" s="599">
        <f>'Parametri MTR-3'!$L$4</f>
        <v>1.9E-2</v>
      </c>
      <c r="D237" s="599">
        <f>'Parametri MTR-3'!$L$4</f>
        <v>1.9E-2</v>
      </c>
      <c r="E237" s="599">
        <f>'Parametri MTR-3'!$L$4</f>
        <v>1.9E-2</v>
      </c>
    </row>
    <row r="238" spans="1:5" outlineLevel="1" x14ac:dyDescent="0.2">
      <c r="B238" s="602"/>
      <c r="C238" s="603"/>
      <c r="D238" s="603"/>
      <c r="E238" s="603"/>
    </row>
    <row r="239" spans="1:5" ht="11.4" outlineLevel="1" x14ac:dyDescent="0.25">
      <c r="B239" s="56" t="s">
        <v>1407</v>
      </c>
      <c r="C239" s="60" t="str">
        <f>IF(AND(C77="LIVELLO AVANZATO",C159="Cueff &gt; Benchmark"),"0,1%&lt;Xreg≤0,3%",
IF(AND(C77="LIVELLO INSODDISFACENTE O INTERMEDIO",C159="Cueff &gt; Benchmark"),"0,3%&lt;Xreg≤0,5%",
IF(AND(C77="LIVELLO INSODDISFACENTE O INTERMEDIO",C159="CUeff ≤ Benchmark"),"0,1% &lt;Xreg≤0,3%",
IF(AND(C77="LIVELLO AVANZATO",C159="CUeff ≤ Benchmark"),"Xreg=0,1%","-"))))</f>
        <v>0,1%&lt;Xreg≤0,3%</v>
      </c>
      <c r="D239" s="60" t="str">
        <f>IF(AND(D77="LIVELLO AVANZATO",D159="Cueff &gt; Benchmark"),"0,1%&lt;Xreg≤0,3%",
IF(AND(D77="LIVELLO INSODDISFACENTE O INTERMEDIO",D159="Cueff &gt; Benchmark"),"0,3%&lt;Xreg≤0,5%",
IF(AND(D77="LIVELLO INSODDISFACENTE O INTERMEDIO",D159="CUeff ≤ Benchmark"),"0,1% &lt;Xreg≤0,3%",
IF(AND(D77="LIVELLO AVANZATO",D159="CUeff ≤ Benchmark"),"Xreg=0,1%","-"))))</f>
        <v>0,1%&lt;Xreg≤0,3%</v>
      </c>
      <c r="E239" s="60" t="str">
        <f>IF(AND(E77="LIVELLO AVANZATO",E159="Cueff &gt; Benchmark"),"0,1%&lt;Xreg≤0,3%",
IF(AND(E77="LIVELLO INSODDISFACENTE O INTERMEDIO",E159="Cueff &gt; Benchmark"),"0,3%&lt;Xreg≤0,5%",
IF(AND(E77="LIVELLO INSODDISFACENTE O INTERMEDIO",E159="CUeff ≤ Benchmark"),"0,1% &lt;Xreg≤0,3%",
IF(AND(E77="LIVELLO AVANZATO",E159="CUeff ≤ Benchmark"),"Xreg=0,1%","-"))))</f>
        <v>0,1%&lt;Xreg≤0,3%</v>
      </c>
    </row>
    <row r="240" spans="1:5" ht="11.4" outlineLevel="1" x14ac:dyDescent="0.25">
      <c r="A240" s="85" t="s">
        <v>1399</v>
      </c>
      <c r="B240" s="198" t="s">
        <v>1408</v>
      </c>
      <c r="C240" s="600">
        <f>+C219</f>
        <v>0</v>
      </c>
      <c r="D240" s="600">
        <v>0</v>
      </c>
      <c r="E240" s="600">
        <v>0</v>
      </c>
    </row>
    <row r="241" spans="1:5" ht="11.4" outlineLevel="1" x14ac:dyDescent="0.25">
      <c r="A241" s="85" t="s">
        <v>1400</v>
      </c>
      <c r="B241" s="199" t="s">
        <v>1409</v>
      </c>
      <c r="C241" s="601">
        <v>0</v>
      </c>
      <c r="D241" s="601">
        <v>0</v>
      </c>
      <c r="E241" s="601">
        <v>0</v>
      </c>
    </row>
    <row r="242" spans="1:5" ht="11.4" outlineLevel="1" x14ac:dyDescent="0.25">
      <c r="A242" s="85" t="s">
        <v>1401</v>
      </c>
      <c r="B242" s="56" t="s">
        <v>1410</v>
      </c>
      <c r="C242" s="599">
        <f>C240+C241</f>
        <v>0</v>
      </c>
      <c r="D242" s="599">
        <f>D240+D241</f>
        <v>0</v>
      </c>
      <c r="E242" s="599">
        <f>E240+E241</f>
        <v>0</v>
      </c>
    </row>
    <row r="243" spans="1:5" outlineLevel="1" x14ac:dyDescent="0.2">
      <c r="B243" s="604"/>
      <c r="C243" s="605"/>
      <c r="D243" s="605"/>
      <c r="E243" s="605"/>
    </row>
    <row r="244" spans="1:5" ht="11.4" outlineLevel="1" x14ac:dyDescent="0.25">
      <c r="B244" s="56" t="s">
        <v>1411</v>
      </c>
      <c r="C244" s="599">
        <f>IF(C186="Schema I",MAX(3%-C247,0%),
IF(OR(C186="Schema II",C186="Schema III"),MAX(5%-C247,0%),
IF(C186="Schema IV",MAX(7%-C247,0%),0%)))</f>
        <v>0.03</v>
      </c>
      <c r="D244" s="599">
        <f>IF(D186="Schema I",MAX(3%-D247,0%),
IF(OR(D186="Schema II",D186="Schema III"),MAX(5%-D247,0%),
IF(D186="Schema IV",MAX(7%-D247,0%),0%)))</f>
        <v>0.03</v>
      </c>
      <c r="E244" s="599">
        <f>IF(E186="Schema I",MAX(3%-E247,0%),
IF(OR(E186="Schema II",E186="Schema III"),MAX(5%-E247,0%),
IF(E186="Schema IV",MAX(7%-E247,0%),0%)))</f>
        <v>0.03</v>
      </c>
    </row>
    <row r="245" spans="1:5" ht="11.4" outlineLevel="1" x14ac:dyDescent="0.25">
      <c r="A245" s="85" t="s">
        <v>1402</v>
      </c>
      <c r="B245" s="198" t="s">
        <v>1412</v>
      </c>
      <c r="C245" s="600">
        <v>0</v>
      </c>
      <c r="D245" s="600">
        <v>0</v>
      </c>
      <c r="E245" s="600">
        <v>0</v>
      </c>
    </row>
    <row r="246" spans="1:5" ht="11.4" outlineLevel="1" x14ac:dyDescent="0.25">
      <c r="B246" s="56" t="s">
        <v>1413</v>
      </c>
      <c r="C246" s="599">
        <f>IF(C186="Schema I",MAX(3%-C245,0%),
IF(OR(C186="Schema II",C186="Schema III"),MAX(5%-C245,0%),
IF(C186="Schema IV",MAX(7%-C245,0%),0%)))</f>
        <v>0.03</v>
      </c>
      <c r="D246" s="599">
        <f>IF(D186="Schema I",MAX(3%-D245,0%),
IF(OR(D186="Schema II",D186="Schema III"),MAX(5%-D245,0%),
IF(D186="Schema IV",MAX(7%-D245,0%),0%)))</f>
        <v>0.03</v>
      </c>
      <c r="E246" s="599">
        <f>IF(E186="Schema I",MAX(3%-E245,0%),
IF(OR(E186="Schema II",E186="Schema III"),MAX(5%-E245,0%),
IF(E186="Schema IV",MAX(7%-E245,0%),0%)))</f>
        <v>0.03</v>
      </c>
    </row>
    <row r="247" spans="1:5" ht="11.4" outlineLevel="1" x14ac:dyDescent="0.25">
      <c r="A247" s="85" t="s">
        <v>1403</v>
      </c>
      <c r="B247" s="198" t="s">
        <v>1414</v>
      </c>
      <c r="C247" s="600">
        <v>0</v>
      </c>
      <c r="D247" s="600">
        <v>0</v>
      </c>
      <c r="E247" s="600">
        <v>0</v>
      </c>
    </row>
    <row r="248" spans="1:5" ht="11.4" outlineLevel="1" x14ac:dyDescent="0.25">
      <c r="B248" s="56" t="s">
        <v>1415</v>
      </c>
      <c r="C248" s="599">
        <f>IF(C186="Schema I",3%,
IF(C186="Schema II",5%,
IF(C186="Schema III",
5%,IF(C186="Schema IV",7%,0%))))</f>
        <v>0.03</v>
      </c>
      <c r="D248" s="599">
        <f>IF(D186="Schema I",3%,
IF(D186="Schema II",5%,
IF(D186="Schema III",
5%,IF(D186="Schema IV",7%,0%))))</f>
        <v>0.03</v>
      </c>
      <c r="E248" s="599">
        <f>IF(E186="Schema I",3%,
IF(E186="Schema II",5%,
IF(E186="Schema III",
5%,IF(E186="Schema IV",7%,0%))))</f>
        <v>0.03</v>
      </c>
    </row>
    <row r="249" spans="1:5" ht="11.4" outlineLevel="1" x14ac:dyDescent="0.25">
      <c r="A249" s="85" t="s">
        <v>1404</v>
      </c>
      <c r="B249" s="202" t="s">
        <v>1416</v>
      </c>
      <c r="C249" s="607">
        <f>C245+C247</f>
        <v>0</v>
      </c>
      <c r="D249" s="607">
        <f>D245+D247</f>
        <v>0</v>
      </c>
      <c r="E249" s="607">
        <f>E245+E247</f>
        <v>0</v>
      </c>
    </row>
    <row r="250" spans="1:5" outlineLevel="1" x14ac:dyDescent="0.2">
      <c r="B250" s="604"/>
      <c r="C250" s="605"/>
      <c r="D250" s="605"/>
      <c r="E250" s="605"/>
    </row>
    <row r="251" spans="1:5" ht="11.4" outlineLevel="1" x14ac:dyDescent="0.25">
      <c r="B251" s="56" t="s">
        <v>1417</v>
      </c>
      <c r="C251" s="599">
        <f>IF(C186="Schema I",MIN(3%-C249,0.8*C249),
IF(C186="Schema II",MIN(5%-C249,0.8*C249),
IF(C186="Schema III",MIN(5%-C249,0.8*C249),
IF(C186="Schema IV",MIN(7%-C249,0.8*C249),0))))</f>
        <v>0</v>
      </c>
      <c r="D251" s="599">
        <f>IF(D186="Schema I",MIN(3%-D249,0.8*D249),
IF(D186="Schema II",MIN(5%-D249,0.8*D249),
IF(D186="Schema III",MIN(5%-D249,0.8*D249),
IF(D186="Schema IV",MIN(7%-D249,0.8*D249),0))))</f>
        <v>0</v>
      </c>
      <c r="E251" s="599">
        <f>IF(E186="Schema I",MIN(3%-E249,0.8*E249),
IF(E186="Schema II",MIN(5%-E249,0.8*E249),
IF(E186="Schema III",MIN(5%-E249,0.8*E249),
IF(E186="Schema IV",MIN(7%-E249,0.8*E249),0))))</f>
        <v>0</v>
      </c>
    </row>
    <row r="252" spans="1:5" ht="11.4" outlineLevel="1" x14ac:dyDescent="0.25">
      <c r="A252" s="85" t="s">
        <v>1405</v>
      </c>
      <c r="B252" s="55" t="s">
        <v>1418</v>
      </c>
      <c r="C252" s="341">
        <v>0</v>
      </c>
      <c r="D252" s="341">
        <v>0</v>
      </c>
      <c r="E252" s="341">
        <v>0</v>
      </c>
    </row>
    <row r="253" spans="1:5" outlineLevel="1" x14ac:dyDescent="0.2"/>
    <row r="254" spans="1:5" ht="11.4" outlineLevel="1" x14ac:dyDescent="0.2">
      <c r="A254" s="85" t="s">
        <v>1406</v>
      </c>
      <c r="B254" s="142" t="s">
        <v>1419</v>
      </c>
      <c r="C254" s="608">
        <f>C237-C242+C249+C252</f>
        <v>1.9E-2</v>
      </c>
      <c r="D254" s="608">
        <f>D237-D242+D249+D252</f>
        <v>1.9E-2</v>
      </c>
      <c r="E254" s="608">
        <f>E237-E242+E249+E252</f>
        <v>1.9E-2</v>
      </c>
    </row>
    <row r="255" spans="1:5" outlineLevel="1" x14ac:dyDescent="0.2">
      <c r="B255" s="137" t="s">
        <v>6747</v>
      </c>
      <c r="C255" s="378" t="str">
        <f>IF((C249+C252)&gt;C248,"no","ok")</f>
        <v>ok</v>
      </c>
      <c r="D255" s="378" t="str">
        <f>IF((D249+D252)&gt;D248,"no","ok")</f>
        <v>ok</v>
      </c>
      <c r="E255" s="378" t="str">
        <f>IF((E249+E252)&gt;E248,"no","ok")</f>
        <v>ok</v>
      </c>
    </row>
    <row r="256" spans="1:5" outlineLevel="1" x14ac:dyDescent="0.2">
      <c r="B256" s="137"/>
      <c r="C256" s="378"/>
      <c r="D256" s="378"/>
      <c r="E256" s="378"/>
    </row>
    <row r="257" spans="1:5" outlineLevel="1" x14ac:dyDescent="0.2">
      <c r="B257" s="69">
        <v>2029</v>
      </c>
      <c r="C257" s="57"/>
      <c r="D257" s="57"/>
      <c r="E257" s="57"/>
    </row>
    <row r="258" spans="1:5" ht="11.4" outlineLevel="1" x14ac:dyDescent="0.2">
      <c r="A258" s="85" t="s">
        <v>1420</v>
      </c>
      <c r="B258" s="20" t="s">
        <v>1429</v>
      </c>
      <c r="C258" s="599">
        <f>'Parametri MTR-3'!$M$4</f>
        <v>1.9E-2</v>
      </c>
      <c r="D258" s="599">
        <f>'Parametri MTR-3'!$M$4</f>
        <v>1.9E-2</v>
      </c>
      <c r="E258" s="599">
        <f>'Parametri MTR-3'!$M$4</f>
        <v>1.9E-2</v>
      </c>
    </row>
    <row r="259" spans="1:5" outlineLevel="1" x14ac:dyDescent="0.2">
      <c r="B259" s="602"/>
      <c r="C259" s="603"/>
      <c r="D259" s="603"/>
      <c r="E259" s="603"/>
    </row>
    <row r="260" spans="1:5" ht="11.4" outlineLevel="1" x14ac:dyDescent="0.25">
      <c r="B260" s="56" t="s">
        <v>1430</v>
      </c>
      <c r="C260" s="60" t="str">
        <f>IF(AND(C103="LIVELLO AVANZATO",C170="Cueff &gt; Benchmark"),"0,1%&lt;Xreg≤0,3%",
IF(AND(C103="LIVELLO INSODDISFACENTE O INTERMEDIO",C170="Cueff &gt; Benchmark"),"0,3%&lt;Xreg≤0,5%",
IF(AND(C103="LIVELLO INSODDISFACENTE O INTERMEDIO",C170="CUeff ≤ Benchmark"),"0,1% &lt;Xreg≤0,3%",
IF(AND(C103="LIVELLO AVANZATO",C170="CUeff ≤ Benchmark"),"Xreg=0,1%","-"))))</f>
        <v>0,1%&lt;Xreg≤0,3%</v>
      </c>
      <c r="D260" s="60" t="str">
        <f>IF(AND(D103="LIVELLO AVANZATO",D170="Cueff &gt; Benchmark"),"0,1%&lt;Xreg≤0,3%",
IF(AND(D103="LIVELLO INSODDISFACENTE O INTERMEDIO",D170="Cueff &gt; Benchmark"),"0,3%&lt;Xreg≤0,5%",
IF(AND(D103="LIVELLO INSODDISFACENTE O INTERMEDIO",D170="CUeff ≤ Benchmark"),"0,1% &lt;Xreg≤0,3%",
IF(AND(D103="LIVELLO AVANZATO",D170="CUeff ≤ Benchmark"),"Xreg=0,1%","-"))))</f>
        <v>0,1%&lt;Xreg≤0,3%</v>
      </c>
      <c r="E260" s="60" t="str">
        <f>IF(AND(E103="LIVELLO AVANZATO",E170="Cueff &gt; Benchmark"),"0,1%&lt;Xreg≤0,3%",
IF(AND(E103="LIVELLO INSODDISFACENTE O INTERMEDIO",E170="Cueff &gt; Benchmark"),"0,3%&lt;Xreg≤0,5%",
IF(AND(E103="LIVELLO INSODDISFACENTE O INTERMEDIO",E170="CUeff ≤ Benchmark"),"0,1% &lt;Xreg≤0,3%",
IF(AND(E103="LIVELLO AVANZATO",E170="CUeff ≤ Benchmark"),"Xreg=0,1%","-"))))</f>
        <v>0,1%&lt;Xreg≤0,3%</v>
      </c>
    </row>
    <row r="261" spans="1:5" ht="11.4" outlineLevel="1" x14ac:dyDescent="0.25">
      <c r="A261" s="85" t="s">
        <v>1421</v>
      </c>
      <c r="B261" s="198" t="s">
        <v>1431</v>
      </c>
      <c r="C261" s="600">
        <f>+C240</f>
        <v>0</v>
      </c>
      <c r="D261" s="600">
        <v>0</v>
      </c>
      <c r="E261" s="600">
        <v>0</v>
      </c>
    </row>
    <row r="262" spans="1:5" ht="11.4" outlineLevel="1" x14ac:dyDescent="0.25">
      <c r="A262" s="85" t="s">
        <v>1422</v>
      </c>
      <c r="B262" s="199" t="s">
        <v>1432</v>
      </c>
      <c r="C262" s="601">
        <v>0</v>
      </c>
      <c r="D262" s="601">
        <v>0</v>
      </c>
      <c r="E262" s="601">
        <v>0</v>
      </c>
    </row>
    <row r="263" spans="1:5" ht="11.4" outlineLevel="1" x14ac:dyDescent="0.25">
      <c r="A263" s="85" t="s">
        <v>1423</v>
      </c>
      <c r="B263" s="56" t="s">
        <v>1433</v>
      </c>
      <c r="C263" s="599">
        <f>C261+C262</f>
        <v>0</v>
      </c>
      <c r="D263" s="599">
        <f>D261+D262</f>
        <v>0</v>
      </c>
      <c r="E263" s="599">
        <f>E261+E262</f>
        <v>0</v>
      </c>
    </row>
    <row r="264" spans="1:5" outlineLevel="1" x14ac:dyDescent="0.2">
      <c r="B264" s="604"/>
      <c r="C264" s="605"/>
      <c r="D264" s="605"/>
      <c r="E264" s="605"/>
    </row>
    <row r="265" spans="1:5" ht="11.4" outlineLevel="1" x14ac:dyDescent="0.25">
      <c r="B265" s="56" t="s">
        <v>1434</v>
      </c>
      <c r="C265" s="599">
        <f>IF(C191="Schema I",MAX(3%-C268,0%),
IF(OR(C191="Schema II",C191="Schema III"),MAX(5%-C268,0%),
IF(C191="Schema IV",MAX(7%-C268,0%),0%)))</f>
        <v>0.03</v>
      </c>
      <c r="D265" s="599">
        <f>IF(D191="Schema I",MAX(3%-D268,0%),
IF(OR(D191="Schema II",D191="Schema III"),MAX(5%-D268,0%),
IF(D191="Schema IV",MAX(7%-D268,0%),0%)))</f>
        <v>0.03</v>
      </c>
      <c r="E265" s="599">
        <f>IF(E191="Schema I",MAX(3%-E268,0%),
IF(OR(E191="Schema II",E191="Schema III"),MAX(5%-E268,0%),
IF(E191="Schema IV",MAX(7%-E268,0%),0%)))</f>
        <v>0.03</v>
      </c>
    </row>
    <row r="266" spans="1:5" ht="11.4" outlineLevel="1" x14ac:dyDescent="0.25">
      <c r="A266" s="85" t="s">
        <v>1424</v>
      </c>
      <c r="B266" s="198" t="s">
        <v>1435</v>
      </c>
      <c r="C266" s="600">
        <v>0</v>
      </c>
      <c r="D266" s="600">
        <v>0</v>
      </c>
      <c r="E266" s="600">
        <v>0</v>
      </c>
    </row>
    <row r="267" spans="1:5" ht="11.4" outlineLevel="1" x14ac:dyDescent="0.25">
      <c r="B267" s="56" t="s">
        <v>1436</v>
      </c>
      <c r="C267" s="599">
        <f>IF(C191="Schema I",MAX(3%-C266,0%),
IF(OR(C191="Schema II",C191="Schema III"),MAX(5%-C266,0%),
IF(C191="Schema IV",MAX(7%-C266,0%),0%)))</f>
        <v>0.03</v>
      </c>
      <c r="D267" s="599">
        <f>IF(D191="Schema I",MAX(3%-D266,0%),
IF(OR(D191="Schema II",D191="Schema III"),MAX(5%-D266,0%),
IF(D191="Schema IV",MAX(7%-D266,0%),0%)))</f>
        <v>0.03</v>
      </c>
      <c r="E267" s="599">
        <f>IF(E191="Schema I",MAX(3%-E266,0%),
IF(OR(E191="Schema II",E191="Schema III"),MAX(5%-E266,0%),
IF(E191="Schema IV",MAX(7%-E266,0%),0%)))</f>
        <v>0.03</v>
      </c>
    </row>
    <row r="268" spans="1:5" ht="11.4" outlineLevel="1" x14ac:dyDescent="0.25">
      <c r="A268" s="85" t="s">
        <v>1425</v>
      </c>
      <c r="B268" s="198" t="s">
        <v>1437</v>
      </c>
      <c r="C268" s="600">
        <v>0</v>
      </c>
      <c r="D268" s="600">
        <v>0</v>
      </c>
      <c r="E268" s="600">
        <v>0</v>
      </c>
    </row>
    <row r="269" spans="1:5" ht="11.4" outlineLevel="1" x14ac:dyDescent="0.25">
      <c r="B269" s="56" t="s">
        <v>1438</v>
      </c>
      <c r="C269" s="599">
        <f>IF(C191="Schema I",3%,
IF(C191="Schema II",5%,
IF(C191="Schema III",
5%,IF(C191="Schema IV",7%,0%))))</f>
        <v>0.03</v>
      </c>
      <c r="D269" s="599">
        <f>IF(D191="Schema I",3%,
IF(D191="Schema II",5%,
IF(D191="Schema III",
5%,IF(D191="Schema IV",7%,0%))))</f>
        <v>0.03</v>
      </c>
      <c r="E269" s="599">
        <f>IF(E191="Schema I",3%,
IF(E191="Schema II",5%,
IF(E191="Schema III",
5%,IF(E191="Schema IV",7%,0%))))</f>
        <v>0.03</v>
      </c>
    </row>
    <row r="270" spans="1:5" ht="11.4" outlineLevel="1" x14ac:dyDescent="0.25">
      <c r="A270" s="85" t="s">
        <v>1426</v>
      </c>
      <c r="B270" s="202" t="s">
        <v>1439</v>
      </c>
      <c r="C270" s="607">
        <f>C266+C268</f>
        <v>0</v>
      </c>
      <c r="D270" s="607">
        <f>D266+D268</f>
        <v>0</v>
      </c>
      <c r="E270" s="607">
        <f>E266+E268</f>
        <v>0</v>
      </c>
    </row>
    <row r="271" spans="1:5" outlineLevel="1" x14ac:dyDescent="0.2">
      <c r="B271" s="604"/>
      <c r="C271" s="605"/>
      <c r="D271" s="605"/>
      <c r="E271" s="605"/>
    </row>
    <row r="272" spans="1:5" ht="11.4" outlineLevel="1" x14ac:dyDescent="0.25">
      <c r="B272" s="56" t="s">
        <v>1440</v>
      </c>
      <c r="C272" s="599">
        <f>IF(C191="Schema I",MIN(3%-C270,0.8*C270),
IF(C191="Schema II",MIN(5%-C270,0.8*C270),
IF(C191="Schema III",MIN(5%-C270,0.8*C270),
IF(C191="Schema IV",MIN(7%-C270,0.8*C270),0))))</f>
        <v>0</v>
      </c>
      <c r="D272" s="599">
        <f>IF(D191="Schema I",MIN(3%-D270,0.8*D270),
IF(D191="Schema II",MIN(5%-D270,0.8*D270),
IF(D191="Schema III",MIN(5%-D270,0.8*D270),
IF(D191="Schema IV",MIN(7%-D270,0.8*D270),0))))</f>
        <v>0</v>
      </c>
      <c r="E272" s="599">
        <f>IF(E191="Schema I",MIN(3%-E270,0.8*E270),
IF(E191="Schema II",MIN(5%-E270,0.8*E270),
IF(E191="Schema III",MIN(5%-E270,0.8*E270),
IF(E191="Schema IV",MIN(7%-E270,0.8*E270),0))))</f>
        <v>0</v>
      </c>
    </row>
    <row r="273" spans="1:5" ht="11.4" outlineLevel="1" x14ac:dyDescent="0.25">
      <c r="A273" s="85" t="s">
        <v>1427</v>
      </c>
      <c r="B273" s="55" t="s">
        <v>1441</v>
      </c>
      <c r="C273" s="341">
        <v>0</v>
      </c>
      <c r="D273" s="341">
        <v>0</v>
      </c>
      <c r="E273" s="341">
        <v>0</v>
      </c>
    </row>
    <row r="274" spans="1:5" outlineLevel="1" x14ac:dyDescent="0.2"/>
    <row r="275" spans="1:5" ht="11.4" outlineLevel="1" x14ac:dyDescent="0.2">
      <c r="A275" s="85" t="s">
        <v>1428</v>
      </c>
      <c r="B275" s="142" t="s">
        <v>1442</v>
      </c>
      <c r="C275" s="608">
        <f>C258-C263+C270+C273</f>
        <v>1.9E-2</v>
      </c>
      <c r="D275" s="608">
        <f>D258-D263+D270+D273</f>
        <v>1.9E-2</v>
      </c>
      <c r="E275" s="608">
        <f>E258-E263+E270+E273</f>
        <v>1.9E-2</v>
      </c>
    </row>
    <row r="276" spans="1:5" outlineLevel="1" x14ac:dyDescent="0.2">
      <c r="B276" s="137" t="s">
        <v>6747</v>
      </c>
      <c r="C276" s="378" t="str">
        <f>IF((C270+C273)&gt;C269,"no","ok")</f>
        <v>ok</v>
      </c>
      <c r="D276" s="378" t="str">
        <f>IF((D270+D273)&gt;D269,"no","ok")</f>
        <v>ok</v>
      </c>
      <c r="E276" s="378" t="str">
        <f>IF((E270+E273)&gt;E269,"no","ok")</f>
        <v>ok</v>
      </c>
    </row>
    <row r="277" spans="1:5" x14ac:dyDescent="0.2">
      <c r="B277" s="137"/>
      <c r="C277" s="378"/>
      <c r="D277" s="378"/>
      <c r="E277" s="378"/>
    </row>
    <row r="278" spans="1:5" x14ac:dyDescent="0.2">
      <c r="B278" s="454" t="s">
        <v>1443</v>
      </c>
      <c r="C278" s="1093" t="s">
        <v>8755</v>
      </c>
      <c r="D278" s="1093" t="s">
        <v>8755</v>
      </c>
      <c r="E278" s="1093" t="s">
        <v>8755</v>
      </c>
    </row>
    <row r="279" spans="1:5" outlineLevel="1" x14ac:dyDescent="0.2">
      <c r="B279" s="69">
        <v>2026</v>
      </c>
      <c r="C279" s="57"/>
      <c r="D279" s="57"/>
      <c r="E279" s="57"/>
    </row>
    <row r="280" spans="1:5" outlineLevel="1" x14ac:dyDescent="0.2">
      <c r="B280" s="20" t="s">
        <v>1192</v>
      </c>
      <c r="C280" s="611" t="str">
        <f>Ambiti!B$13</f>
        <v>in house</v>
      </c>
      <c r="D280" s="611" t="str">
        <f>Ambiti!C$13</f>
        <v>affidamento con gara</v>
      </c>
      <c r="E280" s="611" t="str">
        <f>Ambiti!D$13</f>
        <v>in house</v>
      </c>
    </row>
    <row r="281" spans="1:5" outlineLevel="1" x14ac:dyDescent="0.2">
      <c r="B281" s="612"/>
      <c r="C281" s="613"/>
      <c r="D281" s="613"/>
      <c r="E281" s="613"/>
    </row>
    <row r="282" spans="1:5" outlineLevel="1" x14ac:dyDescent="0.2">
      <c r="A282" s="85" t="s">
        <v>1444</v>
      </c>
      <c r="B282" s="198" t="str">
        <f>"Xreg2026 Singolo Gestore "&amp;IN_Anagrafica!$B$1</f>
        <v>Xreg2026 Singolo Gestore AGESP</v>
      </c>
      <c r="C282" s="600">
        <f>+C198</f>
        <v>0</v>
      </c>
      <c r="D282" s="600">
        <v>0</v>
      </c>
      <c r="E282" s="600">
        <v>0</v>
      </c>
    </row>
    <row r="283" spans="1:5" outlineLevel="1" x14ac:dyDescent="0.2">
      <c r="A283" s="85" t="s">
        <v>1445</v>
      </c>
      <c r="B283" s="609" t="str">
        <f>"Xcom2026 Singolo Gestore " &amp;IN_Anagrafica!$B$1</f>
        <v>Xcom2026 Singolo Gestore AGESP</v>
      </c>
      <c r="C283" s="610">
        <v>0</v>
      </c>
      <c r="D283" s="610">
        <v>0</v>
      </c>
      <c r="E283" s="610">
        <v>0</v>
      </c>
    </row>
    <row r="284" spans="1:5" outlineLevel="1" x14ac:dyDescent="0.2">
      <c r="A284" s="85" t="s">
        <v>1446</v>
      </c>
      <c r="B284" s="609" t="str">
        <f>"Kcom2026 Singolo Gestore "&amp;IN_Anagrafica!$B$1</f>
        <v>Kcom2026 Singolo Gestore AGESP</v>
      </c>
      <c r="C284" s="610">
        <v>0</v>
      </c>
      <c r="D284" s="610">
        <v>0</v>
      </c>
      <c r="E284" s="610">
        <v>0</v>
      </c>
    </row>
    <row r="285" spans="1:5" outlineLevel="1" x14ac:dyDescent="0.2">
      <c r="A285" s="85" t="s">
        <v>1455</v>
      </c>
      <c r="B285" s="609" t="str">
        <f>"Kreg2026 Singolo Gestore "&amp;IN_Anagrafica!$B$1</f>
        <v>Kreg2026 Singolo Gestore AGESP</v>
      </c>
      <c r="C285" s="610">
        <v>0</v>
      </c>
      <c r="D285" s="610">
        <v>0</v>
      </c>
      <c r="E285" s="610">
        <v>0</v>
      </c>
    </row>
    <row r="286" spans="1:5" outlineLevel="1" x14ac:dyDescent="0.2">
      <c r="A286" s="85" t="s">
        <v>1447</v>
      </c>
      <c r="B286" s="199" t="str">
        <f>"CRI2026 Singolo Gestore "&amp;IN_Anagrafica!$B$1</f>
        <v>CRI2026 Singolo Gestore AGESP</v>
      </c>
      <c r="C286" s="601">
        <v>0</v>
      </c>
      <c r="D286" s="601">
        <v>0</v>
      </c>
      <c r="E286" s="601">
        <v>0</v>
      </c>
    </row>
    <row r="287" spans="1:5" outlineLevel="1" x14ac:dyDescent="0.2">
      <c r="B287" s="137" t="s">
        <v>1515</v>
      </c>
      <c r="C287" s="378" t="str">
        <f>IF(AND(C176="Schema I",(C284+C285)&lt;=3%),"ok",
IF(AND(OR(C176="Schema II",C176="Schema III"),(C284+C285)&lt;=5%),"ok",
IF(AND(C176="Schema IV",(C284+C285)&lt;=7%),"ok","errore")))</f>
        <v>ok</v>
      </c>
      <c r="D287" s="378" t="str">
        <f>IF(AND(D176="Schema I",(D284+D285)&lt;=3%),"ok",
IF(AND(OR(D176="Schema II",D176="Schema III"),(D284+D285)&lt;=5%),"ok",
IF(AND(D176="Schema IV",(D284+D285)&lt;=7%),"ok","errore")))</f>
        <v>ok</v>
      </c>
      <c r="E287" s="378" t="str">
        <f>IF(AND(E176="Schema I",(E284+E285)&lt;=3%),"ok",
IF(AND(OR(E176="Schema II",E176="Schema III"),(E284+E285)&lt;=5%),"ok",
IF(AND(E176="Schema IV",(E284+E285)&lt;=7%),"ok","errore")))</f>
        <v>ok</v>
      </c>
    </row>
    <row r="288" spans="1:5" outlineLevel="1" x14ac:dyDescent="0.2">
      <c r="B288" s="82"/>
      <c r="C288" s="57"/>
      <c r="D288" s="57"/>
      <c r="E288" s="57"/>
    </row>
    <row r="289" spans="1:5" outlineLevel="1" x14ac:dyDescent="0.2">
      <c r="A289" s="85" t="s">
        <v>1451</v>
      </c>
      <c r="B289" s="198" t="s">
        <v>1458</v>
      </c>
      <c r="C289" s="600">
        <v>0</v>
      </c>
      <c r="D289" s="600">
        <v>0</v>
      </c>
      <c r="E289" s="600">
        <v>0</v>
      </c>
    </row>
    <row r="290" spans="1:5" outlineLevel="1" x14ac:dyDescent="0.2">
      <c r="A290" s="85" t="s">
        <v>1452</v>
      </c>
      <c r="B290" s="609" t="s">
        <v>1448</v>
      </c>
      <c r="C290" s="610">
        <v>0</v>
      </c>
      <c r="D290" s="610">
        <v>0</v>
      </c>
      <c r="E290" s="610">
        <v>0</v>
      </c>
    </row>
    <row r="291" spans="1:5" outlineLevel="1" x14ac:dyDescent="0.2">
      <c r="A291" s="85" t="s">
        <v>1453</v>
      </c>
      <c r="B291" s="609" t="s">
        <v>1449</v>
      </c>
      <c r="C291" s="610">
        <v>0</v>
      </c>
      <c r="D291" s="610">
        <v>0</v>
      </c>
      <c r="E291" s="610">
        <v>0</v>
      </c>
    </row>
    <row r="292" spans="1:5" outlineLevel="1" x14ac:dyDescent="0.2">
      <c r="A292" s="85" t="s">
        <v>1456</v>
      </c>
      <c r="B292" s="609" t="s">
        <v>1457</v>
      </c>
      <c r="C292" s="610">
        <v>0</v>
      </c>
      <c r="D292" s="610">
        <v>0</v>
      </c>
      <c r="E292" s="610">
        <v>0</v>
      </c>
    </row>
    <row r="293" spans="1:5" outlineLevel="1" x14ac:dyDescent="0.2">
      <c r="A293" s="85" t="s">
        <v>1454</v>
      </c>
      <c r="B293" s="199" t="s">
        <v>1450</v>
      </c>
      <c r="C293" s="601">
        <v>0</v>
      </c>
      <c r="D293" s="601">
        <v>0</v>
      </c>
      <c r="E293" s="601">
        <v>0</v>
      </c>
    </row>
    <row r="294" spans="1:5" outlineLevel="1" x14ac:dyDescent="0.2">
      <c r="B294" s="82"/>
      <c r="C294" s="57"/>
      <c r="D294" s="57"/>
      <c r="E294" s="57"/>
    </row>
    <row r="295" spans="1:5" ht="11.4" outlineLevel="1" x14ac:dyDescent="0.25">
      <c r="A295" s="85" t="s">
        <v>251</v>
      </c>
      <c r="B295" s="198" t="s">
        <v>1504</v>
      </c>
      <c r="C295" s="597">
        <v>16398095.42</v>
      </c>
      <c r="D295" s="597">
        <v>0</v>
      </c>
      <c r="E295" s="597">
        <v>0</v>
      </c>
    </row>
    <row r="296" spans="1:5" ht="11.4" outlineLevel="1" x14ac:dyDescent="0.25">
      <c r="A296" s="85" t="s">
        <v>253</v>
      </c>
      <c r="B296" s="199" t="s">
        <v>1505</v>
      </c>
      <c r="C296" s="598">
        <v>-46833.73</v>
      </c>
      <c r="D296" s="598">
        <v>0</v>
      </c>
      <c r="E296" s="598">
        <v>0</v>
      </c>
    </row>
    <row r="297" spans="1:5" ht="11.4" outlineLevel="1" x14ac:dyDescent="0.25">
      <c r="A297" s="85" t="s">
        <v>230</v>
      </c>
      <c r="B297" s="56" t="s">
        <v>996</v>
      </c>
      <c r="C297" s="172">
        <f>C295+C296</f>
        <v>16351261.689999999</v>
      </c>
      <c r="D297" s="172">
        <f>D295+D296</f>
        <v>0</v>
      </c>
      <c r="E297" s="172">
        <f>E295+E296</f>
        <v>0</v>
      </c>
    </row>
    <row r="298" spans="1:5" ht="11.4" outlineLevel="1" x14ac:dyDescent="0.25">
      <c r="B298" s="137" t="s">
        <v>1513</v>
      </c>
      <c r="C298" s="378" t="str">
        <f>IF(C297=C142,"ok","incoerenza valore Ta-1")</f>
        <v>ok</v>
      </c>
      <c r="D298" s="378" t="str">
        <f>IF(D297=D142,"ok","incoerenza valore Ta-1")</f>
        <v>ok</v>
      </c>
      <c r="E298" s="378" t="str">
        <f>IF(E297=E142,"ok","incoerenza valore Ta-1")</f>
        <v>ok</v>
      </c>
    </row>
    <row r="299" spans="1:5" outlineLevel="1" x14ac:dyDescent="0.2">
      <c r="B299" s="82"/>
      <c r="C299" s="57"/>
      <c r="D299" s="57"/>
      <c r="E299" s="57"/>
    </row>
    <row r="300" spans="1:5" outlineLevel="1" x14ac:dyDescent="0.2">
      <c r="A300" s="85" t="s">
        <v>1506</v>
      </c>
      <c r="B300" s="449" t="str">
        <f>"Xreg2026 Ponderato "&amp;IN_Anagrafica!$B$1</f>
        <v>Xreg2026 Ponderato AGESP</v>
      </c>
      <c r="C300" s="606">
        <f>IFERROR((C282*C295+C289*C296)/C297,0)</f>
        <v>0</v>
      </c>
      <c r="D300" s="606">
        <f>IFERROR((D282*D295+D289*D296)/D297,0)</f>
        <v>0</v>
      </c>
      <c r="E300" s="606">
        <f>IFERROR((E282*E295+E289*E296)/E297,0)</f>
        <v>0</v>
      </c>
    </row>
    <row r="301" spans="1:5" outlineLevel="1" x14ac:dyDescent="0.2">
      <c r="A301" s="85" t="s">
        <v>1507</v>
      </c>
      <c r="B301" s="483" t="str">
        <f>"Xcom2026 Ponderato " &amp;IN_Anagrafica!$B$1</f>
        <v>Xcom2026 Ponderato AGESP</v>
      </c>
      <c r="C301" s="614">
        <f>IFERROR((C283*C295+C290*C296)/C297,0)</f>
        <v>0</v>
      </c>
      <c r="D301" s="614">
        <f>IFERROR((D283*D295+D290*D296)/D297,0)</f>
        <v>0</v>
      </c>
      <c r="E301" s="614">
        <f>IFERROR((E283*E295+E290*E296)/E297,0)</f>
        <v>0</v>
      </c>
    </row>
    <row r="302" spans="1:5" outlineLevel="1" x14ac:dyDescent="0.2">
      <c r="A302" s="85" t="s">
        <v>1508</v>
      </c>
      <c r="B302" s="56" t="str">
        <f>"X2026 Ponderato " &amp;IN_Anagrafica!$B$1</f>
        <v>X2026 Ponderato AGESP</v>
      </c>
      <c r="C302" s="599">
        <f>C300+C301</f>
        <v>0</v>
      </c>
      <c r="D302" s="599">
        <f>D300+D301</f>
        <v>0</v>
      </c>
      <c r="E302" s="599">
        <f>E300+E301</f>
        <v>0</v>
      </c>
    </row>
    <row r="303" spans="1:5" outlineLevel="1" x14ac:dyDescent="0.2">
      <c r="A303" s="85" t="s">
        <v>1509</v>
      </c>
      <c r="B303" s="449" t="str">
        <f>"Kcom2026 Ponderato "&amp;IN_Anagrafica!$B$1</f>
        <v>Kcom2026 Ponderato AGESP</v>
      </c>
      <c r="C303" s="606">
        <f>IFERROR((C284*C295+C291*C296)/C297,0)</f>
        <v>0</v>
      </c>
      <c r="D303" s="606">
        <f>IFERROR((D284*D295+D291*D296)/D297,0)</f>
        <v>0</v>
      </c>
      <c r="E303" s="606">
        <f>IFERROR((E284*E295+E291*E296)/E297,0)</f>
        <v>0</v>
      </c>
    </row>
    <row r="304" spans="1:5" outlineLevel="1" x14ac:dyDescent="0.2">
      <c r="A304" s="85" t="s">
        <v>1510</v>
      </c>
      <c r="B304" s="483" t="str">
        <f>"Kreg2026 Ponderato " &amp;IN_Anagrafica!$B$1</f>
        <v>Kreg2026 Ponderato AGESP</v>
      </c>
      <c r="C304" s="614">
        <f>IFERROR((C285*C295+C292*C296)/C297,0)</f>
        <v>0</v>
      </c>
      <c r="D304" s="614">
        <f>IFERROR((D285*D295+D292*D296)/D297,0)</f>
        <v>0</v>
      </c>
      <c r="E304" s="614">
        <f>IFERROR((E285*E295+E292*E296)/E297,0)</f>
        <v>0</v>
      </c>
    </row>
    <row r="305" spans="1:5" outlineLevel="1" x14ac:dyDescent="0.2">
      <c r="A305" s="85" t="s">
        <v>1511</v>
      </c>
      <c r="B305" s="56" t="str">
        <f>"K2026 Ponderato " &amp;IN_Anagrafica!$B$1</f>
        <v>K2026 Ponderato AGESP</v>
      </c>
      <c r="C305" s="599">
        <f>C303+C304</f>
        <v>0</v>
      </c>
      <c r="D305" s="599">
        <f>D303+D304</f>
        <v>0</v>
      </c>
      <c r="E305" s="599">
        <f>E303+E304</f>
        <v>0</v>
      </c>
    </row>
    <row r="306" spans="1:5" outlineLevel="1" x14ac:dyDescent="0.2">
      <c r="A306" s="85" t="s">
        <v>1512</v>
      </c>
      <c r="B306" s="171" t="str">
        <f>"CRI2026 Ponderato "&amp;IN_Anagrafica!$B$1</f>
        <v>CRI2026 Ponderato AGESP</v>
      </c>
      <c r="C306" s="615">
        <f>IFERROR((C286*C295+C293*C296)/C297,0)</f>
        <v>0</v>
      </c>
      <c r="D306" s="615">
        <f>IFERROR((D286*D295+D293*D296)/D297,0)</f>
        <v>0</v>
      </c>
      <c r="E306" s="615">
        <f>IFERROR((E286*E295+E293*E296)/E297,0)</f>
        <v>0</v>
      </c>
    </row>
    <row r="307" spans="1:5" outlineLevel="1" x14ac:dyDescent="0.2">
      <c r="B307" s="137" t="s">
        <v>1514</v>
      </c>
      <c r="C307" s="378" t="str">
        <f>IF(ROUND(C302,4)=ROUND(C200,4),"ok","incoerenza valore X")</f>
        <v>ok</v>
      </c>
      <c r="D307" s="378" t="str">
        <f>IF(ROUND(D302,4)=ROUND(D200,4),"ok","incoerenza valore X")</f>
        <v>ok</v>
      </c>
      <c r="E307" s="378" t="str">
        <f>IF(ROUND(E302,4)=ROUND(E200,4),"ok","incoerenza valore X")</f>
        <v>ok</v>
      </c>
    </row>
    <row r="308" spans="1:5" outlineLevel="1" x14ac:dyDescent="0.2">
      <c r="B308" s="137" t="s">
        <v>1515</v>
      </c>
      <c r="C308" s="378" t="str">
        <f>IF(ROUND(C305,4)=ROUND(C207,4),"ok","incoerenza valore K")</f>
        <v>ok</v>
      </c>
      <c r="D308" s="378" t="str">
        <f>IF(ROUND(D305,4)=ROUND(D207,4),"ok","incoerenza valore K")</f>
        <v>ok</v>
      </c>
      <c r="E308" s="378" t="str">
        <f>IF(ROUND(E305,4)=ROUND(E207,4),"ok","incoerenza valore K")</f>
        <v>ok</v>
      </c>
    </row>
    <row r="309" spans="1:5" outlineLevel="1" x14ac:dyDescent="0.2">
      <c r="B309" s="82"/>
      <c r="C309" s="57"/>
      <c r="D309" s="57"/>
      <c r="E309" s="57"/>
    </row>
    <row r="310" spans="1:5" ht="11.4" outlineLevel="1" x14ac:dyDescent="0.2">
      <c r="A310" s="85" t="s">
        <v>1552</v>
      </c>
      <c r="B310" s="142" t="s">
        <v>1551</v>
      </c>
      <c r="C310" s="608">
        <f>C195-C302+C305+C306</f>
        <v>1.9E-2</v>
      </c>
      <c r="D310" s="608">
        <f>D195-D302+D305+D306</f>
        <v>1.9E-2</v>
      </c>
      <c r="E310" s="608">
        <f>E195-E302+E305+E306</f>
        <v>1.9E-2</v>
      </c>
    </row>
    <row r="311" spans="1:5" outlineLevel="1" x14ac:dyDescent="0.2">
      <c r="B311" s="137" t="s">
        <v>1553</v>
      </c>
      <c r="C311" s="378" t="str">
        <f>IF(ROUND(C310,4)=ROUND(C212,4),"ok","incoerenza valore ρ")</f>
        <v>ok</v>
      </c>
      <c r="D311" s="378" t="str">
        <f>IF(ROUND(D310,4)=ROUND(D212,4),"ok","incoerenza valore ρ")</f>
        <v>ok</v>
      </c>
      <c r="E311" s="378" t="str">
        <f>IF(ROUND(E310,4)=ROUND(E212,4),"ok","incoerenza valore ρ")</f>
        <v>ok</v>
      </c>
    </row>
    <row r="312" spans="1:5" outlineLevel="1" x14ac:dyDescent="0.2">
      <c r="B312" s="82"/>
      <c r="C312" s="57"/>
      <c r="D312" s="57"/>
      <c r="E312" s="57"/>
    </row>
    <row r="313" spans="1:5" outlineLevel="1" x14ac:dyDescent="0.2">
      <c r="B313" s="69">
        <v>2027</v>
      </c>
      <c r="C313" s="57"/>
      <c r="D313" s="57"/>
      <c r="E313" s="57"/>
    </row>
    <row r="314" spans="1:5" outlineLevel="1" x14ac:dyDescent="0.2">
      <c r="B314" s="20" t="s">
        <v>1192</v>
      </c>
      <c r="C314" s="611" t="str">
        <f>Ambiti!B$13</f>
        <v>in house</v>
      </c>
      <c r="D314" s="611" t="str">
        <f>Ambiti!C$13</f>
        <v>affidamento con gara</v>
      </c>
      <c r="E314" s="611" t="str">
        <f>Ambiti!D$13</f>
        <v>in house</v>
      </c>
    </row>
    <row r="315" spans="1:5" outlineLevel="1" x14ac:dyDescent="0.2">
      <c r="B315" s="612"/>
      <c r="C315" s="613"/>
      <c r="D315" s="613"/>
      <c r="E315" s="613"/>
    </row>
    <row r="316" spans="1:5" outlineLevel="1" x14ac:dyDescent="0.2">
      <c r="A316" s="85" t="s">
        <v>1459</v>
      </c>
      <c r="B316" s="198" t="str">
        <f>"Xreg2027  Singolo Gestore "&amp;IN_Anagrafica!$B$1</f>
        <v>Xreg2027  Singolo Gestore AGESP</v>
      </c>
      <c r="C316" s="600">
        <f>+C282</f>
        <v>0</v>
      </c>
      <c r="D316" s="600">
        <v>0</v>
      </c>
      <c r="E316" s="600">
        <v>0</v>
      </c>
    </row>
    <row r="317" spans="1:5" outlineLevel="1" x14ac:dyDescent="0.2">
      <c r="A317" s="85" t="s">
        <v>1460</v>
      </c>
      <c r="B317" s="609" t="str">
        <f>"Xcom2027 Singolo Gestore " &amp;IN_Anagrafica!$B$1</f>
        <v>Xcom2027 Singolo Gestore AGESP</v>
      </c>
      <c r="C317" s="610">
        <v>0</v>
      </c>
      <c r="D317" s="610">
        <v>0</v>
      </c>
      <c r="E317" s="610">
        <v>0</v>
      </c>
    </row>
    <row r="318" spans="1:5" outlineLevel="1" x14ac:dyDescent="0.2">
      <c r="A318" s="85" t="s">
        <v>1461</v>
      </c>
      <c r="B318" s="609" t="str">
        <f>"Kcom2027 Singolo Gestore "&amp;IN_Anagrafica!$B$1</f>
        <v>Kcom2027 Singolo Gestore AGESP</v>
      </c>
      <c r="C318" s="610">
        <v>0</v>
      </c>
      <c r="D318" s="610">
        <v>0</v>
      </c>
      <c r="E318" s="610">
        <v>0</v>
      </c>
    </row>
    <row r="319" spans="1:5" outlineLevel="1" x14ac:dyDescent="0.2">
      <c r="A319" s="85" t="s">
        <v>1462</v>
      </c>
      <c r="B319" s="609" t="str">
        <f>"Kreg2027 Singolo Gestore "&amp;IN_Anagrafica!$B$1</f>
        <v>Kreg2027 Singolo Gestore AGESP</v>
      </c>
      <c r="C319" s="610">
        <v>0</v>
      </c>
      <c r="D319" s="610">
        <v>0</v>
      </c>
      <c r="E319" s="610">
        <v>0</v>
      </c>
    </row>
    <row r="320" spans="1:5" outlineLevel="1" x14ac:dyDescent="0.2">
      <c r="A320" s="85" t="s">
        <v>1463</v>
      </c>
      <c r="B320" s="199" t="str">
        <f>"CRI2027 Singolo Gestore "&amp;IN_Anagrafica!$B$1</f>
        <v>CRI2027 Singolo Gestore AGESP</v>
      </c>
      <c r="C320" s="601">
        <v>0</v>
      </c>
      <c r="D320" s="601">
        <v>0</v>
      </c>
      <c r="E320" s="601">
        <v>0</v>
      </c>
    </row>
    <row r="321" spans="1:5" outlineLevel="1" x14ac:dyDescent="0.2">
      <c r="B321" s="137" t="s">
        <v>1515</v>
      </c>
      <c r="C321" s="378" t="str">
        <f>IF(AND(C181="Schema I",(C318+C319)&lt;=3%),"ok",
IF(AND(OR(C181="Schema II",C181="Schema III"),(C318+C319)&lt;=5%),"ok",
IF(AND(C181="Schema IV",(C318+C319)&lt;=7%),"ok","errore")))</f>
        <v>ok</v>
      </c>
      <c r="D321" s="378" t="str">
        <f>IF(AND(D181="Schema I",(D318+D319)&lt;=3%),"ok",
IF(AND(OR(D181="Schema II",D181="Schema III"),(D318+D319)&lt;=5%),"ok",
IF(AND(D181="Schema IV",(D318+D319)&lt;=7%),"ok","errore")))</f>
        <v>ok</v>
      </c>
      <c r="E321" s="378" t="str">
        <f>IF(AND(E181="Schema I",(E318+E319)&lt;=3%),"ok",
IF(AND(OR(E181="Schema II",E181="Schema III"),(E318+E319)&lt;=5%),"ok",
IF(AND(E181="Schema IV",(E318+E319)&lt;=7%),"ok","errore")))</f>
        <v>ok</v>
      </c>
    </row>
    <row r="322" spans="1:5" outlineLevel="1" x14ac:dyDescent="0.2">
      <c r="B322" s="82"/>
      <c r="C322" s="57"/>
      <c r="D322" s="57"/>
      <c r="E322" s="57"/>
    </row>
    <row r="323" spans="1:5" outlineLevel="1" x14ac:dyDescent="0.2">
      <c r="A323" s="85" t="s">
        <v>1464</v>
      </c>
      <c r="B323" s="198" t="s">
        <v>1465</v>
      </c>
      <c r="C323" s="600">
        <v>0</v>
      </c>
      <c r="D323" s="600">
        <v>0</v>
      </c>
      <c r="E323" s="600">
        <v>0</v>
      </c>
    </row>
    <row r="324" spans="1:5" outlineLevel="1" x14ac:dyDescent="0.2">
      <c r="A324" s="85" t="s">
        <v>1466</v>
      </c>
      <c r="B324" s="609" t="s">
        <v>1467</v>
      </c>
      <c r="C324" s="610">
        <v>0</v>
      </c>
      <c r="D324" s="610">
        <v>0</v>
      </c>
      <c r="E324" s="610">
        <v>0</v>
      </c>
    </row>
    <row r="325" spans="1:5" outlineLevel="1" x14ac:dyDescent="0.2">
      <c r="A325" s="85" t="s">
        <v>1468</v>
      </c>
      <c r="B325" s="609" t="s">
        <v>1469</v>
      </c>
      <c r="C325" s="610">
        <v>0</v>
      </c>
      <c r="D325" s="610">
        <v>0</v>
      </c>
      <c r="E325" s="610">
        <v>0</v>
      </c>
    </row>
    <row r="326" spans="1:5" outlineLevel="1" x14ac:dyDescent="0.2">
      <c r="A326" s="85" t="s">
        <v>1470</v>
      </c>
      <c r="B326" s="609" t="s">
        <v>1471</v>
      </c>
      <c r="C326" s="610">
        <v>0</v>
      </c>
      <c r="D326" s="610">
        <v>0</v>
      </c>
      <c r="E326" s="610">
        <v>0</v>
      </c>
    </row>
    <row r="327" spans="1:5" outlineLevel="1" x14ac:dyDescent="0.2">
      <c r="A327" s="85" t="s">
        <v>1472</v>
      </c>
      <c r="B327" s="199" t="s">
        <v>1473</v>
      </c>
      <c r="C327" s="601">
        <v>0</v>
      </c>
      <c r="D327" s="601">
        <v>0</v>
      </c>
      <c r="E327" s="601">
        <v>0</v>
      </c>
    </row>
    <row r="328" spans="1:5" outlineLevel="1" x14ac:dyDescent="0.2">
      <c r="B328" s="82"/>
      <c r="C328" s="57"/>
      <c r="D328" s="57"/>
      <c r="E328" s="57"/>
    </row>
    <row r="329" spans="1:5" ht="11.4" outlineLevel="1" x14ac:dyDescent="0.25">
      <c r="A329" s="85" t="s">
        <v>8615</v>
      </c>
      <c r="B329" s="449" t="s">
        <v>1518</v>
      </c>
      <c r="C329" s="859">
        <f>INDEX('Rett_Ta-1'!$A$3:$AAA$99,MATCH(IN_PAR!$A329,'Rett_Ta-1'!$A$3:$A$99,0),MATCH(IN_PAR!C$3,'Rett_Ta-1'!$A$3:$AAA$3,0))</f>
        <v>15445901.47535269</v>
      </c>
      <c r="D329" s="859">
        <f>INDEX('Rett_Ta-1'!$A$3:$AAA$99,MATCH(IN_PAR!$A329,'Rett_Ta-1'!$A$3:$A$99,0),MATCH(IN_PAR!D$3,'Rett_Ta-1'!$A$3:$AAA$3,0))</f>
        <v>1256451.1339875134</v>
      </c>
      <c r="E329" s="859">
        <f>INDEX('Rett_Ta-1'!$A$3:$AAA$99,MATCH(IN_PAR!$A329,'Rett_Ta-1'!$A$3:$A$99,0),MATCH(IN_PAR!E$3,'Rett_Ta-1'!$A$3:$AAA$3,0))</f>
        <v>0</v>
      </c>
    </row>
    <row r="330" spans="1:5" ht="11.4" outlineLevel="1" x14ac:dyDescent="0.25">
      <c r="A330" s="85" t="s">
        <v>8616</v>
      </c>
      <c r="B330" s="445" t="s">
        <v>1519</v>
      </c>
      <c r="C330" s="860">
        <f>INDEX('Rett_Ta-1'!$A$3:$AAA$99,MATCH(IN_PAR!$A330,'Rett_Ta-1'!$A$3:$A$99,0),MATCH(IN_PAR!C$3,'Rett_Ta-1'!$A$3:$AAA$3,0))</f>
        <v>0</v>
      </c>
      <c r="D330" s="860">
        <f>INDEX('Rett_Ta-1'!$A$3:$AAA$99,MATCH(IN_PAR!$A330,'Rett_Ta-1'!$A$3:$A$99,0),MATCH(IN_PAR!D$3,'Rett_Ta-1'!$A$3:$AAA$3,0))</f>
        <v>0</v>
      </c>
      <c r="E330" s="860">
        <f>INDEX('Rett_Ta-1'!$A$3:$AAA$99,MATCH(IN_PAR!$A330,'Rett_Ta-1'!$A$3:$A$99,0),MATCH(IN_PAR!E$3,'Rett_Ta-1'!$A$3:$AAA$3,0))</f>
        <v>54149.194963047281</v>
      </c>
    </row>
    <row r="331" spans="1:5" ht="11.4" outlineLevel="1" x14ac:dyDescent="0.25">
      <c r="A331" s="85" t="s">
        <v>6561</v>
      </c>
      <c r="B331" s="56" t="s">
        <v>1317</v>
      </c>
      <c r="C331" s="172">
        <f>C329+C330</f>
        <v>15445901.47535269</v>
      </c>
      <c r="D331" s="172">
        <f>D329+D330</f>
        <v>1256451.1339875134</v>
      </c>
      <c r="E331" s="172">
        <f>E329+E330</f>
        <v>54149.194963047281</v>
      </c>
    </row>
    <row r="332" spans="1:5" ht="11.4" outlineLevel="1" x14ac:dyDescent="0.25">
      <c r="B332" s="137" t="s">
        <v>1513</v>
      </c>
      <c r="C332" s="378" t="str">
        <f>IF(C331=C153,"ok","incoerenza valore Ta-1")</f>
        <v>ok</v>
      </c>
      <c r="D332" s="378" t="str">
        <f>IF(D331=D153,"ok","incoerenza valore Ta-1")</f>
        <v>ok</v>
      </c>
      <c r="E332" s="378" t="str">
        <f>IF(E331=E153,"ok","incoerenza valore Ta-1")</f>
        <v>ok</v>
      </c>
    </row>
    <row r="333" spans="1:5" outlineLevel="1" x14ac:dyDescent="0.2">
      <c r="B333" s="82"/>
      <c r="C333" s="57"/>
      <c r="D333" s="57"/>
      <c r="E333" s="57"/>
    </row>
    <row r="334" spans="1:5" outlineLevel="1" x14ac:dyDescent="0.2">
      <c r="A334" s="85" t="s">
        <v>1520</v>
      </c>
      <c r="B334" s="449" t="str">
        <f>"Xreg2027 Ponderato "&amp;IN_Anagrafica!$B$1</f>
        <v>Xreg2027 Ponderato AGESP</v>
      </c>
      <c r="C334" s="606">
        <f>IFERROR((C316*C329+C323*C330)/C331,0)</f>
        <v>0</v>
      </c>
      <c r="D334" s="606">
        <f>IFERROR((D316*D329+D323*D330)/D331,0)</f>
        <v>0</v>
      </c>
      <c r="E334" s="606">
        <f>IFERROR((E316*E329+E323*E330)/E331,0)</f>
        <v>0</v>
      </c>
    </row>
    <row r="335" spans="1:5" outlineLevel="1" x14ac:dyDescent="0.2">
      <c r="A335" s="85" t="s">
        <v>1521</v>
      </c>
      <c r="B335" s="483" t="str">
        <f>"Xcom2027 Ponderato " &amp;IN_Anagrafica!$B$1</f>
        <v>Xcom2027 Ponderato AGESP</v>
      </c>
      <c r="C335" s="614">
        <f>IFERROR((C317*C329+C324*C330)/C331,0)</f>
        <v>0</v>
      </c>
      <c r="D335" s="614">
        <f>IFERROR((D317*D329+D324*D330)/D331,0)</f>
        <v>0</v>
      </c>
      <c r="E335" s="614">
        <f>IFERROR((E317*E329+E324*E330)/E331,0)</f>
        <v>0</v>
      </c>
    </row>
    <row r="336" spans="1:5" outlineLevel="1" x14ac:dyDescent="0.2">
      <c r="A336" s="85" t="s">
        <v>1522</v>
      </c>
      <c r="B336" s="56" t="str">
        <f>"X2027 Ponderato " &amp;IN_Anagrafica!$B$1</f>
        <v>X2027 Ponderato AGESP</v>
      </c>
      <c r="C336" s="599">
        <f>C334+C335</f>
        <v>0</v>
      </c>
      <c r="D336" s="599">
        <f>D334+D335</f>
        <v>0</v>
      </c>
      <c r="E336" s="599">
        <f>E334+E335</f>
        <v>0</v>
      </c>
    </row>
    <row r="337" spans="1:5" outlineLevel="1" x14ac:dyDescent="0.2">
      <c r="A337" s="85" t="s">
        <v>1523</v>
      </c>
      <c r="B337" s="449" t="str">
        <f>"Kcom2027 Ponderato "&amp;IN_Anagrafica!$B$1</f>
        <v>Kcom2027 Ponderato AGESP</v>
      </c>
      <c r="C337" s="606">
        <f>IFERROR((C318*C329+C325*C330)/C331,0)</f>
        <v>0</v>
      </c>
      <c r="D337" s="606">
        <f>IFERROR((D318*D329+D325*D330)/D331,0)</f>
        <v>0</v>
      </c>
      <c r="E337" s="606">
        <f>IFERROR((E318*E329+E325*E330)/E331,0)</f>
        <v>0</v>
      </c>
    </row>
    <row r="338" spans="1:5" outlineLevel="1" x14ac:dyDescent="0.2">
      <c r="A338" s="85" t="s">
        <v>1524</v>
      </c>
      <c r="B338" s="483" t="str">
        <f>"Kreg2027 Ponderato " &amp;IN_Anagrafica!$B$1</f>
        <v>Kreg2027 Ponderato AGESP</v>
      </c>
      <c r="C338" s="614">
        <f>IFERROR((C319*C329+C326*C330)/C331,0)</f>
        <v>0</v>
      </c>
      <c r="D338" s="614">
        <f>IFERROR((D319*D329+D326*D330)/D331,0)</f>
        <v>0</v>
      </c>
      <c r="E338" s="614">
        <f>IFERROR((E319*E329+E326*E330)/E331,0)</f>
        <v>0</v>
      </c>
    </row>
    <row r="339" spans="1:5" outlineLevel="1" x14ac:dyDescent="0.2">
      <c r="A339" s="85" t="s">
        <v>1525</v>
      </c>
      <c r="B339" s="56" t="str">
        <f>"K2027 Ponderato " &amp;IN_Anagrafica!$B$1</f>
        <v>K2027 Ponderato AGESP</v>
      </c>
      <c r="C339" s="599">
        <f>C337+C338</f>
        <v>0</v>
      </c>
      <c r="D339" s="599">
        <f>D337+D338</f>
        <v>0</v>
      </c>
      <c r="E339" s="599">
        <f>E337+E338</f>
        <v>0</v>
      </c>
    </row>
    <row r="340" spans="1:5" outlineLevel="1" x14ac:dyDescent="0.2">
      <c r="A340" s="85" t="s">
        <v>1526</v>
      </c>
      <c r="B340" s="171" t="str">
        <f>"CRI2027 Ponderato "&amp;IN_Anagrafica!$B$1</f>
        <v>CRI2027 Ponderato AGESP</v>
      </c>
      <c r="C340" s="615">
        <f>IFERROR((C320*C329+C327*C330)/C331,0)</f>
        <v>0</v>
      </c>
      <c r="D340" s="615">
        <f>IFERROR((D320*D329+D327*D330)/D331,0)</f>
        <v>0</v>
      </c>
      <c r="E340" s="615">
        <f>IFERROR((E320*E329+E327*E330)/E331,0)</f>
        <v>0</v>
      </c>
    </row>
    <row r="341" spans="1:5" outlineLevel="1" x14ac:dyDescent="0.2">
      <c r="B341" s="137" t="s">
        <v>1514</v>
      </c>
      <c r="C341" s="378" t="str">
        <f>IF(ROUND(C336,4)=ROUND(C221,4),"ok","incoerenza valore X")</f>
        <v>ok</v>
      </c>
      <c r="D341" s="378" t="str">
        <f>IF(ROUND(D336,4)=ROUND(D221,4),"ok","incoerenza valore X")</f>
        <v>ok</v>
      </c>
      <c r="E341" s="378" t="str">
        <f>IF(ROUND(E336,4)=ROUND(E221,4),"ok","incoerenza valore X")</f>
        <v>ok</v>
      </c>
    </row>
    <row r="342" spans="1:5" outlineLevel="1" x14ac:dyDescent="0.2">
      <c r="B342" s="137" t="s">
        <v>1515</v>
      </c>
      <c r="C342" s="378" t="str">
        <f>IF(ROUND(C339,4)=ROUND(C228,4),"ok","incoerenza valore K")</f>
        <v>ok</v>
      </c>
      <c r="D342" s="378" t="str">
        <f>IF(ROUND(D339,4)=ROUND(D228,4),"ok","incoerenza valore K")</f>
        <v>ok</v>
      </c>
      <c r="E342" s="378" t="str">
        <f>IF(ROUND(E339,4)=ROUND(E228,4),"ok","incoerenza valore K")</f>
        <v>ok</v>
      </c>
    </row>
    <row r="343" spans="1:5" outlineLevel="1" x14ac:dyDescent="0.2">
      <c r="B343" s="82"/>
      <c r="C343" s="57"/>
      <c r="D343" s="57"/>
      <c r="E343" s="57"/>
    </row>
    <row r="344" spans="1:5" ht="11.4" outlineLevel="1" x14ac:dyDescent="0.2">
      <c r="A344" s="85" t="s">
        <v>1554</v>
      </c>
      <c r="B344" s="142" t="s">
        <v>1555</v>
      </c>
      <c r="C344" s="608">
        <f>C216-C336+C339+C340</f>
        <v>1.9E-2</v>
      </c>
      <c r="D344" s="608">
        <f>D216-D336+D339+D340</f>
        <v>1.9E-2</v>
      </c>
      <c r="E344" s="608">
        <f>E216-E336+E339+E340</f>
        <v>1.9E-2</v>
      </c>
    </row>
    <row r="345" spans="1:5" outlineLevel="1" x14ac:dyDescent="0.2">
      <c r="B345" s="137" t="s">
        <v>1553</v>
      </c>
      <c r="C345" s="378" t="str">
        <f>IF(ROUND(C344,4)=ROUND(C233,4),"ok","incoerenza valore ρ")</f>
        <v>ok</v>
      </c>
      <c r="D345" s="378" t="str">
        <f>IF(ROUND(D344,4)=ROUND(D233,4),"ok","incoerenza valore ρ")</f>
        <v>ok</v>
      </c>
      <c r="E345" s="378" t="str">
        <f>IF(ROUND(E344,4)=ROUND(E233,4),"ok","incoerenza valore ρ")</f>
        <v>ok</v>
      </c>
    </row>
    <row r="346" spans="1:5" outlineLevel="1" x14ac:dyDescent="0.2">
      <c r="B346" s="82"/>
      <c r="C346" s="57"/>
      <c r="D346" s="57"/>
      <c r="E346" s="57"/>
    </row>
    <row r="347" spans="1:5" outlineLevel="1" x14ac:dyDescent="0.2">
      <c r="B347" s="69">
        <v>2028</v>
      </c>
      <c r="C347" s="57"/>
      <c r="D347" s="57"/>
      <c r="E347" s="57"/>
    </row>
    <row r="348" spans="1:5" outlineLevel="1" x14ac:dyDescent="0.2">
      <c r="B348" s="20" t="s">
        <v>1192</v>
      </c>
      <c r="C348" s="611" t="str">
        <f>Ambiti!B$13</f>
        <v>in house</v>
      </c>
      <c r="D348" s="611" t="str">
        <f>Ambiti!C$13</f>
        <v>affidamento con gara</v>
      </c>
      <c r="E348" s="611" t="str">
        <f>Ambiti!D$13</f>
        <v>in house</v>
      </c>
    </row>
    <row r="349" spans="1:5" outlineLevel="1" x14ac:dyDescent="0.2">
      <c r="B349" s="612"/>
      <c r="C349" s="613"/>
      <c r="D349" s="613"/>
      <c r="E349" s="613"/>
    </row>
    <row r="350" spans="1:5" outlineLevel="1" x14ac:dyDescent="0.2">
      <c r="A350" s="85" t="s">
        <v>1474</v>
      </c>
      <c r="B350" s="198" t="str">
        <f>"Xreg2028  Singolo Gestore "&amp;IN_Anagrafica!$B$1</f>
        <v>Xreg2028  Singolo Gestore AGESP</v>
      </c>
      <c r="C350" s="600">
        <f>+C316</f>
        <v>0</v>
      </c>
      <c r="D350" s="600">
        <v>0</v>
      </c>
      <c r="E350" s="600">
        <v>0</v>
      </c>
    </row>
    <row r="351" spans="1:5" outlineLevel="1" x14ac:dyDescent="0.2">
      <c r="A351" s="85" t="s">
        <v>1475</v>
      </c>
      <c r="B351" s="609" t="str">
        <f>"Xcom2028 Singolo Gestore " &amp;IN_Anagrafica!$B$1</f>
        <v>Xcom2028 Singolo Gestore AGESP</v>
      </c>
      <c r="C351" s="610">
        <v>0</v>
      </c>
      <c r="D351" s="610">
        <v>0</v>
      </c>
      <c r="E351" s="610">
        <v>0</v>
      </c>
    </row>
    <row r="352" spans="1:5" outlineLevel="1" x14ac:dyDescent="0.2">
      <c r="A352" s="85" t="s">
        <v>1476</v>
      </c>
      <c r="B352" s="609" t="str">
        <f>"Kcom2028 Singolo Gestore "&amp;IN_Anagrafica!$B$1</f>
        <v>Kcom2028 Singolo Gestore AGESP</v>
      </c>
      <c r="C352" s="610">
        <v>0</v>
      </c>
      <c r="D352" s="610">
        <v>0</v>
      </c>
      <c r="E352" s="610">
        <v>0</v>
      </c>
    </row>
    <row r="353" spans="1:5" outlineLevel="1" x14ac:dyDescent="0.2">
      <c r="A353" s="85" t="s">
        <v>1477</v>
      </c>
      <c r="B353" s="609" t="str">
        <f>"Kreg2028 Singolo Gestore "&amp;IN_Anagrafica!$B$1</f>
        <v>Kreg2028 Singolo Gestore AGESP</v>
      </c>
      <c r="C353" s="610">
        <v>0</v>
      </c>
      <c r="D353" s="610">
        <v>0</v>
      </c>
      <c r="E353" s="610">
        <v>0</v>
      </c>
    </row>
    <row r="354" spans="1:5" outlineLevel="1" x14ac:dyDescent="0.2">
      <c r="A354" s="85" t="s">
        <v>1478</v>
      </c>
      <c r="B354" s="199" t="str">
        <f>"CRI2028 Singolo Gestore "&amp;IN_Anagrafica!$B$1</f>
        <v>CRI2028 Singolo Gestore AGESP</v>
      </c>
      <c r="C354" s="601">
        <v>0</v>
      </c>
      <c r="D354" s="601">
        <v>0</v>
      </c>
      <c r="E354" s="601">
        <v>0</v>
      </c>
    </row>
    <row r="355" spans="1:5" outlineLevel="1" x14ac:dyDescent="0.2">
      <c r="B355" s="137" t="s">
        <v>1515</v>
      </c>
      <c r="C355" s="378" t="str">
        <f>IF(AND(C186="Schema I",(C352+C353)&lt;=3%),"ok",
IF(AND(OR(C186="Schema II",C186="Schema III"),(C352+C353)&lt;=5%),"ok",
IF(AND(C186="Schema IV",(C352+C353)&lt;=7%),"ok","errore")))</f>
        <v>ok</v>
      </c>
      <c r="D355" s="378" t="str">
        <f>IF(AND(D186="Schema I",(D352+D353)&lt;=3%),"ok",
IF(AND(OR(D186="Schema II",D186="Schema III"),(D352+D353)&lt;=5%),"ok",
IF(AND(D186="Schema IV",(D352+D353)&lt;=7%),"ok","errore")))</f>
        <v>ok</v>
      </c>
      <c r="E355" s="378" t="str">
        <f>IF(AND(E186="Schema I",(E352+E353)&lt;=3%),"ok",
IF(AND(OR(E186="Schema II",E186="Schema III"),(E352+E353)&lt;=5%),"ok",
IF(AND(E186="Schema IV",(E352+E353)&lt;=7%),"ok","errore")))</f>
        <v>ok</v>
      </c>
    </row>
    <row r="356" spans="1:5" outlineLevel="1" x14ac:dyDescent="0.2">
      <c r="B356" s="82"/>
      <c r="C356" s="57"/>
      <c r="D356" s="57"/>
      <c r="E356" s="57"/>
    </row>
    <row r="357" spans="1:5" outlineLevel="1" x14ac:dyDescent="0.2">
      <c r="A357" s="85" t="s">
        <v>1479</v>
      </c>
      <c r="B357" s="198" t="s">
        <v>1480</v>
      </c>
      <c r="C357" s="600">
        <v>0</v>
      </c>
      <c r="D357" s="600">
        <v>0</v>
      </c>
      <c r="E357" s="600">
        <v>0</v>
      </c>
    </row>
    <row r="358" spans="1:5" outlineLevel="1" x14ac:dyDescent="0.2">
      <c r="A358" s="85" t="s">
        <v>1481</v>
      </c>
      <c r="B358" s="609" t="s">
        <v>1482</v>
      </c>
      <c r="C358" s="610">
        <v>0</v>
      </c>
      <c r="D358" s="610">
        <v>0</v>
      </c>
      <c r="E358" s="610">
        <v>0</v>
      </c>
    </row>
    <row r="359" spans="1:5" outlineLevel="1" x14ac:dyDescent="0.2">
      <c r="A359" s="85" t="s">
        <v>1483</v>
      </c>
      <c r="B359" s="609" t="s">
        <v>1484</v>
      </c>
      <c r="C359" s="610">
        <v>0</v>
      </c>
      <c r="D359" s="610">
        <v>0</v>
      </c>
      <c r="E359" s="610">
        <v>0</v>
      </c>
    </row>
    <row r="360" spans="1:5" outlineLevel="1" x14ac:dyDescent="0.2">
      <c r="A360" s="85" t="s">
        <v>1485</v>
      </c>
      <c r="B360" s="609" t="s">
        <v>1486</v>
      </c>
      <c r="C360" s="610">
        <v>0</v>
      </c>
      <c r="D360" s="610">
        <v>0</v>
      </c>
      <c r="E360" s="610">
        <v>0</v>
      </c>
    </row>
    <row r="361" spans="1:5" outlineLevel="1" x14ac:dyDescent="0.2">
      <c r="A361" s="85" t="s">
        <v>1487</v>
      </c>
      <c r="B361" s="199" t="s">
        <v>1488</v>
      </c>
      <c r="C361" s="601">
        <v>0</v>
      </c>
      <c r="D361" s="601">
        <v>0</v>
      </c>
      <c r="E361" s="601">
        <v>0</v>
      </c>
    </row>
    <row r="362" spans="1:5" outlineLevel="1" x14ac:dyDescent="0.2">
      <c r="B362" s="82"/>
      <c r="C362" s="57"/>
      <c r="D362" s="57"/>
      <c r="E362" s="57"/>
    </row>
    <row r="363" spans="1:5" ht="11.4" outlineLevel="1" x14ac:dyDescent="0.25">
      <c r="A363" s="85" t="s">
        <v>8619</v>
      </c>
      <c r="B363" s="449" t="s">
        <v>1539</v>
      </c>
      <c r="C363" s="859">
        <f>INDEX('Rett_Ta-1'!$A$3:$AAA$99,MATCH(IN_PAR!$A363,'Rett_Ta-1'!$A$3:$A$99,0),MATCH(IN_PAR!C$3,'Rett_Ta-1'!$A$3:$AAA$3,0))</f>
        <v>15739373.60338439</v>
      </c>
      <c r="D363" s="859">
        <f>INDEX('Rett_Ta-1'!$A$3:$AAA$99,MATCH(IN_PAR!$A363,'Rett_Ta-1'!$A$3:$A$99,0),MATCH(IN_PAR!D$3,'Rett_Ta-1'!$A$3:$AAA$3,0))</f>
        <v>1250998.5528639297</v>
      </c>
      <c r="E363" s="859">
        <f>INDEX('Rett_Ta-1'!$A$3:$AAA$99,MATCH(IN_PAR!$A363,'Rett_Ta-1'!$A$3:$A$99,0),MATCH(IN_PAR!E$3,'Rett_Ta-1'!$A$3:$AAA$3,0))</f>
        <v>840342.63765263092</v>
      </c>
    </row>
    <row r="364" spans="1:5" ht="11.4" outlineLevel="1" x14ac:dyDescent="0.25">
      <c r="A364" s="85" t="s">
        <v>8620</v>
      </c>
      <c r="B364" s="445" t="s">
        <v>1540</v>
      </c>
      <c r="C364" s="860">
        <f>INDEX('Rett_Ta-1'!$A$3:$AAA$99,MATCH(IN_PAR!$A364,'Rett_Ta-1'!$A$3:$A$99,0),MATCH(IN_PAR!C$3,'Rett_Ta-1'!$A$3:$AAA$3,0))</f>
        <v>0</v>
      </c>
      <c r="D364" s="860">
        <f>INDEX('Rett_Ta-1'!$A$3:$AAA$99,MATCH(IN_PAR!$A364,'Rett_Ta-1'!$A$3:$A$99,0),MATCH(IN_PAR!D$3,'Rett_Ta-1'!$A$3:$AAA$3,0))</f>
        <v>0</v>
      </c>
      <c r="E364" s="860">
        <f>INDEX('Rett_Ta-1'!$A$3:$AAA$99,MATCH(IN_PAR!$A364,'Rett_Ta-1'!$A$3:$A$99,0),MATCH(IN_PAR!E$3,'Rett_Ta-1'!$A$3:$AAA$3,0))</f>
        <v>52902.058472230645</v>
      </c>
    </row>
    <row r="365" spans="1:5" ht="11.4" outlineLevel="1" x14ac:dyDescent="0.25">
      <c r="A365" s="85" t="s">
        <v>6589</v>
      </c>
      <c r="B365" s="56" t="s">
        <v>1330</v>
      </c>
      <c r="C365" s="172">
        <f>C363+C364</f>
        <v>15739373.60338439</v>
      </c>
      <c r="D365" s="172">
        <f>D363+D364</f>
        <v>1250998.5528639297</v>
      </c>
      <c r="E365" s="172">
        <f>E363+E364</f>
        <v>893244.6961248616</v>
      </c>
    </row>
    <row r="366" spans="1:5" ht="11.4" outlineLevel="1" x14ac:dyDescent="0.25">
      <c r="B366" s="137" t="s">
        <v>1513</v>
      </c>
      <c r="C366" s="378" t="str">
        <f>IF(C365=C164,"ok","incoerenza valore Ta-1")</f>
        <v>ok</v>
      </c>
      <c r="D366" s="378" t="str">
        <f>IF(D365=D164,"ok","incoerenza valore Ta-1")</f>
        <v>ok</v>
      </c>
      <c r="E366" s="378" t="str">
        <f>IF(E365=E164,"ok","incoerenza valore Ta-1")</f>
        <v>ok</v>
      </c>
    </row>
    <row r="367" spans="1:5" outlineLevel="1" x14ac:dyDescent="0.2">
      <c r="B367" s="82"/>
      <c r="C367" s="57"/>
      <c r="D367" s="57"/>
      <c r="E367" s="57"/>
    </row>
    <row r="368" spans="1:5" outlineLevel="1" x14ac:dyDescent="0.2">
      <c r="A368" s="85" t="s">
        <v>1529</v>
      </c>
      <c r="B368" s="449" t="str">
        <f>"Xreg2028 Ponderato "&amp;IN_Anagrafica!$B$1</f>
        <v>Xreg2028 Ponderato AGESP</v>
      </c>
      <c r="C368" s="606">
        <f>IFERROR((C350*C363+C357*C364)/C365,0)</f>
        <v>0</v>
      </c>
      <c r="D368" s="606">
        <f>IFERROR((D350*D363+D357*D364)/D365,0)</f>
        <v>0</v>
      </c>
      <c r="E368" s="606">
        <f>IFERROR((E350*E363+E357*E364)/E365,0)</f>
        <v>0</v>
      </c>
    </row>
    <row r="369" spans="1:5" outlineLevel="1" x14ac:dyDescent="0.2">
      <c r="A369" s="85" t="s">
        <v>1530</v>
      </c>
      <c r="B369" s="483" t="str">
        <f>"Xcom2028 Ponderato " &amp;IN_Anagrafica!$B$1</f>
        <v>Xcom2028 Ponderato AGESP</v>
      </c>
      <c r="C369" s="614">
        <f>IFERROR((C351*C363+C358*C364)/C365,0)</f>
        <v>0</v>
      </c>
      <c r="D369" s="614">
        <f>IFERROR((D351*D363+D358*D364)/D365,0)</f>
        <v>0</v>
      </c>
      <c r="E369" s="614">
        <f>IFERROR((E351*E363+E358*E364)/E365,0)</f>
        <v>0</v>
      </c>
    </row>
    <row r="370" spans="1:5" outlineLevel="1" x14ac:dyDescent="0.2">
      <c r="A370" s="85" t="s">
        <v>1531</v>
      </c>
      <c r="B370" s="56" t="str">
        <f>"X2028 Ponderato " &amp;IN_Anagrafica!$B$1</f>
        <v>X2028 Ponderato AGESP</v>
      </c>
      <c r="C370" s="599">
        <f>C368+C369</f>
        <v>0</v>
      </c>
      <c r="D370" s="599">
        <f>D368+D369</f>
        <v>0</v>
      </c>
      <c r="E370" s="599">
        <f>E368+E369</f>
        <v>0</v>
      </c>
    </row>
    <row r="371" spans="1:5" outlineLevel="1" x14ac:dyDescent="0.2">
      <c r="A371" s="85" t="s">
        <v>1532</v>
      </c>
      <c r="B371" s="449" t="str">
        <f>"Kcom2028 Ponderato "&amp;IN_Anagrafica!$B$1</f>
        <v>Kcom2028 Ponderato AGESP</v>
      </c>
      <c r="C371" s="606">
        <f>IFERROR((C352*C363+C359*C364)/C365,0)</f>
        <v>0</v>
      </c>
      <c r="D371" s="606">
        <f>IFERROR((D352*D363+D359*D364)/D365,0)</f>
        <v>0</v>
      </c>
      <c r="E371" s="606">
        <f>IFERROR((E352*E363+E359*E364)/E365,0)</f>
        <v>0</v>
      </c>
    </row>
    <row r="372" spans="1:5" outlineLevel="1" x14ac:dyDescent="0.2">
      <c r="A372" s="85" t="s">
        <v>1533</v>
      </c>
      <c r="B372" s="483" t="str">
        <f>"Kreg2028 Ponderato " &amp;IN_Anagrafica!$B$1</f>
        <v>Kreg2028 Ponderato AGESP</v>
      </c>
      <c r="C372" s="614">
        <f>IFERROR((C353*C363+C360*C364)/C365,0)</f>
        <v>0</v>
      </c>
      <c r="D372" s="614">
        <f>IFERROR((D353*D363+D360*D364)/D365,0)</f>
        <v>0</v>
      </c>
      <c r="E372" s="614">
        <f>IFERROR((E353*E363+E360*E364)/E365,0)</f>
        <v>0</v>
      </c>
    </row>
    <row r="373" spans="1:5" outlineLevel="1" x14ac:dyDescent="0.2">
      <c r="A373" s="85" t="s">
        <v>1534</v>
      </c>
      <c r="B373" s="56" t="str">
        <f>"K2028 Ponderato " &amp;IN_Anagrafica!$B$1</f>
        <v>K2028 Ponderato AGESP</v>
      </c>
      <c r="C373" s="599">
        <f>C371+C372</f>
        <v>0</v>
      </c>
      <c r="D373" s="599">
        <f>D371+D372</f>
        <v>0</v>
      </c>
      <c r="E373" s="599">
        <f>E371+E372</f>
        <v>0</v>
      </c>
    </row>
    <row r="374" spans="1:5" outlineLevel="1" x14ac:dyDescent="0.2">
      <c r="A374" s="85" t="s">
        <v>1535</v>
      </c>
      <c r="B374" s="171" t="str">
        <f>"CRI2028 Ponderato "&amp;IN_Anagrafica!$B$1</f>
        <v>CRI2028 Ponderato AGESP</v>
      </c>
      <c r="C374" s="615">
        <f>IFERROR((C354*C363+C361*C364)/C365,0)</f>
        <v>0</v>
      </c>
      <c r="D374" s="615">
        <f>IFERROR((D354*D363+D361*D364)/D365,0)</f>
        <v>0</v>
      </c>
      <c r="E374" s="615">
        <f>IFERROR((E354*E363+E361*E364)/E365,0)</f>
        <v>0</v>
      </c>
    </row>
    <row r="375" spans="1:5" outlineLevel="1" x14ac:dyDescent="0.2">
      <c r="B375" s="137" t="s">
        <v>1514</v>
      </c>
      <c r="C375" s="378" t="str">
        <f>IF(ROUND(C370,4)=ROUND(C242,4),"ok","incoerenza valore X")</f>
        <v>ok</v>
      </c>
      <c r="D375" s="378" t="str">
        <f>IF(ROUND(D370,4)=ROUND(D242,4),"ok","incoerenza valore X")</f>
        <v>ok</v>
      </c>
      <c r="E375" s="378" t="str">
        <f>IF(ROUND(E370,4)=ROUND(E242,4),"ok","incoerenza valore X")</f>
        <v>ok</v>
      </c>
    </row>
    <row r="376" spans="1:5" outlineLevel="1" x14ac:dyDescent="0.2">
      <c r="B376" s="137" t="s">
        <v>1515</v>
      </c>
      <c r="C376" s="378" t="str">
        <f>IF(ROUND(C373,4)=ROUND(C249,4),"ok","incoerenza valore K")</f>
        <v>ok</v>
      </c>
      <c r="D376" s="378" t="str">
        <f>IF(ROUND(D373,4)=ROUND(D249,4),"ok","incoerenza valore K")</f>
        <v>ok</v>
      </c>
      <c r="E376" s="378" t="str">
        <f>IF(ROUND(E373,4)=ROUND(E249,4),"ok","incoerenza valore K")</f>
        <v>ok</v>
      </c>
    </row>
    <row r="377" spans="1:5" outlineLevel="1" x14ac:dyDescent="0.2">
      <c r="B377" s="82"/>
      <c r="C377" s="57"/>
      <c r="D377" s="57"/>
      <c r="E377" s="57"/>
    </row>
    <row r="378" spans="1:5" ht="11.4" outlineLevel="1" x14ac:dyDescent="0.2">
      <c r="A378" s="85" t="s">
        <v>1556</v>
      </c>
      <c r="B378" s="142" t="s">
        <v>1557</v>
      </c>
      <c r="C378" s="608">
        <f>C237-C370+C373+C374</f>
        <v>1.9E-2</v>
      </c>
      <c r="D378" s="608">
        <f>D237-D370+D373+D374</f>
        <v>1.9E-2</v>
      </c>
      <c r="E378" s="608">
        <f>E237-E370+E373+E374</f>
        <v>1.9E-2</v>
      </c>
    </row>
    <row r="379" spans="1:5" outlineLevel="1" x14ac:dyDescent="0.2">
      <c r="B379" s="137" t="s">
        <v>1553</v>
      </c>
      <c r="C379" s="378" t="str">
        <f>IF(ROUND(C378,4)=ROUND(C254,4),"ok","incoerenza valore ρ")</f>
        <v>ok</v>
      </c>
      <c r="D379" s="378" t="str">
        <f>IF(ROUND(D378,4)=ROUND(D254,4),"ok","incoerenza valore ρ")</f>
        <v>ok</v>
      </c>
      <c r="E379" s="378" t="str">
        <f>IF(ROUND(E378,4)=ROUND(E254,4),"ok","incoerenza valore ρ")</f>
        <v>ok</v>
      </c>
    </row>
    <row r="380" spans="1:5" outlineLevel="1" x14ac:dyDescent="0.2">
      <c r="B380" s="82"/>
      <c r="C380" s="57"/>
      <c r="D380" s="57"/>
      <c r="E380" s="57"/>
    </row>
    <row r="381" spans="1:5" outlineLevel="1" x14ac:dyDescent="0.2">
      <c r="B381" s="69">
        <v>2029</v>
      </c>
      <c r="C381" s="57"/>
      <c r="D381" s="57"/>
      <c r="E381" s="57"/>
    </row>
    <row r="382" spans="1:5" outlineLevel="1" x14ac:dyDescent="0.2">
      <c r="B382" s="20" t="s">
        <v>1192</v>
      </c>
      <c r="C382" s="611" t="str">
        <f>Ambiti!B$13</f>
        <v>in house</v>
      </c>
      <c r="D382" s="611" t="str">
        <f>Ambiti!C$13</f>
        <v>affidamento con gara</v>
      </c>
      <c r="E382" s="611" t="str">
        <f>Ambiti!D$13</f>
        <v>in house</v>
      </c>
    </row>
    <row r="383" spans="1:5" outlineLevel="1" x14ac:dyDescent="0.2">
      <c r="B383" s="612"/>
      <c r="C383" s="613"/>
      <c r="D383" s="613"/>
      <c r="E383" s="613"/>
    </row>
    <row r="384" spans="1:5" outlineLevel="1" x14ac:dyDescent="0.2">
      <c r="A384" s="85" t="s">
        <v>1489</v>
      </c>
      <c r="B384" s="198" t="str">
        <f>"Xreg2029  Singolo Gestore "&amp;IN_Anagrafica!$B$1</f>
        <v>Xreg2029  Singolo Gestore AGESP</v>
      </c>
      <c r="C384" s="600">
        <f>+C350</f>
        <v>0</v>
      </c>
      <c r="D384" s="600">
        <v>0</v>
      </c>
      <c r="E384" s="600">
        <v>0</v>
      </c>
    </row>
    <row r="385" spans="1:5" outlineLevel="1" x14ac:dyDescent="0.2">
      <c r="A385" s="85" t="s">
        <v>1490</v>
      </c>
      <c r="B385" s="609" t="str">
        <f>"Xcom2029 Singolo Gestore " &amp;IN_Anagrafica!$B$1</f>
        <v>Xcom2029 Singolo Gestore AGESP</v>
      </c>
      <c r="C385" s="610">
        <v>0</v>
      </c>
      <c r="D385" s="610">
        <v>0</v>
      </c>
      <c r="E385" s="610">
        <v>0</v>
      </c>
    </row>
    <row r="386" spans="1:5" outlineLevel="1" x14ac:dyDescent="0.2">
      <c r="A386" s="85" t="s">
        <v>1491</v>
      </c>
      <c r="B386" s="609" t="str">
        <f>"Kcom2029 Singolo Gestore "&amp;IN_Anagrafica!$B$1</f>
        <v>Kcom2029 Singolo Gestore AGESP</v>
      </c>
      <c r="C386" s="610">
        <v>0</v>
      </c>
      <c r="D386" s="610">
        <v>0</v>
      </c>
      <c r="E386" s="610">
        <v>0</v>
      </c>
    </row>
    <row r="387" spans="1:5" outlineLevel="1" x14ac:dyDescent="0.2">
      <c r="A387" s="85" t="s">
        <v>1492</v>
      </c>
      <c r="B387" s="609" t="str">
        <f>"Kreg2029 Singolo Gestore "&amp;IN_Anagrafica!$B$1</f>
        <v>Kreg2029 Singolo Gestore AGESP</v>
      </c>
      <c r="C387" s="610">
        <v>0</v>
      </c>
      <c r="D387" s="610">
        <v>0</v>
      </c>
      <c r="E387" s="610">
        <v>0</v>
      </c>
    </row>
    <row r="388" spans="1:5" outlineLevel="1" x14ac:dyDescent="0.2">
      <c r="A388" s="85" t="s">
        <v>1493</v>
      </c>
      <c r="B388" s="199" t="str">
        <f>"CRI2029 Singolo Gestore "&amp;IN_Anagrafica!$B$1</f>
        <v>CRI2029 Singolo Gestore AGESP</v>
      </c>
      <c r="C388" s="601">
        <v>0</v>
      </c>
      <c r="D388" s="601">
        <v>0</v>
      </c>
      <c r="E388" s="601">
        <v>0</v>
      </c>
    </row>
    <row r="389" spans="1:5" outlineLevel="1" x14ac:dyDescent="0.2">
      <c r="B389" s="137" t="s">
        <v>1515</v>
      </c>
      <c r="C389" s="378" t="str">
        <f>IF(AND(C191="Schema I",(C386+C387)&lt;=3%),"ok",
IF(AND(OR(C191="Schema II",C191="Schema III"),(C386+C387)&lt;=5%),"ok",
IF(AND(C191="Schema IV",(C386+C387)&lt;=7%),"ok","errore")))</f>
        <v>ok</v>
      </c>
      <c r="D389" s="378" t="str">
        <f>IF(AND(D191="Schema I",(D386+D387)&lt;=3%),"ok",
IF(AND(OR(D191="Schema II",D191="Schema III"),(D386+D387)&lt;=5%),"ok",
IF(AND(D191="Schema IV",(D386+D387)&lt;=7%),"ok","errore")))</f>
        <v>ok</v>
      </c>
      <c r="E389" s="378" t="str">
        <f>IF(AND(E191="Schema I",(E386+E387)&lt;=3%),"ok",
IF(AND(OR(E191="Schema II",E191="Schema III"),(E386+E387)&lt;=5%),"ok",
IF(AND(E191="Schema IV",(E386+E387)&lt;=7%),"ok","errore")))</f>
        <v>ok</v>
      </c>
    </row>
    <row r="390" spans="1:5" outlineLevel="1" x14ac:dyDescent="0.2">
      <c r="B390" s="82"/>
      <c r="C390" s="57"/>
      <c r="D390" s="57"/>
      <c r="E390" s="57"/>
    </row>
    <row r="391" spans="1:5" outlineLevel="1" x14ac:dyDescent="0.2">
      <c r="A391" s="85" t="s">
        <v>1494</v>
      </c>
      <c r="B391" s="198" t="s">
        <v>1495</v>
      </c>
      <c r="C391" s="600">
        <v>0</v>
      </c>
      <c r="D391" s="600">
        <v>0</v>
      </c>
      <c r="E391" s="600">
        <v>0</v>
      </c>
    </row>
    <row r="392" spans="1:5" outlineLevel="1" x14ac:dyDescent="0.2">
      <c r="A392" s="85" t="s">
        <v>1496</v>
      </c>
      <c r="B392" s="609" t="s">
        <v>1497</v>
      </c>
      <c r="C392" s="610">
        <v>0</v>
      </c>
      <c r="D392" s="610">
        <v>0</v>
      </c>
      <c r="E392" s="610">
        <v>0</v>
      </c>
    </row>
    <row r="393" spans="1:5" outlineLevel="1" x14ac:dyDescent="0.2">
      <c r="A393" s="85" t="s">
        <v>1498</v>
      </c>
      <c r="B393" s="609" t="s">
        <v>1499</v>
      </c>
      <c r="C393" s="610">
        <v>0</v>
      </c>
      <c r="D393" s="610">
        <v>0</v>
      </c>
      <c r="E393" s="610">
        <v>0</v>
      </c>
    </row>
    <row r="394" spans="1:5" outlineLevel="1" x14ac:dyDescent="0.2">
      <c r="A394" s="85" t="s">
        <v>1500</v>
      </c>
      <c r="B394" s="609" t="s">
        <v>1501</v>
      </c>
      <c r="C394" s="610">
        <v>0</v>
      </c>
      <c r="D394" s="610">
        <v>0</v>
      </c>
      <c r="E394" s="610">
        <v>0</v>
      </c>
    </row>
    <row r="395" spans="1:5" outlineLevel="1" x14ac:dyDescent="0.2">
      <c r="A395" s="85" t="s">
        <v>1502</v>
      </c>
      <c r="B395" s="199" t="s">
        <v>1503</v>
      </c>
      <c r="C395" s="601">
        <v>0</v>
      </c>
      <c r="D395" s="601">
        <v>0</v>
      </c>
      <c r="E395" s="601">
        <v>0</v>
      </c>
    </row>
    <row r="396" spans="1:5" outlineLevel="1" x14ac:dyDescent="0.2">
      <c r="B396" s="82"/>
      <c r="C396" s="57"/>
      <c r="D396" s="57"/>
      <c r="E396" s="57"/>
    </row>
    <row r="397" spans="1:5" ht="11.4" outlineLevel="1" x14ac:dyDescent="0.25">
      <c r="A397" s="85" t="s">
        <v>8621</v>
      </c>
      <c r="B397" s="449" t="s">
        <v>1541</v>
      </c>
      <c r="C397" s="859">
        <f>INDEX('Rett_Ta-1'!$A$3:$AAA$99,MATCH(IN_PAR!$A397,'Rett_Ta-1'!$A$3:$A$99,0),MATCH(IN_PAR!C$3,'Rett_Ta-1'!$A$3:$AAA$3,0))</f>
        <v>15217280.422950398</v>
      </c>
      <c r="D397" s="859">
        <f>INDEX('Rett_Ta-1'!$A$3:$AAA$99,MATCH(IN_PAR!$A397,'Rett_Ta-1'!$A$3:$A$99,0),MATCH(IN_PAR!D$3,'Rett_Ta-1'!$A$3:$AAA$3,0))</f>
        <v>1244444.9836096179</v>
      </c>
      <c r="E397" s="859">
        <f>INDEX('Rett_Ta-1'!$A$3:$AAA$99,MATCH(IN_PAR!$A397,'Rett_Ta-1'!$A$3:$A$99,0),MATCH(IN_PAR!E$3,'Rett_Ta-1'!$A$3:$AAA$3,0))</f>
        <v>840342.63765263092</v>
      </c>
    </row>
    <row r="398" spans="1:5" ht="11.4" outlineLevel="1" x14ac:dyDescent="0.25">
      <c r="A398" s="85" t="s">
        <v>8622</v>
      </c>
      <c r="B398" s="445" t="s">
        <v>1542</v>
      </c>
      <c r="C398" s="860">
        <f>INDEX('Rett_Ta-1'!$A$3:$AAA$99,MATCH(IN_PAR!$A398,'Rett_Ta-1'!$A$3:$A$99,0),MATCH(IN_PAR!C$3,'Rett_Ta-1'!$A$3:$AAA$3,0))</f>
        <v>0</v>
      </c>
      <c r="D398" s="860">
        <f>INDEX('Rett_Ta-1'!$A$3:$AAA$99,MATCH(IN_PAR!$A398,'Rett_Ta-1'!$A$3:$A$99,0),MATCH(IN_PAR!D$3,'Rett_Ta-1'!$A$3:$AAA$3,0))</f>
        <v>0</v>
      </c>
      <c r="E398" s="860">
        <f>INDEX('Rett_Ta-1'!$A$3:$AAA$99,MATCH(IN_PAR!$A398,'Rett_Ta-1'!$A$3:$A$99,0),MATCH(IN_PAR!E$3,'Rett_Ta-1'!$A$3:$AAA$3,0))</f>
        <v>48623.568806579729</v>
      </c>
    </row>
    <row r="399" spans="1:5" ht="11.4" outlineLevel="1" x14ac:dyDescent="0.25">
      <c r="A399" s="85" t="s">
        <v>6622</v>
      </c>
      <c r="B399" s="56" t="s">
        <v>1543</v>
      </c>
      <c r="C399" s="172">
        <f>C397+C398</f>
        <v>15217280.422950398</v>
      </c>
      <c r="D399" s="172">
        <f>D397+D398</f>
        <v>1244444.9836096179</v>
      </c>
      <c r="E399" s="172">
        <f>E397+E398</f>
        <v>888966.2064592106</v>
      </c>
    </row>
    <row r="400" spans="1:5" outlineLevel="1" x14ac:dyDescent="0.2">
      <c r="B400" s="137"/>
      <c r="C400" s="378"/>
      <c r="D400" s="378"/>
      <c r="E400" s="378"/>
    </row>
    <row r="401" spans="1:5" outlineLevel="1" x14ac:dyDescent="0.2">
      <c r="B401" s="82"/>
      <c r="C401" s="57"/>
      <c r="D401" s="57"/>
      <c r="E401" s="57"/>
    </row>
    <row r="402" spans="1:5" outlineLevel="1" x14ac:dyDescent="0.2">
      <c r="A402" s="85" t="s">
        <v>1544</v>
      </c>
      <c r="B402" s="449" t="str">
        <f>"Xreg2029 Ponderato "&amp;IN_Anagrafica!$B$1</f>
        <v>Xreg2029 Ponderato AGESP</v>
      </c>
      <c r="C402" s="606">
        <f>IFERROR((C384*C397+C391*C398)/C399,0)</f>
        <v>0</v>
      </c>
      <c r="D402" s="606">
        <f>IFERROR((D384*D397+D391*D398)/D399,0)</f>
        <v>0</v>
      </c>
      <c r="E402" s="606">
        <f>IFERROR((E384*E397+E391*E398)/E399,0)</f>
        <v>0</v>
      </c>
    </row>
    <row r="403" spans="1:5" outlineLevel="1" x14ac:dyDescent="0.2">
      <c r="A403" s="85" t="s">
        <v>1545</v>
      </c>
      <c r="B403" s="483" t="str">
        <f>"Xcom2029 Ponderato " &amp;IN_Anagrafica!$B$1</f>
        <v>Xcom2029 Ponderato AGESP</v>
      </c>
      <c r="C403" s="614">
        <f>IFERROR((C385*C397+C392*C398)/C399,0)</f>
        <v>0</v>
      </c>
      <c r="D403" s="614">
        <f>IFERROR((D385*D397+D392*D398)/D399,0)</f>
        <v>0</v>
      </c>
      <c r="E403" s="614">
        <f>IFERROR((E385*E397+E392*E398)/E399,0)</f>
        <v>0</v>
      </c>
    </row>
    <row r="404" spans="1:5" outlineLevel="1" x14ac:dyDescent="0.2">
      <c r="A404" s="85" t="s">
        <v>1546</v>
      </c>
      <c r="B404" s="56" t="str">
        <f>"X2029 Ponderato " &amp;IN_Anagrafica!$B$1</f>
        <v>X2029 Ponderato AGESP</v>
      </c>
      <c r="C404" s="599">
        <f>C402+C403</f>
        <v>0</v>
      </c>
      <c r="D404" s="599">
        <f>D402+D403</f>
        <v>0</v>
      </c>
      <c r="E404" s="599">
        <f>E402+E403</f>
        <v>0</v>
      </c>
    </row>
    <row r="405" spans="1:5" outlineLevel="1" x14ac:dyDescent="0.2">
      <c r="A405" s="85" t="s">
        <v>1547</v>
      </c>
      <c r="B405" s="449" t="str">
        <f>"Kcom2029 Ponderato "&amp;IN_Anagrafica!$B$1</f>
        <v>Kcom2029 Ponderato AGESP</v>
      </c>
      <c r="C405" s="606">
        <f>IFERROR((C386*C397+C393*C398)/C399,0)</f>
        <v>0</v>
      </c>
      <c r="D405" s="606">
        <f>IFERROR((D386*D397+D393*D398)/D399,0)</f>
        <v>0</v>
      </c>
      <c r="E405" s="606">
        <f>IFERROR((E386*E397+E393*E398)/E399,0)</f>
        <v>0</v>
      </c>
    </row>
    <row r="406" spans="1:5" outlineLevel="1" x14ac:dyDescent="0.2">
      <c r="A406" s="85" t="s">
        <v>1548</v>
      </c>
      <c r="B406" s="483" t="str">
        <f>"Kreg2029 Ponderato " &amp;IN_Anagrafica!$B$1</f>
        <v>Kreg2029 Ponderato AGESP</v>
      </c>
      <c r="C406" s="614">
        <f>IFERROR((C387*C397+C394*C398)/C399,0)</f>
        <v>0</v>
      </c>
      <c r="D406" s="614">
        <f>IFERROR((D387*D397+D394*D398)/D399,0)</f>
        <v>0</v>
      </c>
      <c r="E406" s="614">
        <f>IFERROR((E387*E397+E394*E398)/E399,0)</f>
        <v>0</v>
      </c>
    </row>
    <row r="407" spans="1:5" outlineLevel="1" x14ac:dyDescent="0.2">
      <c r="A407" s="85" t="s">
        <v>1549</v>
      </c>
      <c r="B407" s="56" t="str">
        <f>"K2029 Ponderato " &amp;IN_Anagrafica!$B$1</f>
        <v>K2029 Ponderato AGESP</v>
      </c>
      <c r="C407" s="599">
        <f>C405+C406</f>
        <v>0</v>
      </c>
      <c r="D407" s="599">
        <f>D405+D406</f>
        <v>0</v>
      </c>
      <c r="E407" s="599">
        <f>E405+E406</f>
        <v>0</v>
      </c>
    </row>
    <row r="408" spans="1:5" outlineLevel="1" x14ac:dyDescent="0.2">
      <c r="A408" s="85" t="s">
        <v>1550</v>
      </c>
      <c r="B408" s="171" t="str">
        <f>"CRI2029 Ponderato "&amp;IN_Anagrafica!$B$1</f>
        <v>CRI2029 Ponderato AGESP</v>
      </c>
      <c r="C408" s="615">
        <f>IFERROR((C388*C397+C395*C398)/C399,0)</f>
        <v>0</v>
      </c>
      <c r="D408" s="615">
        <f>IFERROR((D388*D397+D395*D398)/D399,0)</f>
        <v>0</v>
      </c>
      <c r="E408" s="615">
        <f>IFERROR((E388*E397+E395*E398)/E399,0)</f>
        <v>0</v>
      </c>
    </row>
    <row r="409" spans="1:5" outlineLevel="1" x14ac:dyDescent="0.2">
      <c r="B409" s="137" t="s">
        <v>1514</v>
      </c>
      <c r="C409" s="378" t="str">
        <f>IF(ROUND(C404,4)=ROUND(C263,4),"ok","incoerenza valore X")</f>
        <v>ok</v>
      </c>
      <c r="D409" s="378" t="str">
        <f>IF(ROUND(D404,4)=ROUND(D263,4),"ok","incoerenza valore X")</f>
        <v>ok</v>
      </c>
      <c r="E409" s="378" t="str">
        <f>IF(ROUND(E404,4)=ROUND(E263,4),"ok","incoerenza valore X")</f>
        <v>ok</v>
      </c>
    </row>
    <row r="410" spans="1:5" outlineLevel="1" x14ac:dyDescent="0.2">
      <c r="B410" s="137" t="s">
        <v>1515</v>
      </c>
      <c r="C410" s="378" t="str">
        <f>IF(ROUND(C407,4)=ROUND(C270,4),"ok","incoerenza valore K")</f>
        <v>ok</v>
      </c>
      <c r="D410" s="378" t="str">
        <f>IF(ROUND(D407,4)=ROUND(D270,4),"ok","incoerenza valore K")</f>
        <v>ok</v>
      </c>
      <c r="E410" s="378" t="str">
        <f>IF(ROUND(E407,4)=ROUND(E270,4),"ok","incoerenza valore K")</f>
        <v>ok</v>
      </c>
    </row>
    <row r="411" spans="1:5" outlineLevel="1" x14ac:dyDescent="0.2">
      <c r="B411" s="82"/>
      <c r="C411" s="57"/>
      <c r="D411" s="57"/>
      <c r="E411" s="57"/>
    </row>
    <row r="412" spans="1:5" ht="11.4" outlineLevel="1" x14ac:dyDescent="0.2">
      <c r="A412" s="85" t="s">
        <v>1556</v>
      </c>
      <c r="B412" s="142" t="s">
        <v>1557</v>
      </c>
      <c r="C412" s="608">
        <f>C258-C404+C407+C408</f>
        <v>1.9E-2</v>
      </c>
      <c r="D412" s="608">
        <f>D258-D404+D407+D408</f>
        <v>1.9E-2</v>
      </c>
      <c r="E412" s="608">
        <f>E258-E404+E407+E408</f>
        <v>1.9E-2</v>
      </c>
    </row>
    <row r="413" spans="1:5" outlineLevel="1" x14ac:dyDescent="0.2">
      <c r="B413" s="137" t="s">
        <v>1553</v>
      </c>
      <c r="C413" s="378" t="str">
        <f>IF(ROUND(C412,4)=ROUND(C275,4),"ok","incoerenza valore ρ")</f>
        <v>ok</v>
      </c>
      <c r="D413" s="378" t="str">
        <f>IF(ROUND(D412,4)=ROUND(D275,4),"ok","incoerenza valore ρ")</f>
        <v>ok</v>
      </c>
      <c r="E413" s="378" t="str">
        <f>IF(ROUND(E412,4)=ROUND(E275,4),"ok","incoerenza valore ρ")</f>
        <v>ok</v>
      </c>
    </row>
    <row r="417" spans="2:5" x14ac:dyDescent="0.2">
      <c r="B417" s="616" t="s">
        <v>451</v>
      </c>
    </row>
    <row r="418" spans="2:5" outlineLevel="1" x14ac:dyDescent="0.2">
      <c r="B418" s="88" t="s">
        <v>1005</v>
      </c>
      <c r="C418" s="406" t="str">
        <f>C19</f>
        <v>-0,2&lt;ɣ1≤0</v>
      </c>
      <c r="D418" s="406" t="str">
        <f>D19</f>
        <v>-0,4≤ɣ1≤-0,2</v>
      </c>
      <c r="E418" s="406" t="str">
        <f>E19</f>
        <v>-0,4≤ɣ1≤-0,2</v>
      </c>
    </row>
    <row r="419" spans="2:5" outlineLevel="1" x14ac:dyDescent="0.2">
      <c r="B419" s="88" t="s">
        <v>1006</v>
      </c>
      <c r="C419" s="369" t="str">
        <f>C21</f>
        <v>-0,3≤ɣ2≤-0,15</v>
      </c>
      <c r="D419" s="369" t="str">
        <f>D21</f>
        <v>-0,3≤ɣ2≤-0,15</v>
      </c>
      <c r="E419" s="369" t="str">
        <f>E21</f>
        <v>-0,3≤ɣ2≤-0,15</v>
      </c>
    </row>
    <row r="420" spans="2:5" outlineLevel="1" x14ac:dyDescent="0.2">
      <c r="B420" s="88" t="s">
        <v>1007</v>
      </c>
      <c r="C420" s="372">
        <f>C20</f>
        <v>0</v>
      </c>
      <c r="D420" s="372">
        <f>D20</f>
        <v>0</v>
      </c>
      <c r="E420" s="372">
        <f>E20</f>
        <v>0</v>
      </c>
    </row>
    <row r="421" spans="2:5" outlineLevel="1" x14ac:dyDescent="0.2">
      <c r="B421" s="88" t="s">
        <v>1008</v>
      </c>
      <c r="C421" s="372">
        <f>C22</f>
        <v>0</v>
      </c>
      <c r="D421" s="372">
        <f>D22</f>
        <v>0</v>
      </c>
      <c r="E421" s="372">
        <f>E22</f>
        <v>0</v>
      </c>
    </row>
    <row r="422" spans="2:5" outlineLevel="1" x14ac:dyDescent="0.2">
      <c r="B422" s="86" t="s">
        <v>1566</v>
      </c>
      <c r="C422" s="373" t="str">
        <f>IF(AND(C418='Parametri MTR-3'!$B$88,C420&gt;'Parametri MTR-3'!$C$88,C420&lt;='Parametri MTR-3'!$D$88),"ok",
IF(AND(C418='Parametri MTR-3'!$B$89,C420&gt;='Parametri MTR-3'!$C$89,C420&lt;='Parametri MTR-3'!$D$89),"ok","no"))</f>
        <v>ok</v>
      </c>
      <c r="D422" s="373" t="str">
        <f>IF(AND(D418='Parametri MTR-3'!$B$88,D420&gt;'Parametri MTR-3'!$C$88,D420&lt;='Parametri MTR-3'!$D$88),"ok",
IF(AND(D418='Parametri MTR-3'!$B$89,D420&gt;='Parametri MTR-3'!$C$89,D420&lt;='Parametri MTR-3'!$D$89),"ok","no"))</f>
        <v>no</v>
      </c>
      <c r="E422" s="373" t="str">
        <f>IF(AND(E418='Parametri MTR-3'!$B$88,E420&gt;'Parametri MTR-3'!$C$88,E420&lt;='Parametri MTR-3'!$D$88),"ok",
IF(AND(E418='Parametri MTR-3'!$B$89,E420&gt;='Parametri MTR-3'!$C$89,E420&lt;='Parametri MTR-3'!$D$89),"ok","no"))</f>
        <v>no</v>
      </c>
    </row>
    <row r="423" spans="2:5" outlineLevel="1" x14ac:dyDescent="0.2">
      <c r="B423" s="86" t="s">
        <v>1567</v>
      </c>
      <c r="C423" s="373" t="str">
        <f>IF(AND(C419='Parametri MTR-3'!$B$92,C421&gt;'Parametri MTR-3'!$C$92,C421&lt;='Parametri MTR-3'!$D$92),"ok",
IF(AND(C419='Parametri MTR-3'!$B$93,C421&gt;='Parametri MTR-3'!$C$93,C421&lt;='Parametri MTR-3'!$D$93),"ok","no"))</f>
        <v>no</v>
      </c>
      <c r="D423" s="373" t="str">
        <f>IF(AND(D419='Parametri MTR-3'!$B$92,D421&gt;'Parametri MTR-3'!$C$92,D421&lt;='Parametri MTR-3'!$D$92),"ok",
IF(AND(D419='Parametri MTR-3'!$B$93,D421&gt;='Parametri MTR-3'!$C$93,D421&lt;='Parametri MTR-3'!$D$93),"ok","no"))</f>
        <v>no</v>
      </c>
      <c r="E423" s="373" t="str">
        <f>IF(AND(E419='Parametri MTR-3'!$B$92,E421&gt;'Parametri MTR-3'!$C$92,E421&lt;='Parametri MTR-3'!$D$92),"ok",
IF(AND(E419='Parametri MTR-3'!$B$93,E421&gt;='Parametri MTR-3'!$C$93,E421&lt;='Parametri MTR-3'!$D$93),"ok","no"))</f>
        <v>no</v>
      </c>
    </row>
    <row r="424" spans="2:5" outlineLevel="1" x14ac:dyDescent="0.2"/>
    <row r="425" spans="2:5" outlineLevel="1" x14ac:dyDescent="0.2">
      <c r="B425" s="88" t="s">
        <v>1009</v>
      </c>
      <c r="C425" s="369" t="str">
        <f>C45</f>
        <v>-0,2&lt;ɣ1≤0</v>
      </c>
      <c r="D425" s="369" t="str">
        <f>D45</f>
        <v>-0,4≤ɣ1≤-0,2</v>
      </c>
      <c r="E425" s="369" t="str">
        <f>E45</f>
        <v>-0,4≤ɣ1≤-0,2</v>
      </c>
    </row>
    <row r="426" spans="2:5" outlineLevel="1" x14ac:dyDescent="0.2">
      <c r="B426" s="88" t="s">
        <v>1010</v>
      </c>
      <c r="C426" s="369" t="str">
        <f>C47</f>
        <v>-0,3≤ɣ2≤-0,15</v>
      </c>
      <c r="D426" s="369" t="str">
        <f>D47</f>
        <v>-0,3≤ɣ2≤-0,15</v>
      </c>
      <c r="E426" s="369" t="str">
        <f>E47</f>
        <v>-0,3≤ɣ2≤-0,15</v>
      </c>
    </row>
    <row r="427" spans="2:5" outlineLevel="1" x14ac:dyDescent="0.2">
      <c r="B427" s="88" t="s">
        <v>1011</v>
      </c>
      <c r="C427" s="372">
        <f>C46</f>
        <v>0</v>
      </c>
      <c r="D427" s="372">
        <f>D46</f>
        <v>0</v>
      </c>
      <c r="E427" s="372">
        <f>E46</f>
        <v>0</v>
      </c>
    </row>
    <row r="428" spans="2:5" outlineLevel="1" x14ac:dyDescent="0.2">
      <c r="B428" s="88" t="s">
        <v>1012</v>
      </c>
      <c r="C428" s="372">
        <f>C48</f>
        <v>0</v>
      </c>
      <c r="D428" s="372">
        <f>D48</f>
        <v>0</v>
      </c>
      <c r="E428" s="372">
        <f>E48</f>
        <v>0</v>
      </c>
    </row>
    <row r="429" spans="2:5" outlineLevel="1" x14ac:dyDescent="0.2">
      <c r="B429" s="86" t="s">
        <v>1568</v>
      </c>
      <c r="C429" s="373" t="str">
        <f>IF(AND(C425='Parametri MTR-3'!$B$88,C427&gt;'Parametri MTR-3'!$C$88,C427&lt;='Parametri MTR-3'!$D$88),"ok",
IF(AND(C425='Parametri MTR-3'!$B$89,C427&gt;='Parametri MTR-3'!$C$89,C427&lt;='Parametri MTR-3'!$D$89),"ok","no"))</f>
        <v>ok</v>
      </c>
      <c r="D429" s="373" t="str">
        <f>IF(AND(D425='Parametri MTR-3'!$B$88,D427&gt;'Parametri MTR-3'!$C$88,D427&lt;='Parametri MTR-3'!$D$88),"ok",
IF(AND(D425='Parametri MTR-3'!$B$89,D427&gt;='Parametri MTR-3'!$C$89,D427&lt;='Parametri MTR-3'!$D$89),"ok","no"))</f>
        <v>no</v>
      </c>
      <c r="E429" s="373" t="str">
        <f>IF(AND(E425='Parametri MTR-3'!$B$88,E427&gt;'Parametri MTR-3'!$C$88,E427&lt;='Parametri MTR-3'!$D$88),"ok",
IF(AND(E425='Parametri MTR-3'!$B$89,E427&gt;='Parametri MTR-3'!$C$89,E427&lt;='Parametri MTR-3'!$D$89),"ok","no"))</f>
        <v>no</v>
      </c>
    </row>
    <row r="430" spans="2:5" outlineLevel="1" x14ac:dyDescent="0.2">
      <c r="B430" s="86" t="s">
        <v>1569</v>
      </c>
      <c r="C430" s="373" t="str">
        <f>IF(AND(C426='Parametri MTR-3'!$B$92,C428&gt;'Parametri MTR-3'!$C$92,C428&lt;='Parametri MTR-3'!$D$92),"ok",
IF(AND(C426='Parametri MTR-3'!$B$93,C428&gt;='Parametri MTR-3'!$C$93,C428&lt;='Parametri MTR-3'!$D$93),"ok","no"))</f>
        <v>no</v>
      </c>
      <c r="D430" s="373" t="str">
        <f>IF(AND(D426='Parametri MTR-3'!$B$92,D428&gt;'Parametri MTR-3'!$C$92,D428&lt;='Parametri MTR-3'!$D$92),"ok",
IF(AND(D426='Parametri MTR-3'!$B$93,D428&gt;='Parametri MTR-3'!$C$93,D428&lt;='Parametri MTR-3'!$D$93),"ok","no"))</f>
        <v>no</v>
      </c>
      <c r="E430" s="373" t="str">
        <f>IF(AND(E426='Parametri MTR-3'!$B$92,E428&gt;'Parametri MTR-3'!$C$92,E428&lt;='Parametri MTR-3'!$D$92),"ok",
IF(AND(E426='Parametri MTR-3'!$B$93,E428&gt;='Parametri MTR-3'!$C$93,E428&lt;='Parametri MTR-3'!$D$93),"ok","no"))</f>
        <v>no</v>
      </c>
    </row>
    <row r="431" spans="2:5" outlineLevel="1" x14ac:dyDescent="0.2"/>
    <row r="432" spans="2:5" outlineLevel="1" x14ac:dyDescent="0.2">
      <c r="B432" s="88" t="s">
        <v>1558</v>
      </c>
      <c r="C432" s="406" t="str">
        <f>C71</f>
        <v>-0,2&lt;ɣ1≤0</v>
      </c>
      <c r="D432" s="406" t="str">
        <f>D71</f>
        <v>-0,4≤ɣ1≤-0,2</v>
      </c>
      <c r="E432" s="406" t="str">
        <f>E71</f>
        <v>-0,4≤ɣ1≤-0,2</v>
      </c>
    </row>
    <row r="433" spans="2:5" outlineLevel="1" x14ac:dyDescent="0.2">
      <c r="B433" s="88" t="s">
        <v>1559</v>
      </c>
      <c r="C433" s="369" t="str">
        <f>C73</f>
        <v>-0,3≤ɣ2≤-0,15</v>
      </c>
      <c r="D433" s="369" t="str">
        <f>D73</f>
        <v>-0,3≤ɣ2≤-0,15</v>
      </c>
      <c r="E433" s="369" t="str">
        <f>E73</f>
        <v>-0,3≤ɣ2≤-0,15</v>
      </c>
    </row>
    <row r="434" spans="2:5" outlineLevel="1" x14ac:dyDescent="0.2">
      <c r="B434" s="88" t="s">
        <v>1560</v>
      </c>
      <c r="C434" s="372">
        <f>C72</f>
        <v>0</v>
      </c>
      <c r="D434" s="372">
        <f>D72</f>
        <v>0</v>
      </c>
      <c r="E434" s="372">
        <f>E72</f>
        <v>0</v>
      </c>
    </row>
    <row r="435" spans="2:5" outlineLevel="1" x14ac:dyDescent="0.2">
      <c r="B435" s="88" t="s">
        <v>1561</v>
      </c>
      <c r="C435" s="372">
        <f>C74</f>
        <v>0</v>
      </c>
      <c r="D435" s="372">
        <f>D74</f>
        <v>0</v>
      </c>
      <c r="E435" s="372">
        <f>E74</f>
        <v>0</v>
      </c>
    </row>
    <row r="436" spans="2:5" outlineLevel="1" x14ac:dyDescent="0.2">
      <c r="B436" s="86" t="s">
        <v>1570</v>
      </c>
      <c r="C436" s="373" t="str">
        <f>IF(AND(C432='Parametri MTR-3'!$B$88,C434&gt;'Parametri MTR-3'!$C$88,C434&lt;='Parametri MTR-3'!$D$88),"ok",
IF(AND(C432='Parametri MTR-3'!$B$89,C434&gt;='Parametri MTR-3'!$C$89,C434&lt;='Parametri MTR-3'!$D$89),"ok","no"))</f>
        <v>ok</v>
      </c>
      <c r="D436" s="373" t="str">
        <f>IF(AND(D432='Parametri MTR-3'!$B$88,D434&gt;'Parametri MTR-3'!$C$88,D434&lt;='Parametri MTR-3'!$D$88),"ok",
IF(AND(D432='Parametri MTR-3'!$B$89,D434&gt;='Parametri MTR-3'!$C$89,D434&lt;='Parametri MTR-3'!$D$89),"ok","no"))</f>
        <v>no</v>
      </c>
      <c r="E436" s="373" t="str">
        <f>IF(AND(E432='Parametri MTR-3'!$B$88,E434&gt;'Parametri MTR-3'!$C$88,E434&lt;='Parametri MTR-3'!$D$88),"ok",
IF(AND(E432='Parametri MTR-3'!$B$89,E434&gt;='Parametri MTR-3'!$C$89,E434&lt;='Parametri MTR-3'!$D$89),"ok","no"))</f>
        <v>no</v>
      </c>
    </row>
    <row r="437" spans="2:5" outlineLevel="1" x14ac:dyDescent="0.2">
      <c r="B437" s="86" t="s">
        <v>1571</v>
      </c>
      <c r="C437" s="373" t="str">
        <f>IF(AND(C433='Parametri MTR-3'!$B$92,C435&gt;'Parametri MTR-3'!$C$92,C435&lt;='Parametri MTR-3'!$D$92),"ok",
IF(AND(C433='Parametri MTR-3'!$B$93,C435&gt;='Parametri MTR-3'!$C$93,C435&lt;='Parametri MTR-3'!$D$93),"ok","no"))</f>
        <v>no</v>
      </c>
      <c r="D437" s="373" t="str">
        <f>IF(AND(D433='Parametri MTR-3'!$B$92,D435&gt;'Parametri MTR-3'!$C$92,D435&lt;='Parametri MTR-3'!$D$92),"ok",
IF(AND(D433='Parametri MTR-3'!$B$93,D435&gt;='Parametri MTR-3'!$C$93,D435&lt;='Parametri MTR-3'!$D$93),"ok","no"))</f>
        <v>no</v>
      </c>
      <c r="E437" s="373" t="str">
        <f>IF(AND(E433='Parametri MTR-3'!$B$92,E435&gt;'Parametri MTR-3'!$C$92,E435&lt;='Parametri MTR-3'!$D$92),"ok",
IF(AND(E433='Parametri MTR-3'!$B$93,E435&gt;='Parametri MTR-3'!$C$93,E435&lt;='Parametri MTR-3'!$D$93),"ok","no"))</f>
        <v>no</v>
      </c>
    </row>
    <row r="438" spans="2:5" outlineLevel="1" x14ac:dyDescent="0.2"/>
    <row r="439" spans="2:5" outlineLevel="1" x14ac:dyDescent="0.2">
      <c r="B439" s="88" t="s">
        <v>1562</v>
      </c>
      <c r="C439" s="369" t="str">
        <f>C97</f>
        <v>-0,2&lt;ɣ1≤0</v>
      </c>
      <c r="D439" s="369" t="str">
        <f>D97</f>
        <v>-0,4≤ɣ1≤-0,2</v>
      </c>
      <c r="E439" s="369" t="str">
        <f>E97</f>
        <v>-0,4≤ɣ1≤-0,2</v>
      </c>
    </row>
    <row r="440" spans="2:5" outlineLevel="1" x14ac:dyDescent="0.2">
      <c r="B440" s="88" t="s">
        <v>1563</v>
      </c>
      <c r="C440" s="369" t="str">
        <f>C99</f>
        <v>-0,3≤ɣ2≤-0,15</v>
      </c>
      <c r="D440" s="369" t="str">
        <f>D99</f>
        <v>-0,3≤ɣ2≤-0,15</v>
      </c>
      <c r="E440" s="369" t="str">
        <f>E99</f>
        <v>-0,3≤ɣ2≤-0,15</v>
      </c>
    </row>
    <row r="441" spans="2:5" outlineLevel="1" x14ac:dyDescent="0.2">
      <c r="B441" s="88" t="s">
        <v>1564</v>
      </c>
      <c r="C441" s="372">
        <f>C98</f>
        <v>0</v>
      </c>
      <c r="D441" s="372">
        <f>D98</f>
        <v>0</v>
      </c>
      <c r="E441" s="372">
        <f>E98</f>
        <v>0</v>
      </c>
    </row>
    <row r="442" spans="2:5" outlineLevel="1" x14ac:dyDescent="0.2">
      <c r="B442" s="88" t="s">
        <v>1565</v>
      </c>
      <c r="C442" s="372">
        <f>C100</f>
        <v>0</v>
      </c>
      <c r="D442" s="372">
        <f>D100</f>
        <v>0</v>
      </c>
      <c r="E442" s="372">
        <f>E100</f>
        <v>0</v>
      </c>
    </row>
    <row r="443" spans="2:5" outlineLevel="1" x14ac:dyDescent="0.2">
      <c r="B443" s="86" t="s">
        <v>1572</v>
      </c>
      <c r="C443" s="373" t="str">
        <f>IF(AND(C439='Parametri MTR-3'!$B$88,C441&gt;'Parametri MTR-3'!$C$88,C441&lt;='Parametri MTR-3'!$D$88),"ok",
IF(AND(C439='Parametri MTR-3'!$B$89,C441&gt;='Parametri MTR-3'!$C$89,C441&lt;='Parametri MTR-3'!$D$89),"ok","no"))</f>
        <v>ok</v>
      </c>
      <c r="D443" s="373" t="str">
        <f>IF(AND(D439='Parametri MTR-3'!$B$88,D441&gt;'Parametri MTR-3'!$C$88,D441&lt;='Parametri MTR-3'!$D$88),"ok",
IF(AND(D439='Parametri MTR-3'!$B$89,D441&gt;='Parametri MTR-3'!$C$89,D441&lt;='Parametri MTR-3'!$D$89),"ok","no"))</f>
        <v>no</v>
      </c>
      <c r="E443" s="373" t="str">
        <f>IF(AND(E439='Parametri MTR-3'!$B$88,E441&gt;'Parametri MTR-3'!$C$88,E441&lt;='Parametri MTR-3'!$D$88),"ok",
IF(AND(E439='Parametri MTR-3'!$B$89,E441&gt;='Parametri MTR-3'!$C$89,E441&lt;='Parametri MTR-3'!$D$89),"ok","no"))</f>
        <v>no</v>
      </c>
    </row>
    <row r="444" spans="2:5" outlineLevel="1" x14ac:dyDescent="0.2">
      <c r="B444" s="86" t="s">
        <v>1573</v>
      </c>
      <c r="C444" s="373" t="str">
        <f>IF(AND(C440='Parametri MTR-3'!$B$92,C442&gt;'Parametri MTR-3'!$C$92,C442&lt;='Parametri MTR-3'!$D$92),"ok",
IF(AND(C440='Parametri MTR-3'!$B$93,C442&gt;='Parametri MTR-3'!$C$93,C442&lt;='Parametri MTR-3'!$D$93),"ok","no"))</f>
        <v>no</v>
      </c>
      <c r="D444" s="373" t="str">
        <f>IF(AND(D440='Parametri MTR-3'!$B$92,D442&gt;'Parametri MTR-3'!$C$92,D442&lt;='Parametri MTR-3'!$D$92),"ok",
IF(AND(D440='Parametri MTR-3'!$B$93,D442&gt;='Parametri MTR-3'!$C$93,D442&lt;='Parametri MTR-3'!$D$93),"ok","no"))</f>
        <v>no</v>
      </c>
      <c r="E444" s="373" t="str">
        <f>IF(AND(E440='Parametri MTR-3'!$B$92,E442&gt;'Parametri MTR-3'!$C$92,E442&lt;='Parametri MTR-3'!$D$92),"ok",
IF(AND(E440='Parametri MTR-3'!$B$93,E442&gt;='Parametri MTR-3'!$C$93,E442&lt;='Parametri MTR-3'!$D$93),"ok","no"))</f>
        <v>no</v>
      </c>
    </row>
    <row r="445" spans="2:5" outlineLevel="1" x14ac:dyDescent="0.2"/>
    <row r="446" spans="2:5" outlineLevel="1" x14ac:dyDescent="0.2">
      <c r="B446" s="88" t="s">
        <v>1013</v>
      </c>
      <c r="C446" s="369" t="str">
        <f>C197</f>
        <v>0,1%&lt;Xreg≤0,3%</v>
      </c>
      <c r="D446" s="369" t="str">
        <f>D197</f>
        <v>Xreg=0,1%</v>
      </c>
      <c r="E446" s="369" t="str">
        <f>E197</f>
        <v>0,1%&lt;Xreg≤0,3%</v>
      </c>
    </row>
    <row r="447" spans="2:5" outlineLevel="1" x14ac:dyDescent="0.2">
      <c r="B447" s="88" t="s">
        <v>1014</v>
      </c>
      <c r="C447" s="374">
        <f>C200</f>
        <v>0</v>
      </c>
      <c r="D447" s="374">
        <f>D200</f>
        <v>0</v>
      </c>
      <c r="E447" s="374">
        <f>E200</f>
        <v>0</v>
      </c>
    </row>
    <row r="448" spans="2:5" outlineLevel="1" x14ac:dyDescent="0.2">
      <c r="B448" s="86" t="s">
        <v>1578</v>
      </c>
      <c r="C448" s="373" t="str">
        <f>IF(AND(C446='Parametri MTR-3'!$B$97,C447&gt;'Parametri MTR-3'!$C$97,C447&lt;='Parametri MTR-3'!$D$97),"ok",
IF(AND(C446='Parametri MTR-3'!$B$98,C447&gt;'Parametri MTR-3'!$C$98,C447&lt;='Parametri MTR-3'!$D$98),"ok",
IF(AND(C446='Parametri MTR-3'!$B$99,C447='Parametri MTR-3'!$C$99),"ok","no")))</f>
        <v>no</v>
      </c>
      <c r="D448" s="373" t="str">
        <f>IF(AND(D446='Parametri MTR-3'!$B$97,D447&gt;'Parametri MTR-3'!$C$97,D447&lt;='Parametri MTR-3'!$D$97),"ok",
IF(AND(D446='Parametri MTR-3'!$B$98,D447&gt;'Parametri MTR-3'!$C$98,D447&lt;='Parametri MTR-3'!$D$98),"ok",
IF(AND(D446='Parametri MTR-3'!$B$99,D447='Parametri MTR-3'!$C$99),"ok","no")))</f>
        <v>no</v>
      </c>
      <c r="E448" s="373" t="str">
        <f>IF(AND(E446='Parametri MTR-3'!$B$97,E447&gt;'Parametri MTR-3'!$C$97,E447&lt;='Parametri MTR-3'!$D$97),"ok",
IF(AND(E446='Parametri MTR-3'!$B$98,E447&gt;'Parametri MTR-3'!$C$98,E447&lt;='Parametri MTR-3'!$D$98),"ok",
IF(AND(E446='Parametri MTR-3'!$B$99,E447='Parametri MTR-3'!$C$99),"ok","no")))</f>
        <v>no</v>
      </c>
    </row>
    <row r="449" spans="2:5" outlineLevel="1" x14ac:dyDescent="0.2"/>
    <row r="450" spans="2:5" outlineLevel="1" x14ac:dyDescent="0.2">
      <c r="B450" s="88" t="s">
        <v>1015</v>
      </c>
      <c r="C450" s="369" t="str">
        <f>C218</f>
        <v>0,1%&lt;Xreg≤0,3%</v>
      </c>
      <c r="D450" s="369" t="str">
        <f>D218</f>
        <v>Xreg=0,1%</v>
      </c>
      <c r="E450" s="369" t="str">
        <f>E218</f>
        <v>Xreg=0,1%</v>
      </c>
    </row>
    <row r="451" spans="2:5" outlineLevel="1" x14ac:dyDescent="0.2">
      <c r="B451" s="88" t="s">
        <v>1016</v>
      </c>
      <c r="C451" s="374">
        <f>C221</f>
        <v>0</v>
      </c>
      <c r="D451" s="374">
        <f>D221</f>
        <v>0</v>
      </c>
      <c r="E451" s="374">
        <f>E221</f>
        <v>0</v>
      </c>
    </row>
    <row r="452" spans="2:5" outlineLevel="1" x14ac:dyDescent="0.2">
      <c r="B452" s="86" t="s">
        <v>1579</v>
      </c>
      <c r="C452" s="373" t="str">
        <f>IF(AND(C450='Parametri MTR-3'!$B$97,C451&gt;'Parametri MTR-3'!$C$97,C451&lt;='Parametri MTR-3'!$D$97),"ok",
IF(AND(C450='Parametri MTR-3'!$B$98,C451&gt;'Parametri MTR-3'!$C$98,C451&lt;='Parametri MTR-3'!$D$98),"ok",
IF(AND(C450='Parametri MTR-3'!$B$99,C451='Parametri MTR-3'!$C$99),"ok","no")))</f>
        <v>no</v>
      </c>
      <c r="D452" s="373" t="str">
        <f>IF(AND(D450='Parametri MTR-3'!$B$97,D451&gt;'Parametri MTR-3'!$C$97,D451&lt;='Parametri MTR-3'!$D$97),"ok",
IF(AND(D450='Parametri MTR-3'!$B$98,D451&gt;'Parametri MTR-3'!$C$98,D451&lt;='Parametri MTR-3'!$D$98),"ok",
IF(AND(D450='Parametri MTR-3'!$B$99,D451='Parametri MTR-3'!$C$99),"ok","no")))</f>
        <v>no</v>
      </c>
      <c r="E452" s="373" t="str">
        <f>IF(AND(E450='Parametri MTR-3'!$B$97,E451&gt;'Parametri MTR-3'!$C$97,E451&lt;='Parametri MTR-3'!$D$97),"ok",
IF(AND(E450='Parametri MTR-3'!$B$98,E451&gt;'Parametri MTR-3'!$C$98,E451&lt;='Parametri MTR-3'!$D$98),"ok",
IF(AND(E450='Parametri MTR-3'!$B$99,E451='Parametri MTR-3'!$C$99),"ok","no")))</f>
        <v>no</v>
      </c>
    </row>
    <row r="453" spans="2:5" outlineLevel="1" x14ac:dyDescent="0.2"/>
    <row r="454" spans="2:5" outlineLevel="1" x14ac:dyDescent="0.2">
      <c r="B454" s="88" t="s">
        <v>1574</v>
      </c>
      <c r="C454" s="369" t="str">
        <f>C239</f>
        <v>0,1%&lt;Xreg≤0,3%</v>
      </c>
      <c r="D454" s="369" t="str">
        <f>D239</f>
        <v>0,1%&lt;Xreg≤0,3%</v>
      </c>
      <c r="E454" s="369" t="str">
        <f>E239</f>
        <v>0,1%&lt;Xreg≤0,3%</v>
      </c>
    </row>
    <row r="455" spans="2:5" outlineLevel="1" x14ac:dyDescent="0.2">
      <c r="B455" s="88" t="s">
        <v>1575</v>
      </c>
      <c r="C455" s="374">
        <f>C242</f>
        <v>0</v>
      </c>
      <c r="D455" s="374">
        <f>D242</f>
        <v>0</v>
      </c>
      <c r="E455" s="374">
        <f>E242</f>
        <v>0</v>
      </c>
    </row>
    <row r="456" spans="2:5" outlineLevel="1" x14ac:dyDescent="0.2">
      <c r="B456" s="86" t="s">
        <v>1580</v>
      </c>
      <c r="C456" s="373" t="str">
        <f>IF(AND(C454='Parametri MTR-3'!$B$97,C455&gt;'Parametri MTR-3'!$C$97,C455&lt;='Parametri MTR-3'!$D$97),"ok",
IF(AND(C454='Parametri MTR-3'!$B$98,C455&gt;'Parametri MTR-3'!$C$98,C455&lt;='Parametri MTR-3'!$D$98),"ok",
IF(AND(C454='Parametri MTR-3'!$B$99,C455='Parametri MTR-3'!$C$99),"ok","no")))</f>
        <v>no</v>
      </c>
      <c r="D456" s="373" t="str">
        <f>IF(AND(D454='Parametri MTR-3'!$B$97,D455&gt;'Parametri MTR-3'!$C$97,D455&lt;='Parametri MTR-3'!$D$97),"ok",
IF(AND(D454='Parametri MTR-3'!$B$98,D455&gt;'Parametri MTR-3'!$C$98,D455&lt;='Parametri MTR-3'!$D$98),"ok",
IF(AND(D454='Parametri MTR-3'!$B$99,D455='Parametri MTR-3'!$C$99),"ok","no")))</f>
        <v>no</v>
      </c>
      <c r="E456" s="373" t="str">
        <f>IF(AND(E454='Parametri MTR-3'!$B$97,E455&gt;'Parametri MTR-3'!$C$97,E455&lt;='Parametri MTR-3'!$D$97),"ok",
IF(AND(E454='Parametri MTR-3'!$B$98,E455&gt;'Parametri MTR-3'!$C$98,E455&lt;='Parametri MTR-3'!$D$98),"ok",
IF(AND(E454='Parametri MTR-3'!$B$99,E455='Parametri MTR-3'!$C$99),"ok","no")))</f>
        <v>no</v>
      </c>
    </row>
    <row r="457" spans="2:5" outlineLevel="1" x14ac:dyDescent="0.2"/>
    <row r="458" spans="2:5" outlineLevel="1" x14ac:dyDescent="0.2">
      <c r="B458" s="88" t="s">
        <v>1576</v>
      </c>
      <c r="C458" s="369" t="str">
        <f>C260</f>
        <v>0,1%&lt;Xreg≤0,3%</v>
      </c>
      <c r="D458" s="369" t="str">
        <f>D260</f>
        <v>0,1%&lt;Xreg≤0,3%</v>
      </c>
      <c r="E458" s="369" t="str">
        <f>E260</f>
        <v>0,1%&lt;Xreg≤0,3%</v>
      </c>
    </row>
    <row r="459" spans="2:5" outlineLevel="1" x14ac:dyDescent="0.2">
      <c r="B459" s="88" t="s">
        <v>1577</v>
      </c>
      <c r="C459" s="374">
        <f>C263</f>
        <v>0</v>
      </c>
      <c r="D459" s="374">
        <f>D263</f>
        <v>0</v>
      </c>
      <c r="E459" s="374">
        <f>E263</f>
        <v>0</v>
      </c>
    </row>
    <row r="460" spans="2:5" outlineLevel="1" x14ac:dyDescent="0.2">
      <c r="B460" s="86" t="s">
        <v>1581</v>
      </c>
      <c r="C460" s="373" t="str">
        <f>IF(AND(C458='Parametri MTR-3'!$B$97,C459&gt;'Parametri MTR-3'!$C$97,C459&lt;='Parametri MTR-3'!$D$97),"ok",
IF(AND(C458='Parametri MTR-3'!$B$98,C459&gt;'Parametri MTR-3'!$C$98,C459&lt;='Parametri MTR-3'!$D$98),"ok",
IF(AND(C458='Parametri MTR-3'!$B$99,C459='Parametri MTR-3'!$C$99),"ok","no")))</f>
        <v>no</v>
      </c>
      <c r="D460" s="373" t="str">
        <f>IF(AND(D458='Parametri MTR-3'!$B$97,D459&gt;'Parametri MTR-3'!$C$97,D459&lt;='Parametri MTR-3'!$D$97),"ok",
IF(AND(D458='Parametri MTR-3'!$B$98,D459&gt;'Parametri MTR-3'!$C$98,D459&lt;='Parametri MTR-3'!$D$98),"ok",
IF(AND(D458='Parametri MTR-3'!$B$99,D459='Parametri MTR-3'!$C$99),"ok","no")))</f>
        <v>no</v>
      </c>
      <c r="E460" s="373" t="str">
        <f>IF(AND(E458='Parametri MTR-3'!$B$97,E459&gt;'Parametri MTR-3'!$C$97,E459&lt;='Parametri MTR-3'!$D$97),"ok",
IF(AND(E458='Parametri MTR-3'!$B$98,E459&gt;'Parametri MTR-3'!$C$98,E459&lt;='Parametri MTR-3'!$D$98),"ok",
IF(AND(E458='Parametri MTR-3'!$B$99,E459='Parametri MTR-3'!$C$99),"ok","no")))</f>
        <v>no</v>
      </c>
    </row>
  </sheetData>
  <conditionalFormatting sqref="C2:E2">
    <cfRule type="cellIs" dxfId="120" priority="54" operator="equal">
      <formula>"range ok"</formula>
    </cfRule>
    <cfRule type="cellIs" dxfId="119" priority="53" operator="equal">
      <formula>"Range errati"</formula>
    </cfRule>
  </conditionalFormatting>
  <conditionalFormatting sqref="C298:E298">
    <cfRule type="cellIs" dxfId="118" priority="26" operator="equal">
      <formula>"incoerenza valore Ta-1"</formula>
    </cfRule>
  </conditionalFormatting>
  <conditionalFormatting sqref="C307:E307">
    <cfRule type="cellIs" dxfId="117" priority="24" operator="equal">
      <formula>"incoerenza valore X"</formula>
    </cfRule>
  </conditionalFormatting>
  <conditionalFormatting sqref="C308:E308">
    <cfRule type="cellIs" dxfId="116" priority="23" operator="equal">
      <formula>"incoerenza valore K"</formula>
    </cfRule>
  </conditionalFormatting>
  <conditionalFormatting sqref="C311:E311">
    <cfRule type="cellIs" dxfId="115" priority="12" operator="equal">
      <formula>"incoerenza valore ρ"</formula>
    </cfRule>
  </conditionalFormatting>
  <conditionalFormatting sqref="C332:E332">
    <cfRule type="cellIs" dxfId="114" priority="22" operator="equal">
      <formula>"incoerenza valore Ta-1"</formula>
    </cfRule>
  </conditionalFormatting>
  <conditionalFormatting sqref="C341:E341">
    <cfRule type="cellIs" dxfId="113" priority="21" operator="equal">
      <formula>"incoerenza valore X"</formula>
    </cfRule>
  </conditionalFormatting>
  <conditionalFormatting sqref="C342:E342">
    <cfRule type="cellIs" dxfId="112" priority="20" operator="equal">
      <formula>"incoerenza valore K"</formula>
    </cfRule>
  </conditionalFormatting>
  <conditionalFormatting sqref="C345:E345">
    <cfRule type="cellIs" dxfId="111" priority="11" operator="equal">
      <formula>"incoerenza valore ρ"</formula>
    </cfRule>
  </conditionalFormatting>
  <conditionalFormatting sqref="C366:E366">
    <cfRule type="cellIs" dxfId="110" priority="19" operator="equal">
      <formula>"incoerenza valore Ta-1"</formula>
    </cfRule>
  </conditionalFormatting>
  <conditionalFormatting sqref="C375:E375">
    <cfRule type="cellIs" dxfId="109" priority="18" operator="equal">
      <formula>"incoerenza valore X"</formula>
    </cfRule>
  </conditionalFormatting>
  <conditionalFormatting sqref="C376:E376">
    <cfRule type="cellIs" dxfId="108" priority="17" operator="equal">
      <formula>"incoerenza valore K"</formula>
    </cfRule>
  </conditionalFormatting>
  <conditionalFormatting sqref="C379:E379">
    <cfRule type="cellIs" dxfId="107" priority="10" operator="equal">
      <formula>"incoerenza valore ρ"</formula>
    </cfRule>
  </conditionalFormatting>
  <conditionalFormatting sqref="C400:E400">
    <cfRule type="cellIs" dxfId="106" priority="16" operator="equal">
      <formula>"incoerenza valore Ta-1"</formula>
    </cfRule>
  </conditionalFormatting>
  <conditionalFormatting sqref="C409:E409">
    <cfRule type="cellIs" dxfId="105" priority="15" operator="equal">
      <formula>"incoerenza valore X"</formula>
    </cfRule>
  </conditionalFormatting>
  <conditionalFormatting sqref="C410:E410">
    <cfRule type="cellIs" dxfId="104" priority="14" operator="equal">
      <formula>"incoerenza valore K"</formula>
    </cfRule>
  </conditionalFormatting>
  <conditionalFormatting sqref="C413:E413">
    <cfRule type="cellIs" dxfId="103" priority="9" operator="equal">
      <formula>"incoerenza valore ρ"</formula>
    </cfRule>
  </conditionalFormatting>
  <conditionalFormatting sqref="C422:E423">
    <cfRule type="cellIs" dxfId="102" priority="29" operator="equal">
      <formula>"no"</formula>
    </cfRule>
    <cfRule type="cellIs" dxfId="101" priority="30" operator="equal">
      <formula>"ok"</formula>
    </cfRule>
  </conditionalFormatting>
  <conditionalFormatting sqref="C429:E430">
    <cfRule type="cellIs" dxfId="100" priority="27" operator="equal">
      <formula>"no"</formula>
    </cfRule>
    <cfRule type="cellIs" dxfId="99" priority="28" operator="equal">
      <formula>"ok"</formula>
    </cfRule>
  </conditionalFormatting>
  <conditionalFormatting sqref="C436:E437">
    <cfRule type="cellIs" dxfId="98" priority="7" operator="equal">
      <formula>"no"</formula>
    </cfRule>
    <cfRule type="cellIs" dxfId="97" priority="8" operator="equal">
      <formula>"ok"</formula>
    </cfRule>
  </conditionalFormatting>
  <conditionalFormatting sqref="C443:E444">
    <cfRule type="cellIs" dxfId="96" priority="5" operator="equal">
      <formula>"no"</formula>
    </cfRule>
    <cfRule type="cellIs" dxfId="95" priority="6" operator="equal">
      <formula>"ok"</formula>
    </cfRule>
  </conditionalFormatting>
  <conditionalFormatting sqref="C448:E448">
    <cfRule type="cellIs" dxfId="94" priority="39" operator="equal">
      <formula>"no"</formula>
    </cfRule>
    <cfRule type="cellIs" dxfId="93" priority="40" operator="equal">
      <formula>"ok"</formula>
    </cfRule>
  </conditionalFormatting>
  <conditionalFormatting sqref="C452:E452">
    <cfRule type="cellIs" dxfId="92" priority="37" operator="equal">
      <formula>"no"</formula>
    </cfRule>
    <cfRule type="cellIs" dxfId="91" priority="38" operator="equal">
      <formula>"ok"</formula>
    </cfRule>
  </conditionalFormatting>
  <conditionalFormatting sqref="C456:E456">
    <cfRule type="cellIs" dxfId="90" priority="3" operator="equal">
      <formula>"no"</formula>
    </cfRule>
    <cfRule type="cellIs" dxfId="89" priority="4" operator="equal">
      <formula>"ok"</formula>
    </cfRule>
  </conditionalFormatting>
  <conditionalFormatting sqref="C460:E460">
    <cfRule type="cellIs" dxfId="88" priority="2" operator="equal">
      <formula>"ok"</formula>
    </cfRule>
    <cfRule type="cellIs" dxfId="87" priority="1" operator="equal">
      <formula>"no"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7C873D77-EFAA-4F2A-8116-6F1EC9888A28}">
          <x14:formula1>
            <xm:f>'Parametri MTR-3'!$C$29:$C$31</xm:f>
          </x14:formula1>
          <xm:sqref>C34:E34 C60:E60 C8:E8 C86:E86</xm:sqref>
        </x14:dataValidation>
        <x14:dataValidation type="list" allowBlank="1" showInputMessage="1" showErrorMessage="1" xr:uid="{1572F743-9BD5-4668-8D84-03131E25EFAB}">
          <x14:formula1>
            <xm:f>'Parametri MTR-3'!$C$57:$C$58</xm:f>
          </x14:formula1>
          <xm:sqref>C189:E189 C184:E184 C179:E179 C174:E174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5256A-D02B-4E34-A10C-1AA97A797984}">
  <sheetPr codeName="Foglio10">
    <tabColor rgb="FFFFFFCC"/>
  </sheetPr>
  <dimension ref="A1:E25"/>
  <sheetViews>
    <sheetView showGridLines="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I32" sqref="I32"/>
    </sheetView>
  </sheetViews>
  <sheetFormatPr defaultColWidth="9.109375" defaultRowHeight="10.199999999999999" outlineLevelRow="1" x14ac:dyDescent="0.2"/>
  <cols>
    <col min="1" max="1" width="16.33203125" style="138" bestFit="1" customWidth="1"/>
    <col min="2" max="2" width="53.88671875" style="51" bestFit="1" customWidth="1"/>
    <col min="3" max="4" width="15.44140625" style="51" bestFit="1" customWidth="1"/>
    <col min="5" max="5" width="13.88671875" style="51" customWidth="1"/>
    <col min="6" max="16384" width="9.109375" style="51"/>
  </cols>
  <sheetData>
    <row r="1" spans="1:5" x14ac:dyDescent="0.2">
      <c r="B1" s="454" t="s">
        <v>1588</v>
      </c>
      <c r="C1" s="61"/>
      <c r="D1" s="61"/>
      <c r="E1" s="61"/>
    </row>
    <row r="2" spans="1:5" x14ac:dyDescent="0.2">
      <c r="C2" s="61"/>
      <c r="D2" s="61"/>
      <c r="E2" s="61"/>
    </row>
    <row r="3" spans="1:5" ht="20.399999999999999" x14ac:dyDescent="0.2">
      <c r="A3" s="439"/>
      <c r="B3" s="344"/>
      <c r="C3" s="344" t="str">
        <f>Ambiti!B4</f>
        <v>BUSTO ARSIZIO</v>
      </c>
      <c r="D3" s="344" t="str">
        <f>Ambiti!C4</f>
        <v>FAGNANO OLONA</v>
      </c>
      <c r="E3" s="344" t="str">
        <f>Ambiti!D4</f>
        <v>VENEGONO SUPERIORE</v>
      </c>
    </row>
    <row r="5" spans="1:5" ht="11.4" x14ac:dyDescent="0.25">
      <c r="B5" s="454" t="s">
        <v>1582</v>
      </c>
    </row>
    <row r="6" spans="1:5" outlineLevel="1" x14ac:dyDescent="0.2">
      <c r="B6" s="79">
        <v>2026</v>
      </c>
    </row>
    <row r="7" spans="1:5" ht="11.4" outlineLevel="1" x14ac:dyDescent="0.25">
      <c r="A7" s="85" t="s">
        <v>1583</v>
      </c>
      <c r="B7" s="440" t="s">
        <v>1597</v>
      </c>
      <c r="C7" s="200">
        <v>10681.81</v>
      </c>
      <c r="D7" s="200">
        <v>845.87</v>
      </c>
      <c r="E7" s="200">
        <v>0</v>
      </c>
    </row>
    <row r="8" spans="1:5" ht="11.4" outlineLevel="1" x14ac:dyDescent="0.25">
      <c r="A8" s="85" t="s">
        <v>1584</v>
      </c>
      <c r="B8" s="441" t="s">
        <v>1598</v>
      </c>
      <c r="C8" s="201">
        <v>10681.81</v>
      </c>
      <c r="D8" s="201">
        <v>845.87</v>
      </c>
      <c r="E8" s="201">
        <v>0</v>
      </c>
    </row>
    <row r="9" spans="1:5" ht="11.4" outlineLevel="1" x14ac:dyDescent="0.25">
      <c r="A9" s="85" t="s">
        <v>1591</v>
      </c>
      <c r="B9" s="56" t="s">
        <v>1589</v>
      </c>
      <c r="C9" s="81">
        <f>C7/C8</f>
        <v>1</v>
      </c>
      <c r="D9" s="81">
        <f>D7/D8</f>
        <v>1</v>
      </c>
      <c r="E9" s="81" t="e">
        <f>E7/E8</f>
        <v>#DIV/0!</v>
      </c>
    </row>
    <row r="10" spans="1:5" outlineLevel="1" x14ac:dyDescent="0.2"/>
    <row r="11" spans="1:5" ht="11.4" outlineLevel="1" x14ac:dyDescent="0.25">
      <c r="B11" s="454" t="s">
        <v>1585</v>
      </c>
    </row>
    <row r="12" spans="1:5" outlineLevel="1" x14ac:dyDescent="0.2">
      <c r="B12" s="79">
        <v>2026</v>
      </c>
    </row>
    <row r="13" spans="1:5" ht="11.4" outlineLevel="1" x14ac:dyDescent="0.25">
      <c r="A13" s="85" t="s">
        <v>531</v>
      </c>
      <c r="B13" s="442" t="s">
        <v>1586</v>
      </c>
      <c r="C13" s="200">
        <v>1240553.19</v>
      </c>
      <c r="D13" s="200">
        <v>84534.87</v>
      </c>
      <c r="E13" s="200">
        <v>0</v>
      </c>
    </row>
    <row r="14" spans="1:5" ht="11.4" outlineLevel="1" x14ac:dyDescent="0.25">
      <c r="A14" s="85" t="s">
        <v>1592</v>
      </c>
      <c r="B14" s="443" t="s">
        <v>1587</v>
      </c>
      <c r="C14" s="201">
        <v>1828895.33</v>
      </c>
      <c r="D14" s="201">
        <v>189221.72</v>
      </c>
      <c r="E14" s="201">
        <v>0</v>
      </c>
    </row>
    <row r="15" spans="1:5" ht="11.4" outlineLevel="1" x14ac:dyDescent="0.25">
      <c r="A15" s="85" t="s">
        <v>1593</v>
      </c>
      <c r="B15" s="56" t="s">
        <v>1590</v>
      </c>
      <c r="C15" s="81">
        <f>C13/C14</f>
        <v>0.67830737475829184</v>
      </c>
      <c r="D15" s="81">
        <f>D13/D14</f>
        <v>0.44675035191520296</v>
      </c>
      <c r="E15" s="81" t="e">
        <f>E13/E14</f>
        <v>#DIV/0!</v>
      </c>
    </row>
    <row r="16" spans="1:5" outlineLevel="1" x14ac:dyDescent="0.2"/>
    <row r="17" spans="1:5" ht="11.4" x14ac:dyDescent="0.25">
      <c r="B17" s="454" t="s">
        <v>1596</v>
      </c>
    </row>
    <row r="18" spans="1:5" x14ac:dyDescent="0.2">
      <c r="B18" s="79">
        <v>2026</v>
      </c>
    </row>
    <row r="19" spans="1:5" ht="11.4" x14ac:dyDescent="0.25">
      <c r="A19" s="85" t="s">
        <v>1591</v>
      </c>
      <c r="B19" s="449" t="s">
        <v>1589</v>
      </c>
      <c r="C19" s="444">
        <f t="shared" ref="C19" si="0">C9</f>
        <v>1</v>
      </c>
      <c r="D19" s="444">
        <f t="shared" ref="D19:E19" si="1">D9</f>
        <v>1</v>
      </c>
      <c r="E19" s="444" t="e">
        <f t="shared" si="1"/>
        <v>#DIV/0!</v>
      </c>
    </row>
    <row r="20" spans="1:5" ht="11.4" x14ac:dyDescent="0.25">
      <c r="A20" s="85" t="s">
        <v>1593</v>
      </c>
      <c r="B20" s="445" t="s">
        <v>1590</v>
      </c>
      <c r="C20" s="446">
        <f t="shared" ref="C20" si="2">C15</f>
        <v>0.67830737475829184</v>
      </c>
      <c r="D20" s="446">
        <f t="shared" ref="D20:E20" si="3">D15</f>
        <v>0.44675035191520296</v>
      </c>
      <c r="E20" s="446" t="e">
        <f t="shared" si="3"/>
        <v>#DIV/0!</v>
      </c>
    </row>
    <row r="21" spans="1:5" ht="11.4" x14ac:dyDescent="0.25">
      <c r="A21" s="85" t="s">
        <v>948</v>
      </c>
      <c r="B21" s="56" t="s">
        <v>1594</v>
      </c>
      <c r="C21" s="81">
        <f>IFERROR(C19*C20,0)</f>
        <v>0.67830737475829184</v>
      </c>
      <c r="D21" s="81">
        <f>IFERROR(D19*D20,0)</f>
        <v>0.44675035191520296</v>
      </c>
      <c r="E21" s="81">
        <f>IFERROR(E19*E20,0)</f>
        <v>0</v>
      </c>
    </row>
    <row r="23" spans="1:5" ht="11.4" x14ac:dyDescent="0.25">
      <c r="B23" s="454" t="s">
        <v>1595</v>
      </c>
    </row>
    <row r="24" spans="1:5" x14ac:dyDescent="0.2">
      <c r="B24" s="79">
        <v>2026</v>
      </c>
    </row>
    <row r="25" spans="1:5" ht="11.4" x14ac:dyDescent="0.25">
      <c r="A25" s="85" t="s">
        <v>1262</v>
      </c>
      <c r="B25" s="55" t="s">
        <v>1599</v>
      </c>
      <c r="C25" s="80">
        <v>0.56000000000000005</v>
      </c>
      <c r="D25" s="80">
        <v>0.56000000000000005</v>
      </c>
      <c r="E25" s="80">
        <v>0.56000000000000005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7B3F57648648A4B82CC06A7D5D7167F" ma:contentTypeVersion="50" ma:contentTypeDescription="Creare un nuovo documento." ma:contentTypeScope="" ma:versionID="8a8dd5e9ec73efea974d525957931e47">
  <xsd:schema xmlns:xsd="http://www.w3.org/2001/XMLSchema" xmlns:xs="http://www.w3.org/2001/XMLSchema" xmlns:p="http://schemas.microsoft.com/office/2006/metadata/properties" xmlns:ns2="e0b00a0c-f11a-476e-ad35-ba1f6d6d4c55" xmlns:ns3="a4f7fff0-c233-414c-ba07-94cdf376a1c9" targetNamespace="http://schemas.microsoft.com/office/2006/metadata/properties" ma:root="true" ma:fieldsID="d6551395a4d96d003fa16be8262ee2de" ns2:_="" ns3:_="">
    <xsd:import namespace="e0b00a0c-f11a-476e-ad35-ba1f6d6d4c55"/>
    <xsd:import namespace="a4f7fff0-c233-414c-ba07-94cdf376a1c9"/>
    <xsd:element name="properties">
      <xsd:complexType>
        <xsd:sequence>
          <xsd:element name="documentManagement">
            <xsd:complexType>
              <xsd:all>
                <xsd:element ref="ns2:Anno" minOccurs="0"/>
                <xsd:element ref="ns2:CopiaConoscenza" minOccurs="0"/>
                <xsd:element ref="ns2:Protocollo" minOccurs="0"/>
                <xsd:element ref="ns2:DataProtocollo" minOccurs="0"/>
                <xsd:element ref="ns2:DestinatarioEsterno" minOccurs="0"/>
                <xsd:element ref="ns2:DestinatarioInterno" minOccurs="0"/>
                <xsd:element ref="ns2:HasAttachments" minOccurs="0"/>
                <xsd:element ref="ns2:HasNotes" minOccurs="0"/>
                <xsd:element ref="ns2:IdDocSet" minOccurs="0"/>
                <xsd:element ref="ns2:Inoltro" minOccurs="0"/>
                <xsd:element ref="ns2:MezzoDiSpedizione" minOccurs="0"/>
                <xsd:element ref="ns2:MittenteEsterno" minOccurs="0"/>
                <xsd:element ref="ns2:MittenteInterno" minOccurs="0"/>
                <xsd:element ref="ns2:NumeroProtocollo" minOccurs="0"/>
                <xsd:element ref="ns2:OggettoProtocollo" minOccurs="0"/>
                <xsd:element ref="ns2:OriginalName" minOccurs="0"/>
                <xsd:element ref="ns2:PagineDocumento" minOccurs="0"/>
                <xsd:element ref="ns2:Proprietario" minOccurs="0"/>
                <xsd:element ref="ns2:ProtocolloDiRiferimento" minOccurs="0"/>
                <xsd:element ref="ns2:StatoProtocollo" minOccurs="0"/>
                <xsd:element ref="ns2:TipoFile" minOccurs="0"/>
                <xsd:element ref="ns2:TipoProtocollo" minOccurs="0"/>
                <xsd:element ref="ns2:Impronta" minOccurs="0"/>
                <xsd:element ref="ns2:Firmato" minOccurs="0"/>
                <xsd:element ref="ns3:Titolario" minOccurs="0"/>
                <xsd:element ref="ns2:UtenteModifica" minOccurs="0"/>
                <xsd:element ref="ns2:Visibilita" minOccurs="0"/>
                <xsd:element ref="ns2:Protocollista" minOccurs="0"/>
                <xsd:element ref="ns2:StatoConservazione" minOccurs="0"/>
                <xsd:element ref="ns2:IdPdVConservazione" minOccurs="0"/>
                <xsd:element ref="ns2:IdDocConservazione" minOccurs="0"/>
                <xsd:element ref="ns3:Azienda" minOccurs="0"/>
                <xsd:element ref="ns3:DestinatarioGenerico" minOccurs="0"/>
                <xsd:element ref="ns3:DestinatarioRubrica" minOccurs="0"/>
                <xsd:element ref="ns3:Evaso" minOccurs="0"/>
                <xsd:element ref="ns3:MittenteRubrica" minOccurs="0"/>
                <xsd:element ref="ns3:NoteProtocollo" minOccurs="0"/>
                <xsd:element ref="ns3:MittenteGenerico" minOccurs="0"/>
                <xsd:element ref="ns3:lcf76f155ced4ddcb4097134ff3c332f" minOccurs="0"/>
                <xsd:element ref="ns2:TaxCatchAll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b00a0c-f11a-476e-ad35-ba1f6d6d4c55" elementFormDefault="qualified">
    <xsd:import namespace="http://schemas.microsoft.com/office/2006/documentManagement/types"/>
    <xsd:import namespace="http://schemas.microsoft.com/office/infopath/2007/PartnerControls"/>
    <xsd:element name="Anno" ma:index="8" nillable="true" ma:displayName="Anno" ma:indexed="true" ma:internalName="Anno">
      <xsd:simpleType>
        <xsd:restriction base="dms:Number"/>
      </xsd:simpleType>
    </xsd:element>
    <xsd:element name="CopiaConoscenza" ma:index="9" nillable="true" ma:displayName="CopiaConoscenza" ma:indexed="true" ma:internalName="CopiaConoscenza">
      <xsd:simpleType>
        <xsd:restriction base="dms:Text"/>
      </xsd:simpleType>
    </xsd:element>
    <xsd:element name="Protocollo" ma:index="10" nillable="true" ma:displayName="Protocollo" ma:indexed="true" ma:internalName="Protocollo">
      <xsd:simpleType>
        <xsd:restriction base="dms:Text"/>
      </xsd:simpleType>
    </xsd:element>
    <xsd:element name="DataProtocollo" ma:index="11" nillable="true" ma:displayName="Data protocollo" ma:format="DateOnly" ma:indexed="true" ma:internalName="DataProtocollo">
      <xsd:simpleType>
        <xsd:restriction base="dms:DateTime"/>
      </xsd:simpleType>
    </xsd:element>
    <xsd:element name="DestinatarioEsterno" ma:index="12" nillable="true" ma:displayName="Destinatario esterno" ma:internalName="DestinatarioEsterno">
      <xsd:simpleType>
        <xsd:restriction base="dms:Text"/>
      </xsd:simpleType>
    </xsd:element>
    <xsd:element name="DestinatarioInterno" ma:index="13" nillable="true" ma:displayName="Destinatario interno" ma:internalName="DestinatarioInterno">
      <xsd:simpleType>
        <xsd:restriction base="dms:Text"/>
      </xsd:simpleType>
    </xsd:element>
    <xsd:element name="HasAttachments" ma:index="14" nillable="true" ma:displayName="HasAttachments" ma:internalName="HasAttachments">
      <xsd:simpleType>
        <xsd:restriction base="dms:Text">
          <xsd:maxLength value="255"/>
        </xsd:restriction>
      </xsd:simpleType>
    </xsd:element>
    <xsd:element name="HasNotes" ma:index="15" nillable="true" ma:displayName="HasNotes" ma:internalName="HasNotes">
      <xsd:simpleType>
        <xsd:restriction base="dms:Text">
          <xsd:maxLength value="255"/>
        </xsd:restriction>
      </xsd:simpleType>
    </xsd:element>
    <xsd:element name="IdDocSet" ma:index="16" nillable="true" ma:displayName="IdDocSet" ma:indexed="true" ma:internalName="IdDocSet">
      <xsd:simpleType>
        <xsd:restriction base="dms:Number"/>
      </xsd:simpleType>
    </xsd:element>
    <xsd:element name="Inoltro" ma:index="17" nillable="true" ma:displayName="Inoltro" ma:indexed="true" ma:internalName="Inoltro">
      <xsd:simpleType>
        <xsd:restriction base="dms:Text"/>
      </xsd:simpleType>
    </xsd:element>
    <xsd:element name="MezzoDiSpedizione" ma:index="18" nillable="true" ma:displayName="Mezzo di spedizione" ma:internalName="MezzoDiSpedizione">
      <xsd:simpleType>
        <xsd:restriction base="dms:Text">
          <xsd:maxLength value="255"/>
        </xsd:restriction>
      </xsd:simpleType>
    </xsd:element>
    <xsd:element name="MittenteEsterno" ma:index="19" nillable="true" ma:displayName="Mittente esterno" ma:internalName="MittenteEsterno">
      <xsd:simpleType>
        <xsd:restriction base="dms:Text"/>
      </xsd:simpleType>
    </xsd:element>
    <xsd:element name="MittenteInterno" ma:index="20" nillable="true" ma:displayName="Mittente interno" ma:internalName="MittenteInterno">
      <xsd:simpleType>
        <xsd:restriction base="dms:Text"/>
      </xsd:simpleType>
    </xsd:element>
    <xsd:element name="NumeroProtocollo" ma:index="21" nillable="true" ma:displayName="Numero protocollo" ma:indexed="true" ma:internalName="NumeroProtocollo">
      <xsd:simpleType>
        <xsd:restriction base="dms:Number"/>
      </xsd:simpleType>
    </xsd:element>
    <xsd:element name="OggettoProtocollo" ma:index="22" nillable="true" ma:displayName="Oggetto protocollo" ma:internalName="OggettoProtocollo">
      <xsd:simpleType>
        <xsd:restriction base="dms:Text"/>
      </xsd:simpleType>
    </xsd:element>
    <xsd:element name="OriginalName" ma:index="23" nillable="true" ma:displayName="OriginalName" ma:internalName="OriginalName">
      <xsd:simpleType>
        <xsd:restriction base="dms:Note">
          <xsd:maxLength value="255"/>
        </xsd:restriction>
      </xsd:simpleType>
    </xsd:element>
    <xsd:element name="PagineDocumento" ma:index="24" nillable="true" ma:displayName="Pagine documento" ma:internalName="PagineDocumento">
      <xsd:simpleType>
        <xsd:restriction base="dms:Number"/>
      </xsd:simpleType>
    </xsd:element>
    <xsd:element name="Proprietario" ma:index="25" nillable="true" ma:displayName="Proprietario" ma:indexed="true" ma:internalName="Proprietario">
      <xsd:simpleType>
        <xsd:restriction base="dms:Text"/>
      </xsd:simpleType>
    </xsd:element>
    <xsd:element name="ProtocolloDiRiferimento" ma:index="26" nillable="true" ma:displayName="Protocollo di riferimento" ma:internalName="ProtocolloDiRiferimento">
      <xsd:simpleType>
        <xsd:restriction base="dms:Text"/>
      </xsd:simpleType>
    </xsd:element>
    <xsd:element name="StatoProtocollo" ma:index="27" nillable="true" ma:displayName="Stato protocollo" ma:indexed="true" ma:internalName="StatoProtocollo">
      <xsd:simpleType>
        <xsd:restriction base="dms:Text">
          <xsd:maxLength value="255"/>
        </xsd:restriction>
      </xsd:simpleType>
    </xsd:element>
    <xsd:element name="TipoFile" ma:index="28" nillable="true" ma:displayName="TipoFile" ma:internalName="TipoFile">
      <xsd:simpleType>
        <xsd:restriction base="dms:Text">
          <xsd:maxLength value="255"/>
        </xsd:restriction>
      </xsd:simpleType>
    </xsd:element>
    <xsd:element name="TipoProtocollo" ma:index="29" nillable="true" ma:displayName="Tipo protocollo" ma:internalName="TipoProtocollo">
      <xsd:simpleType>
        <xsd:restriction base="dms:Text">
          <xsd:maxLength value="255"/>
        </xsd:restriction>
      </xsd:simpleType>
    </xsd:element>
    <xsd:element name="Impronta" ma:index="30" nillable="true" ma:displayName="Impronta" ma:internalName="Impronta">
      <xsd:simpleType>
        <xsd:restriction base="dms:Text"/>
      </xsd:simpleType>
    </xsd:element>
    <xsd:element name="Firmato" ma:index="31" nillable="true" ma:displayName="Firmato" ma:internalName="Firmato">
      <xsd:simpleType>
        <xsd:restriction base="dms:Text">
          <xsd:maxLength value="255"/>
        </xsd:restriction>
      </xsd:simpleType>
    </xsd:element>
    <xsd:element name="UtenteModifica" ma:index="33" nillable="true" ma:displayName="UtenteModifica" ma:list="UserInfo" ma:internalName="UtenteModifica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Visibilita" ma:index="34" nillable="true" ma:displayName="Visibilita" ma:indexed="true" ma:internalName="Visibilita">
      <xsd:simpleType>
        <xsd:restriction base="dms:Text"/>
      </xsd:simpleType>
    </xsd:element>
    <xsd:element name="Protocollista" ma:index="35" nillable="true" ma:displayName="Protocollista" ma:internalName="Protocollista">
      <xsd:simpleType>
        <xsd:restriction base="dms:Text"/>
      </xsd:simpleType>
    </xsd:element>
    <xsd:element name="StatoConservazione" ma:index="36" nillable="true" ma:displayName="StatoConservazione" ma:internalName="StatoConservazione">
      <xsd:simpleType>
        <xsd:restriction base="dms:Number"/>
      </xsd:simpleType>
    </xsd:element>
    <xsd:element name="IdPdVConservazione" ma:index="37" nillable="true" ma:displayName="IdPdVConservazione" ma:internalName="IdPdVConservazione">
      <xsd:simpleType>
        <xsd:restriction base="dms:Number"/>
      </xsd:simpleType>
    </xsd:element>
    <xsd:element name="IdDocConservazione" ma:index="38" nillable="true" ma:displayName="IdDocConservazione" ma:internalName="IdDocConservazione">
      <xsd:simpleType>
        <xsd:restriction base="dms:Text"/>
      </xsd:simpleType>
    </xsd:element>
    <xsd:element name="TaxCatchAll" ma:index="48" nillable="true" ma:displayName="Taxonomy Catch All Column" ma:hidden="true" ma:list="{a9b39c1f-400a-4735-839a-942febdcdb7b}" ma:internalName="TaxCatchAll" ma:showField="CatchAllData" ma:web="e0b00a0c-f11a-476e-ad35-ba1f6d6d4c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f7fff0-c233-414c-ba07-94cdf376a1c9" elementFormDefault="qualified">
    <xsd:import namespace="http://schemas.microsoft.com/office/2006/documentManagement/types"/>
    <xsd:import namespace="http://schemas.microsoft.com/office/infopath/2007/PartnerControls"/>
    <xsd:element name="Titolario" ma:index="32" nillable="true" ma:displayName="Titolario" ma:internalName="Titolario">
      <xsd:simpleType>
        <xsd:restriction base="dms:Text">
          <xsd:maxLength value="255"/>
        </xsd:restriction>
      </xsd:simpleType>
    </xsd:element>
    <xsd:element name="Azienda" ma:index="39" nillable="true" ma:displayName="Azienda" ma:default="Agesp Ambiente" ma:internalName="Azienda">
      <xsd:simpleType>
        <xsd:restriction base="dms:Text">
          <xsd:maxLength value="255"/>
        </xsd:restriction>
      </xsd:simpleType>
    </xsd:element>
    <xsd:element name="DestinatarioGenerico" ma:index="40" nillable="true" ma:displayName="Destinatario generico" ma:internalName="DestinatarioGenerico">
      <xsd:simpleType>
        <xsd:restriction base="dms:Text">
          <xsd:maxLength value="255"/>
        </xsd:restriction>
      </xsd:simpleType>
    </xsd:element>
    <xsd:element name="DestinatarioRubrica" ma:index="41" nillable="true" ma:displayName="Destinatario rubrica" ma:internalName="DestinatarioRubrica">
      <xsd:simpleType>
        <xsd:restriction base="dms:Text">
          <xsd:maxLength value="255"/>
        </xsd:restriction>
      </xsd:simpleType>
    </xsd:element>
    <xsd:element name="Evaso" ma:index="42" nillable="true" ma:displayName="Evaso" ma:internalName="Evaso">
      <xsd:simpleType>
        <xsd:restriction base="dms:Text">
          <xsd:maxLength value="255"/>
        </xsd:restriction>
      </xsd:simpleType>
    </xsd:element>
    <xsd:element name="MittenteRubrica" ma:index="43" nillable="true" ma:displayName="Mittente rubrica" ma:internalName="MittenteRubrica">
      <xsd:simpleType>
        <xsd:restriction base="dms:Text">
          <xsd:maxLength value="255"/>
        </xsd:restriction>
      </xsd:simpleType>
    </xsd:element>
    <xsd:element name="NoteProtocollo" ma:index="44" nillable="true" ma:displayName="Note protocollo" ma:internalName="NoteProtocollo">
      <xsd:simpleType>
        <xsd:restriction base="dms:Note">
          <xsd:maxLength value="255"/>
        </xsd:restriction>
      </xsd:simpleType>
    </xsd:element>
    <xsd:element name="MittenteGenerico" ma:index="45" nillable="true" ma:displayName="Mittente generico" ma:internalName="MittenteGenerico">
      <xsd:simpleType>
        <xsd:restriction base="dms:Text">
          <xsd:maxLength value="255"/>
        </xsd:restriction>
      </xsd:simpleType>
    </xsd:element>
    <xsd:element name="lcf76f155ced4ddcb4097134ff3c332f" ma:index="47" nillable="true" ma:taxonomy="true" ma:internalName="lcf76f155ced4ddcb4097134ff3c332f" ma:taxonomyFieldName="MediaServiceImageTags" ma:displayName="Tag immagine" ma:readOnly="false" ma:fieldId="{5cf76f15-5ced-4ddc-b409-7134ff3c332f}" ma:taxonomyMulti="true" ma:sspId="9161eb3d-0e08-43e5-9df4-7f6e25bbcd3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4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5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5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5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5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5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5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56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5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0b00a0c-f11a-476e-ad35-ba1f6d6d4c55" xsi:nil="true"/>
    <lcf76f155ced4ddcb4097134ff3c332f xmlns="a4f7fff0-c233-414c-ba07-94cdf376a1c9">
      <Terms xmlns="http://schemas.microsoft.com/office/infopath/2007/PartnerControls"/>
    </lcf76f155ced4ddcb4097134ff3c332f>
    <HasNotes xmlns="e0b00a0c-f11a-476e-ad35-ba1f6d6d4c55" xsi:nil="true"/>
    <OriginalName xmlns="e0b00a0c-f11a-476e-ad35-ba1f6d6d4c55">AGESP_PEF_MTR-3 vers 9 con 2026 e 2027 UT ok definitiva.xlsx</OriginalName>
    <PagineDocumento xmlns="e0b00a0c-f11a-476e-ad35-ba1f6d6d4c55" xsi:nil="true"/>
    <TipoFile xmlns="e0b00a0c-f11a-476e-ad35-ba1f6d6d4c55">Allegato</TipoFile>
    <Impronta xmlns="e0b00a0c-f11a-476e-ad35-ba1f6d6d4c55" xsi:nil="true"/>
    <DataProtocollo xmlns="e0b00a0c-f11a-476e-ad35-ba1f6d6d4c55" xsi:nil="true"/>
    <DestinatarioEsterno xmlns="e0b00a0c-f11a-476e-ad35-ba1f6d6d4c55" xsi:nil="true"/>
    <MittenteRubrica xmlns="a4f7fff0-c233-414c-ba07-94cdf376a1c9" xsi:nil="true"/>
    <Inoltro xmlns="e0b00a0c-f11a-476e-ad35-ba1f6d6d4c55" xsi:nil="true"/>
    <ProtocolloDiRiferimento xmlns="e0b00a0c-f11a-476e-ad35-ba1f6d6d4c55" xsi:nil="true"/>
    <StatoConservazione xmlns="e0b00a0c-f11a-476e-ad35-ba1f6d6d4c55" xsi:nil="true"/>
    <CopiaConoscenza xmlns="e0b00a0c-f11a-476e-ad35-ba1f6d6d4c55" xsi:nil="true"/>
    <Anno xmlns="e0b00a0c-f11a-476e-ad35-ba1f6d6d4c55" xsi:nil="true"/>
    <Protocollo xmlns="e0b00a0c-f11a-476e-ad35-ba1f6d6d4c55" xsi:nil="true"/>
    <TipoProtocollo xmlns="e0b00a0c-f11a-476e-ad35-ba1f6d6d4c55" xsi:nil="true"/>
    <DestinatarioGenerico xmlns="a4f7fff0-c233-414c-ba07-94cdf376a1c9" xsi:nil="true"/>
    <MittenteInterno xmlns="e0b00a0c-f11a-476e-ad35-ba1f6d6d4c55" xsi:nil="true"/>
    <OggettoProtocollo xmlns="e0b00a0c-f11a-476e-ad35-ba1f6d6d4c55" xsi:nil="true"/>
    <Protocollista xmlns="e0b00a0c-f11a-476e-ad35-ba1f6d6d4c55" xsi:nil="true"/>
    <NoteProtocollo xmlns="a4f7fff0-c233-414c-ba07-94cdf376a1c9" xsi:nil="true"/>
    <Firmato xmlns="e0b00a0c-f11a-476e-ad35-ba1f6d6d4c55" xsi:nil="true"/>
    <HasAttachments xmlns="e0b00a0c-f11a-476e-ad35-ba1f6d6d4c55" xsi:nil="true"/>
    <StatoProtocollo xmlns="e0b00a0c-f11a-476e-ad35-ba1f6d6d4c55" xsi:nil="true"/>
    <IdPdVConservazione xmlns="e0b00a0c-f11a-476e-ad35-ba1f6d6d4c55" xsi:nil="true"/>
    <Azienda xmlns="a4f7fff0-c233-414c-ba07-94cdf376a1c9">Agesp Ambiente</Azienda>
    <Evaso xmlns="a4f7fff0-c233-414c-ba07-94cdf376a1c9" xsi:nil="true"/>
    <MittenteEsterno xmlns="e0b00a0c-f11a-476e-ad35-ba1f6d6d4c55" xsi:nil="true"/>
    <UtenteModifica xmlns="e0b00a0c-f11a-476e-ad35-ba1f6d6d4c55">
      <UserInfo>
        <DisplayName/>
        <AccountId xsi:nil="true"/>
        <AccountType/>
      </UserInfo>
    </UtenteModifica>
    <MittenteGenerico xmlns="a4f7fff0-c233-414c-ba07-94cdf376a1c9" xsi:nil="true"/>
    <Titolario xmlns="a4f7fff0-c233-414c-ba07-94cdf376a1c9" xsi:nil="true"/>
    <IdDocConservazione xmlns="e0b00a0c-f11a-476e-ad35-ba1f6d6d4c55" xsi:nil="true"/>
    <DestinatarioInterno xmlns="e0b00a0c-f11a-476e-ad35-ba1f6d6d4c55" xsi:nil="true"/>
    <Proprietario xmlns="e0b00a0c-f11a-476e-ad35-ba1f6d6d4c55" xsi:nil="true"/>
    <MezzoDiSpedizione xmlns="e0b00a0c-f11a-476e-ad35-ba1f6d6d4c55" xsi:nil="true"/>
    <NumeroProtocollo xmlns="e0b00a0c-f11a-476e-ad35-ba1f6d6d4c55" xsi:nil="true"/>
    <IdDocSet xmlns="e0b00a0c-f11a-476e-ad35-ba1f6d6d4c55">52416</IdDocSet>
    <Visibilita xmlns="e0b00a0c-f11a-476e-ad35-ba1f6d6d4c55" xsi:nil="true"/>
    <DestinatarioRubrica xmlns="a4f7fff0-c233-414c-ba07-94cdf376a1c9" xsi:nil="true"/>
  </documentManagement>
</p:properties>
</file>

<file path=customXml/itemProps1.xml><?xml version="1.0" encoding="utf-8"?>
<ds:datastoreItem xmlns:ds="http://schemas.openxmlformats.org/officeDocument/2006/customXml" ds:itemID="{0BB681E2-8D26-47AF-BFF4-E1FC258C3E93}"/>
</file>

<file path=customXml/itemProps2.xml><?xml version="1.0" encoding="utf-8"?>
<ds:datastoreItem xmlns:ds="http://schemas.openxmlformats.org/officeDocument/2006/customXml" ds:itemID="{BE57C679-A6BA-44E4-9556-AFE92AC0E7F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9199038-8684-4217-B3FB-63C863CD3933}">
  <ds:schemaRefs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592072ae-1327-46bb-89a9-eec5312ef316"/>
    <ds:schemaRef ds:uri="http://purl.org/dc/dcmitype/"/>
    <ds:schemaRef ds:uri="http://schemas.microsoft.com/office/2006/metadata/properties"/>
    <ds:schemaRef ds:uri="http://purl.org/dc/terms/"/>
    <ds:schemaRef ds:uri="6333e5c1-98f9-4f85-9e8f-e26b1d96afd5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42</vt:i4>
      </vt:variant>
    </vt:vector>
  </HeadingPairs>
  <TitlesOfParts>
    <vt:vector size="42" baseType="lpstr">
      <vt:lpstr>Export_Tool</vt:lpstr>
      <vt:lpstr>Parametri MTR-3</vt:lpstr>
      <vt:lpstr>Ambiti</vt:lpstr>
      <vt:lpstr>IN_Anagrafica</vt:lpstr>
      <vt:lpstr>Import_CO_Comuni</vt:lpstr>
      <vt:lpstr>Import CO_24</vt:lpstr>
      <vt:lpstr>Import CO_25</vt:lpstr>
      <vt:lpstr>IN_PAR</vt:lpstr>
      <vt:lpstr>R1-R2</vt:lpstr>
      <vt:lpstr>DB_IN_CTS_CTR_RC</vt:lpstr>
      <vt:lpstr>IN_CTS_CTR_RC</vt:lpstr>
      <vt:lpstr>IN_RC_ANT</vt:lpstr>
      <vt:lpstr>DB_IN_RC_CO_INC</vt:lpstr>
      <vt:lpstr>IN_RC_CO_INC</vt:lpstr>
      <vt:lpstr>RC_I25_GEST</vt:lpstr>
      <vt:lpstr>RC_I25_COM</vt:lpstr>
      <vt:lpstr>IN_RCwacc&amp;slic_GEST</vt:lpstr>
      <vt:lpstr>IN_RCwacc&amp;slic_COM</vt:lpstr>
      <vt:lpstr>IN_COexp</vt:lpstr>
      <vt:lpstr>IN_RC-T</vt:lpstr>
      <vt:lpstr>IN_Detr 4.5 del_397</vt:lpstr>
      <vt:lpstr>IN_Calcolo H</vt:lpstr>
      <vt:lpstr>CK_GEST</vt:lpstr>
      <vt:lpstr>CK_COM</vt:lpstr>
      <vt:lpstr>PEF_GEST_26</vt:lpstr>
      <vt:lpstr>PEF_GEST_27</vt:lpstr>
      <vt:lpstr>PEF_GEST_28</vt:lpstr>
      <vt:lpstr>PEF_GEST_29</vt:lpstr>
      <vt:lpstr>PEF_COM_26</vt:lpstr>
      <vt:lpstr>PEF_COM_27</vt:lpstr>
      <vt:lpstr>PEF_COM_28</vt:lpstr>
      <vt:lpstr>PEF_COM_29</vt:lpstr>
      <vt:lpstr>Rett_Ta-1</vt:lpstr>
      <vt:lpstr>T_ante_detr.4.5_GEST</vt:lpstr>
      <vt:lpstr>T_ante_detr.4.5_COM</vt:lpstr>
      <vt:lpstr>IN_Rimd</vt:lpstr>
      <vt:lpstr>IN_Altro</vt:lpstr>
      <vt:lpstr>Riepilogo GEST</vt:lpstr>
      <vt:lpstr>Riepilogo COM</vt:lpstr>
      <vt:lpstr>PEF</vt:lpstr>
      <vt:lpstr>PEF_TOTALE</vt:lpstr>
      <vt:lpstr>PEFUni_Dettagli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Simone Bellissimo</dc:creator>
  <cp:lastModifiedBy>Matteo Guizzetti</cp:lastModifiedBy>
  <dcterms:created xsi:type="dcterms:W3CDTF">2015-06-05T18:19:34Z</dcterms:created>
  <dcterms:modified xsi:type="dcterms:W3CDTF">2026-07-03T09:13:09Z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0x010100D7B3F57648648A4B82CC06A7D5D7167F</vt:lpwstr>
  </property>
  <property fmtid="{D5CDD505-2E9C-101B-9397-08002B2CF9AE}" pid="3" name="Order">
    <vt:r8>800</vt:r8>
  </property>
  <property fmtid="{D5CDD505-2E9C-101B-9397-08002B2CF9AE}" pid="4" name="MediaServiceImageTags">
    <vt:lpwstr/>
  </property>
</Properties>
</file>